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топ-лист" sheetId="1" r:id="rId5"/>
    <sheet state="hidden" name="Стоп-лист застройщики" sheetId="2" r:id="rId6"/>
    <sheet state="visible" name="СВОД АП" sheetId="3" r:id="rId7"/>
    <sheet state="visible" name="Основной эфир" sheetId="4" r:id="rId8"/>
    <sheet state="visible" name="Генеральный баннер" sheetId="5" r:id="rId9"/>
    <sheet state="visible" name="Выбор адресов" sheetId="6" r:id="rId10"/>
    <sheet state="visible" name="Итог покупки" sheetId="7" r:id="rId11"/>
    <sheet state="visible" name="Данные для построения списка" sheetId="8" r:id="rId12"/>
    <sheet state="visible" name="ТТ" sheetId="9" r:id="rId13"/>
  </sheets>
  <definedNames>
    <definedName name="JK_8">#REF!</definedName>
    <definedName name="JKRow14">#REF!</definedName>
    <definedName name="JKRow13">#REF!</definedName>
    <definedName name="City_3">#REF!</definedName>
    <definedName name="JK_EMPTY">#REF!</definedName>
    <definedName name="JKRow8">#REF!</definedName>
    <definedName name="City_4">#REF!</definedName>
    <definedName name="JKRow9">#REF!</definedName>
    <definedName name="JK_2">#REF!</definedName>
    <definedName name="JK_7">#REF!</definedName>
    <definedName name="JKRow5">#REF!</definedName>
    <definedName name="JK_4">#REF!</definedName>
    <definedName name="City_5">#REF!</definedName>
    <definedName name="JKRow12">#REF!</definedName>
    <definedName name="JKRow10">#REF!</definedName>
    <definedName name="JK_3">#REF!</definedName>
    <definedName name="JKRow7">#REF!</definedName>
    <definedName name="JKRow6">#REF!</definedName>
    <definedName name="JK_6">#REF!</definedName>
    <definedName name="JK_5">#REF!</definedName>
    <definedName name="JK_10">#REF!</definedName>
    <definedName name="City_2">#REF!</definedName>
    <definedName name="JK_9">#REF!</definedName>
    <definedName name="RegionList">#REF!</definedName>
    <definedName name="City_1">#REF!</definedName>
    <definedName name="JKRow11">#REF!</definedName>
    <definedName name="JK_11">#REF!</definedName>
    <definedName name="JK_1">#REF!</definedName>
    <definedName hidden="1" localSheetId="1" name="_xlnm._FilterDatabase">'Стоп-лист застройщики'!$A$2:$D$336</definedName>
    <definedName hidden="1" localSheetId="3" name="_xlnm._FilterDatabase">'Основной эфир'!$A$2:$AL$1149</definedName>
  </definedNames>
  <calcPr/>
</workbook>
</file>

<file path=xl/sharedStrings.xml><?xml version="1.0" encoding="utf-8"?>
<sst xmlns="http://schemas.openxmlformats.org/spreadsheetml/2006/main" count="19895" uniqueCount="2947">
  <si>
    <t>СВОД Умных экранов по городам</t>
  </si>
  <si>
    <t>Регион</t>
  </si>
  <si>
    <t>Город</t>
  </si>
  <si>
    <t>ЖК</t>
  </si>
  <si>
    <t>Разрешено застройщикам</t>
  </si>
  <si>
    <t>Количество пакетов</t>
  </si>
  <si>
    <t>Карта ЖК</t>
  </si>
  <si>
    <t>Количество ЖК</t>
  </si>
  <si>
    <t>Количество домов</t>
  </si>
  <si>
    <t>Количество жильцов</t>
  </si>
  <si>
    <t xml:space="preserve">Всего экранов </t>
  </si>
  <si>
    <t>Цена за размещение на 1 экране/месяц руб. без НДС для Федерального и крупного бизнеса</t>
  </si>
  <si>
    <t>Цена за размещение на 1 экране/месяц руб. в т.ч НДС 22% для Федерального и крупного бизнеса</t>
  </si>
  <si>
    <t>Организации и продукции, запрещенные к размещению по ФЗ «О рекламе» от 13.03.2006 г. № 38-ФЗ</t>
  </si>
  <si>
    <t>Стоимость размещения в 1 доме/1 месяц, руб. без НДС для Федерального и крупного бизнеса</t>
  </si>
  <si>
    <t>Стоимость размещения в 1 доме/1 месяц, руб. в т.ч.НДС 22% для Федерального и крупного бизнеса</t>
  </si>
  <si>
    <t>ФО/скрин с камеры</t>
  </si>
  <si>
    <t>Республика Башкортостан</t>
  </si>
  <si>
    <t>Прайс на размещение рекламного ролика</t>
  </si>
  <si>
    <t>Уфа</t>
  </si>
  <si>
    <t>нет</t>
  </si>
  <si>
    <t>GID</t>
  </si>
  <si>
    <t>Район</t>
  </si>
  <si>
    <t>Название пакета</t>
  </si>
  <si>
    <t>Категория ЖК</t>
  </si>
  <si>
    <t>Дата застройки экранов</t>
  </si>
  <si>
    <t>Класс жилья</t>
  </si>
  <si>
    <t>Наименование ЖК</t>
  </si>
  <si>
    <t>Адрес</t>
  </si>
  <si>
    <t>Коррдинаты (широта, долгота)</t>
  </si>
  <si>
    <t>Ритуальные услуги</t>
  </si>
  <si>
    <t>да</t>
  </si>
  <si>
    <t>Год сдачи дома</t>
  </si>
  <si>
    <t>Этажность</t>
  </si>
  <si>
    <t>Количество квартир</t>
  </si>
  <si>
    <t>Религиозные организации</t>
  </si>
  <si>
    <t>Всего экранов</t>
  </si>
  <si>
    <t>Число экранов в холле</t>
  </si>
  <si>
    <t>Всего холлов в доме</t>
  </si>
  <si>
    <t>Число экранов в лифте</t>
  </si>
  <si>
    <t>Всего лифтов в доме</t>
  </si>
  <si>
    <t>Тип экрана</t>
  </si>
  <si>
    <t>Способ показа</t>
  </si>
  <si>
    <t>Формат</t>
  </si>
  <si>
    <t>Хронометраж (сек)</t>
  </si>
  <si>
    <t>Блок</t>
  </si>
  <si>
    <t>Юридические услуги по получению отсрочек от воинской службы</t>
  </si>
  <si>
    <t>Кол-во показов в сутки/1 экран (сек)</t>
  </si>
  <si>
    <t>Период/дней</t>
  </si>
  <si>
    <t>Кол-во показов в ЖК/период</t>
  </si>
  <si>
    <t>Частота контакта рекламы c 1 жителем (Frequency)</t>
  </si>
  <si>
    <t>Количество контактов с рекламой (OTS)</t>
  </si>
  <si>
    <t>Стоимость 1000 контактов (CPT) с НДС для Федерального и крупного бизнеса</t>
  </si>
  <si>
    <t>Фото</t>
  </si>
  <si>
    <t>Коллекторские организации</t>
  </si>
  <si>
    <t>Цена за размещение на 1 экране/месяц руб. без НДС</t>
  </si>
  <si>
    <t>Цена за размещение на 1 экране/месяц руб. в т.ч НДС 22%</t>
  </si>
  <si>
    <t>Стоимость размещения в 1 доме/1 месяц, руб. без НДС</t>
  </si>
  <si>
    <t>Стоимость размещения в 1 доме/1 месяц, руб. в т.ч.НДС 22%</t>
  </si>
  <si>
    <t>U1</t>
  </si>
  <si>
    <t>Интим-услуги</t>
  </si>
  <si>
    <t>Ленинский</t>
  </si>
  <si>
    <t>Проспект</t>
  </si>
  <si>
    <t>А</t>
  </si>
  <si>
    <t>Народные целители</t>
  </si>
  <si>
    <t>Бизнес</t>
  </si>
  <si>
    <t>Финансовые пирамиды/криптовалюты</t>
  </si>
  <si>
    <t>ЖК Видинеевский</t>
  </si>
  <si>
    <t>улица Пархоменко, 156Б</t>
  </si>
  <si>
    <t>54.743697</t>
  </si>
  <si>
    <t>55.969246</t>
  </si>
  <si>
    <t>Сфера развлечения</t>
  </si>
  <si>
    <t>ночные клубы</t>
  </si>
  <si>
    <t>букмекеры</t>
  </si>
  <si>
    <t>лотереи</t>
  </si>
  <si>
    <t>Горизонтальный 4*3</t>
  </si>
  <si>
    <t>Digital (без звука)</t>
  </si>
  <si>
    <t>стриптиз-клубы</t>
  </si>
  <si>
    <t>видеоролик</t>
  </si>
  <si>
    <t>Сфера товары</t>
  </si>
  <si>
    <t>эротические товары</t>
  </si>
  <si>
    <t>электронные сигареты,кальян</t>
  </si>
  <si>
    <t>Стерлитамак</t>
  </si>
  <si>
    <t>алкогольная продукция, лекарственные средства, биологически активные добавки</t>
  </si>
  <si>
    <t>https://ibb.co/1S8hzvX</t>
  </si>
  <si>
    <t>табак, табачная продукция, табачные изделий, никотинсодержащая продукция</t>
  </si>
  <si>
    <t>улица Пархоменко, 156В</t>
  </si>
  <si>
    <t>54.744659</t>
  </si>
  <si>
    <t>55.969713</t>
  </si>
  <si>
    <t>https://ibb.co/1pfqR3G</t>
  </si>
  <si>
    <t>улица Пархоменко, 156Г</t>
  </si>
  <si>
    <t>54.744939</t>
  </si>
  <si>
    <t>55.970603</t>
  </si>
  <si>
    <t>Нефтекамск</t>
  </si>
  <si>
    <t>лица Пархоменко, 156Е</t>
  </si>
  <si>
    <t>54.744482</t>
  </si>
  <si>
    <t>55.972408</t>
  </si>
  <si>
    <t>улица Пархоменко, 156Ж</t>
  </si>
  <si>
    <t>54.743999</t>
  </si>
  <si>
    <t>55.972094</t>
  </si>
  <si>
    <t>U2</t>
  </si>
  <si>
    <t>Кировский</t>
  </si>
  <si>
    <t>Зеленая Роща 2</t>
  </si>
  <si>
    <t>Б</t>
  </si>
  <si>
    <t>Комфорт</t>
  </si>
  <si>
    <t>ЖК  Южный</t>
  </si>
  <si>
    <t>улица Генерала Рыленко, 8</t>
  </si>
  <si>
    <t>54.695476</t>
  </si>
  <si>
    <t>55.989638</t>
  </si>
  <si>
    <t>U3</t>
  </si>
  <si>
    <t>Центр</t>
  </si>
  <si>
    <t>ЖК Выбор первых</t>
  </si>
  <si>
    <t>улица Айская, 61</t>
  </si>
  <si>
    <t>54.727375</t>
  </si>
  <si>
    <t>55.976172</t>
  </si>
  <si>
    <t>U4</t>
  </si>
  <si>
    <t>Калининский</t>
  </si>
  <si>
    <t>Инорс_Сипайлово</t>
  </si>
  <si>
    <t>Стандарт</t>
  </si>
  <si>
    <t>ЖК Акварель</t>
  </si>
  <si>
    <t>улица Лётчика Кобелева, 1</t>
  </si>
  <si>
    <t>54.778409</t>
  </si>
  <si>
    <t>56.137887</t>
  </si>
  <si>
    <t>Октябрьский</t>
  </si>
  <si>
    <t>улица Лётчика Кобелева, 3/3</t>
  </si>
  <si>
    <t>54.778180</t>
  </si>
  <si>
    <t>56.134411</t>
  </si>
  <si>
    <t>улица Ферина, 33</t>
  </si>
  <si>
    <t>54.777126</t>
  </si>
  <si>
    <t>56.132030</t>
  </si>
  <si>
    <t>Вертикальный 4*3</t>
  </si>
  <si>
    <t>U5</t>
  </si>
  <si>
    <t>ЖК Старый центр</t>
  </si>
  <si>
    <t>улица Чернышевского, 26</t>
  </si>
  <si>
    <t>54.731545</t>
  </si>
  <si>
    <t>55.928831</t>
  </si>
  <si>
    <t>улица Коммунистическая, 15</t>
  </si>
  <si>
    <t>54.729512</t>
  </si>
  <si>
    <t>55.929083</t>
  </si>
  <si>
    <t>улица Чернышевского, 28</t>
  </si>
  <si>
    <t>54.731326</t>
  </si>
  <si>
    <t>55.929774</t>
  </si>
  <si>
    <t>Оренбургская область</t>
  </si>
  <si>
    <t>Оренбург</t>
  </si>
  <si>
    <t>улица Коммунистическая, 11/1</t>
  </si>
  <si>
    <t>54.730157</t>
  </si>
  <si>
    <t>55.927978</t>
  </si>
  <si>
    <t>улица Коммунистическая, 11</t>
  </si>
  <si>
    <t>54.729725</t>
  </si>
  <si>
    <t>55.928023</t>
  </si>
  <si>
    <t>U6</t>
  </si>
  <si>
    <t>ЖК Семья</t>
  </si>
  <si>
    <t>улица Комсомольская, 94</t>
  </si>
  <si>
    <t>54.748868</t>
  </si>
  <si>
    <t>56.003652</t>
  </si>
  <si>
    <t>улица Комсомольская, 106/3</t>
  </si>
  <si>
    <t>54.750967</t>
  </si>
  <si>
    <t>56.007218</t>
  </si>
  <si>
    <t>улица Николая Ковалёва, 1</t>
  </si>
  <si>
    <t>54.748364</t>
  </si>
  <si>
    <t>56.004775</t>
  </si>
  <si>
    <t>U7</t>
  </si>
  <si>
    <t>Советский</t>
  </si>
  <si>
    <t>Зеленая Роща 1</t>
  </si>
  <si>
    <t>ЖК Черемушки</t>
  </si>
  <si>
    <t>Нижегородская область</t>
  </si>
  <si>
    <t>улица Минигали Губайдуллина, 10/1</t>
  </si>
  <si>
    <t>54.722893</t>
  </si>
  <si>
    <t>55.996555</t>
  </si>
  <si>
    <t>Нижний Новгород</t>
  </si>
  <si>
    <t>U8</t>
  </si>
  <si>
    <t>ЖК Черемушки 2</t>
  </si>
  <si>
    <t>улица Минигали Губайдуллина, 10</t>
  </si>
  <si>
    <t>54.722477</t>
  </si>
  <si>
    <t>55.997435</t>
  </si>
  <si>
    <t>Зеленая Роща 3</t>
  </si>
  <si>
    <t>U9</t>
  </si>
  <si>
    <t>Зеленая Роща 4</t>
  </si>
  <si>
    <t>ЖК Черемушки 3</t>
  </si>
  <si>
    <t>Минигали Губайдуллина 12</t>
  </si>
  <si>
    <t>54.723288</t>
  </si>
  <si>
    <t>55.995630</t>
  </si>
  <si>
    <t>Зеленая Роща 5</t>
  </si>
  <si>
    <t>U10</t>
  </si>
  <si>
    <t>ЖК Арбат</t>
  </si>
  <si>
    <t>улица Мустая Карима, 16</t>
  </si>
  <si>
    <t>54.729964</t>
  </si>
  <si>
    <t>55.946681</t>
  </si>
  <si>
    <t>U11</t>
  </si>
  <si>
    <t>ЖК Искра</t>
  </si>
  <si>
    <t>улица Комсомольская, 156/1</t>
  </si>
  <si>
    <t>54.764812</t>
  </si>
  <si>
    <t>56.029083</t>
  </si>
  <si>
    <t>Республика Татарстан</t>
  </si>
  <si>
    <t>Казань</t>
  </si>
  <si>
    <t>улица Архитектора Рехмукова, 3</t>
  </si>
  <si>
    <t>54.764355</t>
  </si>
  <si>
    <t>56.028355</t>
  </si>
  <si>
    <t>U12</t>
  </si>
  <si>
    <t>ЖК Ботанический сад</t>
  </si>
  <si>
    <t>улица Сагита Агиша, 19</t>
  </si>
  <si>
    <t>54.726013</t>
  </si>
  <si>
    <t>Да</t>
  </si>
  <si>
    <t>56.008799</t>
  </si>
  <si>
    <t>Нет</t>
  </si>
  <si>
    <t>U13</t>
  </si>
  <si>
    <t>ЖК Бакалинская</t>
  </si>
  <si>
    <t>улица Бакалинская, 23</t>
  </si>
  <si>
    <t>54.718770</t>
  </si>
  <si>
    <t>55.988883</t>
  </si>
  <si>
    <t>U14</t>
  </si>
  <si>
    <t>ЖК Элементум</t>
  </si>
  <si>
    <t>улица Степана Кувыкина, 45</t>
  </si>
  <si>
    <t>54.712721</t>
  </si>
  <si>
    <t>56.000813</t>
  </si>
  <si>
    <t>U15</t>
  </si>
  <si>
    <t>Усады</t>
  </si>
  <si>
    <t>ЖК Элементум 2</t>
  </si>
  <si>
    <t>улица Менделеева, 128</t>
  </si>
  <si>
    <t>54.713371</t>
  </si>
  <si>
    <t>55.997992</t>
  </si>
  <si>
    <t>улица Бакалинская, 4</t>
  </si>
  <si>
    <t>54.712825</t>
  </si>
  <si>
    <t>55.998612</t>
  </si>
  <si>
    <t>U16</t>
  </si>
  <si>
    <t>ЖК Эверест</t>
  </si>
  <si>
    <t>улица Бориса Домашникова, 22</t>
  </si>
  <si>
    <t>54.740667</t>
  </si>
  <si>
    <t>55.942737</t>
  </si>
  <si>
    <t>U17</t>
  </si>
  <si>
    <t>ЖК Лилия</t>
  </si>
  <si>
    <t>улица Гафури, 56</t>
  </si>
  <si>
    <t>54.730916</t>
  </si>
  <si>
    <t>55.931122</t>
  </si>
  <si>
    <t>U18</t>
  </si>
  <si>
    <t xml:space="preserve">ЖК Чистое небо </t>
  </si>
  <si>
    <t>улица Кавказская, 17/1</t>
  </si>
  <si>
    <t>54.707177</t>
  </si>
  <si>
    <t>55.974825</t>
  </si>
  <si>
    <t>Московская область</t>
  </si>
  <si>
    <t>Путилково</t>
  </si>
  <si>
    <t>U19</t>
  </si>
  <si>
    <t>ЖК Новомостовая</t>
  </si>
  <si>
    <t>улица Новомостовая, 8</t>
  </si>
  <si>
    <t>54.717444</t>
  </si>
  <si>
    <t>55.954065</t>
  </si>
  <si>
    <t>U20</t>
  </si>
  <si>
    <t>Орджоникидзевский</t>
  </si>
  <si>
    <t>ЖК Idel Tower</t>
  </si>
  <si>
    <t>проспект Октября, 107Б</t>
  </si>
  <si>
    <t>54.783222</t>
  </si>
  <si>
    <t>56.030395</t>
  </si>
  <si>
    <t>U21</t>
  </si>
  <si>
    <t>ЖК Idel Tower 2</t>
  </si>
  <si>
    <t>проспект Октября, 107А</t>
  </si>
  <si>
    <t>54.782786</t>
  </si>
  <si>
    <t>56.031437</t>
  </si>
  <si>
    <t>U22</t>
  </si>
  <si>
    <t>ЖК Риверсайд</t>
  </si>
  <si>
    <t>улица Златоустовская, 20</t>
  </si>
  <si>
    <t>54.750151</t>
  </si>
  <si>
    <t>55.966003</t>
  </si>
  <si>
    <t>U23</t>
  </si>
  <si>
    <t xml:space="preserve">ЖК Республика </t>
  </si>
  <si>
    <t>улица Воинов-Интернационалистов, 5</t>
  </si>
  <si>
    <t>54.780652</t>
  </si>
  <si>
    <t>56.049250</t>
  </si>
  <si>
    <t>Одинцово</t>
  </si>
  <si>
    <t>улица Воинов-Интернационалистов, 7</t>
  </si>
  <si>
    <t>54.780719</t>
  </si>
  <si>
    <t>56.048073</t>
  </si>
  <si>
    <t>U24</t>
  </si>
  <si>
    <t>ЖК Республика 1</t>
  </si>
  <si>
    <t>улица Уфимское Шоссе, 18/6</t>
  </si>
  <si>
    <t>54.780730</t>
  </si>
  <si>
    <t>56.046861</t>
  </si>
  <si>
    <t>U25</t>
  </si>
  <si>
    <t>ЖК Изумрудный 1</t>
  </si>
  <si>
    <t>улица Шумавцова, 16</t>
  </si>
  <si>
    <t>54.815166</t>
  </si>
  <si>
    <t>56.076290</t>
  </si>
  <si>
    <t>U26</t>
  </si>
  <si>
    <t>ЖК Изумрудный 2</t>
  </si>
  <si>
    <t>U27</t>
  </si>
  <si>
    <t>ЖК Изумрудный 3</t>
  </si>
  <si>
    <t>улица Нежинская, 27</t>
  </si>
  <si>
    <t>54.814279</t>
  </si>
  <si>
    <t>56.075490</t>
  </si>
  <si>
    <t>U28</t>
  </si>
  <si>
    <t>ЖК Изумрудный 4</t>
  </si>
  <si>
    <t>Красногорск</t>
  </si>
  <si>
    <t>U29</t>
  </si>
  <si>
    <t>ЖК Панорама</t>
  </si>
  <si>
    <t>улица Архитектора Рехмукова, 7</t>
  </si>
  <si>
    <t>54.763077</t>
  </si>
  <si>
    <t>56.031284</t>
  </si>
  <si>
    <t>U30</t>
  </si>
  <si>
    <t>ЖК Планета</t>
  </si>
  <si>
    <t>бульвар Давлеткильдеева, 18</t>
  </si>
  <si>
    <t>54.762298</t>
  </si>
  <si>
    <t>56.034266</t>
  </si>
  <si>
    <t>улица Рудольфа Нуреева, 10</t>
  </si>
  <si>
    <t>54.760672</t>
  </si>
  <si>
    <t>56.030925</t>
  </si>
  <si>
    <t>U31</t>
  </si>
  <si>
    <t>ЖК Планета 2</t>
  </si>
  <si>
    <t>улица Рудольфа Нуреева, 14</t>
  </si>
  <si>
    <t>54.762984</t>
  </si>
  <si>
    <t>56.033018</t>
  </si>
  <si>
    <t>U32</t>
  </si>
  <si>
    <t>ЖК Планета 3</t>
  </si>
  <si>
    <t>улица Рудольфа Нуреева, 14А</t>
  </si>
  <si>
    <t>54.762272</t>
  </si>
  <si>
    <t>56.032784</t>
  </si>
  <si>
    <t>Мисайлово</t>
  </si>
  <si>
    <t>U33</t>
  </si>
  <si>
    <t>Ленинский 1 Затон_мкрн. 8 Марта</t>
  </si>
  <si>
    <t>ЖК 8 Марта 1</t>
  </si>
  <si>
    <t>улица Природная, 20</t>
  </si>
  <si>
    <t>54.781275</t>
  </si>
  <si>
    <t>55.962769</t>
  </si>
  <si>
    <t>улица Природная, 24</t>
  </si>
  <si>
    <t>54.781124</t>
  </si>
  <si>
    <t>55.964692</t>
  </si>
  <si>
    <t>улица Природная, 28</t>
  </si>
  <si>
    <t>54.781316</t>
  </si>
  <si>
    <t>55.966560</t>
  </si>
  <si>
    <t>улица Природная, 28/1</t>
  </si>
  <si>
    <t>55.965770</t>
  </si>
  <si>
    <t>Внуково</t>
  </si>
  <si>
    <t>U34</t>
  </si>
  <si>
    <t>ЖК 8 Марта 2</t>
  </si>
  <si>
    <t>улица Асхата Мирзагитова, 10</t>
  </si>
  <si>
    <t>54.780273</t>
  </si>
  <si>
    <t>55.961224</t>
  </si>
  <si>
    <t>улица Асхата Мирзагитова, 12</t>
  </si>
  <si>
    <t>54.781358</t>
  </si>
  <si>
    <t>55.961449</t>
  </si>
  <si>
    <t>улица Асхата Мирзагитова, 10/1</t>
  </si>
  <si>
    <t>54.780226</t>
  </si>
  <si>
    <t>55.962536</t>
  </si>
  <si>
    <t>U35</t>
  </si>
  <si>
    <t>Зеленый квартал (затон)</t>
  </si>
  <si>
    <t>улица Дмитрия Купцова, 2</t>
  </si>
  <si>
    <t>54.792774</t>
  </si>
  <si>
    <t>55.844515</t>
  </si>
  <si>
    <t>улица Дмитрия Купцова, 4</t>
  </si>
  <si>
    <t>54.793165</t>
  </si>
  <si>
    <t>55.845408</t>
  </si>
  <si>
    <t>Щербинка</t>
  </si>
  <si>
    <t>улица Дмитрия Купцова, 6</t>
  </si>
  <si>
    <t>54.793407</t>
  </si>
  <si>
    <t>55.846544</t>
  </si>
  <si>
    <t>улица Гази Загитова, 7</t>
  </si>
  <si>
    <t>54.789592</t>
  </si>
  <si>
    <t>55.847040</t>
  </si>
  <si>
    <t>улица Новоуфимская 15</t>
  </si>
  <si>
    <t>54.795722</t>
  </si>
  <si>
    <t>55.878427</t>
  </si>
  <si>
    <t>U36</t>
  </si>
  <si>
    <t>Дёмский</t>
  </si>
  <si>
    <t>Дёмский_мкрн. Цветы Башкирии</t>
  </si>
  <si>
    <t>ЖК Семь звёзд</t>
  </si>
  <si>
    <t>улица Правды, 18/4</t>
  </si>
  <si>
    <t>54.703752</t>
  </si>
  <si>
    <t>55.833203</t>
  </si>
  <si>
    <t>Всего</t>
  </si>
  <si>
    <t>U37</t>
  </si>
  <si>
    <t>ЖК Гурьевский</t>
  </si>
  <si>
    <t>улица Караидельская, 54/1</t>
  </si>
  <si>
    <t>54.714302</t>
  </si>
  <si>
    <t>55.989944</t>
  </si>
  <si>
    <t>U38</t>
  </si>
  <si>
    <t>ЖК Черниковские высотки</t>
  </si>
  <si>
    <t>улица Орджоникидзе, 19/2</t>
  </si>
  <si>
    <t>54.806844</t>
  </si>
  <si>
    <t>56.129703</t>
  </si>
  <si>
    <t>U39</t>
  </si>
  <si>
    <t>ЖК Полесье</t>
  </si>
  <si>
    <t>бульвар Баландина, 4</t>
  </si>
  <si>
    <t>54.781290</t>
  </si>
  <si>
    <t>56.136315</t>
  </si>
  <si>
    <t>улица Валерия Лесунова, 10/1</t>
  </si>
  <si>
    <t>54.782651</t>
  </si>
  <si>
    <t>56.136540</t>
  </si>
  <si>
    <t>U40</t>
  </si>
  <si>
    <t>ЖК Полесье 2</t>
  </si>
  <si>
    <t>улица Валерия Лесунова, 6А</t>
  </si>
  <si>
    <t>54.785226</t>
  </si>
  <si>
    <t>56.136800</t>
  </si>
  <si>
    <t>U41</t>
  </si>
  <si>
    <t>ЖК Полесье 3</t>
  </si>
  <si>
    <t>улица Сельская Богородская, 35</t>
  </si>
  <si>
    <t>54.787131</t>
  </si>
  <si>
    <t xml:space="preserve"> </t>
  </si>
  <si>
    <t>56.135048</t>
  </si>
  <si>
    <t>U42</t>
  </si>
  <si>
    <t>ЖК Петропавловский</t>
  </si>
  <si>
    <t>улица Пархоменко, 123</t>
  </si>
  <si>
    <t>54.739643</t>
  </si>
  <si>
    <t>55.965375</t>
  </si>
  <si>
    <t>U43</t>
  </si>
  <si>
    <t>ЖК на Караидельской</t>
  </si>
  <si>
    <t>улица Караидельская, 60</t>
  </si>
  <si>
    <t>54.716435</t>
  </si>
  <si>
    <t>55.987482</t>
  </si>
  <si>
    <t>улица Караидельская, 62</t>
  </si>
  <si>
    <t>54.716887</t>
  </si>
  <si>
    <t>55.987383</t>
  </si>
  <si>
    <t>U44</t>
  </si>
  <si>
    <t>ЖК Зорге парк</t>
  </si>
  <si>
    <t>улица Рихарда Зорге, 13/1</t>
  </si>
  <si>
    <t>54.751663</t>
  </si>
  <si>
    <t>55.984760</t>
  </si>
  <si>
    <t>улица Рихарда Зорге, 17/8</t>
  </si>
  <si>
    <t>54.753513</t>
  </si>
  <si>
    <t>55.982613</t>
  </si>
  <si>
    <t>улица Рихарда Зорге, 15/3</t>
  </si>
  <si>
    <t>54.752225</t>
  </si>
  <si>
    <t>55.981931</t>
  </si>
  <si>
    <t>U45</t>
  </si>
  <si>
    <t>ЖК на Революционной</t>
  </si>
  <si>
    <t>улица Революционная, 72</t>
  </si>
  <si>
    <t>54.732615</t>
  </si>
  <si>
    <t>55.969085</t>
  </si>
  <si>
    <t>улица Революционная, 70</t>
  </si>
  <si>
    <t>54.732693</t>
  </si>
  <si>
    <t>55.968159</t>
  </si>
  <si>
    <t>улица Ветошникова, 131</t>
  </si>
  <si>
    <t>54.729897</t>
  </si>
  <si>
    <t>55.971393</t>
  </si>
  <si>
    <t>U46</t>
  </si>
  <si>
    <t>ЖК Цветы Башкирии 1</t>
  </si>
  <si>
    <t>улица Даяна Мурзина, 5</t>
  </si>
  <si>
    <t>54.670285</t>
  </si>
  <si>
    <t>55.922929</t>
  </si>
  <si>
    <t>U47</t>
  </si>
  <si>
    <t>ЖК Цветы Башкирии 2</t>
  </si>
  <si>
    <t>улица Академика Курчатова, 114</t>
  </si>
  <si>
    <t>54.671196</t>
  </si>
  <si>
    <t>55.914377</t>
  </si>
  <si>
    <t>U48</t>
  </si>
  <si>
    <t>ЖК Цветы Башкирии 3</t>
  </si>
  <si>
    <t>улица Даяна Мурзина, 9</t>
  </si>
  <si>
    <t>54.672627</t>
  </si>
  <si>
    <t>55.920055</t>
  </si>
  <si>
    <t>U49</t>
  </si>
  <si>
    <t>ЖК Парус</t>
  </si>
  <si>
    <t>проспект Октября, 152к1</t>
  </si>
  <si>
    <t>54.785117</t>
  </si>
  <si>
    <t>56.035596</t>
  </si>
  <si>
    <t>U50</t>
  </si>
  <si>
    <t xml:space="preserve">Октябрьский </t>
  </si>
  <si>
    <t>ЖК на Академика Королева 35</t>
  </si>
  <si>
    <t>улица Академика Королёва, 35</t>
  </si>
  <si>
    <t>54.772712</t>
  </si>
  <si>
    <t>56.084356</t>
  </si>
  <si>
    <t>улица Академика Королёва, 29/2</t>
  </si>
  <si>
    <t>54.771570</t>
  </si>
  <si>
    <t>56.081814</t>
  </si>
  <si>
    <t>U51</t>
  </si>
  <si>
    <t>ЖК Грин Дом</t>
  </si>
  <si>
    <t>улица Бакалинская, 33/2</t>
  </si>
  <si>
    <t>54.716653</t>
  </si>
  <si>
    <t>55.982568</t>
  </si>
  <si>
    <t>U52</t>
  </si>
  <si>
    <t>ЖК Нью-Йорт</t>
  </si>
  <si>
    <t>улица Орджоникидзе, 34</t>
  </si>
  <si>
    <t>54.805603</t>
  </si>
  <si>
    <t>56.130817</t>
  </si>
  <si>
    <t>улица Орджоникидзе, 30</t>
  </si>
  <si>
    <t>54.805116</t>
  </si>
  <si>
    <t>56.128302</t>
  </si>
  <si>
    <t>улица Орджоникидзе, 30/1</t>
  </si>
  <si>
    <t>54.804830</t>
  </si>
  <si>
    <t>56.129146</t>
  </si>
  <si>
    <t>U53</t>
  </si>
  <si>
    <t>ЖК Новаленд 1</t>
  </si>
  <si>
    <t>проспект Дружбы Народов, 53</t>
  </si>
  <si>
    <t>54.770245</t>
  </si>
  <si>
    <t>55.902861</t>
  </si>
  <si>
    <t>U54</t>
  </si>
  <si>
    <t>ЖК Новаленд 2</t>
  </si>
  <si>
    <t>проспект Дружбы Народов, 49</t>
  </si>
  <si>
    <t>54.769638</t>
  </si>
  <si>
    <t>55.906445</t>
  </si>
  <si>
    <t>проспект Дружбы Народов, 51/1</t>
  </si>
  <si>
    <t>54.770235</t>
  </si>
  <si>
    <t>55.904622</t>
  </si>
  <si>
    <t>проспект Дружбы Народов, 55</t>
  </si>
  <si>
    <t>54.771409</t>
  </si>
  <si>
    <t>55.901747</t>
  </si>
  <si>
    <t>U55</t>
  </si>
  <si>
    <t>ЖК Новаленд 3</t>
  </si>
  <si>
    <t>проспект Дружбы Народов, 51</t>
  </si>
  <si>
    <t>54.769965</t>
  </si>
  <si>
    <t>55.905565</t>
  </si>
  <si>
    <t>U56</t>
  </si>
  <si>
    <t>ЖК Новаленд 4</t>
  </si>
  <si>
    <t>улица Майора Доставалова, 9</t>
  </si>
  <si>
    <t>54.767077</t>
  </si>
  <si>
    <t>55.904244</t>
  </si>
  <si>
    <t>улица Майора Доставалова, 7</t>
  </si>
  <si>
    <t>54.767643</t>
  </si>
  <si>
    <t>55.90389</t>
  </si>
  <si>
    <t>улица Майора Доставалова, 3</t>
  </si>
  <si>
    <t>54.769497</t>
  </si>
  <si>
    <t>55.903660</t>
  </si>
  <si>
    <t>улица Михаила Зайцева, 4</t>
  </si>
  <si>
    <t>54.768916</t>
  </si>
  <si>
    <t>55.906292</t>
  </si>
  <si>
    <t>U57</t>
  </si>
  <si>
    <t>ЖК Белая река</t>
  </si>
  <si>
    <t>улица Бородинская, 9</t>
  </si>
  <si>
    <t>54.682799</t>
  </si>
  <si>
    <t>55.985326</t>
  </si>
  <si>
    <t>U58</t>
  </si>
  <si>
    <t>ЖК Smart Plaza</t>
  </si>
  <si>
    <t>улица Заводская, 15/3</t>
  </si>
  <si>
    <t>54.738323</t>
  </si>
  <si>
    <t>55.994561</t>
  </si>
  <si>
    <t>U59</t>
  </si>
  <si>
    <t>ЖК на Комсомольской</t>
  </si>
  <si>
    <t xml:space="preserve">улица Комсомольская, 139 </t>
  </si>
  <si>
    <t>54.760558</t>
  </si>
  <si>
    <t>56.015132</t>
  </si>
  <si>
    <t>U60</t>
  </si>
  <si>
    <t>ЖК Лайт</t>
  </si>
  <si>
    <t>улица Кирова, 130</t>
  </si>
  <si>
    <t>54.725540</t>
  </si>
  <si>
    <t>55.982586</t>
  </si>
  <si>
    <t>U61</t>
  </si>
  <si>
    <t>ЖК На Исмагилова</t>
  </si>
  <si>
    <t>улица Загира Исмагилова, 21</t>
  </si>
  <si>
    <t>54.698359</t>
  </si>
  <si>
    <t>55.979595</t>
  </si>
  <si>
    <t>U62</t>
  </si>
  <si>
    <t>ЖК Красинский</t>
  </si>
  <si>
    <t>улица Красина, 19/1</t>
  </si>
  <si>
    <t>54.734071</t>
  </si>
  <si>
    <t>55.933062</t>
  </si>
  <si>
    <t>улица Гафури, 88/1</t>
  </si>
  <si>
    <t>54.734944</t>
  </si>
  <si>
    <t>55.933781</t>
  </si>
  <si>
    <t>U63</t>
  </si>
  <si>
    <t>ЖК Аксаковский Сад</t>
  </si>
  <si>
    <t>улица Октябрьской Революции, 48/1</t>
  </si>
  <si>
    <t>54.718900</t>
  </si>
  <si>
    <t>55.957694</t>
  </si>
  <si>
    <t>улица Новомостовая, 22</t>
  </si>
  <si>
    <t>54.719747</t>
  </si>
  <si>
    <t>55.956643</t>
  </si>
  <si>
    <t>U123</t>
  </si>
  <si>
    <t>ЖК Видный 1</t>
  </si>
  <si>
    <t>улица Российская, 47/1</t>
  </si>
  <si>
    <t>54.776487</t>
  </si>
  <si>
    <t>56.038731</t>
  </si>
  <si>
    <t>U124</t>
  </si>
  <si>
    <t>улица Российская, 47/2</t>
  </si>
  <si>
    <t>54.775818</t>
  </si>
  <si>
    <t>56.039863</t>
  </si>
  <si>
    <t>U125</t>
  </si>
  <si>
    <t>ЖК Видный 2</t>
  </si>
  <si>
    <t>улица Российская, 47/3</t>
  </si>
  <si>
    <t>56.040644</t>
  </si>
  <si>
    <t>U65</t>
  </si>
  <si>
    <t>ЖК квартал Колгуевский</t>
  </si>
  <si>
    <t>улица Файзи Гаскарова, 9</t>
  </si>
  <si>
    <t>54.690038</t>
  </si>
  <si>
    <t>55.997831</t>
  </si>
  <si>
    <t>U66</t>
  </si>
  <si>
    <t>ЖК The Prime</t>
  </si>
  <si>
    <t>проспект Октября, 75</t>
  </si>
  <si>
    <t>54.768225</t>
  </si>
  <si>
    <t>56.019786</t>
  </si>
  <si>
    <t>U67</t>
  </si>
  <si>
    <t>ЖК Арена</t>
  </si>
  <si>
    <t>бульвар Ибрагимова, 46</t>
  </si>
  <si>
    <t>54.741358</t>
  </si>
  <si>
    <t>55.960101</t>
  </si>
  <si>
    <t>улица Цюрупы, 145/1</t>
  </si>
  <si>
    <t>54.740906</t>
  </si>
  <si>
    <t>55.958907</t>
  </si>
  <si>
    <t>U68</t>
  </si>
  <si>
    <t xml:space="preserve">ЖК Аксаковский </t>
  </si>
  <si>
    <t>улица Аксакова, 56</t>
  </si>
  <si>
    <t>54.729548</t>
  </si>
  <si>
    <t>55.937176</t>
  </si>
  <si>
    <t>U69</t>
  </si>
  <si>
    <t>Квартал дом Профсоюзов</t>
  </si>
  <si>
    <t>улица Карла Маркс, 53/1</t>
  </si>
  <si>
    <t>54.732756</t>
  </si>
  <si>
    <t>55.943159</t>
  </si>
  <si>
    <t>улица Гоголя, 78</t>
  </si>
  <si>
    <t>54.732870</t>
  </si>
  <si>
    <t>55.941821</t>
  </si>
  <si>
    <t>U70</t>
  </si>
  <si>
    <t>ЖК Яркий квартал МАДРИД</t>
  </si>
  <si>
    <t>улица Кустаревская Набережная, 13</t>
  </si>
  <si>
    <t>54.696891</t>
  </si>
  <si>
    <t>55.853211</t>
  </si>
  <si>
    <t>U71</t>
  </si>
  <si>
    <t>Квартал Университетский</t>
  </si>
  <si>
    <t>улица Пушкина, 82</t>
  </si>
  <si>
    <t>54.722794</t>
  </si>
  <si>
    <t>55.937877</t>
  </si>
  <si>
    <t>U72</t>
  </si>
  <si>
    <t>Квартал Дружба</t>
  </si>
  <si>
    <t xml:space="preserve">улица Большая Московская, 15 </t>
  </si>
  <si>
    <t>54.712732</t>
  </si>
  <si>
    <t>55.978804</t>
  </si>
  <si>
    <t>улица Большая Московская, 13</t>
  </si>
  <si>
    <t>54.713137</t>
  </si>
  <si>
    <t>55.977035</t>
  </si>
  <si>
    <t>U73</t>
  </si>
  <si>
    <t>ЖК Иремель</t>
  </si>
  <si>
    <t>улица Айская, 20</t>
  </si>
  <si>
    <t>54.716986</t>
  </si>
  <si>
    <t>55.980107</t>
  </si>
  <si>
    <t>U74</t>
  </si>
  <si>
    <t>Квартал Башкирия</t>
  </si>
  <si>
    <t>бульвар Молодежи, 6/1</t>
  </si>
  <si>
    <t>54.793771</t>
  </si>
  <si>
    <t>56.265484</t>
  </si>
  <si>
    <t>U75</t>
  </si>
  <si>
    <t>Квартал Корсо</t>
  </si>
  <si>
    <t>улица Бикбая, 35/2</t>
  </si>
  <si>
    <t>54.763862</t>
  </si>
  <si>
    <t>56.068016</t>
  </si>
  <si>
    <t>U76</t>
  </si>
  <si>
    <t xml:space="preserve">квартал Гагаринский </t>
  </si>
  <si>
    <t>улица Максима Рыльского, 30</t>
  </si>
  <si>
    <t>54.764127</t>
  </si>
  <si>
    <t>56.075643</t>
  </si>
  <si>
    <t>улица Максима Рыльского, 31</t>
  </si>
  <si>
    <t>54.765280</t>
  </si>
  <si>
    <t>56.077826</t>
  </si>
  <si>
    <t>улица Юрия Гагарина, 33</t>
  </si>
  <si>
    <t>54.767794</t>
  </si>
  <si>
    <t>56.070684</t>
  </si>
  <si>
    <t>U77</t>
  </si>
  <si>
    <t>квартал Белореченский</t>
  </si>
  <si>
    <t>улица Мубарякова, 22/1</t>
  </si>
  <si>
    <t>54.700034</t>
  </si>
  <si>
    <t>56.002888</t>
  </si>
  <si>
    <t>U78</t>
  </si>
  <si>
    <t>ЖК Орион</t>
  </si>
  <si>
    <t>улица Пугачева, 33</t>
  </si>
  <si>
    <t>54.687378</t>
  </si>
  <si>
    <t>55.98285</t>
  </si>
  <si>
    <t>U79</t>
  </si>
  <si>
    <t>квартал Кузнецовский затон</t>
  </si>
  <si>
    <t>улица Просвещения, 11/1</t>
  </si>
  <si>
    <t>54.689997</t>
  </si>
  <si>
    <t>55.972204</t>
  </si>
  <si>
    <t xml:space="preserve">улица Бородинская, 20/1 </t>
  </si>
  <si>
    <t>54.686208, 55.984572</t>
  </si>
  <si>
    <t>U80</t>
  </si>
  <si>
    <t>Квартал Летчиков</t>
  </si>
  <si>
    <t>улица Летчиков, 16/1</t>
  </si>
  <si>
    <t>54.795296</t>
  </si>
  <si>
    <t>55.867126</t>
  </si>
  <si>
    <t>улица Летчиков, 18</t>
  </si>
  <si>
    <t>54.79523</t>
  </si>
  <si>
    <t>55.868527</t>
  </si>
  <si>
    <t>U81</t>
  </si>
  <si>
    <t>Квартал Олимп</t>
  </si>
  <si>
    <t>улица Маршала Жукова, 4/4</t>
  </si>
  <si>
    <t>54.765952</t>
  </si>
  <si>
    <t>56.051225</t>
  </si>
  <si>
    <t>U82</t>
  </si>
  <si>
    <t>Квартал Олимп 2</t>
  </si>
  <si>
    <t>улица Маршала Жукова, 4/1</t>
  </si>
  <si>
    <t>54.767256</t>
  </si>
  <si>
    <t>56.053738</t>
  </si>
  <si>
    <t>U83</t>
  </si>
  <si>
    <t>Квартал Олимп 3</t>
  </si>
  <si>
    <t>улица Юрия Гагарина, 10/2</t>
  </si>
  <si>
    <t>54.763763</t>
  </si>
  <si>
    <t>56.050715</t>
  </si>
  <si>
    <t>U84</t>
  </si>
  <si>
    <t>Квартал Маяк</t>
  </si>
  <si>
    <t>улица Маршала Жукова, 3/2</t>
  </si>
  <si>
    <t>54.766198</t>
  </si>
  <si>
    <t>56.047695</t>
  </si>
  <si>
    <t>U85</t>
  </si>
  <si>
    <t>ЖК Южный 2</t>
  </si>
  <si>
    <t>улица Загира Исмагилова, 16/1</t>
  </si>
  <si>
    <t>54.698573</t>
  </si>
  <si>
    <t>55.982071</t>
  </si>
  <si>
    <t>улица Загира Исмагилова, д. 18</t>
  </si>
  <si>
    <t>54.698718</t>
  </si>
  <si>
    <t>55.980256</t>
  </si>
  <si>
    <t>U86</t>
  </si>
  <si>
    <t>ЖК Яркий Квартал Париж 1</t>
  </si>
  <si>
    <t>Яркий бульвар, 10</t>
  </si>
  <si>
    <t>54.695817</t>
  </si>
  <si>
    <t>55.859804</t>
  </si>
  <si>
    <t>U87</t>
  </si>
  <si>
    <t>ЖК Яркий Квартал Париж 2</t>
  </si>
  <si>
    <t>улица Евгения Столярова, 13</t>
  </si>
  <si>
    <t>54.695185</t>
  </si>
  <si>
    <t>55.857586</t>
  </si>
  <si>
    <t>U88</t>
  </si>
  <si>
    <t>ЖК Яркий Квартал Париж 3</t>
  </si>
  <si>
    <t>улица Архитектора Калимуллина, 12</t>
  </si>
  <si>
    <t>54.694867</t>
  </si>
  <si>
    <t>55.859257</t>
  </si>
  <si>
    <t>U89</t>
  </si>
  <si>
    <t>ЖК Новая Дёма</t>
  </si>
  <si>
    <t>улица Генерала Кусимова, 20</t>
  </si>
  <si>
    <t>54.717392</t>
  </si>
  <si>
    <t>55.842467</t>
  </si>
  <si>
    <t>U90</t>
  </si>
  <si>
    <t>ЖК Трио</t>
  </si>
  <si>
    <t>улица Степана Кувыкина, 16/1</t>
  </si>
  <si>
    <t>54.705765</t>
  </si>
  <si>
    <t>56.000567</t>
  </si>
  <si>
    <t>улица Степана Кувыкина, 16/2</t>
  </si>
  <si>
    <t>54.706149</t>
  </si>
  <si>
    <t>56.000517</t>
  </si>
  <si>
    <t>улица Степана Кувыкина, 16/3</t>
  </si>
  <si>
    <t>54.706293</t>
  </si>
  <si>
    <t>56.001047</t>
  </si>
  <si>
    <t>U91</t>
  </si>
  <si>
    <t>ЖК Гоголя 63</t>
  </si>
  <si>
    <t>улица Гоголя, 63/1</t>
  </si>
  <si>
    <t>54.732331</t>
  </si>
  <si>
    <t>55.9404</t>
  </si>
  <si>
    <t>улица Гоголя, 63</t>
  </si>
  <si>
    <t>54.731698</t>
  </si>
  <si>
    <t>55.940105</t>
  </si>
  <si>
    <t>U92</t>
  </si>
  <si>
    <t>ЖК Свобода 1</t>
  </si>
  <si>
    <t>улица Бородинская, 19</t>
  </si>
  <si>
    <t>54.679577</t>
  </si>
  <si>
    <t>55.97933</t>
  </si>
  <si>
    <t>U93</t>
  </si>
  <si>
    <t>ЖК Свобода 2</t>
  </si>
  <si>
    <t>улица Бородинская, 19/1</t>
  </si>
  <si>
    <t>54.678921</t>
  </si>
  <si>
    <t>55.979779</t>
  </si>
  <si>
    <t>U94</t>
  </si>
  <si>
    <t>Квартал Зенцова</t>
  </si>
  <si>
    <t>улица Коммунистическая, 19/1</t>
  </si>
  <si>
    <t>54.729574</t>
  </si>
  <si>
    <t>55.931893</t>
  </si>
  <si>
    <t>U95</t>
  </si>
  <si>
    <t>квартал Амантая</t>
  </si>
  <si>
    <t>улица Габдуллы Амантая, 1</t>
  </si>
  <si>
    <t>54.693009</t>
  </si>
  <si>
    <t>55.992061</t>
  </si>
  <si>
    <t>U96</t>
  </si>
  <si>
    <t>ЖК на Маршала Жукова</t>
  </si>
  <si>
    <t>улица Маршала Жукова, 3/3</t>
  </si>
  <si>
    <t>54.766645</t>
  </si>
  <si>
    <t>56.047814</t>
  </si>
  <si>
    <t>U97</t>
  </si>
  <si>
    <t>ЖК на Сочинской</t>
  </si>
  <si>
    <t>улица Сочинская, 15/1</t>
  </si>
  <si>
    <t>54.708846</t>
  </si>
  <si>
    <t>55.970199</t>
  </si>
  <si>
    <t>U98</t>
  </si>
  <si>
    <t>ЖК Тихий Центр</t>
  </si>
  <si>
    <t>улица Октябрьской Революции, 54Б</t>
  </si>
  <si>
    <t>54.717756</t>
  </si>
  <si>
    <t>55.959257</t>
  </si>
  <si>
    <t>улица Октябрьской Революции, 62/1</t>
  </si>
  <si>
    <t>54.717007</t>
  </si>
  <si>
    <t>55.959455</t>
  </si>
  <si>
    <t>U99</t>
  </si>
  <si>
    <t>ЖК Гоголя 53</t>
  </si>
  <si>
    <t>улица Гоголя, 53</t>
  </si>
  <si>
    <t>54.728794</t>
  </si>
  <si>
    <t>55.938668</t>
  </si>
  <si>
    <t>U100</t>
  </si>
  <si>
    <t>ЖК на Цюрупы</t>
  </si>
  <si>
    <t>улица Цюрупы, 27</t>
  </si>
  <si>
    <t>54.725763</t>
  </si>
  <si>
    <t>55.952852</t>
  </si>
  <si>
    <t>U101</t>
  </si>
  <si>
    <t>ЖК Президент отель</t>
  </si>
  <si>
    <t>улица Авроры, 5/12</t>
  </si>
  <si>
    <t>54.696382</t>
  </si>
  <si>
    <t>56.004505</t>
  </si>
  <si>
    <t>U102</t>
  </si>
  <si>
    <t>ЖК Квартал Набережная</t>
  </si>
  <si>
    <t>улица Натальи Ковшовой, 10</t>
  </si>
  <si>
    <t>54.761254</t>
  </si>
  <si>
    <t>56.056095</t>
  </si>
  <si>
    <t>U103</t>
  </si>
  <si>
    <t>ЖК МВД</t>
  </si>
  <si>
    <t>улица Мубарякова, 12/2</t>
  </si>
  <si>
    <t>54.697768</t>
  </si>
  <si>
    <t>55.997462</t>
  </si>
  <si>
    <t>улица Степана Кувыкина, 5</t>
  </si>
  <si>
    <t>54.699493</t>
  </si>
  <si>
    <t>55.993977</t>
  </si>
  <si>
    <t>U104</t>
  </si>
  <si>
    <t xml:space="preserve">ЖК Уфимский кремль </t>
  </si>
  <si>
    <t>улица Октябрьской Революции, 23А</t>
  </si>
  <si>
    <t>54.722685</t>
  </si>
  <si>
    <t>55.954900</t>
  </si>
  <si>
    <t>U105</t>
  </si>
  <si>
    <t xml:space="preserve">Советский </t>
  </si>
  <si>
    <t>ЖК Центр</t>
  </si>
  <si>
    <t>улица Карла Маркса, 46</t>
  </si>
  <si>
    <t>54.737445</t>
  </si>
  <si>
    <t>55.947471</t>
  </si>
  <si>
    <t>U106</t>
  </si>
  <si>
    <t xml:space="preserve">Дёмский </t>
  </si>
  <si>
    <t xml:space="preserve">ЖК Дёма </t>
  </si>
  <si>
    <t>улица Магистральная, 14</t>
  </si>
  <si>
    <t>54.710376</t>
  </si>
  <si>
    <t>55.828894</t>
  </si>
  <si>
    <t>U107</t>
  </si>
  <si>
    <t>ЖК на Бикбая</t>
  </si>
  <si>
    <t>улица Баязита Бикбая, 23/2</t>
  </si>
  <si>
    <t>54.767882</t>
  </si>
  <si>
    <t>56.062473</t>
  </si>
  <si>
    <t>U108</t>
  </si>
  <si>
    <t>ЖК на Ураксина</t>
  </si>
  <si>
    <t>улица Академика Ураксина, 1</t>
  </si>
  <si>
    <t>54.702307</t>
  </si>
  <si>
    <t>55.979146</t>
  </si>
  <si>
    <t>улица Академика Ураксина, 3</t>
  </si>
  <si>
    <t>54.702927</t>
  </si>
  <si>
    <t>55.979559</t>
  </si>
  <si>
    <t>U109</t>
  </si>
  <si>
    <t>ЖК Ветер</t>
  </si>
  <si>
    <t>улица Сержанта Пашкова, 5</t>
  </si>
  <si>
    <t>54.793464</t>
  </si>
  <si>
    <t>55.860047</t>
  </si>
  <si>
    <t>U110</t>
  </si>
  <si>
    <t xml:space="preserve">ЖК Квартал Центр </t>
  </si>
  <si>
    <t>улица Гафури, 54</t>
  </si>
  <si>
    <t>54.729621</t>
  </si>
  <si>
    <t>55.930574</t>
  </si>
  <si>
    <t>U111</t>
  </si>
  <si>
    <t>ЖК на Мингажева</t>
  </si>
  <si>
    <t>улица Революционная, 163</t>
  </si>
  <si>
    <t>54.733099</t>
  </si>
  <si>
    <t>55.971025</t>
  </si>
  <si>
    <t>U112</t>
  </si>
  <si>
    <t>ЖК квартал Алтын</t>
  </si>
  <si>
    <t>улица Ленина, 99</t>
  </si>
  <si>
    <t>54.747028</t>
  </si>
  <si>
    <t>55.958853</t>
  </si>
  <si>
    <t>U113</t>
  </si>
  <si>
    <t>ЖК Зеленая Роща</t>
  </si>
  <si>
    <t>улица Батырская, 14</t>
  </si>
  <si>
    <t>54.707645</t>
  </si>
  <si>
    <t>56.005960</t>
  </si>
  <si>
    <t>U114</t>
  </si>
  <si>
    <t>ЖК на Чернышевского</t>
  </si>
  <si>
    <t>улица Чернышевского, 122/1</t>
  </si>
  <si>
    <t>54.726424</t>
  </si>
  <si>
    <t>55.958143</t>
  </si>
  <si>
    <t>U115</t>
  </si>
  <si>
    <t>ЖК на Цурюпа 78</t>
  </si>
  <si>
    <t>улица Цюрупы, 78</t>
  </si>
  <si>
    <t>54.728966</t>
  </si>
  <si>
    <t>55.956023</t>
  </si>
  <si>
    <t>U116</t>
  </si>
  <si>
    <t>ЖК Кристалл</t>
  </si>
  <si>
    <t>улица Братьев Кадомцевых, 17</t>
  </si>
  <si>
    <t>54.751201</t>
  </si>
  <si>
    <t>55.995738</t>
  </si>
  <si>
    <t>U117</t>
  </si>
  <si>
    <t>ЖК на Перовской 54</t>
  </si>
  <si>
    <t>улица Софьи Перовской, 54</t>
  </si>
  <si>
    <t>54.697172</t>
  </si>
  <si>
    <t>55.992477</t>
  </si>
  <si>
    <t>U118</t>
  </si>
  <si>
    <t>ЖК Высотная</t>
  </si>
  <si>
    <t>улица Высотная, 8/3</t>
  </si>
  <si>
    <t>54.704466</t>
  </si>
  <si>
    <t>55.979083</t>
  </si>
  <si>
    <t>U119</t>
  </si>
  <si>
    <t>ЖК Проезд Лесной 16</t>
  </si>
  <si>
    <t>проезд Лесной, 16</t>
  </si>
  <si>
    <t>54.745620</t>
  </si>
  <si>
    <t>56.020585</t>
  </si>
  <si>
    <t>U120</t>
  </si>
  <si>
    <t>U121</t>
  </si>
  <si>
    <t>ЖК на Набережной реки Уфы 3/5</t>
  </si>
  <si>
    <t>улица Набережная реки Уфы, 3/5</t>
  </si>
  <si>
    <t>54.761940</t>
  </si>
  <si>
    <t>56.052637</t>
  </si>
  <si>
    <t>U122</t>
  </si>
  <si>
    <t>Первомайский</t>
  </si>
  <si>
    <t>ЖК Мечтателей</t>
  </si>
  <si>
    <t>улица Рашита Нигмати, 12</t>
  </si>
  <si>
    <t>54.710131</t>
  </si>
  <si>
    <t>55.842665</t>
  </si>
  <si>
    <t>STR1</t>
  </si>
  <si>
    <t>​Западный</t>
  </si>
  <si>
    <t>продажа городом</t>
  </si>
  <si>
    <t xml:space="preserve"> ЖК Браво     </t>
  </si>
  <si>
    <t>улица Интернациональная, 61</t>
  </si>
  <si>
    <t>54.811887</t>
  </si>
  <si>
    <t>56.077233</t>
  </si>
  <si>
    <t>STR2</t>
  </si>
  <si>
    <t xml:space="preserve"> ЖК Браво 2</t>
  </si>
  <si>
    <t>улица Интернациональная, 63</t>
  </si>
  <si>
    <t>54.811726</t>
  </si>
  <si>
    <t>56.077790</t>
  </si>
  <si>
    <t>STR3</t>
  </si>
  <si>
    <t xml:space="preserve">Западный </t>
  </si>
  <si>
    <t>ЖК Шиханы</t>
  </si>
  <si>
    <t>проспект Октября, 99</t>
  </si>
  <si>
    <t>53.629169</t>
  </si>
  <si>
    <t>55.883017</t>
  </si>
  <si>
    <t>STR4</t>
  </si>
  <si>
    <t>Западный</t>
  </si>
  <si>
    <t>ЖК Шиханы 2</t>
  </si>
  <si>
    <t>улица Раиса Багаутдинова, 2</t>
  </si>
  <si>
    <t>53.627989</t>
  </si>
  <si>
    <t>55.883080</t>
  </si>
  <si>
    <t>STR5</t>
  </si>
  <si>
    <t>ЖК на Проспекте Октября 85</t>
  </si>
  <si>
    <t>проспект Октября, 85</t>
  </si>
  <si>
    <t>53.628993</t>
  </si>
  <si>
    <t>55.899941</t>
  </si>
  <si>
    <t>NFT1</t>
  </si>
  <si>
    <t>​13-й м-н</t>
  </si>
  <si>
    <t>ЖК Лайф</t>
  </si>
  <si>
    <t>улица Ленина, 84Б</t>
  </si>
  <si>
    <t>56.108256</t>
  </si>
  <si>
    <t>54.235974</t>
  </si>
  <si>
    <t>NFT2</t>
  </si>
  <si>
    <t>24-й м-н</t>
  </si>
  <si>
    <t>ЖК Городской</t>
  </si>
  <si>
    <t>улица Городская, 12</t>
  </si>
  <si>
    <t>56.071248</t>
  </si>
  <si>
    <t>54.225940</t>
  </si>
  <si>
    <t>улица Городская, 14</t>
  </si>
  <si>
    <t>56.071007</t>
  </si>
  <si>
    <t>54.226856</t>
  </si>
  <si>
    <t>OKT1</t>
  </si>
  <si>
    <t>Центральный</t>
  </si>
  <si>
    <t>ЖК Парковая</t>
  </si>
  <si>
    <t>улица Парковая, 5</t>
  </si>
  <si>
    <t>54.471085</t>
  </si>
  <si>
    <t>53.518337</t>
  </si>
  <si>
    <t>OREN1</t>
  </si>
  <si>
    <t>Дзержинский</t>
  </si>
  <si>
    <t>мкрн. 13_15_16</t>
  </si>
  <si>
    <t>ЖК 15Б Микрорайон</t>
  </si>
  <si>
    <t>улица Автомобилистов, 13</t>
  </si>
  <si>
    <t>51.830568</t>
  </si>
  <si>
    <t>55.168964</t>
  </si>
  <si>
    <t>Венртикальный 4*3</t>
  </si>
  <si>
    <t>улица Северный, 23</t>
  </si>
  <si>
    <t>51.828932</t>
  </si>
  <si>
    <t>55.173573</t>
  </si>
  <si>
    <t>OREN2</t>
  </si>
  <si>
    <t>мкрн. 18_19_20</t>
  </si>
  <si>
    <t>ЖК 17 Микрорайон</t>
  </si>
  <si>
    <t>улица Салмышская, 43/1</t>
  </si>
  <si>
    <t>51.823309</t>
  </si>
  <si>
    <t>55.167186</t>
  </si>
  <si>
    <t>улица Салмышская, 43/5</t>
  </si>
  <si>
    <t>51.822089</t>
  </si>
  <si>
    <t>55.16836</t>
  </si>
  <si>
    <t>улица Поляничко, 6</t>
  </si>
  <si>
    <t>51.824091</t>
  </si>
  <si>
    <t>55.169786</t>
  </si>
  <si>
    <t>улица Салмышская, 43/2</t>
  </si>
  <si>
    <t>51.822514</t>
  </si>
  <si>
    <t>55.168053</t>
  </si>
  <si>
    <t>OREN3</t>
  </si>
  <si>
    <t xml:space="preserve">ЖК 19 Микрорайон </t>
  </si>
  <si>
    <t>улица Карпово, 3</t>
  </si>
  <si>
    <t>51.815186</t>
  </si>
  <si>
    <t>55.183117</t>
  </si>
  <si>
    <t>улица Салмышская, 67/3</t>
  </si>
  <si>
    <t>51.814412</t>
  </si>
  <si>
    <t>55.180769</t>
  </si>
  <si>
    <t>OREN4</t>
  </si>
  <si>
    <t>улица Поляничко, 11/2</t>
  </si>
  <si>
    <t>51.822822</t>
  </si>
  <si>
    <t>55.174567</t>
  </si>
  <si>
    <t>улица Саморядова, 6</t>
  </si>
  <si>
    <t>51.821002</t>
  </si>
  <si>
    <t>55.176029</t>
  </si>
  <si>
    <t>Северный проезд, 24/1</t>
  </si>
  <si>
    <t>51.827832</t>
  </si>
  <si>
    <t>55.173848</t>
  </si>
  <si>
    <t>OREN5</t>
  </si>
  <si>
    <t>ЖК Акварель 2</t>
  </si>
  <si>
    <t>проезд Северный,18</t>
  </si>
  <si>
    <t>51.825543</t>
  </si>
  <si>
    <t>55.168108</t>
  </si>
  <si>
    <t>улица Поляничко, 11/3</t>
  </si>
  <si>
    <t>51.823488</t>
  </si>
  <si>
    <t>55.176177</t>
  </si>
  <si>
    <t>улица Поляничко, 2</t>
  </si>
  <si>
    <t>51.825651</t>
  </si>
  <si>
    <t>55.169472</t>
  </si>
  <si>
    <t>улица Поляничко, 11/6</t>
  </si>
  <si>
    <t>51.823828</t>
  </si>
  <si>
    <t>55.177009</t>
  </si>
  <si>
    <t>OREN6</t>
  </si>
  <si>
    <t>мкрн. Дубки</t>
  </si>
  <si>
    <t>ЖК Дубки 1</t>
  </si>
  <si>
    <t>улица Уральская, 2/15</t>
  </si>
  <si>
    <t>51.763826</t>
  </si>
  <si>
    <t>55.145796</t>
  </si>
  <si>
    <t>улица Уральская, 2/19</t>
  </si>
  <si>
    <t>51.762914</t>
  </si>
  <si>
    <t>55.145537</t>
  </si>
  <si>
    <t>Прайс на размещение рекламного баннера</t>
  </si>
  <si>
    <t>улица Уральская, 2/17</t>
  </si>
  <si>
    <t>51.759858</t>
  </si>
  <si>
    <t>55.142766</t>
  </si>
  <si>
    <t>OREN7</t>
  </si>
  <si>
    <t>ЖК Дубки 2</t>
  </si>
  <si>
    <t>улица Уральская, 2/18</t>
  </si>
  <si>
    <t>51.761835</t>
  </si>
  <si>
    <t>55.143456</t>
  </si>
  <si>
    <t>улица Уральская, 2/25</t>
  </si>
  <si>
    <t>51.759474</t>
  </si>
  <si>
    <t>55.146264</t>
  </si>
  <si>
    <t xml:space="preserve">Стоимость размещения в 1 доме/1 месяц, руб. без НДС </t>
  </si>
  <si>
    <t>OREN8</t>
  </si>
  <si>
    <t>ЖК Дубки 3</t>
  </si>
  <si>
    <t>улица Эссена, 12</t>
  </si>
  <si>
    <t>51.760243</t>
  </si>
  <si>
    <t>55.148131</t>
  </si>
  <si>
    <t>улица Уральская, 2/16</t>
  </si>
  <si>
    <t>51.761064</t>
  </si>
  <si>
    <t>55.14163</t>
  </si>
  <si>
    <t>статичный баннер</t>
  </si>
  <si>
    <t>улица Уральская, 2/24</t>
  </si>
  <si>
    <t>51.759256</t>
  </si>
  <si>
    <t>55.144554</t>
  </si>
  <si>
    <t>OREN9</t>
  </si>
  <si>
    <t>ЖК Дубки 4</t>
  </si>
  <si>
    <t>улица Уральская, 2/13</t>
  </si>
  <si>
    <t>51.763267</t>
  </si>
  <si>
    <t>55.143844</t>
  </si>
  <si>
    <t>улица Уральская, 2/14</t>
  </si>
  <si>
    <t>51.763659</t>
  </si>
  <si>
    <t>55.144652</t>
  </si>
  <si>
    <t>улица Неплюева, 5</t>
  </si>
  <si>
    <t>OREN10</t>
  </si>
  <si>
    <t>ЖК Дубки 5</t>
  </si>
  <si>
    <t>улица Неплюева, 2</t>
  </si>
  <si>
    <t>51.764262</t>
  </si>
  <si>
    <t>55.142493</t>
  </si>
  <si>
    <t>улица Неплюева, 4</t>
  </si>
  <si>
    <t>51.76462</t>
  </si>
  <si>
    <t>55.143481</t>
  </si>
  <si>
    <t>улица Уральская, 2Д</t>
  </si>
  <si>
    <t>51.763783</t>
  </si>
  <si>
    <t>55.140939</t>
  </si>
  <si>
    <t>OREN11</t>
  </si>
  <si>
    <t>ЖК Дубки 6</t>
  </si>
  <si>
    <t>улица Уральская, 2/20</t>
  </si>
  <si>
    <t>51.761833</t>
  </si>
  <si>
    <t>55.145313</t>
  </si>
  <si>
    <t>улица Уральская, 2/22</t>
  </si>
  <si>
    <t>51.761971</t>
  </si>
  <si>
    <t>55.146587</t>
  </si>
  <si>
    <t>OREN12</t>
  </si>
  <si>
    <t>Промышленный</t>
  </si>
  <si>
    <t>Промышленный_Центр</t>
  </si>
  <si>
    <t>ЖК Малая земля 1</t>
  </si>
  <si>
    <t>улица Пролетарская, 288/4</t>
  </si>
  <si>
    <t>51.803907</t>
  </si>
  <si>
    <t>55.095149</t>
  </si>
  <si>
    <t>улица Пролетарская, 298</t>
  </si>
  <si>
    <t>51.807936</t>
  </si>
  <si>
    <t>55.095467</t>
  </si>
  <si>
    <t>OREN13</t>
  </si>
  <si>
    <t>ЖК Малая земля 2</t>
  </si>
  <si>
    <t>проезд Нижний, 5/6</t>
  </si>
  <si>
    <t>51.802613</t>
  </si>
  <si>
    <t>55.099839</t>
  </si>
  <si>
    <t>OREN14</t>
  </si>
  <si>
    <t>ЖК Малая земля 3</t>
  </si>
  <si>
    <t>улица Пролетарская, 300</t>
  </si>
  <si>
    <t>51.807959</t>
  </si>
  <si>
    <t>55.096256</t>
  </si>
  <si>
    <t>51.807726</t>
  </si>
  <si>
    <t>55.096344</t>
  </si>
  <si>
    <t>улица Пролетарская, 292</t>
  </si>
  <si>
    <t>51.805532</t>
  </si>
  <si>
    <t>55.095608</t>
  </si>
  <si>
    <t>OREN15</t>
  </si>
  <si>
    <t>ЖК Молодежный 1</t>
  </si>
  <si>
    <t xml:space="preserve">улица Карпова, 3/1 </t>
  </si>
  <si>
    <t>51.817196</t>
  </si>
  <si>
    <t>55.181866</t>
  </si>
  <si>
    <t>OREN16</t>
  </si>
  <si>
    <t>ЖК Звездный</t>
  </si>
  <si>
    <t>улица Братьев Хусаиновых, 8</t>
  </si>
  <si>
    <t>51.823776</t>
  </si>
  <si>
    <t>55.178223</t>
  </si>
  <si>
    <t>улица Братьев Хусаиновых, 6</t>
  </si>
  <si>
    <t>51.824999</t>
  </si>
  <si>
    <t>55.176968</t>
  </si>
  <si>
    <t>OREN17</t>
  </si>
  <si>
    <t xml:space="preserve">мкрн. Южный
</t>
  </si>
  <si>
    <t>ЖК Южный</t>
  </si>
  <si>
    <t>улица Илекская, 2/2</t>
  </si>
  <si>
    <t>51.721118</t>
  </si>
  <si>
    <t>55.108154</t>
  </si>
  <si>
    <t>улица Беляевская,15/1</t>
  </si>
  <si>
    <t>51.721636</t>
  </si>
  <si>
    <t>55.109629</t>
  </si>
  <si>
    <t>улица Беляевская, 15</t>
  </si>
  <si>
    <t>51.722049</t>
  </si>
  <si>
    <t>55.107403</t>
  </si>
  <si>
    <t>улица Центральная, 13/1</t>
  </si>
  <si>
    <t>51.713082</t>
  </si>
  <si>
    <t>55.111625</t>
  </si>
  <si>
    <t>OREN18</t>
  </si>
  <si>
    <t>ЖК Донковцева 1</t>
  </si>
  <si>
    <t>улица Донковцева, 1</t>
  </si>
  <si>
    <t>51.770590</t>
  </si>
  <si>
    <t>55.162496</t>
  </si>
  <si>
    <t>улица Донковцева, 3</t>
  </si>
  <si>
    <t>51.769821</t>
  </si>
  <si>
    <t>55.162451</t>
  </si>
  <si>
    <t>OREN19</t>
  </si>
  <si>
    <t>ЖК Молодежный 2</t>
  </si>
  <si>
    <t>улица Салмышская, 47/1</t>
  </si>
  <si>
    <t>51.819580</t>
  </si>
  <si>
    <t>55.172692</t>
  </si>
  <si>
    <t>улица Салмышская, 67</t>
  </si>
  <si>
    <t>51.813511</t>
  </si>
  <si>
    <t>55.177516</t>
  </si>
  <si>
    <t>улица Салмышская, 67/1</t>
  </si>
  <si>
    <t>51.813472</t>
  </si>
  <si>
    <t>55.179061</t>
  </si>
  <si>
    <t>OREN20</t>
  </si>
  <si>
    <t>ЖК Грин Хаус 2</t>
  </si>
  <si>
    <t>улица 1 Мая, 61/3</t>
  </si>
  <si>
    <t>51.791111</t>
  </si>
  <si>
    <t>55.099381</t>
  </si>
  <si>
    <t>улица Комсомольская, 199/1</t>
  </si>
  <si>
    <t>51.790722</t>
  </si>
  <si>
    <t>55.100423</t>
  </si>
  <si>
    <t>OREN21</t>
  </si>
  <si>
    <t>ЖК Победа</t>
  </si>
  <si>
    <t>улица Транспортная, 1/1</t>
  </si>
  <si>
    <t>51.813305</t>
  </si>
  <si>
    <t>55.148995</t>
  </si>
  <si>
    <t>Квартальный переулок, 4/1</t>
  </si>
  <si>
    <t>51.795713</t>
  </si>
  <si>
    <t>55.125450</t>
  </si>
  <si>
    <t>OREN22</t>
  </si>
  <si>
    <t>ЖК Новая слободка</t>
  </si>
  <si>
    <t>Слесарный переулок, 7</t>
  </si>
  <si>
    <t>51.759202</t>
  </si>
  <si>
    <t>55.084729</t>
  </si>
  <si>
    <t>улица Черепановых, 44</t>
  </si>
  <si>
    <t>51.758578</t>
  </si>
  <si>
    <t>55.084118</t>
  </si>
  <si>
    <t>OREN23</t>
  </si>
  <si>
    <t>ЖК Новостройки</t>
  </si>
  <si>
    <t>улица Перовского, 1</t>
  </si>
  <si>
    <t>51.767519</t>
  </si>
  <si>
    <t>55.171336</t>
  </si>
  <si>
    <t xml:space="preserve">улица Перовского, 3 </t>
  </si>
  <si>
    <t>51.767402</t>
  </si>
  <si>
    <t>55.172495</t>
  </si>
  <si>
    <t>улица Перовского, 1А</t>
  </si>
  <si>
    <t>51.766878</t>
  </si>
  <si>
    <t>55.171273</t>
  </si>
  <si>
    <t>улица Перовского, 3А</t>
  </si>
  <si>
    <t>51.766750</t>
  </si>
  <si>
    <t>55.172405</t>
  </si>
  <si>
    <t>OREN24</t>
  </si>
  <si>
    <t>ЖК Премьер</t>
  </si>
  <si>
    <t>улица Терешковой, 23</t>
  </si>
  <si>
    <t>51.772314</t>
  </si>
  <si>
    <t>55.100946</t>
  </si>
  <si>
    <t>OREN25</t>
  </si>
  <si>
    <t>ЖК Дрезден</t>
  </si>
  <si>
    <t>улица Ленинградская, 92</t>
  </si>
  <si>
    <t>51.777489</t>
  </si>
  <si>
    <t>55.145051</t>
  </si>
  <si>
    <t>улица Мало-Ленинская, 167/2</t>
  </si>
  <si>
    <t>51.775255, 55.140793</t>
  </si>
  <si>
    <t>OREN26</t>
  </si>
  <si>
    <t>ЖК Премьер 2</t>
  </si>
  <si>
    <t>Почтовый переулок, 11</t>
  </si>
  <si>
    <t>51.760986</t>
  </si>
  <si>
    <t>55.109909</t>
  </si>
  <si>
    <t>улица Маршала Жукова, 27</t>
  </si>
  <si>
    <t>51.773176</t>
  </si>
  <si>
    <t>55.108085</t>
  </si>
  <si>
    <t>улица Краснознаменная, 47</t>
  </si>
  <si>
    <t>51.767123</t>
  </si>
  <si>
    <t>55.107879</t>
  </si>
  <si>
    <t>улица Ленинская, 59/1</t>
  </si>
  <si>
    <t>51.763144</t>
  </si>
  <si>
    <t>55.113466</t>
  </si>
  <si>
    <t>OREN27</t>
  </si>
  <si>
    <t>улица Черепановых, 2А</t>
  </si>
  <si>
    <t>51.754018</t>
  </si>
  <si>
    <t>55.090577</t>
  </si>
  <si>
    <t>улица Яицкая,1/2</t>
  </si>
  <si>
    <t>51.754469</t>
  </si>
  <si>
    <t>55.090757</t>
  </si>
  <si>
    <t>улица Яицкая,1/3</t>
  </si>
  <si>
    <t>OREN28</t>
  </si>
  <si>
    <t>ЖК Риверсайд 2</t>
  </si>
  <si>
    <t>улица Яицкая, 9</t>
  </si>
  <si>
    <t>51.755177, 55.089580</t>
  </si>
  <si>
    <t>OREN29</t>
  </si>
  <si>
    <t>ЖК Новизна</t>
  </si>
  <si>
    <t>улица Поляничко, 8</t>
  </si>
  <si>
    <t>51.823042</t>
  </si>
  <si>
    <t>55.172198</t>
  </si>
  <si>
    <t>OREN30</t>
  </si>
  <si>
    <t>ЖК Загородное шоссе</t>
  </si>
  <si>
    <t>улица Загородное шоссе, 14</t>
  </si>
  <si>
    <t>51.837847</t>
  </si>
  <si>
    <t>55.162685</t>
  </si>
  <si>
    <t>55.162686</t>
  </si>
  <si>
    <t>OREN31</t>
  </si>
  <si>
    <t>ЖК 15 Микрорайон</t>
  </si>
  <si>
    <t>улица Поляничко, 11/5</t>
  </si>
  <si>
    <t>51.822948</t>
  </si>
  <si>
    <t>55.177552</t>
  </si>
  <si>
    <t>Северный проезд, 22</t>
  </si>
  <si>
    <t>51.827050</t>
  </si>
  <si>
    <t>55.172315</t>
  </si>
  <si>
    <t>улица Братьев Хусаиновых, 2/2</t>
  </si>
  <si>
    <t>51.826299</t>
  </si>
  <si>
    <t>55.173914</t>
  </si>
  <si>
    <t>OREN32</t>
  </si>
  <si>
    <t>ЖК 18 микрорайон</t>
  </si>
  <si>
    <t>улица Диагностики, 17/1</t>
  </si>
  <si>
    <t>51.817770</t>
  </si>
  <si>
    <t>55.168012</t>
  </si>
  <si>
    <t>улица Салмышская улица, 58</t>
  </si>
  <si>
    <t>51.816579</t>
  </si>
  <si>
    <t>55.171282</t>
  </si>
  <si>
    <t>OREN33</t>
  </si>
  <si>
    <t>ЖК Долгие горы</t>
  </si>
  <si>
    <t>улица Гаранькина, 26</t>
  </si>
  <si>
    <t>51.807915</t>
  </si>
  <si>
    <t>55.179052</t>
  </si>
  <si>
    <t>OREN34</t>
  </si>
  <si>
    <t>ЖК Фермер</t>
  </si>
  <si>
    <t>улица Высотная, 2</t>
  </si>
  <si>
    <t>51.815822</t>
  </si>
  <si>
    <t>55.176573</t>
  </si>
  <si>
    <t>55.176574</t>
  </si>
  <si>
    <t>улица Салмышская, 47</t>
  </si>
  <si>
    <t>51.819101</t>
  </si>
  <si>
    <t>55.171408</t>
  </si>
  <si>
    <t>OREN35</t>
  </si>
  <si>
    <t>ЖК Диагностики</t>
  </si>
  <si>
    <t>улица Салмышская, 52/3</t>
  </si>
  <si>
    <t>51.819140</t>
  </si>
  <si>
    <t>55.167716</t>
  </si>
  <si>
    <t>улица Салмышская, 56А</t>
  </si>
  <si>
    <t>51.816679</t>
  </si>
  <si>
    <t>OREN36</t>
  </si>
  <si>
    <t>ЖК Чкалова</t>
  </si>
  <si>
    <t>улица Чкалова, 51/1</t>
  </si>
  <si>
    <t>51.769944</t>
  </si>
  <si>
    <t>55.135017</t>
  </si>
  <si>
    <t>улица Чкалова, 53/3</t>
  </si>
  <si>
    <t>51.771203</t>
  </si>
  <si>
    <t>55.138421</t>
  </si>
  <si>
    <t>OREN37</t>
  </si>
  <si>
    <t xml:space="preserve">мкрн. 13_15_16
</t>
  </si>
  <si>
    <t>ЖК Северный проезд</t>
  </si>
  <si>
    <t>Северный проезд, 24</t>
  </si>
  <si>
    <t>51.827445</t>
  </si>
  <si>
    <t>55.173078</t>
  </si>
  <si>
    <t>Северный проезд, 20/1</t>
  </si>
  <si>
    <t>51.826772</t>
  </si>
  <si>
    <t>55.171453</t>
  </si>
  <si>
    <t>OREN38</t>
  </si>
  <si>
    <t>ЖК Фермер 2</t>
  </si>
  <si>
    <t>улица Диагностики, 9/1</t>
  </si>
  <si>
    <t>51.818327</t>
  </si>
  <si>
    <t>55.166916</t>
  </si>
  <si>
    <t>улица Диагностики, 9</t>
  </si>
  <si>
    <t>51.818695</t>
  </si>
  <si>
    <t>55.167221</t>
  </si>
  <si>
    <t>улица Салмышская, 48/2</t>
  </si>
  <si>
    <t>51.821061</t>
  </si>
  <si>
    <t>55.167608</t>
  </si>
  <si>
    <t>OREN39</t>
  </si>
  <si>
    <t>ЖК Поляничко</t>
  </si>
  <si>
    <t>улица Поляничко, 2А</t>
  </si>
  <si>
    <t>51.825158</t>
  </si>
  <si>
    <t>55.170087</t>
  </si>
  <si>
    <t>улица Поляничко, 7/1</t>
  </si>
  <si>
    <t>51.825141</t>
  </si>
  <si>
    <t>55.174588</t>
  </si>
  <si>
    <t>OREN40</t>
  </si>
  <si>
    <t>ЖК Просторная</t>
  </si>
  <si>
    <t>улица Просторная, 19/2</t>
  </si>
  <si>
    <t>51.838259</t>
  </si>
  <si>
    <t>55.157861</t>
  </si>
  <si>
    <t>OREN41</t>
  </si>
  <si>
    <t>ЖК Юркина</t>
  </si>
  <si>
    <t>улица Юркина, 6</t>
  </si>
  <si>
    <t>51.800441</t>
  </si>
  <si>
    <t>55.080076</t>
  </si>
  <si>
    <t>улица Юркина, 2</t>
  </si>
  <si>
    <t>51.800575</t>
  </si>
  <si>
    <t>55.076752</t>
  </si>
  <si>
    <t>OREN42</t>
  </si>
  <si>
    <t>ЖК Юркина 2</t>
  </si>
  <si>
    <t>улица Юркина, 10</t>
  </si>
  <si>
    <t>51.800146</t>
  </si>
  <si>
    <t>55.082232</t>
  </si>
  <si>
    <t>улица Юркина, 8</t>
  </si>
  <si>
    <t>51.800219</t>
  </si>
  <si>
    <t>55.081199</t>
  </si>
  <si>
    <t>OREN43</t>
  </si>
  <si>
    <t>ЖК Хусаиновых</t>
  </si>
  <si>
    <t>улица Братьев Хусаиновых, 4/1</t>
  </si>
  <si>
    <t>51.825898</t>
  </si>
  <si>
    <t>55.175019</t>
  </si>
  <si>
    <t>улица Братьев Хусаиновых, 4/2</t>
  </si>
  <si>
    <t>51.825792</t>
  </si>
  <si>
    <t>55.176052</t>
  </si>
  <si>
    <t>OREN44</t>
  </si>
  <si>
    <t>ЖК Аквамарин</t>
  </si>
  <si>
    <t>улица Поляничко, 5</t>
  </si>
  <si>
    <t>51.824584</t>
  </si>
  <si>
    <t>55.171911</t>
  </si>
  <si>
    <t>улица Поляничко, 7/2</t>
  </si>
  <si>
    <t>51.825236</t>
  </si>
  <si>
    <t>55.173474</t>
  </si>
  <si>
    <t>улица Поляничко, 11</t>
  </si>
  <si>
    <t>51.822246</t>
  </si>
  <si>
    <t>55.174390</t>
  </si>
  <si>
    <t>OREN45</t>
  </si>
  <si>
    <t>ЖК Поляничко-1</t>
  </si>
  <si>
    <t>улица Поляничко, 12</t>
  </si>
  <si>
    <t>51.820543</t>
  </si>
  <si>
    <t>55.174749</t>
  </si>
  <si>
    <t>улица Поляничко, 12/1</t>
  </si>
  <si>
    <t>51.820008</t>
  </si>
  <si>
    <t>55.173770</t>
  </si>
  <si>
    <t>OREN46</t>
  </si>
  <si>
    <t>ЖК Поляничко-2</t>
  </si>
  <si>
    <t>улица Поляничко, 13</t>
  </si>
  <si>
    <t>51.821690</t>
  </si>
  <si>
    <t>55.175127</t>
  </si>
  <si>
    <t>OREN47</t>
  </si>
  <si>
    <t>улица Высотная, 8</t>
  </si>
  <si>
    <t>51.816808</t>
  </si>
  <si>
    <t>55.179337</t>
  </si>
  <si>
    <t>улица Высотная, 6</t>
  </si>
  <si>
    <t>51.816481</t>
  </si>
  <si>
    <t>55.178547</t>
  </si>
  <si>
    <t>OREN48</t>
  </si>
  <si>
    <t>ЖК Движение</t>
  </si>
  <si>
    <t>улица Братьев Хусаиновых, 4</t>
  </si>
  <si>
    <t>51.826627</t>
  </si>
  <si>
    <t>55.175917</t>
  </si>
  <si>
    <t>OREN49</t>
  </si>
  <si>
    <t>ЖК Грандпарк</t>
  </si>
  <si>
    <t>улица Ильи Глазунова, 12</t>
  </si>
  <si>
    <t>51.761934</t>
  </si>
  <si>
    <t>55.216413</t>
  </si>
  <si>
    <t>улица Ильи Глазунова, 10</t>
  </si>
  <si>
    <t>51.761254</t>
  </si>
  <si>
    <t>55.215479</t>
  </si>
  <si>
    <t>NN1</t>
  </si>
  <si>
    <t xml:space="preserve">Приокский </t>
  </si>
  <si>
    <t>Приокский</t>
  </si>
  <si>
    <t>ЖК Цветы 1</t>
  </si>
  <si>
    <t>улица Цветочная, 12к3</t>
  </si>
  <si>
    <t>56.260948</t>
  </si>
  <si>
    <t>44.011365</t>
  </si>
  <si>
    <t>улица Цветочная, 12к1</t>
  </si>
  <si>
    <t>56.260331</t>
  </si>
  <si>
    <t>44.009545</t>
  </si>
  <si>
    <t>улица Цветочная, 12к2</t>
  </si>
  <si>
    <t>56.260639</t>
  </si>
  <si>
    <t>44.010453</t>
  </si>
  <si>
    <t>​Советский</t>
  </si>
  <si>
    <t>улица Академика Сахарова, 99к1</t>
  </si>
  <si>
    <t>56.266357</t>
  </si>
  <si>
    <t xml:space="preserve"> 44.021994</t>
  </si>
  <si>
    <t>улица Цветочная, 13</t>
  </si>
  <si>
    <t>56.260304</t>
  </si>
  <si>
    <t>44.005569</t>
  </si>
  <si>
    <t>NN2</t>
  </si>
  <si>
    <t>ЖК Цветы 2</t>
  </si>
  <si>
    <t>улица Сахарова, 117к</t>
  </si>
  <si>
    <t>56.261087</t>
  </si>
  <si>
    <t>44.013348</t>
  </si>
  <si>
    <t>NN3</t>
  </si>
  <si>
    <t>ЖК Цветы 3</t>
  </si>
  <si>
    <t>улица Сахарова, 117к2</t>
  </si>
  <si>
    <t>56.261617</t>
  </si>
  <si>
    <t>44.012438</t>
  </si>
  <si>
    <t>улица Первоцветная, 8</t>
  </si>
  <si>
    <t>56.266067</t>
  </si>
  <si>
    <t>44.018769</t>
  </si>
  <si>
    <t>улица Первоцветная, 6</t>
  </si>
  <si>
    <t>56.265627</t>
  </si>
  <si>
    <t>44.019686</t>
  </si>
  <si>
    <t>NN4</t>
  </si>
  <si>
    <t>ЖК Цветы 4</t>
  </si>
  <si>
    <t>улица Академика Сахарова, 115 к1</t>
  </si>
  <si>
    <t>56.261559</t>
  </si>
  <si>
    <t>44.014893</t>
  </si>
  <si>
    <t>NN5</t>
  </si>
  <si>
    <t>ЖК Цветы 5</t>
  </si>
  <si>
    <t>улица Академика Сахарова, 107</t>
  </si>
  <si>
    <t>56.262667</t>
  </si>
  <si>
    <t>44.020243</t>
  </si>
  <si>
    <t>NN6</t>
  </si>
  <si>
    <t>мкрн. Кузнечиха</t>
  </si>
  <si>
    <t>ЖК Новая Кузнечиха 1</t>
  </si>
  <si>
    <t>улица Героев Донбасса, 12</t>
  </si>
  <si>
    <t>56.269292</t>
  </si>
  <si>
    <t>44.039356</t>
  </si>
  <si>
    <t>улица Героев Донбасса, 15</t>
  </si>
  <si>
    <t>56.269376</t>
  </si>
  <si>
    <t>44.037397</t>
  </si>
  <si>
    <t>NN7</t>
  </si>
  <si>
    <t>ЖК Новая Кузнечиха 2</t>
  </si>
  <si>
    <t>улица Новокузнечихинская, 6</t>
  </si>
  <si>
    <t>56.271885</t>
  </si>
  <si>
    <t>44.041751</t>
  </si>
  <si>
    <t>улица  Новокузнечихинская, 14</t>
  </si>
  <si>
    <t>56.27145</t>
  </si>
  <si>
    <t>44.04693</t>
  </si>
  <si>
    <t>NN8</t>
  </si>
  <si>
    <t>ЖК Новая Кузнечиха 3</t>
  </si>
  <si>
    <t>улица Новокузнечихинская, 1</t>
  </si>
  <si>
    <t>56.270472</t>
  </si>
  <si>
    <t>44.03994</t>
  </si>
  <si>
    <t>NN9</t>
  </si>
  <si>
    <t>ЖК Новая Кузнечиха 4</t>
  </si>
  <si>
    <t>улица Новокузнечихинская, 12</t>
  </si>
  <si>
    <t>56.272025</t>
  </si>
  <si>
    <t>44.048048</t>
  </si>
  <si>
    <t>улица Героев Донбасса, 6</t>
  </si>
  <si>
    <t>56.273342</t>
  </si>
  <si>
    <t>44.052178</t>
  </si>
  <si>
    <t>NN10</t>
  </si>
  <si>
    <t>ЖК Новая Кузнечиха 5</t>
  </si>
  <si>
    <t>улица Героев Донбасса, 4</t>
  </si>
  <si>
    <t>56.272782</t>
  </si>
  <si>
    <t>44.052752</t>
  </si>
  <si>
    <t>NN11</t>
  </si>
  <si>
    <t>ЖК Новая Кузнечиха 6</t>
  </si>
  <si>
    <t>улица Романтиков, 13</t>
  </si>
  <si>
    <t>56.274571</t>
  </si>
  <si>
    <t>44.049331</t>
  </si>
  <si>
    <t>улица Новокузнечихинская, 7</t>
  </si>
  <si>
    <t>56.274216</t>
  </si>
  <si>
    <t>44.051871</t>
  </si>
  <si>
    <t>NN12</t>
  </si>
  <si>
    <t>ЖК Новая Кузнечиха 7</t>
  </si>
  <si>
    <t>улица Романтиков, 8</t>
  </si>
  <si>
    <t>56.275575</t>
  </si>
  <si>
    <t>44.051339</t>
  </si>
  <si>
    <t>улица Романтиков, 9</t>
  </si>
  <si>
    <t>56.276068</t>
  </si>
  <si>
    <t>44.052101</t>
  </si>
  <si>
    <t>Основной эфир</t>
  </si>
  <si>
    <t>NN13</t>
  </si>
  <si>
    <t>Нижегородский</t>
  </si>
  <si>
    <t>Нижегородский_Печеры</t>
  </si>
  <si>
    <t>ЖК Академический</t>
  </si>
  <si>
    <t>улица Академическая, 6</t>
  </si>
  <si>
    <t>56.282011</t>
  </si>
  <si>
    <t>44.085110</t>
  </si>
  <si>
    <t>Генеральный баннер</t>
  </si>
  <si>
    <t>улица Академическая, 9</t>
  </si>
  <si>
    <t>56.282016</t>
  </si>
  <si>
    <t>44.086017</t>
  </si>
  <si>
    <t>Выберите регион</t>
  </si>
  <si>
    <t>Выберите город</t>
  </si>
  <si>
    <t>Выберите ЖК</t>
  </si>
  <si>
    <t>Количество показов в сутки на 1 экран</t>
  </si>
  <si>
    <t>Количество показов в месяц</t>
  </si>
  <si>
    <t>Хронометраж ролика, сек.</t>
  </si>
  <si>
    <t>OTS за период</t>
  </si>
  <si>
    <t>улица Академическая, 10</t>
  </si>
  <si>
    <t>56.281646</t>
  </si>
  <si>
    <t>44.087823</t>
  </si>
  <si>
    <t>тип города</t>
  </si>
  <si>
    <t>скидка по категории</t>
  </si>
  <si>
    <t>стоимость с учетом скидки</t>
  </si>
  <si>
    <t xml:space="preserve"> улица Академическая, 12</t>
  </si>
  <si>
    <t>56.280397</t>
  </si>
  <si>
    <t>44.089566</t>
  </si>
  <si>
    <t>улица Академическая, 14</t>
  </si>
  <si>
    <t>56.280127</t>
  </si>
  <si>
    <t>44.090760</t>
  </si>
  <si>
    <t>улица Академическая, 16</t>
  </si>
  <si>
    <t>56.278428</t>
  </si>
  <si>
    <t>44.093267</t>
  </si>
  <si>
    <t>улица Академическая, 11</t>
  </si>
  <si>
    <t>56.280866</t>
  </si>
  <si>
    <t>44.088407</t>
  </si>
  <si>
    <t>шоссе Казанское, 14к3</t>
  </si>
  <si>
    <t>56.284054</t>
  </si>
  <si>
    <t>44.082199</t>
  </si>
  <si>
    <t>улица Академическая, 20</t>
  </si>
  <si>
    <t>56.277413</t>
  </si>
  <si>
    <t>44.097138</t>
  </si>
  <si>
    <t>NN14</t>
  </si>
  <si>
    <t>Советский Центр</t>
  </si>
  <si>
    <t>ЖК Центр 1</t>
  </si>
  <si>
    <t>улица Полтавская, 11</t>
  </si>
  <si>
    <t>56.316139</t>
  </si>
  <si>
    <t>44.024240</t>
  </si>
  <si>
    <t xml:space="preserve">улица Невзоровых, 49
</t>
  </si>
  <si>
    <t>56.315855</t>
  </si>
  <si>
    <t>44.022156</t>
  </si>
  <si>
    <t>улица Невзоровых, 51</t>
  </si>
  <si>
    <t>56.316159</t>
  </si>
  <si>
    <t>44.023063</t>
  </si>
  <si>
    <t>улица Генкиной, 44</t>
  </si>
  <si>
    <t>56.314582</t>
  </si>
  <si>
    <t>44.022354</t>
  </si>
  <si>
    <t>NN15</t>
  </si>
  <si>
    <t>ЖК Центр 2</t>
  </si>
  <si>
    <t>улица Дунаева, 19</t>
  </si>
  <si>
    <t>56.315336</t>
  </si>
  <si>
    <t>44.023845</t>
  </si>
  <si>
    <t>улица Дунаева, 15</t>
  </si>
  <si>
    <t>56.314981</t>
  </si>
  <si>
    <t>44.022273</t>
  </si>
  <si>
    <t>улица Дунаева, 17</t>
  </si>
  <si>
    <t>56.315076</t>
  </si>
  <si>
    <t>44.023045</t>
  </si>
  <si>
    <t>NN16</t>
  </si>
  <si>
    <t>ЖК Центр 3</t>
  </si>
  <si>
    <t>улица Полтавская , 35</t>
  </si>
  <si>
    <t>56.313943</t>
  </si>
  <si>
    <t>44.026270</t>
  </si>
  <si>
    <t>NN17</t>
  </si>
  <si>
    <t>ЖК Центр 4</t>
  </si>
  <si>
    <t>улица Невзоровых, 66А</t>
  </si>
  <si>
    <t>56.316674</t>
  </si>
  <si>
    <t>44.023297</t>
  </si>
  <si>
    <t>NN18</t>
  </si>
  <si>
    <t>ЖК Центр 6</t>
  </si>
  <si>
    <t>улица Ижорская, 34А</t>
  </si>
  <si>
    <t>56.313968</t>
  </si>
  <si>
    <t>44.023027</t>
  </si>
  <si>
    <t>NN19</t>
  </si>
  <si>
    <t>ЖК Печерская гряда 1</t>
  </si>
  <si>
    <t>улица Богдановича, 4к1</t>
  </si>
  <si>
    <t>56.283869</t>
  </si>
  <si>
    <t>44.073010</t>
  </si>
  <si>
    <t>улица Богдановича, 4</t>
  </si>
  <si>
    <t>56.284464</t>
  </si>
  <si>
    <t>44.073028</t>
  </si>
  <si>
    <t>NN20</t>
  </si>
  <si>
    <t>ЖК Печерская гряда 2</t>
  </si>
  <si>
    <t>улица Богдановича, 2/27</t>
  </si>
  <si>
    <t>56.284479</t>
  </si>
  <si>
    <t>44.075453</t>
  </si>
  <si>
    <t>улица Нижне-Печёрская, 6</t>
  </si>
  <si>
    <t>56.285089</t>
  </si>
  <si>
    <t>44.065149</t>
  </si>
  <si>
    <t>NN21</t>
  </si>
  <si>
    <t>ЖК Печерская гряда 3</t>
  </si>
  <si>
    <t>улица Богдановича, 8</t>
  </si>
  <si>
    <t>56.284459</t>
  </si>
  <si>
    <t>44.068833</t>
  </si>
  <si>
    <t>NN22</t>
  </si>
  <si>
    <t>ЖК Королева</t>
  </si>
  <si>
    <t>бульвар Академика Б.А. Королёва, 2</t>
  </si>
  <si>
    <t>56.282785</t>
  </si>
  <si>
    <t>44.035460</t>
  </si>
  <si>
    <t>бульвар Академика Б.А. Королёва, 4</t>
  </si>
  <si>
    <t>56.282800</t>
  </si>
  <si>
    <t>44.034634</t>
  </si>
  <si>
    <t>бульвар Академика Б.А. Королёва, 8</t>
  </si>
  <si>
    <t>56.282804</t>
  </si>
  <si>
    <t>44.032619</t>
  </si>
  <si>
    <t>ЖК Новое Внуково 1</t>
  </si>
  <si>
    <t>NN23</t>
  </si>
  <si>
    <t>ЖК Европейский квартал</t>
  </si>
  <si>
    <t>улица Тимирязева, 9к2</t>
  </si>
  <si>
    <t>56.307067</t>
  </si>
  <si>
    <t>43.999456</t>
  </si>
  <si>
    <t>улица Тимирязева, 13/1</t>
  </si>
  <si>
    <t>56.305454</t>
  </si>
  <si>
    <t>44.001001</t>
  </si>
  <si>
    <t>NN24</t>
  </si>
  <si>
    <t xml:space="preserve">ЖК Облака
</t>
  </si>
  <si>
    <t>улица Родионова, 191к1</t>
  </si>
  <si>
    <t>56.303536</t>
  </si>
  <si>
    <t>44.077465</t>
  </si>
  <si>
    <t>NN25</t>
  </si>
  <si>
    <t>ЖК Облака 2</t>
  </si>
  <si>
    <t>улица Родионова, 195к2</t>
  </si>
  <si>
    <t>56.302567</t>
  </si>
  <si>
    <t>44.077807</t>
  </si>
  <si>
    <t>NN26</t>
  </si>
  <si>
    <t>ЖК Белый город 1</t>
  </si>
  <si>
    <t>бульвар 60-летия Октября, 21к1</t>
  </si>
  <si>
    <t>56.285338</t>
  </si>
  <si>
    <t>44.043581</t>
  </si>
  <si>
    <t>NN27</t>
  </si>
  <si>
    <t>ЖК Белый город 2</t>
  </si>
  <si>
    <t>бульвар 60-летия Октября, 25к3</t>
  </si>
  <si>
    <t>56.287167</t>
  </si>
  <si>
    <t>44.040760</t>
  </si>
  <si>
    <t>ЖК Счастливый</t>
  </si>
  <si>
    <t>NN28</t>
  </si>
  <si>
    <t>ЖК Белый город 3</t>
  </si>
  <si>
    <t>улица Родионова, 165к10</t>
  </si>
  <si>
    <t>56.314197</t>
  </si>
  <si>
    <t>44.067503</t>
  </si>
  <si>
    <t>NN29</t>
  </si>
  <si>
    <t>ЖК Белый город 4</t>
  </si>
  <si>
    <t>бульвар 60-летия Октября, 25к2</t>
  </si>
  <si>
    <t>56.286193</t>
  </si>
  <si>
    <t>44.040832</t>
  </si>
  <si>
    <t>NN30</t>
  </si>
  <si>
    <t>ЖК Долина</t>
  </si>
  <si>
    <t>улица Родионова, 165</t>
  </si>
  <si>
    <t>56.313643</t>
  </si>
  <si>
    <t>44.069767</t>
  </si>
  <si>
    <t>улица Родионова, 165к6</t>
  </si>
  <si>
    <t>56.313598</t>
  </si>
  <si>
    <t>44.067494</t>
  </si>
  <si>
    <t>NN31</t>
  </si>
  <si>
    <t>ЖК Нижнепечерская</t>
  </si>
  <si>
    <t>улица Нижне-Печёрская, 4</t>
  </si>
  <si>
    <t>56.286398</t>
  </si>
  <si>
    <t>44.065167</t>
  </si>
  <si>
    <t>улица Нижне-Печёрская, 15</t>
  </si>
  <si>
    <t>56.284519</t>
  </si>
  <si>
    <t>44.062481</t>
  </si>
  <si>
    <t>NN72</t>
  </si>
  <si>
    <t>ЖК Нижнепечерская 3</t>
  </si>
  <si>
    <t>улица Нижне-Печёрская, 17</t>
  </si>
  <si>
    <t>56.283819</t>
  </si>
  <si>
    <t>44.061242</t>
  </si>
  <si>
    <t>NN32</t>
  </si>
  <si>
    <t>ЖК Победа 1</t>
  </si>
  <si>
    <t>улица 40 лет Победы, 18</t>
  </si>
  <si>
    <t>56.223286</t>
  </si>
  <si>
    <t>43.951926</t>
  </si>
  <si>
    <t>NN33</t>
  </si>
  <si>
    <t>ЖК Победа 2</t>
  </si>
  <si>
    <t>улица 40 лет Победы, 22</t>
  </si>
  <si>
    <t>56.222310</t>
  </si>
  <si>
    <t>43.952132</t>
  </si>
  <si>
    <t>NN34</t>
  </si>
  <si>
    <t>ЖК Корица 1</t>
  </si>
  <si>
    <t>улица Александра Хохлова, 15</t>
  </si>
  <si>
    <t>56.302468</t>
  </si>
  <si>
    <t>44.066757</t>
  </si>
  <si>
    <t>NN35</t>
  </si>
  <si>
    <t>ЖК Корица 2</t>
  </si>
  <si>
    <t>улица Александра Хохлова, 1</t>
  </si>
  <si>
    <t>56.303731</t>
  </si>
  <si>
    <t>44.069560</t>
  </si>
  <si>
    <t>NN36</t>
  </si>
  <si>
    <t>ЖК Корица 3</t>
  </si>
  <si>
    <t>улица Александра Хохлова, 21</t>
  </si>
  <si>
    <t>56.303586</t>
  </si>
  <si>
    <t>44.067593</t>
  </si>
  <si>
    <t>NN37</t>
  </si>
  <si>
    <t>ЖК Корица 4</t>
  </si>
  <si>
    <t>NN38</t>
  </si>
  <si>
    <t>ЖК Оранжерейная</t>
  </si>
  <si>
    <t>улица 1-я Оранжерейная, 28А</t>
  </si>
  <si>
    <t>56.304960</t>
  </si>
  <si>
    <t>43.995027</t>
  </si>
  <si>
    <t>NN39</t>
  </si>
  <si>
    <t>ЖК Лопатина</t>
  </si>
  <si>
    <t>улица Германа Лопатина, 12к1</t>
  </si>
  <si>
    <t>56.298482</t>
  </si>
  <si>
    <t>44.060784</t>
  </si>
  <si>
    <t>улица Германа Лопатина, 12к2</t>
  </si>
  <si>
    <t>56.298177</t>
  </si>
  <si>
    <t>44.060218</t>
  </si>
  <si>
    <t>NN40</t>
  </si>
  <si>
    <t>ЖК Приокский</t>
  </si>
  <si>
    <t>улица Маршала Жукова, 8к1</t>
  </si>
  <si>
    <t>56.235185</t>
  </si>
  <si>
    <t>43.960109</t>
  </si>
  <si>
    <t>NN41</t>
  </si>
  <si>
    <t>Автозаводский</t>
  </si>
  <si>
    <t>ЖК Водный мир 1</t>
  </si>
  <si>
    <t>улица Янки Купалы, 32</t>
  </si>
  <si>
    <t>56.236601</t>
  </si>
  <si>
    <t>43.845377</t>
  </si>
  <si>
    <t>NN42</t>
  </si>
  <si>
    <t>ЖК Водный мир 2</t>
  </si>
  <si>
    <t>улица Янки Купалы, 36</t>
  </si>
  <si>
    <t>56.237267</t>
  </si>
  <si>
    <t>43.844496</t>
  </si>
  <si>
    <t>улица Янки Купалы, 34</t>
  </si>
  <si>
    <t>56.236516</t>
  </si>
  <si>
    <t>43.843841</t>
  </si>
  <si>
    <t>NN43</t>
  </si>
  <si>
    <t>ЖК Водный мир 3</t>
  </si>
  <si>
    <t>улица Янки Купалы, 40</t>
  </si>
  <si>
    <t>56.237942</t>
  </si>
  <si>
    <t>43.843607</t>
  </si>
  <si>
    <t>NN44</t>
  </si>
  <si>
    <t>улица Янки Купалы, 38</t>
  </si>
  <si>
    <t>56.237187</t>
  </si>
  <si>
    <t>43.843005</t>
  </si>
  <si>
    <t>NN45</t>
  </si>
  <si>
    <t>ЖК Водный Мир 4</t>
  </si>
  <si>
    <t>улица Янки Купалы, 42</t>
  </si>
  <si>
    <t>56.237862</t>
  </si>
  <si>
    <t>43.842188</t>
  </si>
  <si>
    <t>улица Янки Купалы, 44</t>
  </si>
  <si>
    <t>56.238617</t>
  </si>
  <si>
    <t>43.842763</t>
  </si>
  <si>
    <t>NN46</t>
  </si>
  <si>
    <t>Сормовский</t>
  </si>
  <si>
    <t>ЖК Комунны 1</t>
  </si>
  <si>
    <t>улица Коммуны, 16</t>
  </si>
  <si>
    <t>56.341647</t>
  </si>
  <si>
    <t>43.837337</t>
  </si>
  <si>
    <t>улица Коммуны, 14</t>
  </si>
  <si>
    <t>56.342191</t>
  </si>
  <si>
    <t>43.836888</t>
  </si>
  <si>
    <t>NN47</t>
  </si>
  <si>
    <t>ЖК Комунны 2</t>
  </si>
  <si>
    <t>улица Коммуны, 18</t>
  </si>
  <si>
    <t>56.341074</t>
  </si>
  <si>
    <t>43.837804</t>
  </si>
  <si>
    <t>улица Коммуны, 20</t>
  </si>
  <si>
    <t>56.340515</t>
  </si>
  <si>
    <t>43.838298</t>
  </si>
  <si>
    <t>NN48</t>
  </si>
  <si>
    <t>ЖК Победная 1</t>
  </si>
  <si>
    <t>улица Победная, 17</t>
  </si>
  <si>
    <t>56.366002</t>
  </si>
  <si>
    <t>43.808249</t>
  </si>
  <si>
    <t>улица Победная, 17к1</t>
  </si>
  <si>
    <t>56.365792</t>
  </si>
  <si>
    <t>43.809273</t>
  </si>
  <si>
    <t>NN49</t>
  </si>
  <si>
    <t>ЖК Победная 2</t>
  </si>
  <si>
    <t>улица Победная, 17к2</t>
  </si>
  <si>
    <t>56.366316</t>
  </si>
  <si>
    <t>43.809345</t>
  </si>
  <si>
    <t>улица Победная, 18</t>
  </si>
  <si>
    <t>56.367762</t>
  </si>
  <si>
    <t>43.809731</t>
  </si>
  <si>
    <t>NN50</t>
  </si>
  <si>
    <t>ЖК Победная 3</t>
  </si>
  <si>
    <t>улица Победная, 20</t>
  </si>
  <si>
    <t>56.368245</t>
  </si>
  <si>
    <t>43.809166</t>
  </si>
  <si>
    <t>улица Победная, 20к1</t>
  </si>
  <si>
    <t>56.368554</t>
  </si>
  <si>
    <t>43.810118</t>
  </si>
  <si>
    <t>NN51</t>
  </si>
  <si>
    <t>ЖК Победная 4</t>
  </si>
  <si>
    <t>улица Победная, 20к2</t>
  </si>
  <si>
    <t>56.368873</t>
  </si>
  <si>
    <t>43.810010</t>
  </si>
  <si>
    <t>улица Победная, 21</t>
  </si>
  <si>
    <t>56.368564</t>
  </si>
  <si>
    <t>43.808213</t>
  </si>
  <si>
    <t>NN52</t>
  </si>
  <si>
    <t>ЖК Победная 5</t>
  </si>
  <si>
    <t>улица Победная, 21к1</t>
  </si>
  <si>
    <t>56.369013</t>
  </si>
  <si>
    <t>43.807818</t>
  </si>
  <si>
    <t>улица Победная, 21к2</t>
  </si>
  <si>
    <t>56.369472</t>
  </si>
  <si>
    <t>43.807216</t>
  </si>
  <si>
    <t>NN53</t>
  </si>
  <si>
    <t>ЖК Удачный 2</t>
  </si>
  <si>
    <t>улица 8 Марта, 26</t>
  </si>
  <si>
    <t>56.345284</t>
  </si>
  <si>
    <t>43.832836</t>
  </si>
  <si>
    <t>NN54</t>
  </si>
  <si>
    <t>ЖК Удачный 3</t>
  </si>
  <si>
    <t>улица 8 Марта, 28</t>
  </si>
  <si>
    <t>56.344292</t>
  </si>
  <si>
    <t>43.831839</t>
  </si>
  <si>
    <t>NN55</t>
  </si>
  <si>
    <t>Канавинский</t>
  </si>
  <si>
    <t>Московский</t>
  </si>
  <si>
    <t>ЖК Актюбинская</t>
  </si>
  <si>
    <t>улица Актюбинская, 1в к1</t>
  </si>
  <si>
    <t>56.312095</t>
  </si>
  <si>
    <t>43.88941</t>
  </si>
  <si>
    <t>улица Актюбинская, 1В</t>
  </si>
  <si>
    <t>56.311990</t>
  </si>
  <si>
    <t>43.888550</t>
  </si>
  <si>
    <t>NN56</t>
  </si>
  <si>
    <t>ЖК Достаевского</t>
  </si>
  <si>
    <t>улица Достоевского, 15</t>
  </si>
  <si>
    <t>56.343603</t>
  </si>
  <si>
    <t>43.832845</t>
  </si>
  <si>
    <t>NN57</t>
  </si>
  <si>
    <t>ЖК Мёд 1</t>
  </si>
  <si>
    <t xml:space="preserve">Комсомольское шоссе, 9 </t>
  </si>
  <si>
    <t>56.302008</t>
  </si>
  <si>
    <t>43.924096</t>
  </si>
  <si>
    <t>NN71</t>
  </si>
  <si>
    <t>ЖК Мёд 2</t>
  </si>
  <si>
    <t>Комсомольское шоссе, 11</t>
  </si>
  <si>
    <t>56.301986</t>
  </si>
  <si>
    <t>43.925325</t>
  </si>
  <si>
    <t>NN58</t>
  </si>
  <si>
    <t>ЖК Мещерское озеро</t>
  </si>
  <si>
    <t>улица Сергея Акимова, 22Б</t>
  </si>
  <si>
    <t>56.338315</t>
  </si>
  <si>
    <t>43.927195</t>
  </si>
  <si>
    <t>NN59</t>
  </si>
  <si>
    <t>ЖК Рубин</t>
  </si>
  <si>
    <t>улица Куйбышева, 67</t>
  </si>
  <si>
    <t>56.332212</t>
  </si>
  <si>
    <t>43.913613</t>
  </si>
  <si>
    <t>улица Куйбышева, 69</t>
  </si>
  <si>
    <t>56.332546</t>
  </si>
  <si>
    <t>43.913819</t>
  </si>
  <si>
    <t>NN60</t>
  </si>
  <si>
    <t>ЖК Культурный</t>
  </si>
  <si>
    <t>улица Циолковского, 7к1</t>
  </si>
  <si>
    <t>56.345918</t>
  </si>
  <si>
    <t>43.838531</t>
  </si>
  <si>
    <t>NN61</t>
  </si>
  <si>
    <t>ЖК Есенина</t>
  </si>
  <si>
    <t>улица Сергея Есенина, 41</t>
  </si>
  <si>
    <t>56.337721</t>
  </si>
  <si>
    <t>43.929935</t>
  </si>
  <si>
    <t>NN62</t>
  </si>
  <si>
    <t>ЖК Волжские огни 1</t>
  </si>
  <si>
    <t>Волжская набережная, 8</t>
  </si>
  <si>
    <t>56.347679</t>
  </si>
  <si>
    <t>43.935289</t>
  </si>
  <si>
    <t>NN63</t>
  </si>
  <si>
    <t>ЖК Волжские огни 2</t>
  </si>
  <si>
    <t>NN64</t>
  </si>
  <si>
    <t>ЖК Волжские огни 3</t>
  </si>
  <si>
    <t>NN65</t>
  </si>
  <si>
    <t>ЖК Караваиха</t>
  </si>
  <si>
    <t>улица Бонч-Бруевича, 8А</t>
  </si>
  <si>
    <t>56.269491</t>
  </si>
  <si>
    <t>43.981301</t>
  </si>
  <si>
    <t>NN66</t>
  </si>
  <si>
    <t>ЖК Мещерский бульвар 2</t>
  </si>
  <si>
    <t>Мещерский бульвар, 7</t>
  </si>
  <si>
    <t>56.339278</t>
  </si>
  <si>
    <t>43.932064</t>
  </si>
  <si>
    <t>NN67</t>
  </si>
  <si>
    <t>ЖК на Фруктовой</t>
  </si>
  <si>
    <t>улица Родионова, 25</t>
  </si>
  <si>
    <t>56.315665</t>
  </si>
  <si>
    <t>44.057765</t>
  </si>
  <si>
    <t>NN68</t>
  </si>
  <si>
    <t>ЖК Тропинина</t>
  </si>
  <si>
    <t>проспект Гагарина, 111</t>
  </si>
  <si>
    <t>56.232313</t>
  </si>
  <si>
    <t>43.946922</t>
  </si>
  <si>
    <t>NN69</t>
  </si>
  <si>
    <t>ЖК Тонкинская</t>
  </si>
  <si>
    <t>улица Тонкинская, 5</t>
  </si>
  <si>
    <t>56.324416</t>
  </si>
  <si>
    <t>43.938029</t>
  </si>
  <si>
    <t>NN70</t>
  </si>
  <si>
    <t>ЖК Медвежья Долина</t>
  </si>
  <si>
    <t>улица Родионова,165к5</t>
  </si>
  <si>
    <t>56.313294</t>
  </si>
  <si>
    <t>44.067943</t>
  </si>
  <si>
    <t>KZN1</t>
  </si>
  <si>
    <t>Приволжский</t>
  </si>
  <si>
    <t>Приволжский 2 (Ферма)</t>
  </si>
  <si>
    <t xml:space="preserve">ЖК Палитра </t>
  </si>
  <si>
    <t>улица Братьев Батталовых, 20к1</t>
  </si>
  <si>
    <t>55.721600</t>
  </si>
  <si>
    <t>49.187631</t>
  </si>
  <si>
    <t>улица Братьев Батталовых, 20к2</t>
  </si>
  <si>
    <t>55.722056</t>
  </si>
  <si>
    <t>49.186732</t>
  </si>
  <si>
    <t>KZN2</t>
  </si>
  <si>
    <t xml:space="preserve">ЖК Сказочный Лес </t>
  </si>
  <si>
    <t>улица Рауиса Гареева, 111к1</t>
  </si>
  <si>
    <t>55.723724</t>
  </si>
  <si>
    <t>49.174416</t>
  </si>
  <si>
    <t>улица Рауиса Гареева, 111к2</t>
  </si>
  <si>
    <t>55.724231</t>
  </si>
  <si>
    <t>49.174884</t>
  </si>
  <si>
    <t>улица Рауиса Гареева, 103</t>
  </si>
  <si>
    <t>55.722279</t>
  </si>
  <si>
    <t>49.172566</t>
  </si>
  <si>
    <t>улица Рауиса Гареева, 105</t>
  </si>
  <si>
    <t>55.722928</t>
  </si>
  <si>
    <t>49.173015</t>
  </si>
  <si>
    <t>улица Рауиса Гареева, 107</t>
  </si>
  <si>
    <t>55.723871</t>
  </si>
  <si>
    <t>49.173707</t>
  </si>
  <si>
    <t>улица Рауиса Гареева, 109</t>
  </si>
  <si>
    <t>55.724454</t>
  </si>
  <si>
    <t>49.174084</t>
  </si>
  <si>
    <t>KZN3</t>
  </si>
  <si>
    <t>мкрн.Усады</t>
  </si>
  <si>
    <t xml:space="preserve">ЖК Станция Спортивная </t>
  </si>
  <si>
    <t>Детский проезд, 1к1</t>
  </si>
  <si>
    <t>55.679732</t>
  </si>
  <si>
    <t>49.197593</t>
  </si>
  <si>
    <t>KZN4</t>
  </si>
  <si>
    <t>Лаишевский</t>
  </si>
  <si>
    <t>улица Счастливая, 1</t>
  </si>
  <si>
    <t>55.686010</t>
  </si>
  <si>
    <t>49.211122</t>
  </si>
  <si>
    <t>улица Счастливая, 2</t>
  </si>
  <si>
    <t>55.687583</t>
  </si>
  <si>
    <t>49.212155</t>
  </si>
  <si>
    <t>улица Счастливая, 3</t>
  </si>
  <si>
    <t>55.687162</t>
  </si>
  <si>
    <t>49.211652</t>
  </si>
  <si>
    <t>улица Счастливая, 4</t>
  </si>
  <si>
    <t>55.686726</t>
  </si>
  <si>
    <t>49.211158</t>
  </si>
  <si>
    <t>улица Счастливая, 5</t>
  </si>
  <si>
    <t>55.687573</t>
  </si>
  <si>
    <t>49.211238</t>
  </si>
  <si>
    <t>улица Счастливая, 6</t>
  </si>
  <si>
    <t>55.686152</t>
  </si>
  <si>
    <t>49.208912</t>
  </si>
  <si>
    <t>улица Счастливая, 7</t>
  </si>
  <si>
    <t>55.687081</t>
  </si>
  <si>
    <t>49.213134</t>
  </si>
  <si>
    <t>KZN5</t>
  </si>
  <si>
    <t>Приволжский 1( Горки)</t>
  </si>
  <si>
    <t>ЖК Авалон Сити</t>
  </si>
  <si>
    <t>улица Танковая, 2</t>
  </si>
  <si>
    <t>55.752242</t>
  </si>
  <si>
    <t>49.167059</t>
  </si>
  <si>
    <t>KZN6</t>
  </si>
  <si>
    <t>ЖК Ферма-2</t>
  </si>
  <si>
    <t>территория Ферма-2, 98</t>
  </si>
  <si>
    <t>55.722178</t>
  </si>
  <si>
    <t>49.167661</t>
  </si>
  <si>
    <t>территория Ферма-2, 98А</t>
  </si>
  <si>
    <t>55.722649</t>
  </si>
  <si>
    <t>49.167787</t>
  </si>
  <si>
    <t>территория Ферма-2, 98Б</t>
  </si>
  <si>
    <t>55.722289</t>
  </si>
  <si>
    <t>49.166933</t>
  </si>
  <si>
    <t>KZN7</t>
  </si>
  <si>
    <t>ЖК Coлнечный город 1</t>
  </si>
  <si>
    <t>улица Баки Урманче, 6</t>
  </si>
  <si>
    <t>55.732636</t>
  </si>
  <si>
    <t>49.173096</t>
  </si>
  <si>
    <t>KZN8</t>
  </si>
  <si>
    <t>ЖК Coлнечный город 2</t>
  </si>
  <si>
    <t>улица Баки Урманче, 8</t>
  </si>
  <si>
    <t>55.731642</t>
  </si>
  <si>
    <t>49.173060</t>
  </si>
  <si>
    <t>KZN9</t>
  </si>
  <si>
    <t>Кировский_Московский_Авиастрой_Вахитовский</t>
  </si>
  <si>
    <t>ЖК Каштан</t>
  </si>
  <si>
    <t>улица Маршрутная, 15к1</t>
  </si>
  <si>
    <t>55.822281</t>
  </si>
  <si>
    <t>49.036741</t>
  </si>
  <si>
    <t>улица Маршрутная, 15к3</t>
  </si>
  <si>
    <t>55.822392</t>
  </si>
  <si>
    <t>49.035294</t>
  </si>
  <si>
    <t>KZN10</t>
  </si>
  <si>
    <t>ЖК Miracle</t>
  </si>
  <si>
    <t>улица Серова, 50к1</t>
  </si>
  <si>
    <t>55.822407</t>
  </si>
  <si>
    <t>49.075898</t>
  </si>
  <si>
    <t>улица Серова, 50к2</t>
  </si>
  <si>
    <t>55.822053</t>
  </si>
  <si>
    <t>49.076473</t>
  </si>
  <si>
    <t>KZN11</t>
  </si>
  <si>
    <t>ЖК Романтика</t>
  </si>
  <si>
    <t>улица Профессора Камая, 10к1</t>
  </si>
  <si>
    <t>55.749218</t>
  </si>
  <si>
    <t>49.184729</t>
  </si>
  <si>
    <t>KZN12</t>
  </si>
  <si>
    <t>Советский 3 Азино-2</t>
  </si>
  <si>
    <t>ЖК на Ноксинском спуске</t>
  </si>
  <si>
    <t>улица Ноксинский Спуск, 14</t>
  </si>
  <si>
    <t>55.768932</t>
  </si>
  <si>
    <t>49.238089</t>
  </si>
  <si>
    <t>улица Ноксинский Спуск, 14А</t>
  </si>
  <si>
    <t>55.768390</t>
  </si>
  <si>
    <t>49.238403</t>
  </si>
  <si>
    <t>KZN88</t>
  </si>
  <si>
    <t>ЖК на Ноксинском спуске 37</t>
  </si>
  <si>
    <t>улица Ноксинский Спуск, 37</t>
  </si>
  <si>
    <t>55.770036</t>
  </si>
  <si>
    <t>49.241943</t>
  </si>
  <si>
    <t>KZN13</t>
  </si>
  <si>
    <t>ЖК на Ноксинском спуске 20</t>
  </si>
  <si>
    <t>улица Ноксинский Спуск, 20</t>
  </si>
  <si>
    <t>55.769129</t>
  </si>
  <si>
    <t>49.240506</t>
  </si>
  <si>
    <t>ИТОГ ПОКУПКИ
Размещение рекламы на Умных экранах</t>
  </si>
  <si>
    <t>KZN14</t>
  </si>
  <si>
    <t>ЖК на Ноксинском спуске 2</t>
  </si>
  <si>
    <t>улица Ноксинский Спуск, 21</t>
  </si>
  <si>
    <t>55.771013</t>
  </si>
  <si>
    <t>49.236975</t>
  </si>
  <si>
    <t>KZN15</t>
  </si>
  <si>
    <t>улица Ноксинский Спуск, 24</t>
  </si>
  <si>
    <t>55.768385</t>
  </si>
  <si>
    <t>49.242149</t>
  </si>
  <si>
    <t>KZN16</t>
  </si>
  <si>
    <t>ССЫЛКИ</t>
  </si>
  <si>
    <t>ЖК на Ноксинском спуске 3</t>
  </si>
  <si>
    <t>улица Ноксинский Спуск, 22</t>
  </si>
  <si>
    <t>55.767965</t>
  </si>
  <si>
    <t>49.240029</t>
  </si>
  <si>
    <t>Клиент</t>
  </si>
  <si>
    <t>KZN17</t>
  </si>
  <si>
    <t>ЖК на Ноксинском спуске 4</t>
  </si>
  <si>
    <t>улица Ноксинский Спуск, 26</t>
  </si>
  <si>
    <t>55.767605</t>
  </si>
  <si>
    <t>49.242015</t>
  </si>
  <si>
    <t>KZN18</t>
  </si>
  <si>
    <t>ЖК на Минской</t>
  </si>
  <si>
    <t>улица Минская, 45</t>
  </si>
  <si>
    <t>55.772831</t>
  </si>
  <si>
    <t>49.241871</t>
  </si>
  <si>
    <t>Гео</t>
  </si>
  <si>
    <t>улица Минская, 51</t>
  </si>
  <si>
    <t>55.772036</t>
  </si>
  <si>
    <t>49.243847</t>
  </si>
  <si>
    <t>KZN19</t>
  </si>
  <si>
    <t>ЖК на Минской 2</t>
  </si>
  <si>
    <t>улица Минская, 55</t>
  </si>
  <si>
    <t>55.772031</t>
  </si>
  <si>
    <t>49.242167</t>
  </si>
  <si>
    <t>Название ЖК</t>
  </si>
  <si>
    <t>Выбор адресов</t>
  </si>
  <si>
    <t>улица Минская, 57</t>
  </si>
  <si>
    <t>55.771190</t>
  </si>
  <si>
    <t>49.242661</t>
  </si>
  <si>
    <t>улица Минская, 59</t>
  </si>
  <si>
    <t>55.771115</t>
  </si>
  <si>
    <t>49.243721</t>
  </si>
  <si>
    <t>KZN20</t>
  </si>
  <si>
    <t>Советский 4 (Проспект Победы)</t>
  </si>
  <si>
    <t>ЖК на Минской 10</t>
  </si>
  <si>
    <t>улица Минская, 10</t>
  </si>
  <si>
    <t>55.770076</t>
  </si>
  <si>
    <t>49.224498</t>
  </si>
  <si>
    <t>KZN21</t>
  </si>
  <si>
    <t>ЖК на Минской 12</t>
  </si>
  <si>
    <t>улица Минская, 12</t>
  </si>
  <si>
    <t>55.772208</t>
  </si>
  <si>
    <t>49.220940</t>
  </si>
  <si>
    <t>KZN22</t>
  </si>
  <si>
    <t>Советский 2 (Азино-1)</t>
  </si>
  <si>
    <t>ЖК на Глушко-1</t>
  </si>
  <si>
    <t>улица Академика Глушко, 14</t>
  </si>
  <si>
    <t>55.782765</t>
  </si>
  <si>
    <t>49.237739</t>
  </si>
  <si>
    <t>Данные:</t>
  </si>
  <si>
    <t>улица Академика Глушко, 12</t>
  </si>
  <si>
    <t>55.781909</t>
  </si>
  <si>
    <t>49.236553</t>
  </si>
  <si>
    <t>Кол-во квартир</t>
  </si>
  <si>
    <t>Прайсовая стоимость</t>
  </si>
  <si>
    <t xml:space="preserve">стоимость с учетом скидки </t>
  </si>
  <si>
    <t>Скидки в % (ручной ввод)</t>
  </si>
  <si>
    <t>Сумма со скидкой</t>
  </si>
  <si>
    <t>KZN23</t>
  </si>
  <si>
    <t>ЖК на Глушко 2</t>
  </si>
  <si>
    <t>улица Академика Глушко, 4</t>
  </si>
  <si>
    <t>55.776998</t>
  </si>
  <si>
    <t>49.236355</t>
  </si>
  <si>
    <t>KZN24</t>
  </si>
  <si>
    <t>ЖК на Глушко 3</t>
  </si>
  <si>
    <t>улица Академика Глушко, 10А</t>
  </si>
  <si>
    <t>55.781302</t>
  </si>
  <si>
    <t>49.237101</t>
  </si>
  <si>
    <t>улица Академика Глушко, 10</t>
  </si>
  <si>
    <t>55.780871</t>
  </si>
  <si>
    <t>49.237056</t>
  </si>
  <si>
    <t>KZN25</t>
  </si>
  <si>
    <t>ЖК на Глушко 4</t>
  </si>
  <si>
    <t>улица Академика Глушко, 22Г</t>
  </si>
  <si>
    <t>55.788631</t>
  </si>
  <si>
    <t>49.230229</t>
  </si>
  <si>
    <t>KZN26</t>
  </si>
  <si>
    <t>ЖК на Глушко 5</t>
  </si>
  <si>
    <t>улица Академика Глушко, 6</t>
  </si>
  <si>
    <t>55.778132</t>
  </si>
  <si>
    <t>49.236499</t>
  </si>
  <si>
    <t>KZN27</t>
  </si>
  <si>
    <t>ЖК на Глушко 6</t>
  </si>
  <si>
    <t>улица Академика Глушко, 39</t>
  </si>
  <si>
    <t>55.787498</t>
  </si>
  <si>
    <t>49.227938</t>
  </si>
  <si>
    <t>Клиент:</t>
  </si>
  <si>
    <t>ручной ввод</t>
  </si>
  <si>
    <t>улица Академика Глушко, 41</t>
  </si>
  <si>
    <t>Период:</t>
  </si>
  <si>
    <t>55.788090</t>
  </si>
  <si>
    <t>49.228190</t>
  </si>
  <si>
    <t>География:</t>
  </si>
  <si>
    <t>подтягивается как в 5 й строке</t>
  </si>
  <si>
    <t>Формат:</t>
  </si>
  <si>
    <t>выбор как с 8ой строки</t>
  </si>
  <si>
    <t>KZN28</t>
  </si>
  <si>
    <t>ЖК на Глушко 7</t>
  </si>
  <si>
    <t>улица Академика Глушко, 49</t>
  </si>
  <si>
    <t>55.788186</t>
  </si>
  <si>
    <t>49.222764</t>
  </si>
  <si>
    <t>ЖК:</t>
  </si>
  <si>
    <t>Кол-во ЖК которые выбраны во вкладке выбор адресов</t>
  </si>
  <si>
    <t>Домов:</t>
  </si>
  <si>
    <t>Кол-во домов со всех ЖК во вкладке выбор адресов</t>
  </si>
  <si>
    <t>KZN29</t>
  </si>
  <si>
    <t>Экранов:</t>
  </si>
  <si>
    <t>ЖК на Глушко-12а</t>
  </si>
  <si>
    <t>Кол-во экранов со всех ЖК во вкладке выбор адресов</t>
  </si>
  <si>
    <t>улица Академика Глушко, 12А</t>
  </si>
  <si>
    <t>55.781965</t>
  </si>
  <si>
    <t>49.237505</t>
  </si>
  <si>
    <t>Квартир:</t>
  </si>
  <si>
    <t>сумма всех квартв выбранных во во вкладке выбор адресов</t>
  </si>
  <si>
    <t>KZN30</t>
  </si>
  <si>
    <t>Выбранные ЖК</t>
  </si>
  <si>
    <t>Советский 1 (старый район)</t>
  </si>
  <si>
    <t>ЖК МЧС-1</t>
  </si>
  <si>
    <t>улица Зур Урам, 1К (с 1 по 9 подъезд)</t>
  </si>
  <si>
    <t>55.802057</t>
  </si>
  <si>
    <t>49.200899</t>
  </si>
  <si>
    <t>Экранов</t>
  </si>
  <si>
    <t>Прайс</t>
  </si>
  <si>
    <t>KZN31</t>
  </si>
  <si>
    <t>Стоимость с учетом скидки</t>
  </si>
  <si>
    <t>Персональная 
скидка%</t>
  </si>
  <si>
    <t>Итого</t>
  </si>
  <si>
    <t>ЖК МЧС-2</t>
  </si>
  <si>
    <t>улица Зур Урам, 1К (с 10 по 18 подъезд)</t>
  </si>
  <si>
    <t xml:space="preserve">наименования ЖК </t>
  </si>
  <si>
    <t>Уфа, Казань, оренбург и т.д</t>
  </si>
  <si>
    <t>кол-во экранов в ЖК</t>
  </si>
  <si>
    <t>сумма если экран стоит 4000руб</t>
  </si>
  <si>
    <t xml:space="preserve">Стоимость за категорию ЖК </t>
  </si>
  <si>
    <t>тут оставляем ручно ввод скидок, скидка должна применятся к ценнику Стоимость с учетом скидки</t>
  </si>
  <si>
    <t>Тут должно быть довольно гибким столбец. Так что менеджер может убрать столбец Персональная скидка итого выводится  с стоимость с учетом скидки. А так жде менеджер может продать за прйсовую стоимость и кдалить может 2 столбца</t>
  </si>
  <si>
    <t>KZN32</t>
  </si>
  <si>
    <t>ЖК МЧС-3</t>
  </si>
  <si>
    <t>улица Зур Урам, 1Кк2</t>
  </si>
  <si>
    <t>55.802133</t>
  </si>
  <si>
    <t>49.199812</t>
  </si>
  <si>
    <t>KZN33</t>
  </si>
  <si>
    <t>ЖК МЧС-4</t>
  </si>
  <si>
    <t>улица Зур Урам, 1Кк3</t>
  </si>
  <si>
    <t>55.800590</t>
  </si>
  <si>
    <t>49.202156</t>
  </si>
  <si>
    <t>KZN34</t>
  </si>
  <si>
    <t xml:space="preserve">Советский 1 (старый район)
</t>
  </si>
  <si>
    <t>ЖК Казан Су</t>
  </si>
  <si>
    <t>улица Комсомольская, 1</t>
  </si>
  <si>
    <t>55.810830</t>
  </si>
  <si>
    <t>49.096568</t>
  </si>
  <si>
    <t>KZN35</t>
  </si>
  <si>
    <t>Прайсовая стоимость:</t>
  </si>
  <si>
    <t>итоговая стоимость со столбца Прайс</t>
  </si>
  <si>
    <t>ЖК Айтматова 1</t>
  </si>
  <si>
    <t>улица Чингиза Айтматова, 1</t>
  </si>
  <si>
    <t>Стомость со скидкой:</t>
  </si>
  <si>
    <t>итоговая стоимость со столбца Итого с учетом всех скидок</t>
  </si>
  <si>
    <t>Ваша экономия:</t>
  </si>
  <si>
    <t>разница между пройсовой стоимость и стоимостью со скидкой</t>
  </si>
  <si>
    <t>улица Чингиза Айтматова, 5</t>
  </si>
  <si>
    <t>55.765539</t>
  </si>
  <si>
    <t>49.234065</t>
  </si>
  <si>
    <t>KZN36</t>
  </si>
  <si>
    <t>ЖК Айтматова 2</t>
  </si>
  <si>
    <t>улица Чингиза Айтматова, 7</t>
  </si>
  <si>
    <t>55.765514</t>
  </si>
  <si>
    <t>49.235403</t>
  </si>
  <si>
    <t>улица Чингиза Айтматова, 8</t>
  </si>
  <si>
    <t>55.766957</t>
  </si>
  <si>
    <t>49.235017</t>
  </si>
  <si>
    <t>улица Чингиза Айтматова, 10</t>
  </si>
  <si>
    <t>55.767342</t>
  </si>
  <si>
    <t>49.235789</t>
  </si>
  <si>
    <t>улица Чингиза Айтматова, 6</t>
  </si>
  <si>
    <t>55.764840</t>
  </si>
  <si>
    <t>49.234343</t>
  </si>
  <si>
    <t>KZN37</t>
  </si>
  <si>
    <t>ЖК Молодежный</t>
  </si>
  <si>
    <t>улица Ноксинский Спуск, 10</t>
  </si>
  <si>
    <t>KZN38</t>
  </si>
  <si>
    <t>ЖК на Габишева</t>
  </si>
  <si>
    <t>улица Комиссара Габишева, 4</t>
  </si>
  <si>
    <t>55.740917</t>
  </si>
  <si>
    <t>49.227345</t>
  </si>
  <si>
    <t>улица Комиссара Габишева, 6</t>
  </si>
  <si>
    <t>55.740563</t>
  </si>
  <si>
    <t>49.227094</t>
  </si>
  <si>
    <t>улица Комиссара Габишева, 8</t>
  </si>
  <si>
    <t>55.740173</t>
  </si>
  <si>
    <t>49.227327</t>
  </si>
  <si>
    <t>улица Комиссара Габишева, 10</t>
  </si>
  <si>
    <t>55.739640</t>
  </si>
  <si>
    <t>49.228073</t>
  </si>
  <si>
    <t>Дубравная улица, 11А</t>
  </si>
  <si>
    <t>55.741070</t>
  </si>
  <si>
    <t>49.218155</t>
  </si>
  <si>
    <t>KZN39</t>
  </si>
  <si>
    <t>ЖК на Габишева 2</t>
  </si>
  <si>
    <t>улица Комиссара Габишева, 18А</t>
  </si>
  <si>
    <t>55.743218</t>
  </si>
  <si>
    <t>49.232367</t>
  </si>
  <si>
    <t>улица Комиссара Габишева, 16А</t>
  </si>
  <si>
    <t>55.743036</t>
  </si>
  <si>
    <t>49.230786</t>
  </si>
  <si>
    <t>KZN40</t>
  </si>
  <si>
    <t>ЖК на Габишева 3</t>
  </si>
  <si>
    <t>улица Комиссара Габишева, 16</t>
  </si>
  <si>
    <t>55.742671</t>
  </si>
  <si>
    <t>49.231558</t>
  </si>
  <si>
    <t>KZN41</t>
  </si>
  <si>
    <t xml:space="preserve">Лаишевский </t>
  </si>
  <si>
    <t>ЖК Южный Парк</t>
  </si>
  <si>
    <t>улица Уютная, 2</t>
  </si>
  <si>
    <t>55.690146</t>
  </si>
  <si>
    <t>49.201617</t>
  </si>
  <si>
    <t>улица Уютная, 6</t>
  </si>
  <si>
    <t>55.689136</t>
  </si>
  <si>
    <t>49.201186</t>
  </si>
  <si>
    <t>улица Уютная, 8</t>
  </si>
  <si>
    <t>55.688609</t>
  </si>
  <si>
    <t>49.200989</t>
  </si>
  <si>
    <t>улица Уютная, 10</t>
  </si>
  <si>
    <t>55.688091</t>
  </si>
  <si>
    <t>49.200800</t>
  </si>
  <si>
    <t>улица Уютная, 12</t>
  </si>
  <si>
    <t>55.687563</t>
  </si>
  <si>
    <t>49.200584</t>
  </si>
  <si>
    <t>KZN42</t>
  </si>
  <si>
    <t>Ново-Савиновский</t>
  </si>
  <si>
    <t>ЖК Милениум Сити</t>
  </si>
  <si>
    <t>улица Чистопольская, 61Б</t>
  </si>
  <si>
    <t>55.820243</t>
  </si>
  <si>
    <t>49.132726</t>
  </si>
  <si>
    <t>KZN43</t>
  </si>
  <si>
    <t>ЖК Зимний дворец</t>
  </si>
  <si>
    <t>улица Дубравная, 28А</t>
  </si>
  <si>
    <t>55.736802</t>
  </si>
  <si>
    <t>49.204052</t>
  </si>
  <si>
    <t>KZN44</t>
  </si>
  <si>
    <t>ЖК Созвездие</t>
  </si>
  <si>
    <t>улица Космонавтов, 61Б</t>
  </si>
  <si>
    <t>55.795368</t>
  </si>
  <si>
    <t>49.206334</t>
  </si>
  <si>
    <t>улица Космонавтов, 61В</t>
  </si>
  <si>
    <t>55.795570</t>
  </si>
  <si>
    <t>49.207061</t>
  </si>
  <si>
    <t>улица Космонавтов, 61Г</t>
  </si>
  <si>
    <t>55.795767</t>
  </si>
  <si>
    <t>49.207753</t>
  </si>
  <si>
    <t>KZN45</t>
  </si>
  <si>
    <t>ЖК на Фучика</t>
  </si>
  <si>
    <t>улица Юлиуса Фучика, 2Б</t>
  </si>
  <si>
    <t>55.742286</t>
  </si>
  <si>
    <t>49.201043</t>
  </si>
  <si>
    <t>улица Юлиуса Фучика, 8Б</t>
  </si>
  <si>
    <t>55.742372</t>
  </si>
  <si>
    <t>49.201887</t>
  </si>
  <si>
    <t>KZN46</t>
  </si>
  <si>
    <t>ЖК на Фучика 2</t>
  </si>
  <si>
    <t>улица Юлиуса Фучика, 53</t>
  </si>
  <si>
    <t>55.743902</t>
  </si>
  <si>
    <t>улица Юлиуса Фучика, 55</t>
  </si>
  <si>
    <t>55.743608</t>
  </si>
  <si>
    <t>49.204474</t>
  </si>
  <si>
    <t>KZN83</t>
  </si>
  <si>
    <t>ЖК на Фучика 94</t>
  </si>
  <si>
    <t>улица Юлиуса Фучика, 94</t>
  </si>
  <si>
    <t>55.767828</t>
  </si>
  <si>
    <t>49.232412</t>
  </si>
  <si>
    <t>KZN47</t>
  </si>
  <si>
    <t>ЖК Ривьера 1</t>
  </si>
  <si>
    <t>улица Чистопольская, 85</t>
  </si>
  <si>
    <t>55.823707</t>
  </si>
  <si>
    <t>49.154204</t>
  </si>
  <si>
    <t>KZN48</t>
  </si>
  <si>
    <t>ЖК Ривьера 2</t>
  </si>
  <si>
    <t>улица Чистопольская, 85А</t>
  </si>
  <si>
    <t>55.823849</t>
  </si>
  <si>
    <t>49.155210</t>
  </si>
  <si>
    <t>KZN49</t>
  </si>
  <si>
    <t>ЖК Ривьера 3</t>
  </si>
  <si>
    <t>проспект Ямашева, 101 (под 11, 12, 13, 9)</t>
  </si>
  <si>
    <t>55.824329</t>
  </si>
  <si>
    <t>49.152542</t>
  </si>
  <si>
    <t>проспект Ямашева, 101( под. 1-8, 10, 14)</t>
  </si>
  <si>
    <t>KZN50</t>
  </si>
  <si>
    <t>ЖК Ривьера 4</t>
  </si>
  <si>
    <t>улица Чистопольская, 81</t>
  </si>
  <si>
    <t>55.822225</t>
  </si>
  <si>
    <t>49.151042</t>
  </si>
  <si>
    <t>KZN51</t>
  </si>
  <si>
    <t>ЖК Ривьера 5</t>
  </si>
  <si>
    <t>улица Чистопольская, 79</t>
  </si>
  <si>
    <t>55.822701</t>
  </si>
  <si>
    <t>49.154016</t>
  </si>
  <si>
    <t>KZN52</t>
  </si>
  <si>
    <t>ЖК Чистопольская 71а</t>
  </si>
  <si>
    <t>улица Чистопольская, 71А</t>
  </si>
  <si>
    <t>55.820051</t>
  </si>
  <si>
    <t>49.144817</t>
  </si>
  <si>
    <t>KZN53</t>
  </si>
  <si>
    <t>ЖК Синяя птица</t>
  </si>
  <si>
    <t>проспект Ямашева, 103</t>
  </si>
  <si>
    <t>55.824713</t>
  </si>
  <si>
    <t>49.155471</t>
  </si>
  <si>
    <t>KZN54</t>
  </si>
  <si>
    <t>ЖК На проспекте Победы</t>
  </si>
  <si>
    <t>проспект Победы, 15к2</t>
  </si>
  <si>
    <t>55.746360</t>
  </si>
  <si>
    <t>49.198842</t>
  </si>
  <si>
    <t>проспект Победы, 15к3</t>
  </si>
  <si>
    <t>55.746405</t>
  </si>
  <si>
    <t>49.199354</t>
  </si>
  <si>
    <t>KZN55</t>
  </si>
  <si>
    <t xml:space="preserve">Кировский </t>
  </si>
  <si>
    <t>ЖК на Пилотской 39</t>
  </si>
  <si>
    <t>улица Пилотская, 39к1</t>
  </si>
  <si>
    <t>55.822397</t>
  </si>
  <si>
    <t>49.074443</t>
  </si>
  <si>
    <t>KZN56</t>
  </si>
  <si>
    <t>ЖК на Новоселья 1</t>
  </si>
  <si>
    <t>улица Тыныч, 1</t>
  </si>
  <si>
    <t>55.780846</t>
  </si>
  <si>
    <t>49.238251</t>
  </si>
  <si>
    <t>улица Новоселья, 4</t>
  </si>
  <si>
    <t>55.781190</t>
  </si>
  <si>
    <t>49.239643</t>
  </si>
  <si>
    <t>улица Новоселья, 6</t>
  </si>
  <si>
    <t>55.781145</t>
  </si>
  <si>
    <t>49.241485</t>
  </si>
  <si>
    <t>улица Новоселья, 10</t>
  </si>
  <si>
    <t>55.780902</t>
  </si>
  <si>
    <t>49.244198</t>
  </si>
  <si>
    <t>KZN57</t>
  </si>
  <si>
    <t>ЖК на Новоселья 2</t>
  </si>
  <si>
    <t>улица Тыныч, 3</t>
  </si>
  <si>
    <t>55.780502</t>
  </si>
  <si>
    <t>49.240479</t>
  </si>
  <si>
    <t>улица Тыныч, 8</t>
  </si>
  <si>
    <t>55.779869</t>
  </si>
  <si>
    <t>49.241143</t>
  </si>
  <si>
    <t>улица Крутая, 2</t>
  </si>
  <si>
    <t>55.780603</t>
  </si>
  <si>
    <t>49.243039</t>
  </si>
  <si>
    <t>KZN58</t>
  </si>
  <si>
    <t>ЖК Энергия</t>
  </si>
  <si>
    <t>улица Проточная, 12</t>
  </si>
  <si>
    <t>55.811563</t>
  </si>
  <si>
    <t>49.086274</t>
  </si>
  <si>
    <t>KZN59</t>
  </si>
  <si>
    <t>ЖК Победы 78</t>
  </si>
  <si>
    <t>проспект Победы, 78</t>
  </si>
  <si>
    <t>55.763807</t>
  </si>
  <si>
    <t>49.220608</t>
  </si>
  <si>
    <t>KZN60</t>
  </si>
  <si>
    <t>ЖК Южный 1</t>
  </si>
  <si>
    <t>проспект Победы, 80</t>
  </si>
  <si>
    <t>55.763543</t>
  </si>
  <si>
    <t>49.221803</t>
  </si>
  <si>
    <t>KZN61</t>
  </si>
  <si>
    <t>проспект Победы, 76</t>
  </si>
  <si>
    <t>55.762753</t>
  </si>
  <si>
    <t>49.221794</t>
  </si>
  <si>
    <t>проспект Победы, 84</t>
  </si>
  <si>
    <t>55.764323</t>
  </si>
  <si>
    <t>49.221821</t>
  </si>
  <si>
    <t>проспект Победы, 88</t>
  </si>
  <si>
    <t>55.765053</t>
  </si>
  <si>
    <t>49.221767</t>
  </si>
  <si>
    <t>KZN62</t>
  </si>
  <si>
    <t>ЖК Южный 3</t>
  </si>
  <si>
    <t>проспект Победы, 98</t>
  </si>
  <si>
    <t>55.768355</t>
  </si>
  <si>
    <t>49.221776</t>
  </si>
  <si>
    <t>проспект Победы, 102</t>
  </si>
  <si>
    <t>55.769332</t>
  </si>
  <si>
    <t>49.221830</t>
  </si>
  <si>
    <t>проспект Победы, 106</t>
  </si>
  <si>
    <t>55.770309</t>
  </si>
  <si>
    <t>KZN63</t>
  </si>
  <si>
    <t>ЖК Победы-100</t>
  </si>
  <si>
    <t>проспект Победы, 100</t>
  </si>
  <si>
    <t>55.768891</t>
  </si>
  <si>
    <t>49.220832</t>
  </si>
  <si>
    <t>KZN64</t>
  </si>
  <si>
    <t>ЖК на Ямашева 1</t>
  </si>
  <si>
    <t>проспект Ямашева, 83</t>
  </si>
  <si>
    <t>55.826104</t>
  </si>
  <si>
    <t>49.142679</t>
  </si>
  <si>
    <t>KZN65</t>
  </si>
  <si>
    <t>ЖК Белая бабочка</t>
  </si>
  <si>
    <t>улица Адоратского, 4А</t>
  </si>
  <si>
    <t>55.824971</t>
  </si>
  <si>
    <t>49.148743</t>
  </si>
  <si>
    <t>KZN66</t>
  </si>
  <si>
    <t xml:space="preserve">Вахитовский </t>
  </si>
  <si>
    <t>ЖК Резиденция Мон</t>
  </si>
  <si>
    <t>улица Чернышевского, 32к1</t>
  </si>
  <si>
    <t>55.790555</t>
  </si>
  <si>
    <t>49.103935</t>
  </si>
  <si>
    <t>Вахитовский</t>
  </si>
  <si>
    <t>улица Чернышевского, 32к2</t>
  </si>
  <si>
    <t>55.790094</t>
  </si>
  <si>
    <t>49.103701</t>
  </si>
  <si>
    <t>улица Чернышевского, 32к3</t>
  </si>
  <si>
    <t>55.789168</t>
  </si>
  <si>
    <t>49.104258</t>
  </si>
  <si>
    <t>KZN67</t>
  </si>
  <si>
    <t>ЖК на Серова 48</t>
  </si>
  <si>
    <t>улица Серова, 48</t>
  </si>
  <si>
    <t>55.822948</t>
  </si>
  <si>
    <t>49.075189</t>
  </si>
  <si>
    <t>улица Серова, 48к3</t>
  </si>
  <si>
    <t>55.823120</t>
  </si>
  <si>
    <t>49.074596</t>
  </si>
  <si>
    <t>KZN68</t>
  </si>
  <si>
    <t>ЖК на Четаева 14/14а</t>
  </si>
  <si>
    <t>улица Четаева, 14</t>
  </si>
  <si>
    <t>55.823328</t>
  </si>
  <si>
    <t>49.143110</t>
  </si>
  <si>
    <t>улица Четаева, 14А</t>
  </si>
  <si>
    <t>55.822756</t>
  </si>
  <si>
    <t>49.143119</t>
  </si>
  <si>
    <t>KZN69</t>
  </si>
  <si>
    <t>ЖК на "Фучика 96"</t>
  </si>
  <si>
    <t>улица Юлиуса Фучика, 96</t>
  </si>
  <si>
    <t>55.768694</t>
  </si>
  <si>
    <t>49.232636</t>
  </si>
  <si>
    <t>KZN70</t>
  </si>
  <si>
    <t>ЖК на Завойского 1</t>
  </si>
  <si>
    <t>улица Академика Завойского, 17</t>
  </si>
  <si>
    <t>55.760043</t>
  </si>
  <si>
    <t>49.238421</t>
  </si>
  <si>
    <t>KZN84</t>
  </si>
  <si>
    <t>ЖК на Завойского 2</t>
  </si>
  <si>
    <t>улица Академика Завойского, 17А (с 1 по 5 под)</t>
  </si>
  <si>
    <t>55.760504</t>
  </si>
  <si>
    <t>49.236760</t>
  </si>
  <si>
    <t>KZN85</t>
  </si>
  <si>
    <t>ЖК на Завойского 3</t>
  </si>
  <si>
    <t>улица Академика Завойского, 17А (с 6 по 9 под)</t>
  </si>
  <si>
    <t>KZN71</t>
  </si>
  <si>
    <t>ЖК Огни Казани</t>
  </si>
  <si>
    <t>улица Дружинная, 3</t>
  </si>
  <si>
    <t>55.816874</t>
  </si>
  <si>
    <t>49.083588</t>
  </si>
  <si>
    <t>KZN72</t>
  </si>
  <si>
    <t>ЖК Изумрудный город</t>
  </si>
  <si>
    <t>улица Салиха Батыева, 9</t>
  </si>
  <si>
    <t>55.752901</t>
  </si>
  <si>
    <t>49.245734</t>
  </si>
  <si>
    <t>KZN73</t>
  </si>
  <si>
    <t>Авиастроительный</t>
  </si>
  <si>
    <t>ЖК Яркий</t>
  </si>
  <si>
    <t>улица Тэцевская, 4Д</t>
  </si>
  <si>
    <t>55.851000</t>
  </si>
  <si>
    <t>49.062513</t>
  </si>
  <si>
    <t>KZN74</t>
  </si>
  <si>
    <t>ЖК  Победы 126а</t>
  </si>
  <si>
    <t>проспект Победы, 126А</t>
  </si>
  <si>
    <t>55.778922</t>
  </si>
  <si>
    <t>49.223024</t>
  </si>
  <si>
    <t>KZN75</t>
  </si>
  <si>
    <t xml:space="preserve">Зеленодольский </t>
  </si>
  <si>
    <t>ЖК Зимний сад - 1</t>
  </si>
  <si>
    <t>улица Спортивная, 7</t>
  </si>
  <si>
    <t>55.837631</t>
  </si>
  <si>
    <t>49.238969</t>
  </si>
  <si>
    <t>KZN76</t>
  </si>
  <si>
    <t>ЖК Зимний сад - 2</t>
  </si>
  <si>
    <t>улица Спортивная, 9</t>
  </si>
  <si>
    <t>55.872450</t>
  </si>
  <si>
    <t>48.872214</t>
  </si>
  <si>
    <t>улица Спортивная, 10</t>
  </si>
  <si>
    <t>55.872753</t>
  </si>
  <si>
    <t>48.873562</t>
  </si>
  <si>
    <t>KZN77</t>
  </si>
  <si>
    <t>ЖК Зимний сад - 3</t>
  </si>
  <si>
    <t>улица Спортивная, 8</t>
  </si>
  <si>
    <t>55.872021</t>
  </si>
  <si>
    <t>48.873418</t>
  </si>
  <si>
    <t>KZN78</t>
  </si>
  <si>
    <t>ЖК Аура - 1</t>
  </si>
  <si>
    <t>улица Спортивная, 3</t>
  </si>
  <si>
    <t>55.871607</t>
  </si>
  <si>
    <t>48.875089</t>
  </si>
  <si>
    <t>улица Спортивная, 4</t>
  </si>
  <si>
    <t>55.872491</t>
  </si>
  <si>
    <t>48.876302</t>
  </si>
  <si>
    <t>KZN79</t>
  </si>
  <si>
    <t>ЖК на Проспекте Победы 152/33</t>
  </si>
  <si>
    <t>проспект Победы, 152/33</t>
  </si>
  <si>
    <t>55.781570</t>
  </si>
  <si>
    <t>49.221012</t>
  </si>
  <si>
    <t>KZN80</t>
  </si>
  <si>
    <t>ЖК на Проспекте Победы 156</t>
  </si>
  <si>
    <t>проспект Победы, 156/26</t>
  </si>
  <si>
    <t>55.783023</t>
  </si>
  <si>
    <t>49.221389</t>
  </si>
  <si>
    <t>KZN81</t>
  </si>
  <si>
    <t>ЖК на Проспекте Победы 168</t>
  </si>
  <si>
    <t>проспект Победы, 168</t>
  </si>
  <si>
    <t>55.786100</t>
  </si>
  <si>
    <t>49.221219</t>
  </si>
  <si>
    <t>KZN82</t>
  </si>
  <si>
    <t>ЖК на Проспекте Победы - 2</t>
  </si>
  <si>
    <t>проспект Победы, 182</t>
  </si>
  <si>
    <t>55.791638</t>
  </si>
  <si>
    <t>49.221210</t>
  </si>
  <si>
    <t>проспект Победы, 184</t>
  </si>
  <si>
    <t>55.791977</t>
  </si>
  <si>
    <t>49.221228</t>
  </si>
  <si>
    <t>проспект Победы, 186</t>
  </si>
  <si>
    <t>55.792306</t>
  </si>
  <si>
    <t>MSC1</t>
  </si>
  <si>
    <t>Красногорский</t>
  </si>
  <si>
    <t>ЖК Путилково 1</t>
  </si>
  <si>
    <t>улица Сходненская,11</t>
  </si>
  <si>
    <t>55.876243</t>
  </si>
  <si>
    <t>37.396120</t>
  </si>
  <si>
    <t>улица Сходненская, 13</t>
  </si>
  <si>
    <t>55.876688</t>
  </si>
  <si>
    <t>37.393973</t>
  </si>
  <si>
    <t>MSC2</t>
  </si>
  <si>
    <t>ЖК Путилково 2</t>
  </si>
  <si>
    <t>улица 70-летия Победы, 4</t>
  </si>
  <si>
    <t>55.875789</t>
  </si>
  <si>
    <t>37.393658</t>
  </si>
  <si>
    <t>Спасо-Тушинский Бульвар, 8</t>
  </si>
  <si>
    <t>55.874541</t>
  </si>
  <si>
    <t>37.394664</t>
  </si>
  <si>
    <t>улица  70-летия Победы, 3</t>
  </si>
  <si>
    <t>55.875157</t>
  </si>
  <si>
    <t>37.392733</t>
  </si>
  <si>
    <t>MSC3</t>
  </si>
  <si>
    <t>ЖК Путилково 3</t>
  </si>
  <si>
    <t xml:space="preserve">улица Сходненская, 5 </t>
  </si>
  <si>
    <t>55.875859</t>
  </si>
  <si>
    <t>37.400234</t>
  </si>
  <si>
    <t>Спасо-Тушинский Бульвар, 5</t>
  </si>
  <si>
    <t>55.874026</t>
  </si>
  <si>
    <t>37.396847</t>
  </si>
  <si>
    <t>улица Сходненская, 35</t>
  </si>
  <si>
    <t>55.872031</t>
  </si>
  <si>
    <t>37.396263</t>
  </si>
  <si>
    <t>MSC4</t>
  </si>
  <si>
    <t>ЖК Путилково 4</t>
  </si>
  <si>
    <t>улица Сходненская, 23</t>
  </si>
  <si>
    <t>55.874501</t>
  </si>
  <si>
    <t>37.390092</t>
  </si>
  <si>
    <t>улица Сходненская, 21</t>
  </si>
  <si>
    <t>55.875046</t>
  </si>
  <si>
    <t>37.388646</t>
  </si>
  <si>
    <t>улица Сходненская, 19</t>
  </si>
  <si>
    <t>55.876016</t>
  </si>
  <si>
    <t>37.388143</t>
  </si>
  <si>
    <t>MSC5</t>
  </si>
  <si>
    <t>Одинцовский</t>
  </si>
  <si>
    <t xml:space="preserve">ЖК ​Одинцовский парк </t>
  </si>
  <si>
    <t>улица Белорусская, 10</t>
  </si>
  <si>
    <t>55.660673</t>
  </si>
  <si>
    <t>37.299641</t>
  </si>
  <si>
    <t>MSC6</t>
  </si>
  <si>
    <t>ЖК Рублевский квартал</t>
  </si>
  <si>
    <t xml:space="preserve">микрорайон Город-событие, 57 </t>
  </si>
  <si>
    <t>55.701912</t>
  </si>
  <si>
    <t>37.208309</t>
  </si>
  <si>
    <t>микрорайон Город-событие, 60</t>
  </si>
  <si>
    <t>55.702789</t>
  </si>
  <si>
    <t>37.208812</t>
  </si>
  <si>
    <t>MSC7</t>
  </si>
  <si>
    <t>ЖК Рублевский квартал 2</t>
  </si>
  <si>
    <t>микрорайон Город-событие, 58</t>
  </si>
  <si>
    <t>55.701526</t>
  </si>
  <si>
    <t>37.206719</t>
  </si>
  <si>
    <t>микрорайон Город-событие, 59</t>
  </si>
  <si>
    <t>55.702769</t>
  </si>
  <si>
    <t>37.206674</t>
  </si>
  <si>
    <t>MSC8</t>
  </si>
  <si>
    <t>ТСН Садовая</t>
  </si>
  <si>
    <t>улица Садовая, 28</t>
  </si>
  <si>
    <t>55.677215</t>
  </si>
  <si>
    <t>37.248275</t>
  </si>
  <si>
    <t>улица Садовая, 28А</t>
  </si>
  <si>
    <t>55.677839</t>
  </si>
  <si>
    <t>37.248733</t>
  </si>
  <si>
    <t>MSC9</t>
  </si>
  <si>
    <t>ЖК Чистяковой</t>
  </si>
  <si>
    <t>улица Чистяковой, 67</t>
  </si>
  <si>
    <t>55.700791</t>
  </si>
  <si>
    <t>37.320428</t>
  </si>
  <si>
    <t>MSC10</t>
  </si>
  <si>
    <t>ЖК Чистяковой 1</t>
  </si>
  <si>
    <t>улица Чистяковой, 2</t>
  </si>
  <si>
    <t>55.695793</t>
  </si>
  <si>
    <t>37.330938</t>
  </si>
  <si>
    <t>MSC11</t>
  </si>
  <si>
    <t>ЖК Чистяковой 2</t>
  </si>
  <si>
    <t>улица Чистяковой, 6</t>
  </si>
  <si>
    <t>55.694799</t>
  </si>
  <si>
    <t>37.329752</t>
  </si>
  <si>
    <t>улица Чистяковой, 8</t>
  </si>
  <si>
    <t>55.693952</t>
  </si>
  <si>
    <t>37.327587</t>
  </si>
  <si>
    <t>улица Чистяковой, 12</t>
  </si>
  <si>
    <t>55.696235</t>
  </si>
  <si>
    <t>37.328548</t>
  </si>
  <si>
    <t>MSC12</t>
  </si>
  <si>
    <t>ЖК Чистяковой 3</t>
  </si>
  <si>
    <t>улица Чистяковой, 14</t>
  </si>
  <si>
    <t>55.694611</t>
  </si>
  <si>
    <t>37.327057</t>
  </si>
  <si>
    <t>улица Чистяковой, 16</t>
  </si>
  <si>
    <t>55.695494</t>
  </si>
  <si>
    <t>37.326348</t>
  </si>
  <si>
    <t>улица Чистяковой, 22</t>
  </si>
  <si>
    <t>55.696098</t>
  </si>
  <si>
    <t>37.325099</t>
  </si>
  <si>
    <t>MSC13</t>
  </si>
  <si>
    <t>улица Чистяковой, 24</t>
  </si>
  <si>
    <t>55.697001</t>
  </si>
  <si>
    <t>37.324066</t>
  </si>
  <si>
    <t>MSC42</t>
  </si>
  <si>
    <t>ЖК Чистяковой 4</t>
  </si>
  <si>
    <t>улица Чистяковой, 18</t>
  </si>
  <si>
    <t>55.696651</t>
  </si>
  <si>
    <t>37.326114</t>
  </si>
  <si>
    <t>MSC14</t>
  </si>
  <si>
    <t>Павшинская Пойма</t>
  </si>
  <si>
    <t>ЖК Красногорск 1</t>
  </si>
  <si>
    <t>Красногорский бульвар, 17</t>
  </si>
  <si>
    <t>55.819712</t>
  </si>
  <si>
    <t>37.373913</t>
  </si>
  <si>
    <t>MSC15</t>
  </si>
  <si>
    <t>ЖК Красногорск 2</t>
  </si>
  <si>
    <t>Подмосковный бульвар, 9</t>
  </si>
  <si>
    <t>55.821967</t>
  </si>
  <si>
    <t>37.369790</t>
  </si>
  <si>
    <t>MSC16</t>
  </si>
  <si>
    <t>ЖК Красногорск 3</t>
  </si>
  <si>
    <t>Красногорский бульвар,13к2</t>
  </si>
  <si>
    <t>55.815792</t>
  </si>
  <si>
    <t>37.369467</t>
  </si>
  <si>
    <t>Красногорский бульвар, 23к1</t>
  </si>
  <si>
    <t>55.826736</t>
  </si>
  <si>
    <t>37.373329</t>
  </si>
  <si>
    <t>Подмосковный бульвар, 5</t>
  </si>
  <si>
    <t>55.821077</t>
  </si>
  <si>
    <t>37.367544</t>
  </si>
  <si>
    <t>MSC17</t>
  </si>
  <si>
    <t>ЖК Пригород Лесное 1</t>
  </si>
  <si>
    <t>Пригородное шоссе, 6</t>
  </si>
  <si>
    <t>55.557339</t>
  </si>
  <si>
    <t>37.803598</t>
  </si>
  <si>
    <t xml:space="preserve">Ленинский </t>
  </si>
  <si>
    <t>Пригородное шоссе, 8</t>
  </si>
  <si>
    <t>55.556924</t>
  </si>
  <si>
    <t>37.804329</t>
  </si>
  <si>
    <t>Пригородное шоссе, 12</t>
  </si>
  <si>
    <t>55.556815</t>
  </si>
  <si>
    <t>37.805385</t>
  </si>
  <si>
    <t>MSC18</t>
  </si>
  <si>
    <t>ЖК Пригород Лесное 2</t>
  </si>
  <si>
    <t>Пригородное шоссе, 18</t>
  </si>
  <si>
    <t>55.555772</t>
  </si>
  <si>
    <t>37.808255</t>
  </si>
  <si>
    <t>Пригородное шоссе, 20</t>
  </si>
  <si>
    <t>55.555548</t>
  </si>
  <si>
    <t>37.809032</t>
  </si>
  <si>
    <t>Пригородное шоссе, 22</t>
  </si>
  <si>
    <t>55.555239</t>
  </si>
  <si>
    <t>37.809964</t>
  </si>
  <si>
    <t>MSC19</t>
  </si>
  <si>
    <t>ЖК Пригород Лесное 3</t>
  </si>
  <si>
    <t>Пригородное шоссе, 14</t>
  </si>
  <si>
    <t>55.556189</t>
  </si>
  <si>
    <t>37.806075</t>
  </si>
  <si>
    <t>Пригородное шоссе, 16</t>
  </si>
  <si>
    <t>55.556554</t>
  </si>
  <si>
    <t>37.807727</t>
  </si>
  <si>
    <t>улица Имени Л.И Гоман, 2</t>
  </si>
  <si>
    <t>55.555499</t>
  </si>
  <si>
    <t>37.805427</t>
  </si>
  <si>
    <t>улица Имени Л.И Гоман, 4</t>
  </si>
  <si>
    <t>55.554837</t>
  </si>
  <si>
    <t>37.804822</t>
  </si>
  <si>
    <t>улица Имени Л.И Гоман, 10</t>
  </si>
  <si>
    <t>55.554609</t>
  </si>
  <si>
    <t>37.803186</t>
  </si>
  <si>
    <t>MSC20</t>
  </si>
  <si>
    <t>ЖК Пригород Лесное 4</t>
  </si>
  <si>
    <t>улица Имени Л.И Гоман, 8</t>
  </si>
  <si>
    <t>55.553887</t>
  </si>
  <si>
    <t>37.804061</t>
  </si>
  <si>
    <t xml:space="preserve">улица Имени Л.И Гоман, 3 </t>
  </si>
  <si>
    <t>55.5541</t>
  </si>
  <si>
    <t>37.805541</t>
  </si>
  <si>
    <t>улица Имени Л.И Гоман, 5</t>
  </si>
  <si>
    <t>55.553331</t>
  </si>
  <si>
    <t>37.806025</t>
  </si>
  <si>
    <t>MSC21</t>
  </si>
  <si>
    <t>ЖК Пригород Лесное 5</t>
  </si>
  <si>
    <t>улица С.П. Корнусова, 3</t>
  </si>
  <si>
    <t>55.554956</t>
  </si>
  <si>
    <t>37.802005</t>
  </si>
  <si>
    <t>Пригородное шоссе, 2</t>
  </si>
  <si>
    <t>55.557876</t>
  </si>
  <si>
    <t>37.801769</t>
  </si>
  <si>
    <t>Пригородное шоссе, 4</t>
  </si>
  <si>
    <t>55.557461</t>
  </si>
  <si>
    <t>37.802499</t>
  </si>
  <si>
    <t>MSC22</t>
  </si>
  <si>
    <t>ЖК Пригород Лесное 6</t>
  </si>
  <si>
    <t>улица Луговая, 4</t>
  </si>
  <si>
    <t>55.55363</t>
  </si>
  <si>
    <t>37.819817</t>
  </si>
  <si>
    <t>улица Луговая, 2</t>
  </si>
  <si>
    <t>55.554747</t>
  </si>
  <si>
    <t>37.819848</t>
  </si>
  <si>
    <t>MSC23</t>
  </si>
  <si>
    <t>ЖК Пригород Лесное 7</t>
  </si>
  <si>
    <t>улица Филипова, 10</t>
  </si>
  <si>
    <t>55.553632</t>
  </si>
  <si>
    <t>37.807472</t>
  </si>
  <si>
    <t>улица Филипова, 8</t>
  </si>
  <si>
    <t>55.552819</t>
  </si>
  <si>
    <t>37.80777</t>
  </si>
  <si>
    <t>улица Филипова, 6</t>
  </si>
  <si>
    <t>55.552419</t>
  </si>
  <si>
    <t>37.808371</t>
  </si>
  <si>
    <t>улица Филипова, 4</t>
  </si>
  <si>
    <t>55.553089</t>
  </si>
  <si>
    <t>37.808984</t>
  </si>
  <si>
    <t>Пригородное шоссе, 24</t>
  </si>
  <si>
    <t>55.554842</t>
  </si>
  <si>
    <t>37.810663</t>
  </si>
  <si>
    <t>MSC24</t>
  </si>
  <si>
    <t>ЖК Пригород Лесное 8</t>
  </si>
  <si>
    <t>улица Современников, 5</t>
  </si>
  <si>
    <t>55.553816</t>
  </si>
  <si>
    <t>37.816999</t>
  </si>
  <si>
    <t>Пригородное шоссе, 28</t>
  </si>
  <si>
    <t>55.555276</t>
  </si>
  <si>
    <t>37.818166</t>
  </si>
  <si>
    <t>MSC25</t>
  </si>
  <si>
    <t>ЖК Пригород Лесное 9</t>
  </si>
  <si>
    <t>улица Современников, 3</t>
  </si>
  <si>
    <t>55.553595</t>
  </si>
  <si>
    <t>37.815212</t>
  </si>
  <si>
    <t>улица Современников, 7</t>
  </si>
  <si>
    <t>55.554458</t>
  </si>
  <si>
    <t>37.818194</t>
  </si>
  <si>
    <t>MSC26</t>
  </si>
  <si>
    <t>Новая Москва</t>
  </si>
  <si>
    <t>улица Аэростатная, 6к1</t>
  </si>
  <si>
    <t>55.588558</t>
  </si>
  <si>
    <t>37.171838</t>
  </si>
  <si>
    <t>улица Аэростатная, 6к2</t>
  </si>
  <si>
    <t>55.589514</t>
  </si>
  <si>
    <t>37.171907</t>
  </si>
  <si>
    <t>улица Аэростатная, 6к4</t>
  </si>
  <si>
    <t>55.589428</t>
  </si>
  <si>
    <t>37.170902</t>
  </si>
  <si>
    <t>MSC27</t>
  </si>
  <si>
    <t>ЖК Новое Внуково 2</t>
  </si>
  <si>
    <t>улица Аэростатная, 6к3</t>
  </si>
  <si>
    <t>55.588504</t>
  </si>
  <si>
    <t>37.170789</t>
  </si>
  <si>
    <t>улица Аэростатная, 6к5</t>
  </si>
  <si>
    <t>55.588438</t>
  </si>
  <si>
    <t>37.169761</t>
  </si>
  <si>
    <t>улица Аэростатная, 6к6</t>
  </si>
  <si>
    <t>55.588945</t>
  </si>
  <si>
    <t>37.169319</t>
  </si>
  <si>
    <t>улица Аэростатная, 12к1</t>
  </si>
  <si>
    <t>55.587824</t>
  </si>
  <si>
    <t>37.167402</t>
  </si>
  <si>
    <t>улица Аэростатная, 12к3</t>
  </si>
  <si>
    <t>55.588217</t>
  </si>
  <si>
    <t>37.166803</t>
  </si>
  <si>
    <t>MSC28</t>
  </si>
  <si>
    <t>ЖК Новое Внуково 3</t>
  </si>
  <si>
    <t>улица Аэростатная, 14к2</t>
  </si>
  <si>
    <t>55.588194</t>
  </si>
  <si>
    <t>37.165869</t>
  </si>
  <si>
    <t>улица Аэростатная, 14к3</t>
  </si>
  <si>
    <t>55.587834</t>
  </si>
  <si>
    <t>37.164991</t>
  </si>
  <si>
    <t>улица Аэростатная, 14к1</t>
  </si>
  <si>
    <t>55.587496</t>
  </si>
  <si>
    <t>37.166223</t>
  </si>
  <si>
    <t>улица Стожарова, 11</t>
  </si>
  <si>
    <t>55.588519</t>
  </si>
  <si>
    <t>37.164156</t>
  </si>
  <si>
    <t>MSC29</t>
  </si>
  <si>
    <t>ЖК Новое Внуково 4</t>
  </si>
  <si>
    <t>улица Аэростатная, 12к2</t>
  </si>
  <si>
    <t>55.588624</t>
  </si>
  <si>
    <t>37.167796</t>
  </si>
  <si>
    <t>улица Стожарова, 5</t>
  </si>
  <si>
    <t>55.589243</t>
  </si>
  <si>
    <t>37.167317</t>
  </si>
  <si>
    <t>улица Стожарова, 7</t>
  </si>
  <si>
    <t>55.589059</t>
  </si>
  <si>
    <t>37.166091</t>
  </si>
  <si>
    <t>улица Стожарова, 9</t>
  </si>
  <si>
    <t>55.588757</t>
  </si>
  <si>
    <t>37.165378</t>
  </si>
  <si>
    <t xml:space="preserve"> Вертикальный 4*3</t>
  </si>
  <si>
    <t>MSC30</t>
  </si>
  <si>
    <t>ЖК Алхимово №1</t>
  </si>
  <si>
    <t>улица Уточкина, 5 к1</t>
  </si>
  <si>
    <t>55.47381</t>
  </si>
  <si>
    <t>37.526833</t>
  </si>
  <si>
    <t>улица Уточкина, 5 к2</t>
  </si>
  <si>
    <t>55.47469</t>
  </si>
  <si>
    <t>37.525942</t>
  </si>
  <si>
    <t>MSC31</t>
  </si>
  <si>
    <t>ЖК Алхимово №2</t>
  </si>
  <si>
    <t>улица Уточкина, 7к1</t>
  </si>
  <si>
    <t>55.475169</t>
  </si>
  <si>
    <t>37.525208</t>
  </si>
  <si>
    <t>улица Уточкина, 7к2</t>
  </si>
  <si>
    <t>55.476041</t>
  </si>
  <si>
    <t>37.525477</t>
  </si>
  <si>
    <t>MSC32</t>
  </si>
  <si>
    <t>ЖК Алхимово №3</t>
  </si>
  <si>
    <t>улица Уточкина, 8к1</t>
  </si>
  <si>
    <t>55.476582</t>
  </si>
  <si>
    <t>37.526277</t>
  </si>
  <si>
    <t xml:space="preserve">улица Уточкина, 8к2
</t>
  </si>
  <si>
    <t>55.476771</t>
  </si>
  <si>
    <t>37.527426</t>
  </si>
  <si>
    <t>MSC33</t>
  </si>
  <si>
    <t>ЖК Алхимово №4</t>
  </si>
  <si>
    <t>улица Алхимовская, 1к1</t>
  </si>
  <si>
    <t>55.475118</t>
  </si>
  <si>
    <t>37.533230</t>
  </si>
  <si>
    <t>улица Алхимовская, 1к2</t>
  </si>
  <si>
    <t>55.474965</t>
  </si>
  <si>
    <t>37.531963</t>
  </si>
  <si>
    <t>улица Алхимовская, 1к3</t>
  </si>
  <si>
    <t>55.474541</t>
  </si>
  <si>
    <t>37.532897</t>
  </si>
  <si>
    <t>MSC34</t>
  </si>
  <si>
    <t>ЖК Алхимово №5</t>
  </si>
  <si>
    <t>улица Алхимовская, 1к4</t>
  </si>
  <si>
    <t>55.474306</t>
  </si>
  <si>
    <t>улица Алхимовская, 1к5</t>
  </si>
  <si>
    <t>55.474163</t>
  </si>
  <si>
    <t>37.530642</t>
  </si>
  <si>
    <t>улица Алхимовская, 1к6</t>
  </si>
  <si>
    <t>55.473720</t>
  </si>
  <si>
    <t>37.531631</t>
  </si>
  <si>
    <t>MSC35</t>
  </si>
  <si>
    <t>ЖК Остафьево- 1</t>
  </si>
  <si>
    <t>улица Красовского, 2к1</t>
  </si>
  <si>
    <t>55.496409</t>
  </si>
  <si>
    <t>37.520455</t>
  </si>
  <si>
    <t>улица Красовского, 2к2</t>
  </si>
  <si>
    <t>55.495772</t>
  </si>
  <si>
    <t>37.520689</t>
  </si>
  <si>
    <t>улица Красовского, 2к3</t>
  </si>
  <si>
    <t>55.496001</t>
  </si>
  <si>
    <t>37.519261</t>
  </si>
  <si>
    <t>MSC36</t>
  </si>
  <si>
    <t>ЖК Остафьево- 2</t>
  </si>
  <si>
    <t>улица Логинова, 1к1</t>
  </si>
  <si>
    <t>55.498117</t>
  </si>
  <si>
    <t>37.518039</t>
  </si>
  <si>
    <t>улица Логинова, 1к2</t>
  </si>
  <si>
    <t>55.497235</t>
  </si>
  <si>
    <t>37.519054</t>
  </si>
  <si>
    <t>улица Логинова, 3</t>
  </si>
  <si>
    <t>55.497587</t>
  </si>
  <si>
    <t>37.517257</t>
  </si>
  <si>
    <t>MSC37</t>
  </si>
  <si>
    <t>ЖК Остафьево- 3</t>
  </si>
  <si>
    <t>улица Логинова, 5к1</t>
  </si>
  <si>
    <t>55.496659</t>
  </si>
  <si>
    <t>37.515407</t>
  </si>
  <si>
    <t>MSC38</t>
  </si>
  <si>
    <t>ЖК Остафьево- 4</t>
  </si>
  <si>
    <t>улица Логинова, 5к2</t>
  </si>
  <si>
    <t>55.496348</t>
  </si>
  <si>
    <t>37.517823</t>
  </si>
  <si>
    <t>MSC39</t>
  </si>
  <si>
    <t>ЖК Остафьево- 5</t>
  </si>
  <si>
    <t>улица Логинова, 7к1</t>
  </si>
  <si>
    <t>55.495251</t>
  </si>
  <si>
    <t>37.513485</t>
  </si>
  <si>
    <t>MSC43</t>
  </si>
  <si>
    <t>ЖК Остафьево- 6</t>
  </si>
  <si>
    <t>улица Логинова, 7к2</t>
  </si>
  <si>
    <t>55.494976</t>
  </si>
  <si>
    <t>37.515856</t>
  </si>
  <si>
    <t>MSC40</t>
  </si>
  <si>
    <t>ЖК Остафьево- 7</t>
  </si>
  <si>
    <t>Любучанский переулок, 1к3</t>
  </si>
  <si>
    <t>55.501768</t>
  </si>
  <si>
    <t>37.526169</t>
  </si>
  <si>
    <t>Любучанский переулок, 1к2</t>
  </si>
  <si>
    <t>55.500228</t>
  </si>
  <si>
    <t>37.527561</t>
  </si>
  <si>
    <t xml:space="preserve"> Горизонтальный 4*3</t>
  </si>
  <si>
    <t>MSC41</t>
  </si>
  <si>
    <t>ЖК Остафьево- 8</t>
  </si>
  <si>
    <t>Любучанский переулок, 1к1</t>
  </si>
  <si>
    <t>55.500494</t>
  </si>
  <si>
    <t>37.525127</t>
  </si>
  <si>
    <t>Любучанский переулок, 1к4</t>
  </si>
  <si>
    <t>55.501034</t>
  </si>
  <si>
    <t>37.527732</t>
  </si>
  <si>
    <t>I УРОВЕНЬ</t>
  </si>
  <si>
    <t>II УРОВЕНЬ</t>
  </si>
  <si>
    <t>III УРОВЕНЬ</t>
  </si>
  <si>
    <t>данные для работы скрипта, формируются на основе входных данных, не трогать</t>
  </si>
  <si>
    <t>ЖК Видный</t>
  </si>
  <si>
    <t>ЖК Яркий Квартал Париж</t>
  </si>
  <si>
    <t>ЖК Облака
 2</t>
  </si>
  <si>
    <t>ЖК Королева 1</t>
  </si>
  <si>
    <t>ЖК Мёд</t>
  </si>
  <si>
    <t xml:space="preserve"> Технические требования к рекламным материалам</t>
  </si>
  <si>
    <t>Баннер VIP  — 1032×234 px</t>
  </si>
  <si>
    <t>Основной экран  видеоролик 10 сек. или статичная картинка хронометраж 10 сек — 1032×774 px</t>
  </si>
  <si>
    <t>требования к файлам:</t>
  </si>
  <si>
    <t>• видео с соотношением сторон 4:3 MP4 — формат контейнера, кодек — H.264, 25 или 30fps</t>
  </si>
  <si>
    <t>• картинка формата — png или jpeg с подходящим разрешением под размеры</t>
  </si>
  <si>
    <t>ЖК на Завойского</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</si>
</sst>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yyyy"/>
    <numFmt numFmtId="165" formatCode="#,##0[$ ₽]"/>
  </numFmts>
  <fonts count="22">
    <font>
      <sz val="10.0"/>
      <color rgb="FF000000"/>
      <name val="Arial"/>
      <scheme val="minor"/>
    </font>
    <font>
      <b/>
      <sz val="11.0"/>
      <color rgb="FFFFFFFF"/>
      <name val="Times New Roman"/>
    </font>
    <font>
      <b/>
      <sz val="25.0"/>
      <color rgb="FF951B81"/>
      <name val="Times New Roman"/>
    </font>
    <font>
      <color theme="1"/>
      <name val="Times New Roman"/>
    </font>
    <font/>
    <font>
      <b/>
      <color theme="1"/>
      <name val="Times New Roman"/>
    </font>
    <font>
      <sz val="11.0"/>
      <color theme="1"/>
      <name val="Times New Roman"/>
    </font>
    <font>
      <u/>
      <sz val="11.0"/>
      <color rgb="FF0000FF"/>
      <name val="Times New Roman"/>
    </font>
    <font>
      <color theme="1"/>
      <name val="Arial"/>
      <scheme val="minor"/>
    </font>
    <font>
      <sz val="11.0"/>
      <color rgb="FF000000"/>
      <name val="&quot;Times New Roman&quot;"/>
    </font>
    <font>
      <color theme="1"/>
      <name val="Arial"/>
    </font>
    <font>
      <b/>
      <sz val="16.0"/>
      <color rgb="FFFFFFFF"/>
      <name val="Times New Roman"/>
    </font>
    <font>
      <sz val="11.0"/>
      <color rgb="FFFFFFFF"/>
      <name val="Times New Roman"/>
    </font>
    <font>
      <sz val="16.0"/>
      <color theme="1"/>
      <name val="Times New Roman"/>
    </font>
    <font>
      <sz val="13.0"/>
      <color theme="1"/>
      <name val="Times New Roman"/>
    </font>
    <font>
      <b/>
      <sz val="11.0"/>
      <color theme="1"/>
      <name val="Times New Roman"/>
    </font>
    <font>
      <b/>
      <sz val="12.0"/>
      <color theme="1"/>
      <name val="Times New Roman"/>
    </font>
    <font>
      <b/>
      <sz val="12.0"/>
      <color rgb="FFFFFFFF"/>
      <name val="Times New Roman"/>
    </font>
    <font>
      <b/>
      <u/>
      <sz val="11.0"/>
      <color rgb="FFFFFFFF"/>
      <name val="Times New Roman"/>
    </font>
    <font>
      <sz val="12.0"/>
      <color theme="1"/>
      <name val="Times New Roman"/>
    </font>
    <font>
      <sz val="12.0"/>
      <color rgb="FF000000"/>
      <name val="Times New Roman"/>
    </font>
    <font>
      <sz val="11.0"/>
      <color rgb="FF000000"/>
      <name val="Times New Roman"/>
    </font>
  </fonts>
  <fills count="8">
    <fill>
      <patternFill patternType="none"/>
    </fill>
    <fill>
      <patternFill patternType="lightGray"/>
    </fill>
    <fill>
      <patternFill patternType="solid">
        <fgColor rgb="FFFFFFFF"/>
        <bgColor rgb="FFFFFFFF"/>
      </patternFill>
    </fill>
    <fill>
      <patternFill patternType="solid">
        <fgColor rgb="FF951B81"/>
        <bgColor rgb="FF951B81"/>
      </patternFill>
    </fill>
    <fill>
      <patternFill patternType="solid">
        <fgColor rgb="FFFFFF00"/>
        <bgColor rgb="FFFFFF00"/>
      </patternFill>
    </fill>
    <fill>
      <patternFill patternType="solid">
        <fgColor rgb="FFB4A7D6"/>
        <bgColor rgb="FFB4A7D6"/>
      </patternFill>
    </fill>
    <fill>
      <patternFill patternType="solid">
        <fgColor rgb="FFEF7D00"/>
        <bgColor rgb="FFEF7D00"/>
      </patternFill>
    </fill>
    <fill>
      <patternFill patternType="solid">
        <fgColor rgb="FFC9DAF8"/>
        <bgColor rgb="FFC9DAF8"/>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bottom style="medium">
        <color rgb="FF000000"/>
      </bottom>
    </border>
    <border>
      <right style="medium">
        <color rgb="FF000000"/>
      </right>
      <bottom style="medium">
        <color rgb="FF000000"/>
      </bottom>
    </border>
    <border>
      <top style="medium">
        <color rgb="FF000000"/>
      </top>
    </border>
    <border>
      <right style="medium">
        <color rgb="FF000000"/>
      </right>
      <top style="medium">
        <color rgb="FF000000"/>
      </top>
    </border>
    <border>
      <left style="thin">
        <color rgb="FF000000"/>
      </left>
      <right style="thin">
        <color rgb="FF000000"/>
      </right>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ill="1" applyFont="1">
      <alignment horizontal="left" readingOrder="0" shrinkToFit="0" vertical="center" wrapText="1"/>
    </xf>
    <xf borderId="1" fillId="3" fontId="1" numFmtId="0" xfId="0" applyAlignment="1" applyBorder="1" applyFill="1" applyFont="1">
      <alignment horizontal="center" readingOrder="0" shrinkToFit="0" vertical="center" wrapText="1"/>
    </xf>
    <xf borderId="0" fillId="0" fontId="3" numFmtId="0" xfId="0" applyFont="1"/>
    <xf borderId="2" fillId="3" fontId="1" numFmtId="0" xfId="0" applyAlignment="1" applyBorder="1" applyFill="1" applyFont="1">
      <alignment shrinkToFit="0" wrapText="1"/>
    </xf>
    <xf borderId="3" fillId="0" fontId="4" numFmtId="0" xfId="0" applyBorder="1" applyFont="1"/>
    <xf borderId="0" fillId="2" fontId="1" numFmtId="0" xfId="0" applyAlignment="1" applyFill="1" applyFont="1">
      <alignment horizontal="center" readingOrder="0" shrinkToFit="0" vertical="center" wrapText="1"/>
    </xf>
    <xf borderId="1" fillId="0" fontId="3" numFmtId="0" xfId="0" applyAlignment="1" applyBorder="1" applyFont="1">
      <alignment readingOrder="0"/>
    </xf>
    <xf borderId="0" fillId="0" fontId="3" numFmtId="0" xfId="0" applyAlignment="1" applyFont="1">
      <alignment readingOrder="0"/>
    </xf>
    <xf borderId="1" fillId="0" fontId="5" numFmtId="0" xfId="0" applyAlignment="1" applyBorder="1" applyFont="1">
      <alignment readingOrder="0"/>
    </xf>
    <xf borderId="1" fillId="0" fontId="6" numFmtId="0" xfId="0" applyAlignment="1" applyBorder="1" applyFont="1">
      <alignment shrinkToFit="0" wrapText="1"/>
    </xf>
    <xf borderId="1" fillId="0" fontId="6" numFmtId="0" xfId="0" applyAlignment="1" applyBorder="1" applyFont="1">
      <alignment vertical="bottom"/>
    </xf>
    <xf borderId="1" fillId="0" fontId="3" numFmtId="0" xfId="0" applyBorder="1" applyFont="1"/>
    <xf borderId="2" fillId="3" fontId="1" numFmtId="0" xfId="0" applyAlignment="1" applyBorder="1" applyFill="1" applyFont="1">
      <alignment horizontal="center" readingOrder="0" shrinkToFit="0" vertical="center" wrapText="1"/>
    </xf>
    <xf borderId="1" fillId="0" fontId="3" numFmtId="0" xfId="0" applyAlignment="1" applyBorder="1" applyFont="1">
      <alignment horizontal="center"/>
    </xf>
    <xf borderId="1" fillId="0" fontId="6" numFmtId="0" xfId="0" applyAlignment="1" applyBorder="1" applyFont="1">
      <alignment horizontal="center" readingOrder="0" shrinkToFit="0" wrapText="1"/>
    </xf>
    <xf borderId="1" fillId="2" fontId="6" numFmtId="0" xfId="0" applyAlignment="1" applyBorder="1" applyFill="1" applyFont="1">
      <alignment horizontal="center" readingOrder="0"/>
    </xf>
    <xf borderId="1" fillId="0" fontId="3" numFmtId="1" xfId="0" applyAlignment="1" applyBorder="1" applyFont="1" applyNumberFormat="1">
      <alignment horizontal="center"/>
    </xf>
    <xf borderId="1" fillId="2" fontId="6" numFmtId="164" xfId="0" applyAlignment="1" applyBorder="1" applyFill="1" applyFont="1" applyNumberFormat="1">
      <alignment horizontal="center" readingOrder="0"/>
    </xf>
    <xf borderId="1" fillId="2" fontId="6" numFmtId="0" xfId="0" applyAlignment="1" applyBorder="1" applyFill="1" applyFont="1">
      <alignment horizontal="center"/>
    </xf>
    <xf borderId="1" fillId="2" fontId="6" numFmtId="0" xfId="0" applyAlignment="1" applyBorder="1" applyFill="1" applyFont="1">
      <alignment horizontal="left" readingOrder="0"/>
    </xf>
    <xf borderId="1" fillId="2" fontId="6" numFmtId="0" xfId="0" applyBorder="1" applyFill="1" applyFont="1"/>
    <xf borderId="1" fillId="2" fontId="6" numFmtId="3" xfId="0" applyAlignment="1" applyBorder="1" applyFill="1" applyFont="1" applyNumberFormat="1">
      <alignment horizontal="center" readingOrder="0"/>
    </xf>
    <xf borderId="1" fillId="2" fontId="6" numFmtId="3" xfId="0" applyAlignment="1" applyBorder="1" applyFill="1" applyFont="1" applyNumberFormat="1">
      <alignment horizontal="center"/>
    </xf>
    <xf borderId="1" fillId="2" fontId="6" numFmtId="0" xfId="0" applyAlignment="1" applyBorder="1" applyFill="1" applyFont="1">
      <alignment horizontal="center" readingOrder="0" shrinkToFit="0" wrapText="1"/>
    </xf>
    <xf borderId="1" fillId="2" fontId="6" numFmtId="0" xfId="0" applyAlignment="1" applyBorder="1" applyFill="1" applyFont="1">
      <alignment horizontal="center" readingOrder="0" shrinkToFit="0" wrapText="0"/>
    </xf>
    <xf borderId="4" fillId="0" fontId="6" numFmtId="0" xfId="0" applyAlignment="1" applyBorder="1" applyFont="1">
      <alignment shrinkToFit="0" wrapText="1"/>
    </xf>
    <xf borderId="1" fillId="2" fontId="6" numFmtId="0" xfId="0" applyAlignment="1" applyBorder="1" applyFill="1" applyFont="1">
      <alignment readingOrder="0"/>
    </xf>
    <xf borderId="5" fillId="0" fontId="6" numFmtId="0" xfId="0" applyAlignment="1" applyBorder="1" applyFont="1">
      <alignment shrinkToFit="0" wrapText="1"/>
    </xf>
    <xf borderId="1" fillId="2" fontId="6" numFmtId="1" xfId="0" applyAlignment="1" applyBorder="1" applyFill="1" applyFont="1" applyNumberFormat="1">
      <alignment horizontal="center"/>
    </xf>
    <xf borderId="1" fillId="0" fontId="3" numFmtId="9" xfId="0" applyAlignment="1" applyBorder="1" applyFont="1" applyNumberFormat="1">
      <alignment horizontal="center" readingOrder="0"/>
    </xf>
    <xf borderId="1" fillId="2" fontId="6" numFmtId="0" xfId="0" applyAlignment="1" applyBorder="1" applyFill="1" applyFont="1">
      <alignment vertical="bottom"/>
    </xf>
    <xf borderId="1" fillId="0" fontId="5" numFmtId="0" xfId="0" applyBorder="1" applyFont="1"/>
    <xf borderId="1" fillId="2" fontId="6" numFmtId="9" xfId="0" applyAlignment="1" applyBorder="1" applyFill="1" applyFont="1" applyNumberFormat="1">
      <alignment horizontal="center" readingOrder="0"/>
    </xf>
    <xf borderId="1" fillId="2" fontId="7" numFmtId="0" xfId="0" applyAlignment="1" applyBorder="1" applyFill="1" applyFont="1">
      <alignment readingOrder="0"/>
    </xf>
    <xf borderId="1" fillId="2" fontId="6" numFmtId="0" xfId="0" applyAlignment="1" applyBorder="1" applyFill="1" applyFont="1">
      <alignment readingOrder="0"/>
    </xf>
    <xf borderId="1" fillId="0" fontId="5" numFmtId="0" xfId="0" applyBorder="1" applyFont="1"/>
    <xf borderId="1" fillId="0" fontId="5" numFmtId="0" xfId="0" applyAlignment="1" applyBorder="1" applyFont="1">
      <alignment horizontal="center"/>
    </xf>
    <xf borderId="1" fillId="0" fontId="5" numFmtId="0" xfId="0" applyAlignment="1" applyBorder="1" applyFont="1">
      <alignment horizontal="center" readingOrder="0"/>
    </xf>
    <xf borderId="1" fillId="0" fontId="5" numFmtId="1" xfId="0" applyAlignment="1" applyBorder="1" applyFont="1" applyNumberFormat="1">
      <alignment horizontal="center"/>
    </xf>
    <xf borderId="1" fillId="4" fontId="6" numFmtId="0" xfId="0" applyAlignment="1" applyBorder="1" applyFill="1" applyFont="1">
      <alignment horizontal="center" readingOrder="0" shrinkToFit="0" wrapText="1"/>
    </xf>
    <xf borderId="1" fillId="4" fontId="6" numFmtId="0" xfId="0" applyAlignment="1" applyBorder="1" applyFill="1" applyFont="1">
      <alignment horizontal="center" readingOrder="0"/>
    </xf>
    <xf borderId="1" fillId="4" fontId="6" numFmtId="0" xfId="0" applyAlignment="1" applyBorder="1" applyFill="1" applyFont="1">
      <alignment horizontal="center"/>
    </xf>
    <xf borderId="1" fillId="4" fontId="6" numFmtId="0" xfId="0" applyAlignment="1" applyBorder="1" applyFill="1" applyFont="1">
      <alignment horizontal="left" readingOrder="0"/>
    </xf>
    <xf borderId="1" fillId="4" fontId="6" numFmtId="0" xfId="0" applyAlignment="1" applyBorder="1" applyFill="1" applyFont="1">
      <alignment readingOrder="0"/>
    </xf>
    <xf borderId="1" fillId="4" fontId="6" numFmtId="0" xfId="0" applyBorder="1" applyFill="1" applyFont="1"/>
    <xf borderId="1" fillId="4" fontId="6" numFmtId="3" xfId="0" applyAlignment="1" applyBorder="1" applyFill="1" applyFont="1" applyNumberFormat="1">
      <alignment horizontal="center" readingOrder="0"/>
    </xf>
    <xf borderId="1" fillId="4" fontId="6" numFmtId="3" xfId="0" applyAlignment="1" applyBorder="1" applyFill="1" applyFont="1" applyNumberFormat="1">
      <alignment horizontal="center"/>
    </xf>
    <xf borderId="1" fillId="4" fontId="6" numFmtId="0" xfId="0" applyAlignment="1" applyBorder="1" applyFill="1" applyFont="1">
      <alignment horizontal="center" readingOrder="0" shrinkToFit="0" wrapText="0"/>
    </xf>
    <xf borderId="1" fillId="4" fontId="6" numFmtId="1" xfId="0" applyAlignment="1" applyBorder="1" applyFill="1" applyFont="1" applyNumberFormat="1">
      <alignment horizontal="center"/>
    </xf>
    <xf borderId="1" fillId="4" fontId="6" numFmtId="9" xfId="0" applyAlignment="1" applyBorder="1" applyFill="1" applyFont="1" applyNumberFormat="1">
      <alignment horizontal="center" readingOrder="0"/>
    </xf>
    <xf borderId="1" fillId="4" fontId="6" numFmtId="0" xfId="0" applyAlignment="1" applyBorder="1" applyFill="1" applyFont="1">
      <alignment readingOrder="0"/>
    </xf>
    <xf borderId="0" fillId="4" fontId="8" numFmtId="0" xfId="0" applyAlignment="1" applyFill="1" applyFont="1">
      <alignment readingOrder="0"/>
    </xf>
    <xf borderId="1" fillId="2" fontId="9" numFmtId="0" xfId="0" applyAlignment="1" applyBorder="1" applyFill="1" applyFont="1">
      <alignment horizontal="center" readingOrder="0" shrinkToFit="0" vertical="bottom" wrapText="0"/>
    </xf>
    <xf borderId="1" fillId="3" fontId="1" numFmtId="0" xfId="0" applyAlignment="1" applyBorder="1" applyFill="1" applyFont="1">
      <alignment horizontal="center" readingOrder="0" vertical="center"/>
    </xf>
    <xf borderId="0" fillId="3" fontId="1" numFmtId="0" xfId="0" applyAlignment="1" applyFill="1" applyFont="1">
      <alignment horizontal="center" readingOrder="0" shrinkToFit="0" vertical="center" wrapText="1"/>
    </xf>
    <xf borderId="1" fillId="0" fontId="6" numFmtId="0" xfId="0" applyAlignment="1" applyBorder="1" applyFont="1">
      <alignment horizontal="center" shrinkToFit="0" vertical="bottom" wrapText="1"/>
    </xf>
    <xf borderId="1" fillId="2" fontId="6" numFmtId="0" xfId="0" applyAlignment="1" applyBorder="1" applyFill="1" applyFont="1">
      <alignment horizontal="center" vertical="bottom"/>
    </xf>
    <xf borderId="1" fillId="2" fontId="6" numFmtId="164" xfId="0" applyAlignment="1" applyBorder="1" applyFill="1" applyFont="1" applyNumberFormat="1">
      <alignment horizontal="center" vertical="bottom"/>
    </xf>
    <xf borderId="1" fillId="2" fontId="6" numFmtId="0" xfId="0" applyAlignment="1" applyBorder="1" applyFill="1" applyFont="1">
      <alignment horizontal="center" vertical="bottom"/>
    </xf>
    <xf borderId="1" fillId="2" fontId="6" numFmtId="0" xfId="0" applyAlignment="1" applyBorder="1" applyFill="1" applyFont="1">
      <alignment vertical="bottom"/>
    </xf>
    <xf borderId="1" fillId="2" fontId="6" numFmtId="3" xfId="0" applyAlignment="1" applyBorder="1" applyFill="1" applyFont="1" applyNumberFormat="1">
      <alignment horizontal="center" vertical="bottom"/>
    </xf>
    <xf borderId="1" fillId="2" fontId="6" numFmtId="0" xfId="0" applyAlignment="1" applyBorder="1" applyFill="1" applyFont="1">
      <alignment horizontal="center" shrinkToFit="0" vertical="bottom" wrapText="1"/>
    </xf>
    <xf borderId="1" fillId="0" fontId="6" numFmtId="0" xfId="0" applyAlignment="1" applyBorder="1" applyFont="1">
      <alignment horizontal="center" readingOrder="0"/>
    </xf>
    <xf borderId="1" fillId="0" fontId="6" numFmtId="1" xfId="0" applyAlignment="1" applyBorder="1" applyFont="1" applyNumberFormat="1">
      <alignment horizontal="center"/>
    </xf>
    <xf borderId="1" fillId="0" fontId="6" numFmtId="9" xfId="0" applyAlignment="1" applyBorder="1" applyFont="1" applyNumberFormat="1">
      <alignment horizontal="center" readingOrder="0"/>
    </xf>
    <xf borderId="1" fillId="0" fontId="6" numFmtId="0" xfId="0" applyAlignment="1" applyBorder="1" applyFont="1">
      <alignment readingOrder="0"/>
    </xf>
    <xf borderId="1" fillId="0" fontId="6" numFmtId="1" xfId="0" applyBorder="1" applyFont="1" applyNumberFormat="1"/>
    <xf borderId="1" fillId="0" fontId="6" numFmtId="0" xfId="0" applyAlignment="1" applyBorder="1" applyFont="1">
      <alignment readingOrder="0"/>
    </xf>
    <xf borderId="1" fillId="0" fontId="6" numFmtId="0" xfId="0" applyBorder="1" applyFont="1"/>
    <xf borderId="0" fillId="0" fontId="6" numFmtId="0" xfId="0" applyFont="1"/>
    <xf borderId="1" fillId="4" fontId="9" numFmtId="0" xfId="0" applyAlignment="1" applyBorder="1" applyFill="1" applyFont="1">
      <alignment horizontal="center" readingOrder="0" shrinkToFit="0" vertical="bottom" wrapText="0"/>
    </xf>
    <xf borderId="1" fillId="4" fontId="6" numFmtId="0" xfId="0" applyAlignment="1" applyBorder="1" applyFill="1" applyFont="1">
      <alignment horizontal="center" readingOrder="0" shrinkToFit="0" vertical="bottom" wrapText="1"/>
    </xf>
    <xf borderId="1" fillId="4" fontId="6" numFmtId="0" xfId="0" applyAlignment="1" applyBorder="1" applyFill="1" applyFont="1">
      <alignment horizontal="center" vertical="bottom"/>
    </xf>
    <xf borderId="1" fillId="4" fontId="6" numFmtId="0" xfId="0" applyAlignment="1" applyBorder="1" applyFill="1" applyFont="1">
      <alignment vertical="bottom"/>
    </xf>
    <xf borderId="1" fillId="4" fontId="6" numFmtId="0" xfId="0" applyAlignment="1" applyBorder="1" applyFill="1" applyFont="1">
      <alignment horizontal="center" shrinkToFit="0" vertical="bottom" wrapText="1"/>
    </xf>
    <xf borderId="1" fillId="4" fontId="6" numFmtId="0" xfId="0" applyAlignment="1" applyBorder="1" applyFill="1" applyFont="1">
      <alignment horizontal="center" vertical="bottom"/>
    </xf>
    <xf borderId="1" fillId="4" fontId="10" numFmtId="0" xfId="0" applyAlignment="1" applyBorder="1" applyFill="1" applyFont="1">
      <alignment vertical="bottom"/>
    </xf>
    <xf borderId="1" fillId="4" fontId="6" numFmtId="3" xfId="0" applyAlignment="1" applyBorder="1" applyFill="1" applyFont="1" applyNumberFormat="1">
      <alignment horizontal="center" vertical="bottom"/>
    </xf>
    <xf borderId="6" fillId="2" fontId="11" numFmtId="0" xfId="0" applyAlignment="1" applyBorder="1" applyFill="1" applyFont="1">
      <alignment horizontal="center" shrinkToFit="0" wrapText="1"/>
    </xf>
    <xf borderId="7" fillId="0" fontId="4" numFmtId="0" xfId="0" applyBorder="1" applyFont="1"/>
    <xf borderId="8" fillId="0" fontId="4" numFmtId="0" xfId="0" applyBorder="1" applyFont="1"/>
    <xf borderId="6" fillId="3" fontId="11" numFmtId="0" xfId="0" applyAlignment="1" applyBorder="1" applyFill="1" applyFont="1">
      <alignment horizontal="center" readingOrder="0" shrinkToFit="0" vertical="center" wrapText="1"/>
    </xf>
    <xf borderId="9" fillId="0" fontId="4" numFmtId="0" xfId="0" applyBorder="1" applyFont="1"/>
    <xf borderId="10" fillId="0" fontId="4" numFmtId="0" xfId="0" applyBorder="1" applyFont="1"/>
    <xf borderId="5" fillId="0" fontId="4" numFmtId="0" xfId="0" applyBorder="1" applyFont="1"/>
    <xf borderId="1" fillId="3" fontId="1"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5" fontId="12" numFmtId="0" xfId="0" applyAlignment="1" applyBorder="1" applyFill="1" applyFont="1">
      <alignment horizontal="center" readingOrder="0" shrinkToFit="0" vertical="center" wrapText="1"/>
    </xf>
    <xf borderId="1" fillId="0" fontId="6" numFmtId="0" xfId="0" applyAlignment="1" applyBorder="1" applyFont="1">
      <alignment readingOrder="0" vertical="bottom"/>
    </xf>
    <xf borderId="1" fillId="0" fontId="13" numFmtId="3" xfId="0" applyAlignment="1" applyBorder="1" applyFont="1" applyNumberFormat="1">
      <alignment horizontal="right" vertical="bottom"/>
    </xf>
    <xf borderId="1" fillId="0" fontId="14" numFmtId="3" xfId="0" applyAlignment="1" applyBorder="1" applyFont="1" applyNumberFormat="1">
      <alignment horizontal="right" vertical="bottom"/>
    </xf>
    <xf borderId="1" fillId="0" fontId="13" numFmtId="10" xfId="0" applyAlignment="1" applyBorder="1" applyFont="1" applyNumberFormat="1">
      <alignment horizontal="right" vertical="bottom"/>
    </xf>
    <xf borderId="0" fillId="4" fontId="10" numFmtId="0" xfId="0" applyAlignment="1" applyFill="1" applyFont="1">
      <alignment vertical="bottom"/>
    </xf>
    <xf borderId="1" fillId="2" fontId="6" numFmtId="0" xfId="0" applyAlignment="1" applyBorder="1" applyFill="1" applyFont="1">
      <alignment readingOrder="0" vertical="bottom"/>
    </xf>
    <xf borderId="1" fillId="2" fontId="9" numFmtId="0" xfId="0" applyAlignment="1" applyBorder="1" applyFill="1" applyFont="1">
      <alignment horizontal="center" readingOrder="0" shrinkToFit="0" vertical="bottom" wrapText="0"/>
    </xf>
    <xf borderId="1" fillId="2" fontId="6" numFmtId="1" xfId="0" applyBorder="1" applyFill="1" applyFont="1" applyNumberFormat="1"/>
    <xf borderId="1" fillId="2" fontId="6" numFmtId="0" xfId="0" applyBorder="1" applyFill="1" applyFont="1"/>
    <xf borderId="0" fillId="2" fontId="6" numFmtId="0" xfId="0" applyFill="1" applyFont="1"/>
    <xf borderId="1" fillId="2" fontId="10" numFmtId="0" xfId="0" applyAlignment="1" applyBorder="1" applyFill="1" applyFont="1">
      <alignment vertical="bottom"/>
    </xf>
    <xf borderId="11" fillId="2" fontId="3" numFmtId="0" xfId="0" applyAlignment="1" applyBorder="1" applyFill="1" applyFont="1">
      <alignment horizontal="center" vertical="center"/>
    </xf>
    <xf borderId="6" fillId="3" fontId="11" numFmtId="0" xfId="0" applyAlignment="1" applyBorder="1" applyFill="1" applyFont="1">
      <alignment horizontal="center" readingOrder="0" vertical="center"/>
    </xf>
    <xf borderId="0" fillId="2" fontId="6" numFmtId="0" xfId="0" applyAlignment="1" applyFill="1" applyFont="1">
      <alignment vertical="center"/>
    </xf>
    <xf borderId="0" fillId="2" fontId="6" numFmtId="0" xfId="0" applyAlignment="1" applyFill="1" applyFont="1">
      <alignment vertical="bottom"/>
    </xf>
    <xf borderId="0" fillId="2" fontId="15" numFmtId="0" xfId="0" applyAlignment="1" applyFill="1" applyFont="1">
      <alignment shrinkToFit="0" vertical="bottom" wrapText="1"/>
    </xf>
    <xf borderId="4" fillId="0" fontId="4" numFmtId="0" xfId="0" applyBorder="1" applyFont="1"/>
    <xf borderId="1" fillId="2" fontId="16" numFmtId="0" xfId="0" applyAlignment="1" applyBorder="1" applyFill="1" applyFont="1">
      <alignment vertical="center"/>
    </xf>
    <xf borderId="1" fillId="3" fontId="17" numFmtId="0" xfId="0" applyAlignment="1" applyBorder="1" applyFill="1" applyFont="1">
      <alignment vertical="center"/>
    </xf>
    <xf borderId="2" fillId="0" fontId="14" numFmtId="0" xfId="0" applyAlignment="1" applyBorder="1" applyFont="1">
      <alignment horizontal="center" readingOrder="0" vertical="center"/>
    </xf>
    <xf borderId="1" fillId="3" fontId="18" numFmtId="0" xfId="0" applyAlignment="1" applyBorder="1" applyFill="1" applyFont="1">
      <alignment readingOrder="0" vertical="center"/>
    </xf>
    <xf borderId="1" fillId="3" fontId="17" numFmtId="0" xfId="0" applyAlignment="1" applyBorder="1" applyFill="1" applyFont="1">
      <alignment shrinkToFit="0" vertical="center" wrapText="1"/>
    </xf>
    <xf borderId="2" fillId="0" fontId="19" numFmtId="0" xfId="0" applyAlignment="1" applyBorder="1" applyFont="1">
      <alignment horizontal="center" shrinkToFit="0" vertical="center" wrapText="1"/>
    </xf>
    <xf borderId="2" fillId="0" fontId="19" numFmtId="3" xfId="0" applyAlignment="1" applyBorder="1" applyFont="1" applyNumberFormat="1">
      <alignment horizontal="center" vertical="center"/>
    </xf>
    <xf borderId="12" fillId="0" fontId="4" numFmtId="0" xfId="0" applyBorder="1" applyFont="1"/>
    <xf borderId="0" fillId="0" fontId="3" numFmtId="0" xfId="0" applyAlignment="1" applyFont="1">
      <alignment vertical="center"/>
    </xf>
    <xf borderId="0" fillId="2" fontId="6" numFmtId="0" xfId="0" applyAlignment="1" applyFill="1" applyFont="1">
      <alignment shrinkToFit="0" vertical="bottom" wrapText="1"/>
    </xf>
    <xf borderId="0" fillId="2" fontId="16" numFmtId="0" xfId="0" applyAlignment="1" applyFill="1" applyFont="1">
      <alignment vertical="center"/>
    </xf>
    <xf borderId="1" fillId="3" fontId="17" numFmtId="0" xfId="0" applyAlignment="1" applyBorder="1" applyFill="1" applyFont="1">
      <alignment horizontal="center" readingOrder="0" shrinkToFit="0" vertical="center" wrapText="1"/>
    </xf>
    <xf borderId="1" fillId="3" fontId="17" numFmtId="0" xfId="0" applyAlignment="1" applyBorder="1" applyFill="1" applyFont="1">
      <alignment horizontal="center" shrinkToFit="0" vertical="center" wrapText="1"/>
    </xf>
    <xf borderId="1" fillId="6" fontId="17" numFmtId="0" xfId="0" applyAlignment="1" applyBorder="1" applyFill="1" applyFont="1">
      <alignment horizontal="center" shrinkToFit="0" vertical="center" wrapText="1"/>
    </xf>
    <xf borderId="1" fillId="4" fontId="20" numFmtId="3" xfId="0" applyAlignment="1" applyBorder="1" applyFill="1" applyFont="1" applyNumberFormat="1">
      <alignment horizontal="center"/>
    </xf>
    <xf borderId="1" fillId="4" fontId="20" numFmtId="3" xfId="0" applyAlignment="1" applyBorder="1" applyFill="1" applyFont="1" applyNumberFormat="1">
      <alignment horizontal="center" readingOrder="0"/>
    </xf>
    <xf borderId="1" fillId="0" fontId="20" numFmtId="3" xfId="0" applyAlignment="1" applyBorder="1" applyFont="1" applyNumberFormat="1">
      <alignment horizontal="center"/>
    </xf>
    <xf borderId="1" fillId="0" fontId="20" numFmtId="165" xfId="0" applyAlignment="1" applyBorder="1" applyFont="1" applyNumberFormat="1">
      <alignment horizontal="center" readingOrder="0"/>
    </xf>
    <xf borderId="1" fillId="6" fontId="21" numFmtId="0" xfId="0" applyAlignment="1" applyBorder="1" applyFill="1" applyFont="1">
      <alignment readingOrder="0" vertical="bottom"/>
    </xf>
    <xf borderId="1" fillId="0" fontId="21" numFmtId="165" xfId="0" applyAlignment="1" applyBorder="1" applyFont="1" applyNumberFormat="1">
      <alignment vertical="bottom"/>
    </xf>
    <xf borderId="0" fillId="2" fontId="21" numFmtId="0" xfId="0" applyAlignment="1" applyFill="1" applyFont="1">
      <alignment readingOrder="0" vertical="bottom"/>
    </xf>
    <xf borderId="0" fillId="0" fontId="21" numFmtId="0" xfId="0" applyFont="1"/>
    <xf borderId="0" fillId="0" fontId="21" numFmtId="0" xfId="0" applyAlignment="1" applyFont="1">
      <alignment vertical="bottom"/>
    </xf>
    <xf borderId="13" fillId="3" fontId="17" numFmtId="0" xfId="0" applyAlignment="1" applyBorder="1" applyFill="1" applyFont="1">
      <alignment readingOrder="0" vertical="center"/>
    </xf>
    <xf borderId="1" fillId="6" fontId="17" numFmtId="0" xfId="0" applyAlignment="1" applyBorder="1" applyFill="1" applyFont="1">
      <alignment horizontal="center" readingOrder="0" shrinkToFit="0" vertical="center" wrapText="1"/>
    </xf>
    <xf borderId="14" fillId="3" fontId="17" numFmtId="0" xfId="0" applyAlignment="1" applyBorder="1" applyFill="1" applyFont="1">
      <alignment readingOrder="0" vertical="center"/>
    </xf>
    <xf borderId="15" fillId="0" fontId="3" numFmtId="0" xfId="0" applyAlignment="1" applyBorder="1" applyFont="1">
      <alignment readingOrder="0"/>
    </xf>
    <xf borderId="16" fillId="0" fontId="3" numFmtId="0" xfId="0" applyAlignment="1" applyBorder="1" applyFont="1">
      <alignment readingOrder="0"/>
    </xf>
    <xf borderId="0" fillId="2" fontId="6" numFmtId="0" xfId="0" applyAlignment="1" applyFill="1" applyFont="1">
      <alignment horizontal="center"/>
    </xf>
    <xf borderId="17" fillId="3" fontId="17" numFmtId="0" xfId="0" applyAlignment="1" applyBorder="1" applyFill="1" applyFont="1">
      <alignment readingOrder="0" vertical="center"/>
    </xf>
    <xf borderId="17" fillId="2" fontId="6" numFmtId="0" xfId="0" applyAlignment="1" applyBorder="1" applyFill="1" applyFont="1">
      <alignment readingOrder="0" shrinkToFit="0" vertical="bottom" wrapText="1"/>
    </xf>
    <xf borderId="18" fillId="2" fontId="6" numFmtId="0" xfId="0" applyAlignment="1" applyBorder="1" applyFill="1" applyFont="1">
      <alignment readingOrder="0" vertical="bottom"/>
    </xf>
    <xf borderId="15" fillId="3" fontId="17" numFmtId="0" xfId="0" applyAlignment="1" applyBorder="1" applyFill="1" applyFont="1">
      <alignment readingOrder="0" vertical="center"/>
    </xf>
    <xf borderId="15" fillId="2" fontId="6" numFmtId="0" xfId="0" applyAlignment="1" applyBorder="1" applyFill="1" applyFont="1">
      <alignment readingOrder="0" shrinkToFit="0" vertical="bottom" wrapText="1"/>
    </xf>
    <xf borderId="16" fillId="2" fontId="6" numFmtId="0" xfId="0" applyAlignment="1" applyBorder="1" applyFill="1" applyFont="1">
      <alignment readingOrder="0" vertical="bottom"/>
    </xf>
    <xf borderId="0" fillId="2" fontId="6" numFmtId="0" xfId="0" applyAlignment="1" applyFill="1" applyFont="1">
      <alignment horizontal="center" readingOrder="0"/>
    </xf>
    <xf borderId="0" fillId="2" fontId="6" numFmtId="1" xfId="0" applyAlignment="1" applyFill="1" applyFont="1" applyNumberFormat="1">
      <alignment horizontal="center"/>
    </xf>
    <xf borderId="2" fillId="3" fontId="17" numFmtId="0" xfId="0" applyAlignment="1" applyBorder="1" applyFill="1" applyFont="1">
      <alignment horizontal="center" readingOrder="0" vertical="center"/>
    </xf>
    <xf borderId="1" fillId="3" fontId="17" numFmtId="0" xfId="0" applyAlignment="1" applyBorder="1" applyFill="1" applyFont="1">
      <alignment horizontal="center" readingOrder="0" vertical="center"/>
    </xf>
    <xf borderId="0" fillId="2" fontId="6" numFmtId="0" xfId="0" applyAlignment="1" applyFill="1" applyFont="1">
      <alignment readingOrder="0" shrinkToFit="0" vertical="bottom" wrapText="1"/>
    </xf>
    <xf borderId="0" fillId="2" fontId="6" numFmtId="0" xfId="0" applyAlignment="1" applyFill="1" applyFont="1">
      <alignment readingOrder="0" vertical="bottom"/>
    </xf>
    <xf borderId="1" fillId="0" fontId="6" numFmtId="0" xfId="0" applyAlignment="1" applyBorder="1" applyFont="1">
      <alignment horizontal="center" vertical="bottom"/>
    </xf>
    <xf borderId="1" fillId="0" fontId="6" numFmtId="1" xfId="0" applyAlignment="1" applyBorder="1" applyFont="1" applyNumberFormat="1">
      <alignment horizontal="center" vertical="bottom"/>
    </xf>
    <xf borderId="1" fillId="0" fontId="6" numFmtId="9" xfId="0" applyAlignment="1" applyBorder="1" applyFont="1" applyNumberFormat="1">
      <alignment horizontal="center" vertical="bottom"/>
    </xf>
    <xf borderId="1" fillId="0" fontId="10" numFmtId="0" xfId="0" applyAlignment="1" applyBorder="1" applyFont="1">
      <alignment vertical="bottom"/>
    </xf>
    <xf borderId="1" fillId="0" fontId="6" numFmtId="1" xfId="0" applyAlignment="1" applyBorder="1" applyFont="1" applyNumberFormat="1">
      <alignment horizontal="right" vertical="bottom"/>
    </xf>
    <xf borderId="1" fillId="0" fontId="6" numFmtId="0" xfId="0" applyAlignment="1" applyBorder="1" applyFont="1">
      <alignment horizontal="right" vertical="bottom"/>
    </xf>
    <xf borderId="1" fillId="0" fontId="6" numFmtId="0" xfId="0" applyAlignment="1" applyBorder="1" applyFont="1">
      <alignment horizontal="right" vertical="bottom"/>
    </xf>
    <xf borderId="0" fillId="0" fontId="6" numFmtId="0" xfId="0" applyAlignment="1" applyFont="1">
      <alignment horizontal="right" vertical="bottom"/>
    </xf>
    <xf borderId="1" fillId="0" fontId="6" numFmtId="0" xfId="0" applyAlignment="1" applyBorder="1" applyFont="1">
      <alignment horizontal="center"/>
    </xf>
    <xf borderId="1" fillId="2" fontId="6" numFmtId="0" xfId="0" applyAlignment="1" applyBorder="1" applyFill="1" applyFont="1">
      <alignment horizontal="left"/>
    </xf>
    <xf borderId="1" fillId="2" fontId="6" numFmtId="1" xfId="0" applyAlignment="1" applyBorder="1" applyFill="1" applyFont="1" applyNumberFormat="1">
      <alignment horizontal="center" readingOrder="0"/>
    </xf>
    <xf borderId="1" fillId="2" fontId="6" numFmtId="0" xfId="0" applyAlignment="1" applyBorder="1" applyFill="1" applyFont="1">
      <alignment horizontal="center" shrinkToFit="0" wrapText="1"/>
    </xf>
    <xf borderId="1" fillId="2" fontId="19" numFmtId="0" xfId="0" applyAlignment="1" applyBorder="1" applyFill="1" applyFont="1">
      <alignment horizontal="center" shrinkToFit="0" wrapText="1"/>
    </xf>
    <xf borderId="1" fillId="0" fontId="3" numFmtId="0" xfId="0" applyAlignment="1" applyBorder="1" applyFont="1">
      <alignment vertical="center"/>
    </xf>
    <xf borderId="1" fillId="7" fontId="5" numFmtId="0" xfId="0" applyAlignment="1" applyBorder="1" applyFill="1" applyFont="1">
      <alignment readingOrder="0"/>
    </xf>
    <xf borderId="0" fillId="7" fontId="5" numFmtId="0" xfId="0" applyFill="1" applyFont="1"/>
    <xf borderId="0" fillId="7" fontId="3" numFmtId="0" xfId="0" applyFill="1" applyFont="1"/>
    <xf borderId="11" fillId="0" fontId="3" numFmtId="0" xfId="0" applyAlignment="1" applyBorder="1" applyFont="1">
      <alignment readingOrder="0" vertical="center"/>
    </xf>
    <xf borderId="0" fillId="4" fontId="3" numFmtId="0" xfId="0" applyFill="1" applyFont="1"/>
    <xf borderId="19" fillId="0" fontId="4" numFmtId="0" xfId="0" applyBorder="1" applyFont="1"/>
    <xf borderId="1" fillId="2" fontId="3" numFmtId="0" xfId="0" applyAlignment="1" applyBorder="1" applyFill="1" applyFont="1">
      <alignment readingOrder="0"/>
    </xf>
    <xf borderId="0" fillId="2" fontId="3" numFmtId="0" xfId="0" applyFill="1" applyFont="1"/>
    <xf borderId="1" fillId="0" fontId="6" numFmtId="0" xfId="0" applyAlignment="1" applyBorder="1" applyFont="1">
      <alignment horizontal="center" shrinkToFit="0" vertical="bottom" wrapText="1"/>
    </xf>
    <xf borderId="1" fillId="2" fontId="6" numFmtId="0" xfId="0" applyAlignment="1" applyBorder="1" applyFill="1" applyFont="1">
      <alignment horizontal="center" shrinkToFit="0" vertical="bottom" wrapText="1"/>
    </xf>
    <xf borderId="1" fillId="0" fontId="3" numFmtId="0" xfId="0" applyAlignment="1" applyBorder="1" applyFont="1">
      <alignment shrinkToFit="0" wrapText="1"/>
    </xf>
    <xf borderId="11" fillId="2" fontId="6" numFmtId="0" xfId="0" applyAlignment="1" applyBorder="1" applyFill="1" applyFont="1">
      <alignment horizontal="center" vertical="bottom"/>
    </xf>
    <xf borderId="0" fillId="0" fontId="3" numFmtId="0" xfId="0" applyAlignment="1" applyFont="1">
      <alignment vertical="bottom"/>
    </xf>
    <xf borderId="0" fillId="0" fontId="6" numFmtId="0" xfId="0" applyAlignment="1" applyFont="1">
      <alignment vertical="bottom"/>
    </xf>
    <xf borderId="1" fillId="2" fontId="6" numFmtId="0" xfId="0" applyAlignment="1" applyBorder="1" applyFill="1" applyFont="1">
      <alignment horizontal="center" readingOrder="0" vertical="bottom"/>
    </xf>
  </cellXfs>
  <cellStyles count="1">
    <cellStyle xfId="0" name="Normal" builtinId="0"/>
  </cellStyles>
  <dxfs count="3">
    <dxf>
      <font/>
      <fill>
        <patternFill patternType="solid">
          <fgColor rgb="FFB7E1CD"/>
          <bgColor rgb="FFB7E1CD"/>
        </patternFill>
      </fill>
      <border/>
    </dxf>
    <dxf>
      <font/>
      <fill>
        <patternFill patternType="solid">
          <fgColor rgb="FF00FF00"/>
          <bgColor rgb="FF00FF00"/>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4.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33575" cy="1362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85825"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609725"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86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676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19125" cy="4381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762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6</xdr:row>
      <xdr:rowOff>180975</xdr:rowOff>
    </xdr:from>
    <xdr:ext cx="7096125" cy="6067425"/>
    <xdr:pic>
      <xdr:nvPicPr>
        <xdr:cNvPr id="0" name="image5.jp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942975</xdr:colOff>
      <xdr:row>6</xdr:row>
      <xdr:rowOff>180975</xdr:rowOff>
    </xdr:from>
    <xdr:ext cx="7791450" cy="3695700"/>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962025" cy="6762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bb.co/1S8hzvX" TargetMode="External"/><Relationship Id="rId2" Type="http://schemas.openxmlformats.org/officeDocument/2006/relationships/hyperlink" Target="https://ibb.co/1pfqR3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87.5"/>
  </cols>
  <sheetData>
    <row r="1" ht="136.5" customHeight="1">
      <c r="A1" s="1"/>
      <c r="C1" s="1"/>
    </row>
    <row r="2">
      <c r="A2" s="5" t="s">
        <v>13</v>
      </c>
      <c r="B2" s="6"/>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c r="A3" s="11">
        <v>1.0</v>
      </c>
      <c r="B3" s="12" t="s">
        <v>13</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c r="A4" s="11">
        <v>2.0</v>
      </c>
      <c r="B4" s="11" t="s">
        <v>30</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c r="A5" s="11">
        <v>3.0</v>
      </c>
      <c r="B5" s="11" t="s">
        <v>35</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c r="A6" s="11">
        <v>6.0</v>
      </c>
      <c r="B6" s="11" t="s">
        <v>46</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c r="A7" s="11">
        <v>7.0</v>
      </c>
      <c r="B7" s="11" t="s">
        <v>54</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c r="A8" s="11">
        <v>8.0</v>
      </c>
      <c r="B8" s="11" t="s">
        <v>60</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c r="A9" s="11">
        <v>9.0</v>
      </c>
      <c r="B9" s="11" t="s">
        <v>64</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c r="A10" s="11">
        <v>10.0</v>
      </c>
      <c r="B10" s="11" t="s">
        <v>66</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c r="A11" s="5" t="s">
        <v>71</v>
      </c>
      <c r="B11" s="6"/>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c r="A12" s="11">
        <v>11.0</v>
      </c>
      <c r="B12" s="11" t="s">
        <v>72</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c r="A13" s="11">
        <v>12.0</v>
      </c>
      <c r="B13" s="11" t="s">
        <v>73</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c r="A14" s="11">
        <v>13.0</v>
      </c>
      <c r="B14" s="11" t="s">
        <v>74</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c r="A15" s="27">
        <v>14.0</v>
      </c>
      <c r="B15" s="29" t="s">
        <v>77</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5" t="s">
        <v>79</v>
      </c>
      <c r="B16" s="6"/>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c r="A17" s="27">
        <v>16.0</v>
      </c>
      <c r="B17" s="29" t="s">
        <v>80</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c r="A18" s="27">
        <v>17.0</v>
      </c>
      <c r="B18" s="32" t="s">
        <v>81</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c r="A19" s="12">
        <v>18.0</v>
      </c>
      <c r="B19" s="32" t="s">
        <v>83</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c r="A20" s="12">
        <v>19.0</v>
      </c>
      <c r="B20" s="32" t="s">
        <v>85</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5">
    <mergeCell ref="A1:B1"/>
    <mergeCell ref="C1:AM1"/>
    <mergeCell ref="A2:B2"/>
    <mergeCell ref="A11:B11"/>
    <mergeCell ref="A16:B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87.5"/>
    <col customWidth="1" min="3" max="3" width="22.88"/>
    <col customWidth="1" min="4" max="4" width="19.25"/>
  </cols>
  <sheetData>
    <row r="1" ht="49.5" customHeight="1">
      <c r="A1" s="1"/>
      <c r="C1" s="1"/>
    </row>
    <row r="2">
      <c r="A2" s="3" t="s">
        <v>1</v>
      </c>
      <c r="B2" s="3" t="s">
        <v>2</v>
      </c>
      <c r="C2" s="3" t="s">
        <v>3</v>
      </c>
      <c r="D2" s="3" t="s">
        <v>4</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c r="A3" s="9" t="str">
        <f>IFERROR(__xludf.DUMMYFUNCTION("SORT(UNIQUE(CHOOSECOLS(FILTER('Основной эфир'!B3:I1149,LEN('Основной эфир'!I3:I1149)&gt;0),1,2,5)))"),"Московская область")</f>
        <v>Московская область</v>
      </c>
      <c r="B3" s="9" t="str">
        <f>IFERROR(__xludf.DUMMYFUNCTION("""COMPUTED_VALUE"""),"Внуково")</f>
        <v>Внуково</v>
      </c>
      <c r="C3" s="9" t="str">
        <f>IFERROR(__xludf.DUMMYFUNCTION("""COMPUTED_VALUE"""),"А")</f>
        <v>А</v>
      </c>
      <c r="D3" s="9" t="s">
        <v>20</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c r="A4" s="4" t="str">
        <f>IFERROR(__xludf.DUMMYFUNCTION("""COMPUTED_VALUE"""),"Московская область")</f>
        <v>Московская область</v>
      </c>
      <c r="B4" s="4" t="str">
        <f>IFERROR(__xludf.DUMMYFUNCTION("""COMPUTED_VALUE"""),"Красногорск")</f>
        <v>Красногорск</v>
      </c>
      <c r="C4" s="4" t="str">
        <f>IFERROR(__xludf.DUMMYFUNCTION("""COMPUTED_VALUE"""),"Б")</f>
        <v>Б</v>
      </c>
      <c r="D4" s="9" t="s">
        <v>20</v>
      </c>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c r="A5" s="4" t="str">
        <f>IFERROR(__xludf.DUMMYFUNCTION("""COMPUTED_VALUE"""),"Московская область")</f>
        <v>Московская область</v>
      </c>
      <c r="B5" s="4" t="str">
        <f>IFERROR(__xludf.DUMMYFUNCTION("""COMPUTED_VALUE"""),"Мисайлово")</f>
        <v>Мисайлово</v>
      </c>
      <c r="C5" s="4" t="str">
        <f>IFERROR(__xludf.DUMMYFUNCTION("""COMPUTED_VALUE"""),"Б")</f>
        <v>Б</v>
      </c>
      <c r="D5" s="9" t="s">
        <v>20</v>
      </c>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c r="A6" s="4" t="str">
        <f>IFERROR(__xludf.DUMMYFUNCTION("""COMPUTED_VALUE"""),"Московская область")</f>
        <v>Московская область</v>
      </c>
      <c r="B6" s="4" t="str">
        <f>IFERROR(__xludf.DUMMYFUNCTION("""COMPUTED_VALUE"""),"Одинцово")</f>
        <v>Одинцово</v>
      </c>
      <c r="C6" s="4" t="str">
        <f>IFERROR(__xludf.DUMMYFUNCTION("""COMPUTED_VALUE"""),"А")</f>
        <v>А</v>
      </c>
      <c r="D6" s="9" t="s">
        <v>20</v>
      </c>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c r="A7" s="4" t="str">
        <f>IFERROR(__xludf.DUMMYFUNCTION("""COMPUTED_VALUE"""),"Московская область")</f>
        <v>Московская область</v>
      </c>
      <c r="B7" s="4" t="str">
        <f>IFERROR(__xludf.DUMMYFUNCTION("""COMPUTED_VALUE"""),"Одинцово")</f>
        <v>Одинцово</v>
      </c>
      <c r="C7" s="4" t="str">
        <f>IFERROR(__xludf.DUMMYFUNCTION("""COMPUTED_VALUE"""),"Б")</f>
        <v>Б</v>
      </c>
      <c r="D7" s="9" t="s">
        <v>31</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c r="A8" s="4" t="str">
        <f>IFERROR(__xludf.DUMMYFUNCTION("""COMPUTED_VALUE"""),"Московская область")</f>
        <v>Московская область</v>
      </c>
      <c r="B8" s="4" t="str">
        <f>IFERROR(__xludf.DUMMYFUNCTION("""COMPUTED_VALUE"""),"Путилково")</f>
        <v>Путилково</v>
      </c>
      <c r="C8" s="4" t="str">
        <f>IFERROR(__xludf.DUMMYFUNCTION("""COMPUTED_VALUE"""),"А")</f>
        <v>А</v>
      </c>
      <c r="D8" s="9" t="s">
        <v>31</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row>
    <row r="9">
      <c r="A9" s="4" t="str">
        <f>IFERROR(__xludf.DUMMYFUNCTION("""COMPUTED_VALUE"""),"Московская область")</f>
        <v>Московская область</v>
      </c>
      <c r="B9" s="4" t="str">
        <f>IFERROR(__xludf.DUMMYFUNCTION("""COMPUTED_VALUE"""),"Щербинка")</f>
        <v>Щербинка</v>
      </c>
      <c r="C9" s="4" t="str">
        <f>IFERROR(__xludf.DUMMYFUNCTION("""COMPUTED_VALUE"""),"Б")</f>
        <v>Б</v>
      </c>
      <c r="D9" s="9" t="s">
        <v>31</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row>
    <row r="10">
      <c r="A10" s="4" t="str">
        <f>IFERROR(__xludf.DUMMYFUNCTION("""COMPUTED_VALUE"""),"Нижегородская область")</f>
        <v>Нижегородская область</v>
      </c>
      <c r="B10" s="4" t="str">
        <f>IFERROR(__xludf.DUMMYFUNCTION("""COMPUTED_VALUE"""),"Нижний Новгород")</f>
        <v>Нижний Новгород</v>
      </c>
      <c r="C10" s="4" t="str">
        <f>IFERROR(__xludf.DUMMYFUNCTION("""COMPUTED_VALUE"""),"Б")</f>
        <v>Б</v>
      </c>
      <c r="D10" s="9" t="s">
        <v>20</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c r="A11" s="4" t="str">
        <f>IFERROR(__xludf.DUMMYFUNCTION("""COMPUTED_VALUE"""),"Оренбургская область")</f>
        <v>Оренбургская область</v>
      </c>
      <c r="B11" s="4" t="str">
        <f>IFERROR(__xludf.DUMMYFUNCTION("""COMPUTED_VALUE"""),"Оренбург")</f>
        <v>Оренбург</v>
      </c>
      <c r="C11" s="4" t="str">
        <f>IFERROR(__xludf.DUMMYFUNCTION("""COMPUTED_VALUE"""),"А")</f>
        <v>А</v>
      </c>
      <c r="D11" s="9" t="s">
        <v>20</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c r="A12" s="4" t="str">
        <f>IFERROR(__xludf.DUMMYFUNCTION("""COMPUTED_VALUE"""),"Оренбургская область")</f>
        <v>Оренбургская область</v>
      </c>
      <c r="B12" s="4" t="str">
        <f>IFERROR(__xludf.DUMMYFUNCTION("""COMPUTED_VALUE"""),"Оренбург")</f>
        <v>Оренбург</v>
      </c>
      <c r="C12" s="4" t="str">
        <f>IFERROR(__xludf.DUMMYFUNCTION("""COMPUTED_VALUE"""),"Б")</f>
        <v>Б</v>
      </c>
      <c r="D12" s="9" t="s">
        <v>20</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c r="A13" s="4" t="str">
        <f>IFERROR(__xludf.DUMMYFUNCTION("""COMPUTED_VALUE"""),"Республика Башкортостан")</f>
        <v>Республика Башкортостан</v>
      </c>
      <c r="B13" s="4" t="str">
        <f>IFERROR(__xludf.DUMMYFUNCTION("""COMPUTED_VALUE"""),"Нефтекамск")</f>
        <v>Нефтекамск</v>
      </c>
      <c r="C13" s="4" t="str">
        <f>IFERROR(__xludf.DUMMYFUNCTION("""COMPUTED_VALUE"""),"Б")</f>
        <v>Б</v>
      </c>
      <c r="D13" s="9" t="s">
        <v>20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c r="A14" s="4" t="str">
        <f>IFERROR(__xludf.DUMMYFUNCTION("""COMPUTED_VALUE"""),"Республика Башкортостан")</f>
        <v>Республика Башкортостан</v>
      </c>
      <c r="B14" s="4" t="str">
        <f>IFERROR(__xludf.DUMMYFUNCTION("""COMPUTED_VALUE"""),"Октябрьский")</f>
        <v>Октябрьский</v>
      </c>
      <c r="C14" s="4" t="str">
        <f>IFERROR(__xludf.DUMMYFUNCTION("""COMPUTED_VALUE"""),"Б")</f>
        <v>Б</v>
      </c>
      <c r="D14" s="9" t="s">
        <v>20</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c r="A15" s="4" t="str">
        <f>IFERROR(__xludf.DUMMYFUNCTION("""COMPUTED_VALUE"""),"Республика Башкортостан")</f>
        <v>Республика Башкортостан</v>
      </c>
      <c r="B15" s="4" t="str">
        <f>IFERROR(__xludf.DUMMYFUNCTION("""COMPUTED_VALUE"""),"Стерлитамак")</f>
        <v>Стерлитамак</v>
      </c>
      <c r="C15" s="4" t="str">
        <f>IFERROR(__xludf.DUMMYFUNCTION("""COMPUTED_VALUE"""),"А")</f>
        <v>А</v>
      </c>
      <c r="D15" s="9" t="s">
        <v>20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4" t="str">
        <f>IFERROR(__xludf.DUMMYFUNCTION("""COMPUTED_VALUE"""),"Республика Башкортостан")</f>
        <v>Республика Башкортостан</v>
      </c>
      <c r="B16" s="4" t="str">
        <f>IFERROR(__xludf.DUMMYFUNCTION("""COMPUTED_VALUE"""),"Уфа")</f>
        <v>Уфа</v>
      </c>
      <c r="C16" s="4" t="str">
        <f>IFERROR(__xludf.DUMMYFUNCTION("""COMPUTED_VALUE"""),"А")</f>
        <v>А</v>
      </c>
      <c r="D16" s="9" t="s">
        <v>20</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c r="A17" s="4" t="str">
        <f>IFERROR(__xludf.DUMMYFUNCTION("""COMPUTED_VALUE"""),"Республика Башкортостан")</f>
        <v>Республика Башкортостан</v>
      </c>
      <c r="B17" s="4" t="str">
        <f>IFERROR(__xludf.DUMMYFUNCTION("""COMPUTED_VALUE"""),"Уфа")</f>
        <v>Уфа</v>
      </c>
      <c r="C17" s="4" t="str">
        <f>IFERROR(__xludf.DUMMYFUNCTION("""COMPUTED_VALUE"""),"Б")</f>
        <v>Б</v>
      </c>
      <c r="D17" s="9" t="s">
        <v>20</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row>
    <row r="18">
      <c r="A18" s="4" t="str">
        <f>IFERROR(__xludf.DUMMYFUNCTION("""COMPUTED_VALUE"""),"Республика Татарстан")</f>
        <v>Республика Татарстан</v>
      </c>
      <c r="B18" s="4" t="str">
        <f>IFERROR(__xludf.DUMMYFUNCTION("""COMPUTED_VALUE"""),"Казань")</f>
        <v>Казань</v>
      </c>
      <c r="C18" s="4" t="str">
        <f>IFERROR(__xludf.DUMMYFUNCTION("""COMPUTED_VALUE"""),"А")</f>
        <v>А</v>
      </c>
      <c r="D18" s="9" t="s">
        <v>20</v>
      </c>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c r="A19" s="4" t="str">
        <f>IFERROR(__xludf.DUMMYFUNCTION("""COMPUTED_VALUE"""),"Республика Татарстан")</f>
        <v>Республика Татарстан</v>
      </c>
      <c r="B19" s="4" t="str">
        <f>IFERROR(__xludf.DUMMYFUNCTION("""COMPUTED_VALUE"""),"Казань")</f>
        <v>Казань</v>
      </c>
      <c r="C19" s="4" t="str">
        <f>IFERROR(__xludf.DUMMYFUNCTION("""COMPUTED_VALUE"""),"Б")</f>
        <v>Б</v>
      </c>
      <c r="D19" s="9" t="s">
        <v>31</v>
      </c>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c r="A20" s="4" t="str">
        <f>IFERROR(__xludf.DUMMYFUNCTION("""COMPUTED_VALUE"""),"Республика Татарстан")</f>
        <v>Республика Татарстан</v>
      </c>
      <c r="B20" s="4" t="str">
        <f>IFERROR(__xludf.DUMMYFUNCTION("""COMPUTED_VALUE"""),"Усады")</f>
        <v>Усады</v>
      </c>
      <c r="C20" s="4" t="str">
        <f>IFERROR(__xludf.DUMMYFUNCTION("""COMPUTED_VALUE"""),"Б")</f>
        <v>Б</v>
      </c>
      <c r="D20" s="9" t="s">
        <v>20</v>
      </c>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c r="A21" s="4"/>
      <c r="B21" s="4"/>
      <c r="C21" s="4"/>
      <c r="D21" s="9" t="s">
        <v>20</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c r="A22" s="4"/>
      <c r="B22" s="4"/>
      <c r="C22" s="4"/>
      <c r="D22" s="9" t="s">
        <v>31</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c r="A23" s="4"/>
      <c r="B23" s="4"/>
      <c r="C23" s="4"/>
      <c r="D23" s="9" t="s">
        <v>31</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c r="A24" s="4"/>
      <c r="B24" s="4"/>
      <c r="C24" s="4"/>
      <c r="D24" s="9" t="s">
        <v>31</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c r="A25" s="4"/>
      <c r="B25" s="4"/>
      <c r="C25" s="4"/>
      <c r="D25" s="9" t="s">
        <v>31</v>
      </c>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c r="A26" s="4"/>
      <c r="B26" s="4"/>
      <c r="C26" s="4"/>
      <c r="D26" s="9" t="s">
        <v>31</v>
      </c>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c r="A27" s="4"/>
      <c r="B27" s="4"/>
      <c r="C27" s="4"/>
      <c r="D27" s="9" t="s">
        <v>31</v>
      </c>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c r="A28" s="4"/>
      <c r="B28" s="4"/>
      <c r="C28" s="4"/>
      <c r="D28" s="9" t="s">
        <v>31</v>
      </c>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c r="A29" s="4"/>
      <c r="B29" s="4"/>
      <c r="C29" s="4"/>
      <c r="D29" s="9" t="s">
        <v>31</v>
      </c>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c r="A30" s="4"/>
      <c r="B30" s="4"/>
      <c r="C30" s="4"/>
      <c r="D30" s="9" t="s">
        <v>31</v>
      </c>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c r="A31" s="4"/>
      <c r="B31" s="4"/>
      <c r="C31" s="4"/>
      <c r="D31" s="9" t="s">
        <v>31</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c r="A32" s="4"/>
      <c r="B32" s="4"/>
      <c r="C32" s="4"/>
      <c r="D32" s="9" t="s">
        <v>20</v>
      </c>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c r="A33" s="4"/>
      <c r="B33" s="4"/>
      <c r="C33" s="4"/>
      <c r="D33" s="9" t="s">
        <v>20</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c r="A34" s="4"/>
      <c r="B34" s="4"/>
      <c r="C34" s="4"/>
      <c r="D34" s="9" t="s">
        <v>20</v>
      </c>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c r="A35" s="4"/>
      <c r="B35" s="4"/>
      <c r="C35" s="4"/>
      <c r="D35" s="9" t="s">
        <v>20</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c r="A36" s="4"/>
      <c r="B36" s="4"/>
      <c r="C36" s="4"/>
      <c r="D36" s="9" t="s">
        <v>20</v>
      </c>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c r="A37" s="4"/>
      <c r="B37" s="4"/>
      <c r="C37" s="4"/>
      <c r="D37" s="9" t="s">
        <v>20</v>
      </c>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c r="A38" s="4"/>
      <c r="B38" s="4"/>
      <c r="C38" s="4"/>
      <c r="D38" s="9" t="s">
        <v>20</v>
      </c>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c r="A39" s="4"/>
      <c r="B39" s="4"/>
      <c r="C39" s="4"/>
      <c r="D39" s="9" t="s">
        <v>20</v>
      </c>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c r="A40" s="4"/>
      <c r="B40" s="4"/>
      <c r="C40" s="4"/>
      <c r="D40" s="9" t="s">
        <v>20</v>
      </c>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c r="A41" s="4"/>
      <c r="B41" s="4"/>
      <c r="C41" s="4"/>
      <c r="D41" s="9" t="s">
        <v>20</v>
      </c>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c r="A42" s="4"/>
      <c r="B42" s="4"/>
      <c r="C42" s="4"/>
      <c r="D42" s="9" t="s">
        <v>20</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c r="A43" s="4"/>
      <c r="B43" s="4"/>
      <c r="C43" s="4"/>
      <c r="D43" s="9" t="s">
        <v>20</v>
      </c>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c r="A44" s="4"/>
      <c r="B44" s="4"/>
      <c r="C44" s="4"/>
      <c r="D44" s="9" t="s">
        <v>20</v>
      </c>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c r="A45" s="4"/>
      <c r="B45" s="4"/>
      <c r="C45" s="4"/>
      <c r="D45" s="9" t="s">
        <v>31</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c r="A46" s="4"/>
      <c r="B46" s="4"/>
      <c r="C46" s="4"/>
      <c r="D46" s="9" t="s">
        <v>31</v>
      </c>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c r="A47" s="4"/>
      <c r="B47" s="4"/>
      <c r="C47" s="4"/>
      <c r="D47" s="9" t="s">
        <v>31</v>
      </c>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c r="A48" s="4"/>
      <c r="B48" s="4"/>
      <c r="C48" s="4"/>
      <c r="D48" s="9" t="s">
        <v>31</v>
      </c>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c r="A49" s="4"/>
      <c r="B49" s="4"/>
      <c r="C49" s="4"/>
      <c r="D49" s="9" t="s">
        <v>31</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c r="A50" s="4"/>
      <c r="B50" s="4"/>
      <c r="C50" s="4"/>
      <c r="D50" s="9" t="s">
        <v>31</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c r="A51" s="4"/>
      <c r="B51" s="4"/>
      <c r="C51" s="4"/>
      <c r="D51" s="9" t="s">
        <v>31</v>
      </c>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c r="A52" s="4"/>
      <c r="B52" s="4"/>
      <c r="C52" s="4"/>
      <c r="D52" s="9" t="s">
        <v>31</v>
      </c>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c r="A53" s="4"/>
      <c r="B53" s="4"/>
      <c r="C53" s="4"/>
      <c r="D53" s="9" t="s">
        <v>31</v>
      </c>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c r="A54" s="4"/>
      <c r="B54" s="4"/>
      <c r="C54" s="4"/>
      <c r="D54" s="9" t="s">
        <v>31</v>
      </c>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c r="A55" s="4"/>
      <c r="B55" s="4"/>
      <c r="C55" s="4"/>
      <c r="D55" s="9" t="s">
        <v>31</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c r="A56" s="4"/>
      <c r="B56" s="4"/>
      <c r="C56" s="4"/>
      <c r="D56" s="9" t="s">
        <v>31</v>
      </c>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c r="A57" s="4"/>
      <c r="B57" s="4"/>
      <c r="C57" s="4"/>
      <c r="D57" s="9" t="s">
        <v>31</v>
      </c>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c r="A58" s="4"/>
      <c r="B58" s="4"/>
      <c r="C58" s="4"/>
      <c r="D58" s="9" t="s">
        <v>31</v>
      </c>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c r="A59" s="4"/>
      <c r="B59" s="4"/>
      <c r="C59" s="4"/>
      <c r="D59" s="9" t="s">
        <v>31</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c r="A60" s="4"/>
      <c r="B60" s="4"/>
      <c r="C60" s="4"/>
      <c r="D60" s="9" t="s">
        <v>31</v>
      </c>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c r="A61" s="4"/>
      <c r="B61" s="4"/>
      <c r="C61" s="4"/>
      <c r="D61" s="9" t="s">
        <v>31</v>
      </c>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c r="A62" s="4"/>
      <c r="B62" s="4"/>
      <c r="C62" s="4"/>
      <c r="D62" s="9" t="s">
        <v>31</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c r="A63" s="4"/>
      <c r="B63" s="4"/>
      <c r="C63" s="4"/>
      <c r="D63" s="9" t="s">
        <v>31</v>
      </c>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c r="A64" s="4"/>
      <c r="B64" s="4"/>
      <c r="C64" s="4"/>
      <c r="D64" s="9" t="s">
        <v>31</v>
      </c>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c r="A65" s="4"/>
      <c r="B65" s="4"/>
      <c r="C65" s="4"/>
      <c r="D65" s="9" t="s">
        <v>31</v>
      </c>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c r="A66" s="4"/>
      <c r="B66" s="4"/>
      <c r="C66" s="4"/>
      <c r="D66" s="9" t="s">
        <v>31</v>
      </c>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c r="A67" s="4"/>
      <c r="B67" s="4"/>
      <c r="C67" s="4"/>
      <c r="D67" s="9" t="s">
        <v>31</v>
      </c>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c r="A68" s="4"/>
      <c r="B68" s="4"/>
      <c r="C68" s="4"/>
      <c r="D68" s="9" t="s">
        <v>31</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c r="A69" s="4"/>
      <c r="B69" s="4"/>
      <c r="C69" s="4"/>
      <c r="D69" s="9" t="s">
        <v>31</v>
      </c>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c r="A70" s="4"/>
      <c r="B70" s="4"/>
      <c r="C70" s="4"/>
      <c r="D70" s="9" t="s">
        <v>31</v>
      </c>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c r="A71" s="4"/>
      <c r="B71" s="4"/>
      <c r="C71" s="4"/>
      <c r="D71" s="9" t="s">
        <v>31</v>
      </c>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c r="A72" s="4"/>
      <c r="B72" s="4"/>
      <c r="C72" s="4"/>
      <c r="D72" s="9" t="s">
        <v>31</v>
      </c>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c r="A73" s="4"/>
      <c r="B73" s="4"/>
      <c r="C73" s="4"/>
      <c r="D73" s="9" t="s">
        <v>31</v>
      </c>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c r="A74" s="4"/>
      <c r="B74" s="4"/>
      <c r="C74" s="4"/>
      <c r="D74" s="9" t="s">
        <v>31</v>
      </c>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c r="A75" s="4"/>
      <c r="B75" s="4"/>
      <c r="C75" s="4"/>
      <c r="D75" s="9" t="s">
        <v>31</v>
      </c>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c r="A76" s="4"/>
      <c r="B76" s="4"/>
      <c r="C76" s="4"/>
      <c r="D76" s="9" t="s">
        <v>31</v>
      </c>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c r="A77" s="4"/>
      <c r="B77" s="4"/>
      <c r="C77" s="4"/>
      <c r="D77" s="9" t="s">
        <v>31</v>
      </c>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c r="A78" s="4"/>
      <c r="B78" s="4"/>
      <c r="C78" s="4"/>
      <c r="D78" s="9" t="s">
        <v>31</v>
      </c>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c r="A79" s="4"/>
      <c r="B79" s="4"/>
      <c r="C79" s="4"/>
      <c r="D79" s="9" t="s">
        <v>31</v>
      </c>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c r="A80" s="4"/>
      <c r="B80" s="4"/>
      <c r="C80" s="4"/>
      <c r="D80" s="9" t="s">
        <v>31</v>
      </c>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c r="A81" s="4"/>
      <c r="B81" s="4"/>
      <c r="C81" s="4"/>
      <c r="D81" s="9" t="s">
        <v>31</v>
      </c>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c r="A82" s="4"/>
      <c r="B82" s="4"/>
      <c r="C82" s="4"/>
      <c r="D82" s="9" t="s">
        <v>31</v>
      </c>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c r="A83" s="4"/>
      <c r="B83" s="4"/>
      <c r="C83" s="4"/>
      <c r="D83" s="9" t="s">
        <v>31</v>
      </c>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c r="A84" s="4"/>
      <c r="B84" s="4"/>
      <c r="C84" s="4"/>
      <c r="D84" s="9" t="s">
        <v>31</v>
      </c>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c r="A85" s="4"/>
      <c r="B85" s="4"/>
      <c r="C85" s="4"/>
      <c r="D85" s="9" t="s">
        <v>31</v>
      </c>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c r="A86" s="4"/>
      <c r="B86" s="4"/>
      <c r="C86" s="4"/>
      <c r="D86" s="9" t="s">
        <v>31</v>
      </c>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c r="A87" s="4"/>
      <c r="B87" s="4"/>
      <c r="C87" s="4"/>
      <c r="D87" s="9" t="s">
        <v>31</v>
      </c>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c r="A88" s="4"/>
      <c r="B88" s="4"/>
      <c r="C88" s="4"/>
      <c r="D88" s="9" t="s">
        <v>31</v>
      </c>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c r="A89" s="4"/>
      <c r="B89" s="4"/>
      <c r="C89" s="4"/>
      <c r="D89" s="9" t="s">
        <v>31</v>
      </c>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c r="A90" s="4"/>
      <c r="B90" s="4"/>
      <c r="C90" s="4"/>
      <c r="D90" s="9" t="s">
        <v>31</v>
      </c>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c r="A91" s="4"/>
      <c r="B91" s="4"/>
      <c r="C91" s="4"/>
      <c r="D91" s="9" t="s">
        <v>31</v>
      </c>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c r="A92" s="4"/>
      <c r="B92" s="4"/>
      <c r="C92" s="4"/>
      <c r="D92" s="9" t="s">
        <v>31</v>
      </c>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c r="A93" s="4"/>
      <c r="B93" s="4"/>
      <c r="C93" s="4"/>
      <c r="D93" s="9" t="s">
        <v>31</v>
      </c>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c r="A94" s="4"/>
      <c r="B94" s="4"/>
      <c r="C94" s="4"/>
      <c r="D94" s="9" t="s">
        <v>31</v>
      </c>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c r="A95" s="4"/>
      <c r="B95" s="4"/>
      <c r="C95" s="4"/>
      <c r="D95" s="9" t="s">
        <v>31</v>
      </c>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c r="A96" s="4"/>
      <c r="B96" s="4"/>
      <c r="C96" s="4"/>
      <c r="D96" s="9" t="s">
        <v>31</v>
      </c>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c r="A97" s="4"/>
      <c r="B97" s="4"/>
      <c r="C97" s="4"/>
      <c r="D97" s="9" t="s">
        <v>31</v>
      </c>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c r="A98" s="4"/>
      <c r="B98" s="4"/>
      <c r="C98" s="4"/>
      <c r="D98" s="9" t="s">
        <v>31</v>
      </c>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c r="A99" s="4"/>
      <c r="B99" s="4"/>
      <c r="C99" s="4"/>
      <c r="D99" s="9" t="s">
        <v>31</v>
      </c>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c r="A100" s="4"/>
      <c r="B100" s="4"/>
      <c r="C100" s="4"/>
      <c r="D100" s="9" t="s">
        <v>31</v>
      </c>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A101" s="4"/>
      <c r="B101" s="4"/>
      <c r="C101" s="4"/>
      <c r="D101" s="9" t="s">
        <v>31</v>
      </c>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A102" s="4"/>
      <c r="B102" s="4"/>
      <c r="C102" s="4"/>
      <c r="D102" s="9" t="s">
        <v>31</v>
      </c>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A103" s="4"/>
      <c r="B103" s="4"/>
      <c r="C103" s="4"/>
      <c r="D103" s="9" t="s">
        <v>31</v>
      </c>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A104" s="4"/>
      <c r="B104" s="4"/>
      <c r="C104" s="4"/>
      <c r="D104" s="9" t="s">
        <v>31</v>
      </c>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A105" s="4"/>
      <c r="B105" s="4"/>
      <c r="C105" s="4"/>
      <c r="D105" s="9" t="s">
        <v>31</v>
      </c>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A106" s="4"/>
      <c r="B106" s="4"/>
      <c r="C106" s="4"/>
      <c r="D106" s="9" t="s">
        <v>31</v>
      </c>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A107" s="4"/>
      <c r="B107" s="4"/>
      <c r="C107" s="4"/>
      <c r="D107" s="9" t="s">
        <v>31</v>
      </c>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A108" s="4"/>
      <c r="B108" s="4"/>
      <c r="C108" s="4"/>
      <c r="D108" s="9" t="s">
        <v>31</v>
      </c>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A109" s="4"/>
      <c r="B109" s="4"/>
      <c r="C109" s="4"/>
      <c r="D109" s="9" t="s">
        <v>31</v>
      </c>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A110" s="4"/>
      <c r="B110" s="4"/>
      <c r="C110" s="4"/>
      <c r="D110" s="9" t="s">
        <v>31</v>
      </c>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A111" s="4"/>
      <c r="B111" s="4"/>
      <c r="C111" s="4"/>
      <c r="D111" s="9" t="s">
        <v>31</v>
      </c>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A112" s="4"/>
      <c r="B112" s="4"/>
      <c r="C112" s="4"/>
      <c r="D112" s="9" t="s">
        <v>31</v>
      </c>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A113" s="4"/>
      <c r="B113" s="4"/>
      <c r="C113" s="4"/>
      <c r="D113" s="9" t="s">
        <v>31</v>
      </c>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A114" s="4"/>
      <c r="B114" s="4"/>
      <c r="C114" s="4"/>
      <c r="D114" s="9" t="s">
        <v>31</v>
      </c>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A115" s="4"/>
      <c r="B115" s="4"/>
      <c r="C115" s="4"/>
      <c r="D115" s="9" t="s">
        <v>31</v>
      </c>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A116" s="4"/>
      <c r="B116" s="4"/>
      <c r="C116" s="4"/>
      <c r="D116" s="9" t="s">
        <v>31</v>
      </c>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9" t="s">
        <v>31</v>
      </c>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9" t="s">
        <v>31</v>
      </c>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9" t="s">
        <v>31</v>
      </c>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9" t="s">
        <v>31</v>
      </c>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9" t="s">
        <v>31</v>
      </c>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9" t="s">
        <v>31</v>
      </c>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9" t="s">
        <v>31</v>
      </c>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9" t="s">
        <v>31</v>
      </c>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9" t="s">
        <v>31</v>
      </c>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9" t="s">
        <v>31</v>
      </c>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9" t="s">
        <v>31</v>
      </c>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9" t="s">
        <v>31</v>
      </c>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9" t="s">
        <v>31</v>
      </c>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9" t="s">
        <v>31</v>
      </c>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9" t="s">
        <v>31</v>
      </c>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9" t="s">
        <v>31</v>
      </c>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9" t="s">
        <v>31</v>
      </c>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9" t="s">
        <v>31</v>
      </c>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9" t="s">
        <v>31</v>
      </c>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9" t="s">
        <v>31</v>
      </c>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9" t="s">
        <v>31</v>
      </c>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9" t="s">
        <v>31</v>
      </c>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9" t="s">
        <v>31</v>
      </c>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9" t="s">
        <v>31</v>
      </c>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9" t="s">
        <v>31</v>
      </c>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A142" s="4"/>
      <c r="B142" s="4"/>
      <c r="C142" s="4"/>
      <c r="D142" s="9" t="s">
        <v>31</v>
      </c>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A143" s="4"/>
      <c r="B143" s="4"/>
      <c r="C143" s="4"/>
      <c r="D143" s="9" t="s">
        <v>31</v>
      </c>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A144" s="4"/>
      <c r="B144" s="4"/>
      <c r="C144" s="4"/>
      <c r="D144" s="9" t="s">
        <v>31</v>
      </c>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A145" s="4"/>
      <c r="B145" s="4"/>
      <c r="C145" s="4"/>
      <c r="D145" s="9" t="s">
        <v>31</v>
      </c>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A146" s="4"/>
      <c r="B146" s="4"/>
      <c r="C146" s="4"/>
      <c r="D146" s="9" t="s">
        <v>31</v>
      </c>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A147" s="4"/>
      <c r="B147" s="4"/>
      <c r="C147" s="4"/>
      <c r="D147" s="9" t="s">
        <v>31</v>
      </c>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A148" s="4"/>
      <c r="B148" s="4"/>
      <c r="C148" s="4"/>
      <c r="D148" s="9" t="s">
        <v>31</v>
      </c>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A149" s="4"/>
      <c r="B149" s="4"/>
      <c r="C149" s="4"/>
      <c r="D149" s="9" t="s">
        <v>31</v>
      </c>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A150" s="4"/>
      <c r="B150" s="4"/>
      <c r="C150" s="4"/>
      <c r="D150" s="9" t="s">
        <v>202</v>
      </c>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A151" s="4"/>
      <c r="B151" s="4"/>
      <c r="C151" s="4"/>
      <c r="D151" s="9" t="s">
        <v>204</v>
      </c>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A152" s="4"/>
      <c r="B152" s="4"/>
      <c r="C152" s="4"/>
      <c r="D152" s="9" t="s">
        <v>204</v>
      </c>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A153" s="4"/>
      <c r="B153" s="4"/>
      <c r="C153" s="4"/>
      <c r="D153" s="9" t="s">
        <v>204</v>
      </c>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A154" s="4"/>
      <c r="B154" s="4"/>
      <c r="C154" s="4"/>
      <c r="D154" s="9" t="s">
        <v>202</v>
      </c>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A155" s="4"/>
      <c r="B155" s="4"/>
      <c r="C155" s="4"/>
      <c r="D155" s="9" t="s">
        <v>204</v>
      </c>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A156" s="4"/>
      <c r="B156" s="4"/>
      <c r="C156" s="4"/>
      <c r="D156" s="9" t="s">
        <v>204</v>
      </c>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A157" s="4"/>
      <c r="B157" s="4"/>
      <c r="C157" s="4"/>
      <c r="D157" s="9" t="s">
        <v>202</v>
      </c>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A158" s="4"/>
      <c r="B158" s="4"/>
      <c r="C158" s="4"/>
      <c r="D158" s="9" t="s">
        <v>202</v>
      </c>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A159" s="4"/>
      <c r="B159" s="4"/>
      <c r="C159" s="4"/>
      <c r="D159" s="9" t="s">
        <v>202</v>
      </c>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A160" s="4"/>
      <c r="B160" s="4"/>
      <c r="C160" s="4"/>
      <c r="D160" s="9" t="s">
        <v>202</v>
      </c>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A161" s="4"/>
      <c r="B161" s="4"/>
      <c r="C161" s="4"/>
      <c r="D161" s="9" t="s">
        <v>202</v>
      </c>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A162" s="4"/>
      <c r="B162" s="4"/>
      <c r="C162" s="4"/>
      <c r="D162" s="9" t="s">
        <v>204</v>
      </c>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A163" s="4"/>
      <c r="B163" s="4"/>
      <c r="C163" s="4"/>
      <c r="D163" s="9" t="s">
        <v>202</v>
      </c>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A164" s="4"/>
      <c r="B164" s="4"/>
      <c r="C164" s="4"/>
      <c r="D164" s="9" t="s">
        <v>204</v>
      </c>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A165" s="4"/>
      <c r="B165" s="4"/>
      <c r="C165" s="4"/>
      <c r="D165" s="9" t="s">
        <v>202</v>
      </c>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A166" s="4"/>
      <c r="B166" s="4"/>
      <c r="C166" s="4"/>
      <c r="D166" s="9" t="s">
        <v>202</v>
      </c>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A167" s="4"/>
      <c r="B167" s="4"/>
      <c r="C167" s="4"/>
      <c r="D167" s="9" t="s">
        <v>202</v>
      </c>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A168" s="4"/>
      <c r="B168" s="4"/>
      <c r="C168" s="4"/>
      <c r="D168" s="9" t="s">
        <v>202</v>
      </c>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A169" s="4"/>
      <c r="B169" s="4"/>
      <c r="C169" s="4"/>
      <c r="D169" s="9" t="s">
        <v>202</v>
      </c>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A170" s="4"/>
      <c r="B170" s="4"/>
      <c r="C170" s="4"/>
      <c r="D170" s="9" t="s">
        <v>202</v>
      </c>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A171" s="4"/>
      <c r="B171" s="4"/>
      <c r="C171" s="4"/>
      <c r="D171" s="9" t="s">
        <v>202</v>
      </c>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A172" s="4"/>
      <c r="B172" s="4"/>
      <c r="C172" s="4"/>
      <c r="D172" s="9" t="s">
        <v>202</v>
      </c>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A173" s="4"/>
      <c r="B173" s="4"/>
      <c r="C173" s="4"/>
      <c r="D173" s="9" t="s">
        <v>204</v>
      </c>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A174" s="4"/>
      <c r="B174" s="4"/>
      <c r="C174" s="4"/>
      <c r="D174" s="9" t="s">
        <v>204</v>
      </c>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A175" s="4"/>
      <c r="B175" s="4"/>
      <c r="C175" s="4"/>
      <c r="D175" s="9" t="s">
        <v>204</v>
      </c>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A176" s="4"/>
      <c r="B176" s="4"/>
      <c r="C176" s="4"/>
      <c r="D176" s="9" t="s">
        <v>204</v>
      </c>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A177" s="4"/>
      <c r="B177" s="4"/>
      <c r="C177" s="4"/>
      <c r="D177" s="9" t="s">
        <v>202</v>
      </c>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A178" s="4"/>
      <c r="B178" s="4"/>
      <c r="C178" s="4"/>
      <c r="D178" s="9" t="s">
        <v>202</v>
      </c>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A179" s="4"/>
      <c r="B179" s="4"/>
      <c r="C179" s="4"/>
      <c r="D179" s="9" t="s">
        <v>202</v>
      </c>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A180" s="4"/>
      <c r="B180" s="4"/>
      <c r="C180" s="4"/>
      <c r="D180" s="9" t="s">
        <v>202</v>
      </c>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A181" s="4"/>
      <c r="B181" s="4"/>
      <c r="C181" s="4"/>
      <c r="D181" s="9" t="s">
        <v>202</v>
      </c>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A182" s="4"/>
      <c r="B182" s="4"/>
      <c r="C182" s="4"/>
      <c r="D182" s="9" t="s">
        <v>202</v>
      </c>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A183" s="4"/>
      <c r="B183" s="4"/>
      <c r="C183" s="4"/>
      <c r="D183" s="9" t="s">
        <v>202</v>
      </c>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A184" s="4"/>
      <c r="B184" s="4"/>
      <c r="C184" s="4"/>
      <c r="D184" s="9" t="s">
        <v>202</v>
      </c>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A185" s="4"/>
      <c r="B185" s="4"/>
      <c r="C185" s="4"/>
      <c r="D185" s="9" t="s">
        <v>202</v>
      </c>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A186" s="4"/>
      <c r="B186" s="4"/>
      <c r="C186" s="4"/>
      <c r="D186" s="9" t="s">
        <v>202</v>
      </c>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A187" s="4"/>
      <c r="B187" s="4"/>
      <c r="C187" s="4"/>
      <c r="D187" s="9" t="s">
        <v>202</v>
      </c>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A188" s="4"/>
      <c r="B188" s="4"/>
      <c r="C188" s="4"/>
      <c r="D188" s="9" t="s">
        <v>202</v>
      </c>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A189" s="4"/>
      <c r="B189" s="4"/>
      <c r="C189" s="4"/>
      <c r="D189" s="9" t="s">
        <v>202</v>
      </c>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A190" s="4"/>
      <c r="B190" s="4"/>
      <c r="C190" s="4"/>
      <c r="D190" s="9" t="s">
        <v>202</v>
      </c>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A191" s="4"/>
      <c r="B191" s="4"/>
      <c r="C191" s="4"/>
      <c r="D191" s="9" t="s">
        <v>202</v>
      </c>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A192" s="4"/>
      <c r="B192" s="4"/>
      <c r="C192" s="4"/>
      <c r="D192" s="9" t="s">
        <v>202</v>
      </c>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A193" s="4"/>
      <c r="B193" s="4"/>
      <c r="C193" s="4"/>
      <c r="D193" s="9" t="s">
        <v>204</v>
      </c>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A194" s="4"/>
      <c r="B194" s="4"/>
      <c r="C194" s="4"/>
      <c r="D194" s="9" t="s">
        <v>204</v>
      </c>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A195" s="4"/>
      <c r="B195" s="4"/>
      <c r="C195" s="4"/>
      <c r="D195" s="9" t="s">
        <v>204</v>
      </c>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A196" s="4"/>
      <c r="B196" s="4"/>
      <c r="C196" s="4"/>
      <c r="D196" s="9" t="s">
        <v>204</v>
      </c>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A197" s="4"/>
      <c r="B197" s="4"/>
      <c r="C197" s="4"/>
      <c r="D197" s="9" t="s">
        <v>204</v>
      </c>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A198" s="4"/>
      <c r="B198" s="4"/>
      <c r="C198" s="4"/>
      <c r="D198" s="9" t="s">
        <v>202</v>
      </c>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A199" s="4"/>
      <c r="B199" s="4"/>
      <c r="C199" s="4"/>
      <c r="D199" s="9" t="s">
        <v>204</v>
      </c>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A200" s="4"/>
      <c r="B200" s="4"/>
      <c r="C200" s="4"/>
      <c r="D200" s="9" t="s">
        <v>202</v>
      </c>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A201" s="4"/>
      <c r="B201" s="4"/>
      <c r="C201" s="4"/>
      <c r="D201" s="9" t="s">
        <v>202</v>
      </c>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A202" s="4"/>
      <c r="B202" s="4"/>
      <c r="C202" s="4"/>
      <c r="D202" s="9" t="s">
        <v>202</v>
      </c>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A203" s="4"/>
      <c r="B203" s="4"/>
      <c r="C203" s="4"/>
      <c r="D203" s="9" t="s">
        <v>202</v>
      </c>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A204" s="4"/>
      <c r="B204" s="4"/>
      <c r="C204" s="4"/>
      <c r="D204" s="9" t="s">
        <v>202</v>
      </c>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A205" s="4"/>
      <c r="B205" s="4"/>
      <c r="C205" s="4"/>
      <c r="D205" s="9" t="s">
        <v>202</v>
      </c>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A206" s="4"/>
      <c r="B206" s="4"/>
      <c r="C206" s="4"/>
      <c r="D206" s="9" t="s">
        <v>202</v>
      </c>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A207" s="4"/>
      <c r="B207" s="4"/>
      <c r="C207" s="4"/>
      <c r="D207" s="9" t="s">
        <v>204</v>
      </c>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A208" s="4"/>
      <c r="B208" s="4"/>
      <c r="C208" s="4"/>
      <c r="D208" s="9" t="s">
        <v>204</v>
      </c>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A209" s="4"/>
      <c r="B209" s="4"/>
      <c r="C209" s="4"/>
      <c r="D209" s="9" t="s">
        <v>204</v>
      </c>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A210" s="4"/>
      <c r="B210" s="4"/>
      <c r="C210" s="4"/>
      <c r="D210" s="9" t="s">
        <v>202</v>
      </c>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A211" s="4"/>
      <c r="B211" s="4"/>
      <c r="C211" s="4"/>
      <c r="D211" s="9" t="s">
        <v>202</v>
      </c>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A212" s="4"/>
      <c r="B212" s="4"/>
      <c r="C212" s="4"/>
      <c r="D212" s="9" t="s">
        <v>202</v>
      </c>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A213" s="4"/>
      <c r="B213" s="4"/>
      <c r="C213" s="4"/>
      <c r="D213" s="9" t="s">
        <v>204</v>
      </c>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A214" s="4"/>
      <c r="B214" s="4"/>
      <c r="C214" s="4"/>
      <c r="D214" s="9" t="s">
        <v>202</v>
      </c>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A215" s="4"/>
      <c r="B215" s="4"/>
      <c r="C215" s="4"/>
      <c r="D215" s="9" t="s">
        <v>202</v>
      </c>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A216" s="4"/>
      <c r="B216" s="4"/>
      <c r="C216" s="4"/>
      <c r="D216" s="9" t="s">
        <v>204</v>
      </c>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A217" s="4"/>
      <c r="B217" s="4"/>
      <c r="C217" s="4"/>
      <c r="D217" s="9" t="s">
        <v>204</v>
      </c>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A218" s="4"/>
      <c r="B218" s="4"/>
      <c r="C218" s="4"/>
      <c r="D218" s="9" t="s">
        <v>202</v>
      </c>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A219" s="4"/>
      <c r="B219" s="4"/>
      <c r="C219" s="4"/>
      <c r="D219" s="9" t="s">
        <v>202</v>
      </c>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A220" s="4"/>
      <c r="B220" s="4"/>
      <c r="C220" s="4"/>
      <c r="D220" s="9" t="s">
        <v>202</v>
      </c>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A221" s="4"/>
      <c r="B221" s="4"/>
      <c r="C221" s="4"/>
      <c r="D221" s="9" t="s">
        <v>204</v>
      </c>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A222" s="4"/>
      <c r="B222" s="4"/>
      <c r="C222" s="4"/>
      <c r="D222" s="9" t="s">
        <v>204</v>
      </c>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A223" s="4"/>
      <c r="B223" s="4"/>
      <c r="C223" s="4"/>
      <c r="D223" s="9" t="s">
        <v>204</v>
      </c>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A224" s="4"/>
      <c r="B224" s="4"/>
      <c r="C224" s="4"/>
      <c r="D224" s="9" t="s">
        <v>202</v>
      </c>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A225" s="4"/>
      <c r="B225" s="4"/>
      <c r="C225" s="4"/>
      <c r="D225" s="9" t="s">
        <v>204</v>
      </c>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A226" s="4"/>
      <c r="B226" s="4"/>
      <c r="C226" s="4"/>
      <c r="D226" s="9" t="s">
        <v>204</v>
      </c>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A227" s="4"/>
      <c r="B227" s="4"/>
      <c r="C227" s="4"/>
      <c r="D227" s="9" t="s">
        <v>204</v>
      </c>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A228" s="4"/>
      <c r="B228" s="4"/>
      <c r="C228" s="4"/>
      <c r="D228" s="9" t="s">
        <v>202</v>
      </c>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A229" s="4"/>
      <c r="B229" s="4"/>
      <c r="C229" s="4"/>
      <c r="D229" s="9" t="s">
        <v>204</v>
      </c>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A230" s="4"/>
      <c r="B230" s="4"/>
      <c r="C230" s="4"/>
      <c r="D230" s="9" t="s">
        <v>202</v>
      </c>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A231" s="4"/>
      <c r="B231" s="4"/>
      <c r="C231" s="4"/>
      <c r="D231" s="9" t="s">
        <v>204</v>
      </c>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A232" s="4"/>
      <c r="B232" s="4"/>
      <c r="C232" s="4"/>
      <c r="D232" s="9" t="s">
        <v>202</v>
      </c>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A233" s="4"/>
      <c r="B233" s="4"/>
      <c r="C233" s="4"/>
      <c r="D233" s="9" t="s">
        <v>204</v>
      </c>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A234" s="4"/>
      <c r="B234" s="4"/>
      <c r="C234" s="4"/>
      <c r="D234" s="9" t="s">
        <v>204</v>
      </c>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A235" s="4"/>
      <c r="B235" s="4"/>
      <c r="C235" s="4"/>
      <c r="D235" s="9" t="s">
        <v>204</v>
      </c>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A236" s="4"/>
      <c r="B236" s="4"/>
      <c r="C236" s="4"/>
      <c r="D236" s="9" t="s">
        <v>204</v>
      </c>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A237" s="4"/>
      <c r="B237" s="4"/>
      <c r="C237" s="4"/>
      <c r="D237" s="9" t="s">
        <v>202</v>
      </c>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A238" s="4"/>
      <c r="B238" s="4"/>
      <c r="C238" s="4"/>
      <c r="D238" s="9" t="s">
        <v>202</v>
      </c>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A239" s="4"/>
      <c r="B239" s="4"/>
      <c r="C239" s="4"/>
      <c r="D239" s="9" t="s">
        <v>202</v>
      </c>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A240" s="4"/>
      <c r="B240" s="4"/>
      <c r="C240" s="4"/>
      <c r="D240" s="9" t="s">
        <v>204</v>
      </c>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A241" s="4"/>
      <c r="B241" s="4"/>
      <c r="C241" s="4"/>
      <c r="D241" s="9" t="s">
        <v>202</v>
      </c>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A242" s="4"/>
      <c r="B242" s="4"/>
      <c r="C242" s="4"/>
      <c r="D242" s="9" t="s">
        <v>202</v>
      </c>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A243" s="4"/>
      <c r="B243" s="4"/>
      <c r="C243" s="4"/>
      <c r="D243" s="9" t="s">
        <v>202</v>
      </c>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A244" s="4"/>
      <c r="B244" s="4"/>
      <c r="C244" s="4"/>
      <c r="D244" s="9" t="s">
        <v>202</v>
      </c>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A245" s="4"/>
      <c r="B245" s="4"/>
      <c r="C245" s="4"/>
      <c r="D245" s="9" t="s">
        <v>202</v>
      </c>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A246" s="4"/>
      <c r="B246" s="4"/>
      <c r="C246" s="4"/>
      <c r="D246" s="9" t="s">
        <v>202</v>
      </c>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A247" s="4"/>
      <c r="B247" s="4"/>
      <c r="C247" s="4"/>
      <c r="D247" s="9" t="s">
        <v>202</v>
      </c>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A248" s="4"/>
      <c r="B248" s="4"/>
      <c r="C248" s="4"/>
      <c r="D248" s="9" t="s">
        <v>202</v>
      </c>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A249" s="4"/>
      <c r="B249" s="4"/>
      <c r="C249" s="4"/>
      <c r="D249" s="9" t="s">
        <v>202</v>
      </c>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A250" s="4"/>
      <c r="B250" s="4"/>
      <c r="C250" s="4"/>
      <c r="D250" s="9" t="s">
        <v>202</v>
      </c>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A251" s="4"/>
      <c r="B251" s="4"/>
      <c r="C251" s="4"/>
      <c r="D251" s="9" t="s">
        <v>202</v>
      </c>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A252" s="4"/>
      <c r="B252" s="4"/>
      <c r="C252" s="4"/>
      <c r="D252" s="9" t="s">
        <v>202</v>
      </c>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A253" s="4"/>
      <c r="B253" s="4"/>
      <c r="C253" s="4"/>
      <c r="D253" s="9" t="s">
        <v>202</v>
      </c>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A254" s="4"/>
      <c r="B254" s="4"/>
      <c r="C254" s="4"/>
      <c r="D254" s="9" t="s">
        <v>202</v>
      </c>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A255" s="4"/>
      <c r="B255" s="4"/>
      <c r="C255" s="4"/>
      <c r="D255" s="9" t="s">
        <v>202</v>
      </c>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A256" s="4"/>
      <c r="B256" s="4"/>
      <c r="C256" s="4"/>
      <c r="D256" s="9" t="s">
        <v>202</v>
      </c>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A257" s="4"/>
      <c r="B257" s="4"/>
      <c r="C257" s="4"/>
      <c r="D257" s="9" t="s">
        <v>202</v>
      </c>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A258" s="4"/>
      <c r="B258" s="4"/>
      <c r="C258" s="4"/>
      <c r="D258" s="9" t="s">
        <v>202</v>
      </c>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A259" s="4"/>
      <c r="B259" s="4"/>
      <c r="C259" s="4"/>
      <c r="D259" s="9" t="s">
        <v>202</v>
      </c>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A260" s="4"/>
      <c r="B260" s="4"/>
      <c r="C260" s="4"/>
      <c r="D260" s="9" t="s">
        <v>202</v>
      </c>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A261" s="4"/>
      <c r="B261" s="4"/>
      <c r="C261" s="4"/>
      <c r="D261" s="9" t="s">
        <v>202</v>
      </c>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A262" s="4"/>
      <c r="B262" s="4"/>
      <c r="C262" s="4"/>
      <c r="D262" s="9" t="s">
        <v>202</v>
      </c>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A263" s="4"/>
      <c r="B263" s="4"/>
      <c r="C263" s="4"/>
      <c r="D263" s="9" t="s">
        <v>202</v>
      </c>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A264" s="4"/>
      <c r="B264" s="4"/>
      <c r="C264" s="4"/>
      <c r="D264" s="9" t="s">
        <v>202</v>
      </c>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A265" s="4"/>
      <c r="B265" s="4"/>
      <c r="C265" s="4"/>
      <c r="D265" s="9" t="s">
        <v>202</v>
      </c>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A266" s="4"/>
      <c r="B266" s="4"/>
      <c r="C266" s="4"/>
      <c r="D266" s="9" t="s">
        <v>202</v>
      </c>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A267" s="4"/>
      <c r="B267" s="4"/>
      <c r="C267" s="4"/>
      <c r="D267" s="9" t="s">
        <v>202</v>
      </c>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A268" s="4"/>
      <c r="B268" s="4"/>
      <c r="C268" s="4"/>
      <c r="D268" s="9" t="s">
        <v>202</v>
      </c>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A269" s="4"/>
      <c r="B269" s="4"/>
      <c r="C269" s="4"/>
      <c r="D269" s="9" t="s">
        <v>202</v>
      </c>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A270" s="4"/>
      <c r="B270" s="4"/>
      <c r="C270" s="4"/>
      <c r="D270" s="9" t="s">
        <v>202</v>
      </c>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A271" s="4"/>
      <c r="B271" s="4"/>
      <c r="C271" s="4"/>
      <c r="D271" s="9" t="s">
        <v>202</v>
      </c>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A272" s="4"/>
      <c r="B272" s="4"/>
      <c r="C272" s="4"/>
      <c r="D272" s="9" t="s">
        <v>204</v>
      </c>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A273" s="4"/>
      <c r="B273" s="4"/>
      <c r="C273" s="4"/>
      <c r="D273" s="9" t="s">
        <v>202</v>
      </c>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A274" s="4"/>
      <c r="B274" s="4"/>
      <c r="C274" s="4"/>
      <c r="D274" s="9" t="s">
        <v>202</v>
      </c>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A275" s="4"/>
      <c r="B275" s="4"/>
      <c r="C275" s="4"/>
      <c r="D275" s="9" t="s">
        <v>202</v>
      </c>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A276" s="4"/>
      <c r="B276" s="4"/>
      <c r="C276" s="4"/>
      <c r="D276" s="9" t="s">
        <v>31</v>
      </c>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A277" s="4"/>
      <c r="B277" s="4"/>
      <c r="C277" s="4"/>
      <c r="D277" s="9" t="s">
        <v>31</v>
      </c>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A278" s="4"/>
      <c r="B278" s="4"/>
      <c r="C278" s="4"/>
      <c r="D278" s="9" t="s">
        <v>31</v>
      </c>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A279" s="4"/>
      <c r="B279" s="4"/>
      <c r="C279" s="4"/>
      <c r="D279" s="9" t="s">
        <v>31</v>
      </c>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A280" s="4"/>
      <c r="B280" s="4"/>
      <c r="C280" s="4"/>
      <c r="D280" s="9" t="s">
        <v>31</v>
      </c>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A281" s="4"/>
      <c r="B281" s="4"/>
      <c r="C281" s="4"/>
      <c r="D281" s="9" t="s">
        <v>31</v>
      </c>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A282" s="4"/>
      <c r="B282" s="4"/>
      <c r="C282" s="4"/>
      <c r="D282" s="9" t="s">
        <v>31</v>
      </c>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A283" s="4"/>
      <c r="B283" s="4"/>
      <c r="C283" s="4"/>
      <c r="D283" s="9" t="s">
        <v>20</v>
      </c>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A284" s="4"/>
      <c r="B284" s="4"/>
      <c r="C284" s="4"/>
      <c r="D284" s="9" t="s">
        <v>20</v>
      </c>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A285" s="4"/>
      <c r="B285" s="4"/>
      <c r="C285" s="4"/>
      <c r="D285" s="9" t="s">
        <v>20</v>
      </c>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A286" s="4"/>
      <c r="B286" s="4"/>
      <c r="C286" s="4"/>
      <c r="D286" s="9" t="s">
        <v>31</v>
      </c>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A287" s="4"/>
      <c r="B287" s="4"/>
      <c r="C287" s="4"/>
      <c r="D287" s="9" t="s">
        <v>31</v>
      </c>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A288" s="4"/>
      <c r="B288" s="4"/>
      <c r="C288" s="4"/>
      <c r="D288" s="9" t="s">
        <v>20</v>
      </c>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A289" s="4"/>
      <c r="B289" s="4"/>
      <c r="C289" s="4"/>
      <c r="D289" s="9" t="s">
        <v>20</v>
      </c>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A290" s="4"/>
      <c r="B290" s="4"/>
      <c r="C290" s="4"/>
      <c r="D290" s="9" t="s">
        <v>31</v>
      </c>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A291" s="4"/>
      <c r="B291" s="4"/>
      <c r="C291" s="4"/>
      <c r="D291" s="9" t="s">
        <v>31</v>
      </c>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A292" s="4"/>
      <c r="B292" s="4"/>
      <c r="C292" s="4"/>
      <c r="D292" s="9" t="s">
        <v>31</v>
      </c>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A293" s="4"/>
      <c r="B293" s="4"/>
      <c r="C293" s="4"/>
      <c r="D293" s="9" t="s">
        <v>31</v>
      </c>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A294" s="4"/>
      <c r="B294" s="4"/>
      <c r="C294" s="4"/>
      <c r="D294" s="9" t="s">
        <v>31</v>
      </c>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A295" s="4"/>
      <c r="B295" s="4"/>
      <c r="C295" s="4"/>
      <c r="D295" s="9" t="s">
        <v>31</v>
      </c>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A296" s="4"/>
      <c r="B296" s="4"/>
      <c r="C296" s="4"/>
      <c r="D296" s="9" t="s">
        <v>31</v>
      </c>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A297" s="4"/>
      <c r="B297" s="4"/>
      <c r="C297" s="4"/>
      <c r="D297" s="9" t="s">
        <v>31</v>
      </c>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A298" s="4"/>
      <c r="B298" s="4"/>
      <c r="C298" s="4"/>
      <c r="D298" s="9" t="s">
        <v>31</v>
      </c>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A299" s="4"/>
      <c r="B299" s="4"/>
      <c r="C299" s="4"/>
      <c r="D299" s="9" t="s">
        <v>31</v>
      </c>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A300" s="4"/>
      <c r="B300" s="4"/>
      <c r="C300" s="4"/>
      <c r="D300" s="9" t="s">
        <v>31</v>
      </c>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A301" s="4"/>
      <c r="B301" s="4"/>
      <c r="C301" s="4"/>
      <c r="D301" s="9" t="s">
        <v>31</v>
      </c>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A302" s="4"/>
      <c r="B302" s="4"/>
      <c r="C302" s="4"/>
      <c r="D302" s="9" t="s">
        <v>31</v>
      </c>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A303" s="4"/>
      <c r="B303" s="4"/>
      <c r="C303" s="4"/>
      <c r="D303" s="9" t="s">
        <v>31</v>
      </c>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A304" s="4"/>
      <c r="B304" s="4"/>
      <c r="C304" s="4"/>
      <c r="D304" s="9" t="s">
        <v>31</v>
      </c>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A305" s="4"/>
      <c r="B305" s="4"/>
      <c r="C305" s="4"/>
      <c r="D305" s="9" t="s">
        <v>31</v>
      </c>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A306" s="4"/>
      <c r="B306" s="4"/>
      <c r="C306" s="4"/>
      <c r="D306" s="9" t="s">
        <v>31</v>
      </c>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A307" s="4"/>
      <c r="B307" s="4"/>
      <c r="C307" s="4"/>
      <c r="D307" s="9" t="s">
        <v>31</v>
      </c>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A308" s="4"/>
      <c r="B308" s="4"/>
      <c r="C308" s="4"/>
      <c r="D308" s="9" t="s">
        <v>31</v>
      </c>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A309" s="4"/>
      <c r="B309" s="4"/>
      <c r="C309" s="4"/>
      <c r="D309" s="9" t="s">
        <v>31</v>
      </c>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A310" s="4"/>
      <c r="B310" s="4"/>
      <c r="C310" s="4"/>
      <c r="D310" s="9" t="s">
        <v>31</v>
      </c>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A311" s="4"/>
      <c r="B311" s="4"/>
      <c r="C311" s="4"/>
      <c r="D311" s="9" t="s">
        <v>31</v>
      </c>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A312" s="4"/>
      <c r="B312" s="4"/>
      <c r="C312" s="4"/>
      <c r="D312" s="9" t="s">
        <v>31</v>
      </c>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A313" s="4"/>
      <c r="B313" s="4"/>
      <c r="C313" s="4"/>
      <c r="D313" s="9" t="s">
        <v>31</v>
      </c>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A314" s="4"/>
      <c r="B314" s="4"/>
      <c r="C314" s="4"/>
      <c r="D314" s="9" t="s">
        <v>31</v>
      </c>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A315" s="4"/>
      <c r="B315" s="4"/>
      <c r="C315" s="4"/>
      <c r="D315" s="9" t="s">
        <v>31</v>
      </c>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A316" s="4"/>
      <c r="B316" s="4"/>
      <c r="C316" s="4"/>
      <c r="D316" s="9" t="s">
        <v>31</v>
      </c>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A317" s="4"/>
      <c r="B317" s="4"/>
      <c r="C317" s="4"/>
      <c r="D317" s="9" t="s">
        <v>31</v>
      </c>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A318" s="4"/>
      <c r="B318" s="4"/>
      <c r="C318" s="4"/>
      <c r="D318" s="9" t="s">
        <v>31</v>
      </c>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A319" s="4"/>
      <c r="B319" s="4"/>
      <c r="C319" s="4"/>
      <c r="D319" s="9" t="s">
        <v>31</v>
      </c>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A320" s="4"/>
      <c r="B320" s="4"/>
      <c r="C320" s="4"/>
      <c r="D320" s="9" t="s">
        <v>20</v>
      </c>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A321" s="4"/>
      <c r="B321" s="4"/>
      <c r="C321" s="4"/>
      <c r="D321" s="9" t="s">
        <v>31</v>
      </c>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A322" s="4"/>
      <c r="B322" s="4"/>
      <c r="C322" s="4"/>
      <c r="D322" s="9" t="s">
        <v>31</v>
      </c>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A323" s="4"/>
      <c r="B323" s="4"/>
      <c r="C323" s="4"/>
      <c r="D323" s="9" t="s">
        <v>31</v>
      </c>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A324" s="4"/>
      <c r="B324" s="4"/>
      <c r="C324" s="4"/>
      <c r="D324" s="9" t="s">
        <v>31</v>
      </c>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A325" s="4"/>
      <c r="B325" s="4"/>
      <c r="C325" s="4"/>
      <c r="D325" s="9" t="s">
        <v>31</v>
      </c>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A326" s="4"/>
      <c r="B326" s="4"/>
      <c r="C326" s="4"/>
      <c r="D326" s="9" t="s">
        <v>20</v>
      </c>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A327" s="4"/>
      <c r="B327" s="4"/>
      <c r="C327" s="4"/>
      <c r="D327" s="9" t="s">
        <v>31</v>
      </c>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A328" s="4"/>
      <c r="B328" s="4"/>
      <c r="C328" s="4"/>
      <c r="D328" s="9" t="s">
        <v>31</v>
      </c>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A329" s="4"/>
      <c r="B329" s="4"/>
      <c r="C329" s="4"/>
      <c r="D329" s="9" t="s">
        <v>20</v>
      </c>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A330" s="4"/>
      <c r="B330" s="4"/>
      <c r="C330" s="4"/>
      <c r="D330" s="9" t="s">
        <v>31</v>
      </c>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A331" s="4"/>
      <c r="B331" s="4"/>
      <c r="C331" s="4"/>
      <c r="D331" s="9" t="s">
        <v>31</v>
      </c>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A332" s="4"/>
      <c r="B332" s="4"/>
      <c r="C332" s="4"/>
      <c r="D332" s="9" t="s">
        <v>20</v>
      </c>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A333" s="4"/>
      <c r="B333" s="4"/>
      <c r="C333" s="4"/>
      <c r="D333" s="9" t="s">
        <v>31</v>
      </c>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A334" s="4"/>
      <c r="B334" s="4"/>
      <c r="C334" s="4"/>
      <c r="D334" s="9" t="s">
        <v>31</v>
      </c>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A335" s="4"/>
      <c r="B335" s="4"/>
      <c r="C335" s="4"/>
      <c r="D335" s="9" t="s">
        <v>20</v>
      </c>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A336" s="4"/>
      <c r="B336" s="4"/>
      <c r="C336" s="4"/>
      <c r="D336" s="9" t="s">
        <v>31</v>
      </c>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A337" s="4"/>
      <c r="B337" s="4"/>
      <c r="C337" s="4"/>
      <c r="D337" s="9" t="s">
        <v>31</v>
      </c>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A338" s="4"/>
      <c r="B338" s="4"/>
      <c r="C338" s="4"/>
      <c r="D338" s="9" t="s">
        <v>31</v>
      </c>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A339" s="4"/>
      <c r="B339" s="4"/>
      <c r="C339" s="4"/>
      <c r="D339" s="9" t="s">
        <v>31</v>
      </c>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A340" s="4"/>
      <c r="B340" s="4"/>
      <c r="C340" s="4"/>
      <c r="D340" s="9" t="s">
        <v>31</v>
      </c>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A341" s="4"/>
      <c r="B341" s="4"/>
      <c r="C341" s="4"/>
      <c r="D341" s="9" t="s">
        <v>31</v>
      </c>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A342" s="4"/>
      <c r="B342" s="4"/>
      <c r="C342" s="4"/>
      <c r="D342" s="9" t="s">
        <v>31</v>
      </c>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A343" s="4"/>
      <c r="B343" s="4"/>
      <c r="C343" s="4"/>
      <c r="D343" s="9" t="s">
        <v>20</v>
      </c>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A344" s="4"/>
      <c r="B344" s="4"/>
      <c r="C344" s="4"/>
      <c r="D344" s="9" t="s">
        <v>31</v>
      </c>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A345" s="4"/>
      <c r="B345" s="4"/>
      <c r="C345" s="4"/>
      <c r="D345" s="9" t="s">
        <v>20</v>
      </c>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A346" s="4"/>
      <c r="B346" s="4"/>
      <c r="C346" s="4"/>
      <c r="D346" s="9" t="s">
        <v>31</v>
      </c>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A347" s="4"/>
      <c r="B347" s="4"/>
      <c r="C347" s="4"/>
      <c r="D347" s="9" t="s">
        <v>31</v>
      </c>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A348" s="4"/>
      <c r="B348" s="4"/>
      <c r="C348" s="4"/>
      <c r="D348" s="9" t="s">
        <v>20</v>
      </c>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A349" s="4"/>
      <c r="B349" s="4"/>
      <c r="C349" s="4"/>
      <c r="D349" s="9" t="s">
        <v>31</v>
      </c>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A350" s="4"/>
      <c r="B350" s="4"/>
      <c r="C350" s="4"/>
      <c r="D350" s="9" t="s">
        <v>31</v>
      </c>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A351" s="4"/>
      <c r="B351" s="4"/>
      <c r="C351" s="4"/>
      <c r="D351" s="9" t="s">
        <v>31</v>
      </c>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A352" s="4"/>
      <c r="B352" s="4"/>
      <c r="C352" s="4"/>
      <c r="D352" s="9" t="s">
        <v>20</v>
      </c>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A353" s="4"/>
      <c r="B353" s="4"/>
      <c r="C353" s="4"/>
      <c r="D353" s="9" t="s">
        <v>31</v>
      </c>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A354" s="4"/>
      <c r="B354" s="4"/>
      <c r="C354" s="4"/>
      <c r="D354" s="9" t="s">
        <v>31</v>
      </c>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A355" s="4"/>
      <c r="B355" s="4"/>
      <c r="C355" s="4"/>
      <c r="D355" s="9" t="s">
        <v>31</v>
      </c>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A356" s="4"/>
      <c r="B356" s="4"/>
      <c r="C356" s="4"/>
      <c r="D356" s="9" t="s">
        <v>20</v>
      </c>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A357" s="4"/>
      <c r="B357" s="4"/>
      <c r="C357" s="4"/>
      <c r="D357" s="9" t="s">
        <v>31</v>
      </c>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sheetData>
  <autoFilter ref="$A$2:$D$336"/>
  <mergeCells count="2">
    <mergeCell ref="A1:B1"/>
    <mergeCell ref="C1:AM1"/>
  </mergeCells>
  <conditionalFormatting sqref="D1:D980">
    <cfRule type="containsText" dxfId="0" priority="1" operator="containsText" text="Да">
      <formula>NOT(ISERROR(SEARCH(("Да"),(D1))))</formula>
    </cfRule>
  </conditionalFormatting>
  <conditionalFormatting sqref="D1:D980">
    <cfRule type="containsText" dxfId="0" priority="2" operator="containsText" text="Да">
      <formula>NOT(ISERROR(SEARCH(("Да"),(D1))))</formula>
    </cfRule>
  </conditionalFormatting>
  <conditionalFormatting sqref="D1:D980">
    <cfRule type="containsText" dxfId="1" priority="3" operator="containsText" text="Да">
      <formula>NOT(ISERROR(SEARCH(("Да"),(D1))))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5.88"/>
  </cols>
  <sheetData>
    <row r="1" ht="90.0" customHeight="1">
      <c r="A1" s="1"/>
      <c r="C1" s="2" t="s">
        <v>0</v>
      </c>
    </row>
    <row r="2">
      <c r="A2" s="3" t="s">
        <v>1</v>
      </c>
      <c r="B2" s="3" t="s">
        <v>2</v>
      </c>
      <c r="C2" s="3" t="s">
        <v>5</v>
      </c>
      <c r="D2" s="3" t="s">
        <v>6</v>
      </c>
      <c r="E2" s="3" t="s">
        <v>7</v>
      </c>
      <c r="F2" s="3" t="s">
        <v>8</v>
      </c>
      <c r="G2" s="3" t="s">
        <v>9</v>
      </c>
      <c r="H2" s="3" t="s">
        <v>10</v>
      </c>
      <c r="I2" s="3" t="s">
        <v>11</v>
      </c>
      <c r="J2" s="3" t="s">
        <v>12</v>
      </c>
      <c r="K2" s="3" t="s">
        <v>14</v>
      </c>
      <c r="L2" s="3" t="s">
        <v>15</v>
      </c>
      <c r="M2" s="3" t="s">
        <v>16</v>
      </c>
      <c r="N2" s="4"/>
      <c r="O2" s="4"/>
      <c r="P2" s="4"/>
      <c r="Q2" s="4"/>
      <c r="R2" s="4"/>
      <c r="S2" s="4"/>
      <c r="T2" s="4"/>
      <c r="U2" s="4"/>
      <c r="V2" s="4"/>
      <c r="W2" s="4"/>
      <c r="X2" s="4"/>
      <c r="Y2" s="4"/>
      <c r="Z2" s="4"/>
      <c r="AA2" s="4"/>
      <c r="AB2" s="4"/>
      <c r="AC2" s="4"/>
      <c r="AD2" s="4"/>
      <c r="AE2" s="4"/>
      <c r="AF2" s="4"/>
      <c r="AG2" s="4"/>
      <c r="AH2" s="4"/>
      <c r="AI2" s="4"/>
      <c r="AJ2" s="4"/>
      <c r="AK2" s="4"/>
      <c r="AL2" s="4"/>
      <c r="AM2" s="4"/>
    </row>
    <row r="3">
      <c r="A3" s="8" t="s">
        <v>17</v>
      </c>
      <c r="B3" s="10" t="s">
        <v>19</v>
      </c>
      <c r="C3" s="13">
        <f>IFERROR(__xludf.DUMMYFUNCTION("COUNTUNIQUEIFS('Основной эфир'!E$3:E1004, 'Основной эфир'!C$3:C1004, B3, 'Основной эфир'!E$3:E1004, ""&lt;&gt;"")
"),10.0)</f>
        <v>10</v>
      </c>
      <c r="D3" s="13"/>
      <c r="E3" s="15">
        <f>IFERROR(__xludf.DUMMYFUNCTION("COUNTUNIQUEIFS('Основной эфир'!I$3:I1004, 'Основной эфир'!C$3:C1004, B3, 'Основной эфир'!I$3:I1004, ""&lt;&gt;"")
"),122.0)</f>
        <v>122</v>
      </c>
      <c r="F3" s="15">
        <f>IFERROR(__xludf.DUMMYFUNCTION("COUNTUNIQUEIFS('Основной эфир'!J$3:J1004, 'Основной эфир'!C$3:C1004, B3, 'Основной эфир'!J$3:J1004, ""&lt;&gt;"")
"),176.0)</f>
        <v>176</v>
      </c>
      <c r="G3" s="18">
        <f>SUMIFS('Основной эфир'!$P$3:$P$1149,'Основной эфир'!$C$3:$C$1149,B3)</f>
        <v>142724.4</v>
      </c>
      <c r="H3" s="15">
        <f>SUMIFS('Основной эфир'!$Q$3:$Q$1149,'Основной эфир'!$C$3:$C$1149,B3)</f>
        <v>634</v>
      </c>
      <c r="I3" s="18">
        <f t="array" ref="I3">IFERROR(INDEX('Основной эфир'!$AI$3:$AI$1149,MATCH(B3,'Основной эфир'!$C$3:$C$1149,0)),"")</f>
        <v>3278.688525</v>
      </c>
      <c r="J3" s="15">
        <f t="array" ref="J3">IFERROR(INDEX('Основной эфир'!$AJ$3:$AJ$1149,MATCH(B3,'Основной эфир'!$C$3:$C$1149,0)),"")</f>
        <v>4000</v>
      </c>
      <c r="K3" s="18">
        <f>SUMIFS('Основной эфир'!$AK$3:$AK$1149,'Основной эфир'!$C$3:$C$1149,B3)</f>
        <v>2078688.525</v>
      </c>
      <c r="L3" s="15">
        <f>SUMIFS('Основной эфир'!$AL$3:$AL$1149,'Основной эфир'!$C$3:$C$1149,B3)</f>
        <v>2536000</v>
      </c>
      <c r="M3" s="31">
        <v>1.0</v>
      </c>
      <c r="N3" s="4"/>
      <c r="O3" s="4"/>
      <c r="P3" s="4"/>
      <c r="Q3" s="4"/>
      <c r="R3" s="4"/>
      <c r="S3" s="4"/>
      <c r="T3" s="4"/>
      <c r="U3" s="4"/>
      <c r="V3" s="4"/>
      <c r="W3" s="4"/>
      <c r="X3" s="4"/>
      <c r="Y3" s="4"/>
      <c r="Z3" s="4"/>
      <c r="AA3" s="4"/>
      <c r="AB3" s="4"/>
      <c r="AC3" s="4"/>
      <c r="AD3" s="4"/>
      <c r="AE3" s="4"/>
      <c r="AF3" s="4"/>
      <c r="AG3" s="4"/>
      <c r="AH3" s="4"/>
      <c r="AI3" s="4"/>
      <c r="AJ3" s="4"/>
      <c r="AK3" s="4"/>
      <c r="AL3" s="4"/>
      <c r="AM3" s="4"/>
    </row>
    <row r="4">
      <c r="A4" s="8" t="s">
        <v>17</v>
      </c>
      <c r="B4" s="33" t="s">
        <v>82</v>
      </c>
      <c r="C4" s="13">
        <f>IFERROR(__xludf.DUMMYFUNCTION("COUNTUNIQUEIFS('Основной эфир'!E$3:E1004, 'Основной эфир'!C$3:C1004, B4, 'Основной эфир'!E$3:E1004, ""&lt;&gt;"")
"),1.0)</f>
        <v>1</v>
      </c>
      <c r="D4" s="13"/>
      <c r="E4" s="15">
        <f>IFERROR(__xludf.DUMMYFUNCTION("COUNTUNIQUEIFS('Основной эфир'!I$3:I1004, 'Основной эфир'!C$3:C1004, B4, 'Основной эфир'!I$3:I1004, ""&lt;&gt;"")
"),5.0)</f>
        <v>5</v>
      </c>
      <c r="F4" s="15">
        <f>IFERROR(__xludf.DUMMYFUNCTION("COUNTUNIQUEIFS('Основной эфир'!J$3:J1004, 'Основной эфир'!C$3:C1004, B4, 'Основной эфир'!J$3:J1004, ""&lt;&gt;"")
"),5.0)</f>
        <v>5</v>
      </c>
      <c r="G4" s="18">
        <f>SUMIFS('Основной эфир'!$P$3:$P$1149,'Основной эфир'!$C$3:$C$1149,B4)</f>
        <v>4690</v>
      </c>
      <c r="H4" s="15">
        <f>SUMIFS('Основной эфир'!$Q$3:$Q$1149,'Основной эфир'!$C$3:$C$1149,B4)</f>
        <v>34</v>
      </c>
      <c r="I4" s="18">
        <f t="array" ref="I4">IFERROR(INDEX('Основной эфир'!$AI$3:$AI$1149,MATCH(B4,'Основной эфир'!$C$3:$C$1149,0)),"")</f>
        <v>3278.688525</v>
      </c>
      <c r="J4" s="15">
        <f t="array" ref="J4">IFERROR(INDEX('Основной эфир'!$AJ$3:$AJ$1149,MATCH(B4,'Основной эфир'!$C$3:$C$1149,0)),"")</f>
        <v>4000</v>
      </c>
      <c r="K4" s="18">
        <f>SUMIFS('Основной эфир'!$AK$3:$AK$1149,'Основной эфир'!$C$3:$C$1149,B4)</f>
        <v>111475.4098</v>
      </c>
      <c r="L4" s="15">
        <f>SUMIFS('Основной эфир'!$AL$3:$AL$1149,'Основной эфир'!$C$3:$C$1149,B4)</f>
        <v>136000</v>
      </c>
      <c r="M4" s="31">
        <v>1.0</v>
      </c>
      <c r="N4" s="4"/>
      <c r="O4" s="4"/>
      <c r="P4" s="4"/>
      <c r="Q4" s="4"/>
      <c r="R4" s="4"/>
      <c r="S4" s="4"/>
      <c r="T4" s="4"/>
      <c r="U4" s="4"/>
      <c r="V4" s="4"/>
      <c r="W4" s="4"/>
      <c r="X4" s="4"/>
      <c r="Y4" s="4"/>
      <c r="Z4" s="4"/>
      <c r="AA4" s="4"/>
      <c r="AB4" s="4"/>
      <c r="AC4" s="4"/>
      <c r="AD4" s="4"/>
      <c r="AE4" s="4"/>
      <c r="AF4" s="4"/>
      <c r="AG4" s="4"/>
      <c r="AH4" s="4"/>
      <c r="AI4" s="4"/>
      <c r="AJ4" s="4"/>
      <c r="AK4" s="4"/>
      <c r="AL4" s="4"/>
      <c r="AM4" s="4"/>
    </row>
    <row r="5">
      <c r="A5" s="8" t="s">
        <v>17</v>
      </c>
      <c r="B5" s="10" t="s">
        <v>93</v>
      </c>
      <c r="C5" s="13">
        <f>IFERROR(__xludf.DUMMYFUNCTION("COUNTUNIQUEIFS('Основной эфир'!E$3:E1004, 'Основной эфир'!C$3:C1004, B5, 'Основной эфир'!E$3:E1004, ""&lt;&gt;"")
"),1.0)</f>
        <v>1</v>
      </c>
      <c r="D5" s="13"/>
      <c r="E5" s="15">
        <f>IFERROR(__xludf.DUMMYFUNCTION("COUNTUNIQUEIFS('Основной эфир'!I$3:I1004, 'Основной эфир'!C$3:C1004, B5, 'Основной эфир'!I$3:I1004, ""&lt;&gt;"")
"),2.0)</f>
        <v>2</v>
      </c>
      <c r="F5" s="15">
        <f>IFERROR(__xludf.DUMMYFUNCTION("COUNTUNIQUEIFS('Основной эфир'!J$3:J1004, 'Основной эфир'!C$3:C1004, B5, 'Основной эфир'!J$3:J1004, ""&lt;&gt;"")
"),3.0)</f>
        <v>3</v>
      </c>
      <c r="G5" s="18">
        <f>SUMIFS('Основной эфир'!$P$3:$P$1149,'Основной эфир'!$C$3:$C$1149,B5)</f>
        <v>1968.4</v>
      </c>
      <c r="H5" s="15">
        <f>SUMIFS('Основной эфир'!$Q$3:$Q$1149,'Основной эфир'!$C$3:$C$1149,B5)</f>
        <v>10</v>
      </c>
      <c r="I5" s="18">
        <f t="array" ref="I5">IFERROR(INDEX('Основной эфир'!$AI$3:$AI$1149,MATCH(B5,'Основной эфир'!$C$3:$C$1149,0)),"")</f>
        <v>3278.688525</v>
      </c>
      <c r="J5" s="15">
        <f t="array" ref="J5">IFERROR(INDEX('Основной эфир'!$AJ$3:$AJ$1149,MATCH(B5,'Основной эфир'!$C$3:$C$1149,0)),"")</f>
        <v>4000</v>
      </c>
      <c r="K5" s="18">
        <f>SUMIFS('Основной эфир'!$AK$3:$AK$1149,'Основной эфир'!$C$3:$C$1149,B5)</f>
        <v>32786.88525</v>
      </c>
      <c r="L5" s="15">
        <f>SUMIFS('Основной эфир'!$AL$3:$AL$1149,'Основной эфир'!$C$3:$C$1149,B5)</f>
        <v>40000</v>
      </c>
      <c r="M5" s="31">
        <v>1.0</v>
      </c>
      <c r="N5" s="4"/>
      <c r="O5" s="4"/>
      <c r="P5" s="4"/>
      <c r="Q5" s="4"/>
      <c r="R5" s="4"/>
      <c r="S5" s="4"/>
      <c r="T5" s="4"/>
      <c r="U5" s="4"/>
      <c r="V5" s="4"/>
      <c r="W5" s="4"/>
      <c r="X5" s="4"/>
      <c r="Y5" s="4"/>
      <c r="Z5" s="4"/>
      <c r="AA5" s="4"/>
      <c r="AB5" s="4"/>
      <c r="AC5" s="4"/>
      <c r="AD5" s="4"/>
      <c r="AE5" s="4"/>
      <c r="AF5" s="4"/>
      <c r="AG5" s="4"/>
      <c r="AH5" s="4"/>
      <c r="AI5" s="4"/>
      <c r="AJ5" s="4"/>
      <c r="AK5" s="4"/>
      <c r="AL5" s="4"/>
      <c r="AM5" s="4"/>
    </row>
    <row r="6">
      <c r="A6" s="8" t="s">
        <v>17</v>
      </c>
      <c r="B6" s="10" t="s">
        <v>123</v>
      </c>
      <c r="C6" s="13">
        <f>IFERROR(__xludf.DUMMYFUNCTION("COUNTUNIQUEIFS('Основной эфир'!E$3:E1004, 'Основной эфир'!C$3:C1004, B6, 'Основной эфир'!E$3:E1004, ""&lt;&gt;"")
"),1.0)</f>
        <v>1</v>
      </c>
      <c r="D6" s="13"/>
      <c r="E6" s="15">
        <f>IFERROR(__xludf.DUMMYFUNCTION("COUNTUNIQUEIFS('Основной эфир'!I$3:I1004, 'Основной эфир'!C$3:C1004, B6, 'Основной эфир'!I$3:I1004, ""&lt;&gt;"")
"),1.0)</f>
        <v>1</v>
      </c>
      <c r="F6" s="15">
        <f>IFERROR(__xludf.DUMMYFUNCTION("COUNTUNIQUEIFS('Основной эфир'!J$3:J1004, 'Основной эфир'!C$3:C1004, B6, 'Основной эфир'!J$3:J1004, ""&lt;&gt;"")
"),1.0)</f>
        <v>1</v>
      </c>
      <c r="G6" s="18">
        <f>SUMIFS('Основной эфир'!$P$3:$P$1149,'Основной эфир'!$C$3:$C$1149,B6)</f>
        <v>658</v>
      </c>
      <c r="H6" s="15">
        <f>SUMIFS('Основной эфир'!$Q$3:$Q$1149,'Основной эфир'!$C$3:$C$1149,B6)</f>
        <v>5</v>
      </c>
      <c r="I6" s="18">
        <f t="array" ref="I6">IFERROR(INDEX('Основной эфир'!$AI$3:$AI$1149,MATCH(B6,'Основной эфир'!$C$3:$C$1149,0)),"")</f>
        <v>3278.688525</v>
      </c>
      <c r="J6" s="15">
        <f t="array" ref="J6">IFERROR(INDEX('Основной эфир'!$AJ$3:$AJ$1149,MATCH(B6,'Основной эфир'!$C$3:$C$1149,0)),"")</f>
        <v>4000</v>
      </c>
      <c r="K6" s="18">
        <f>SUMIFS('Основной эфир'!$AK$3:$AK$1149,'Основной эфир'!$C$3:$C$1149,B6)</f>
        <v>16393.44262</v>
      </c>
      <c r="L6" s="15">
        <f>SUMIFS('Основной эфир'!$AL$3:$AL$1149,'Основной эфир'!$C$3:$C$1149,B6)</f>
        <v>20000</v>
      </c>
      <c r="M6" s="31">
        <v>1.0</v>
      </c>
      <c r="N6" s="4"/>
      <c r="O6" s="4"/>
      <c r="P6" s="4"/>
      <c r="Q6" s="4"/>
      <c r="R6" s="4"/>
      <c r="S6" s="4"/>
      <c r="T6" s="4"/>
      <c r="U6" s="4"/>
      <c r="V6" s="4"/>
      <c r="W6" s="4"/>
      <c r="X6" s="4"/>
      <c r="Y6" s="4"/>
      <c r="Z6" s="4"/>
      <c r="AA6" s="4"/>
      <c r="AB6" s="4"/>
      <c r="AC6" s="4"/>
      <c r="AD6" s="4"/>
      <c r="AE6" s="4"/>
      <c r="AF6" s="4"/>
      <c r="AG6" s="4"/>
      <c r="AH6" s="4"/>
      <c r="AI6" s="4"/>
      <c r="AJ6" s="4"/>
      <c r="AK6" s="4"/>
      <c r="AL6" s="4"/>
      <c r="AM6" s="4"/>
    </row>
    <row r="7">
      <c r="A7" s="8" t="s">
        <v>142</v>
      </c>
      <c r="B7" s="10" t="s">
        <v>143</v>
      </c>
      <c r="C7" s="13">
        <f>IFERROR(__xludf.DUMMYFUNCTION("COUNTUNIQUEIFS('Основной эфир'!E$3:E1004, 'Основной эфир'!C$3:C1004, B7, 'Основной эфир'!E$3:E1004, ""&lt;&gt;"")
"),6.0)</f>
        <v>6</v>
      </c>
      <c r="D7" s="13"/>
      <c r="E7" s="15">
        <f>IFERROR(__xludf.DUMMYFUNCTION("COUNTUNIQUEIFS('Основной эфир'!I$3:I1004, 'Основной эфир'!C$3:C1004, B7, 'Основной эфир'!I$3:I1004, ""&lt;&gt;"")
"),49.0)</f>
        <v>49</v>
      </c>
      <c r="F7" s="15">
        <f>IFERROR(__xludf.DUMMYFUNCTION("COUNTUNIQUEIFS('Основной эфир'!J$3:J1004, 'Основной эфир'!C$3:C1004, B7, 'Основной эфир'!J$3:J1004, ""&lt;&gt;"")
"),108.0)</f>
        <v>108</v>
      </c>
      <c r="G7" s="18">
        <f>SUMIFS('Основной эфир'!$P$3:$P$1149,'Основной эфир'!$C$3:$C$1149,B7)</f>
        <v>94802.4</v>
      </c>
      <c r="H7" s="15">
        <f>SUMIFS('Основной эфир'!$Q$3:$Q$1149,'Основной эфир'!$C$3:$C$1149,B7)</f>
        <v>507</v>
      </c>
      <c r="I7" s="18">
        <f t="array" ref="I7">IFERROR(INDEX('Основной эфир'!$AI$3:$AI$1149,MATCH(B7,'Основной эфир'!$C$3:$C$1149,0)),"")</f>
        <v>3278.688525</v>
      </c>
      <c r="J7" s="15">
        <f t="array" ref="J7">IFERROR(INDEX('Основной эфир'!$AJ$3:$AJ$1149,MATCH(B7,'Основной эфир'!$C$3:$C$1149,0)),"")</f>
        <v>4000</v>
      </c>
      <c r="K7" s="18">
        <f>SUMIFS('Основной эфир'!$AK$3:$AK$1149,'Основной эфир'!$C$3:$C$1149,B7)</f>
        <v>1662295.082</v>
      </c>
      <c r="L7" s="15">
        <f>SUMIFS('Основной эфир'!$AL$3:$AL$1149,'Основной эфир'!$C$3:$C$1149,B7)</f>
        <v>2028000</v>
      </c>
      <c r="M7" s="31">
        <v>1.0</v>
      </c>
      <c r="N7" s="4"/>
      <c r="O7" s="4"/>
      <c r="P7" s="4"/>
      <c r="Q7" s="4"/>
      <c r="R7" s="4"/>
      <c r="S7" s="4"/>
      <c r="T7" s="4"/>
      <c r="U7" s="4"/>
      <c r="V7" s="4"/>
      <c r="W7" s="4"/>
      <c r="X7" s="4"/>
      <c r="Y7" s="4"/>
      <c r="Z7" s="4"/>
      <c r="AA7" s="4"/>
      <c r="AB7" s="4"/>
      <c r="AC7" s="4"/>
      <c r="AD7" s="4"/>
      <c r="AE7" s="4"/>
      <c r="AF7" s="4"/>
      <c r="AG7" s="4"/>
      <c r="AH7" s="4"/>
      <c r="AI7" s="4"/>
      <c r="AJ7" s="4"/>
      <c r="AK7" s="4"/>
      <c r="AL7" s="4"/>
      <c r="AM7" s="4"/>
    </row>
    <row r="8">
      <c r="A8" s="8" t="s">
        <v>165</v>
      </c>
      <c r="B8" s="37" t="s">
        <v>169</v>
      </c>
      <c r="C8" s="13">
        <f>IFERROR(__xludf.DUMMYFUNCTION("COUNTUNIQUEIFS('Основной эфир'!E$3:E1004, 'Основной эфир'!C$3:C1004, B8, 'Основной эфир'!E$3:E1004, ""&lt;&gt;"")
"),7.0)</f>
        <v>7</v>
      </c>
      <c r="D8" s="13"/>
      <c r="E8" s="15">
        <f>IFERROR(__xludf.DUMMYFUNCTION("COUNTUNIQUEIFS('Основной эфир'!I$3:I1004, 'Основной эфир'!C$3:C1004, B8, 'Основной эфир'!I$3:I1004, ""&lt;&gt;"")
"),71.0)</f>
        <v>71</v>
      </c>
      <c r="F8" s="15">
        <f>IFERROR(__xludf.DUMMYFUNCTION("COUNTUNIQUEIFS('Основной эфир'!J$3:J1004, 'Основной эфир'!C$3:C1004, B8, 'Основной эфир'!J$3:J1004, ""&lt;&gt;"")
"),112.0)</f>
        <v>112</v>
      </c>
      <c r="G8" s="18">
        <f>SUMIFS('Основной эфир'!$P$3:$P$1149,'Основной эфир'!$C$3:$C$1149,B8)</f>
        <v>54975.2</v>
      </c>
      <c r="H8" s="15">
        <f>SUMIFS('Основной эфир'!$Q$3:$Q$1149,'Основной эфир'!$C$3:$C$1149,B8)</f>
        <v>400</v>
      </c>
      <c r="I8" s="18">
        <f t="array" ref="I8">IFERROR(INDEX('Основной эфир'!$AI$3:$AI$1149,MATCH(B8,'Основной эфир'!$C$3:$C$1149,0)),"")</f>
        <v>3278.688525</v>
      </c>
      <c r="J8" s="15">
        <f t="array" ref="J8">IFERROR(INDEX('Основной эфир'!$AJ$3:$AJ$1149,MATCH(B8,'Основной эфир'!$C$3:$C$1149,0)),"")</f>
        <v>4000</v>
      </c>
      <c r="K8" s="18">
        <f>SUMIFS('Основной эфир'!$AK$3:$AK$1149,'Основной эфир'!$C$3:$C$1149,B8)</f>
        <v>1311475.41</v>
      </c>
      <c r="L8" s="15">
        <f>SUMIFS('Основной эфир'!$AL$3:$AL$1149,'Основной эфир'!$C$3:$C$1149,B8)</f>
        <v>1600000</v>
      </c>
      <c r="M8" s="31">
        <v>1.0</v>
      </c>
      <c r="N8" s="4"/>
      <c r="O8" s="4"/>
      <c r="P8" s="4"/>
      <c r="Q8" s="4"/>
      <c r="R8" s="4"/>
      <c r="S8" s="4"/>
      <c r="T8" s="4"/>
      <c r="U8" s="4"/>
      <c r="V8" s="4"/>
      <c r="W8" s="4"/>
      <c r="X8" s="4"/>
      <c r="Y8" s="4"/>
      <c r="Z8" s="4"/>
      <c r="AA8" s="4"/>
      <c r="AB8" s="4"/>
      <c r="AC8" s="4"/>
      <c r="AD8" s="4"/>
      <c r="AE8" s="4"/>
      <c r="AF8" s="4"/>
      <c r="AG8" s="4"/>
      <c r="AH8" s="4"/>
      <c r="AI8" s="4"/>
      <c r="AJ8" s="4"/>
      <c r="AK8" s="4"/>
      <c r="AL8" s="4"/>
      <c r="AM8" s="4"/>
    </row>
    <row r="9">
      <c r="A9" s="8" t="s">
        <v>193</v>
      </c>
      <c r="B9" s="37" t="s">
        <v>194</v>
      </c>
      <c r="C9" s="13">
        <f>IFERROR(__xludf.DUMMYFUNCTION("COUNTUNIQUEIFS('Основной эфир'!E$3:E1004, 'Основной эфир'!C$3:C1004, B9, 'Основной эфир'!E$3:E1004, ""&lt;&gt;"")
"),10.0)</f>
        <v>10</v>
      </c>
      <c r="D9" s="13"/>
      <c r="E9" s="15">
        <f>IFERROR(__xludf.DUMMYFUNCTION("COUNTUNIQUEIFS('Основной эфир'!I$3:I1004, 'Основной эфир'!C$3:C1004, B9, 'Основной эфир'!I$3:I1004, ""&lt;&gt;"")
"),84.0)</f>
        <v>84</v>
      </c>
      <c r="F9" s="15">
        <f>IFERROR(__xludf.DUMMYFUNCTION("COUNTUNIQUEIFS('Основной эфир'!J$3:J1004, 'Основной эфир'!C$3:C1004, B9, 'Основной эфир'!J$3:J1004, ""&lt;&gt;"")
"),138.0)</f>
        <v>138</v>
      </c>
      <c r="G9" s="18">
        <f>SUMIFS('Основной эфир'!$P$3:$P$1149,'Основной эфир'!$C$3:$C$1149,B9)</f>
        <v>77268.8</v>
      </c>
      <c r="H9" s="15">
        <f>SUMIFS('Основной эфир'!$Q$3:$Q$1149,'Основной эфир'!$C$3:$C$1149,B9)</f>
        <v>506</v>
      </c>
      <c r="I9" s="18">
        <f t="array" ref="I9">IFERROR(INDEX('Основной эфир'!$AI$3:$AI$1149,MATCH(B9,'Основной эфир'!$C$3:$C$1149,0)),"")</f>
        <v>3278.688525</v>
      </c>
      <c r="J9" s="15">
        <f t="array" ref="J9">IFERROR(INDEX('Основной эфир'!$AJ$3:$AJ$1149,MATCH(B9,'Основной эфир'!$C$3:$C$1149,0)),"")</f>
        <v>4000</v>
      </c>
      <c r="K9" s="18">
        <f>SUMIFS('Основной эфир'!$AK$3:$AK$1149,'Основной эфир'!$C$3:$C$1149,B9)</f>
        <v>1659016.393</v>
      </c>
      <c r="L9" s="15">
        <f>SUMIFS('Основной эфир'!$AL$3:$AL$1149,'Основной эфир'!$C$3:$C$1149,B9)</f>
        <v>2024000</v>
      </c>
      <c r="M9" s="31">
        <v>1.0</v>
      </c>
      <c r="N9" s="4"/>
      <c r="O9" s="4"/>
      <c r="P9" s="4"/>
      <c r="Q9" s="4"/>
      <c r="R9" s="4"/>
      <c r="S9" s="4"/>
      <c r="T9" s="4"/>
      <c r="U9" s="4"/>
      <c r="V9" s="4"/>
      <c r="W9" s="4"/>
      <c r="X9" s="4"/>
      <c r="Y9" s="4"/>
      <c r="Z9" s="4"/>
      <c r="AA9" s="4"/>
      <c r="AB9" s="4"/>
      <c r="AC9" s="4"/>
      <c r="AD9" s="4"/>
      <c r="AE9" s="4"/>
      <c r="AF9" s="4"/>
      <c r="AG9" s="4"/>
      <c r="AH9" s="4"/>
      <c r="AI9" s="4"/>
      <c r="AJ9" s="4"/>
      <c r="AK9" s="4"/>
      <c r="AL9" s="4"/>
      <c r="AM9" s="4"/>
    </row>
    <row r="10">
      <c r="A10" s="8" t="s">
        <v>193</v>
      </c>
      <c r="B10" s="10" t="s">
        <v>216</v>
      </c>
      <c r="C10" s="13">
        <f>IFERROR(__xludf.DUMMYFUNCTION("COUNTUNIQUEIFS('Основной эфир'!E$3:E1004, 'Основной эфир'!C$3:C1004, B10, 'Основной эфир'!E$3:E1004, ""&lt;&gt;"")
"),1.0)</f>
        <v>1</v>
      </c>
      <c r="D10" s="13"/>
      <c r="E10" s="15">
        <f>IFERROR(__xludf.DUMMYFUNCTION("COUNTUNIQUEIFS('Основной эфир'!I$3:I1004, 'Основной эфир'!C$3:C1004, B10, 'Основной эфир'!I$3:I1004, ""&lt;&gt;"")
"),1.0)</f>
        <v>1</v>
      </c>
      <c r="F10" s="15">
        <f>IFERROR(__xludf.DUMMYFUNCTION("COUNTUNIQUEIFS('Основной эфир'!J$3:J1004, 'Основной эфир'!C$3:C1004, B10, 'Основной эфир'!J$3:J1004, ""&lt;&gt;"")
"),7.0)</f>
        <v>7</v>
      </c>
      <c r="G10" s="18">
        <f>SUMIFS('Основной эфир'!$P$3:$P$1149,'Основной эфир'!$C$3:$C$1149,B10)</f>
        <v>2993.2</v>
      </c>
      <c r="H10" s="15">
        <f>SUMIFS('Основной эфир'!$Q$3:$Q$1149,'Основной эфир'!$C$3:$C$1149,B10)</f>
        <v>12</v>
      </c>
      <c r="I10" s="18">
        <f t="array" ref="I10">IFERROR(INDEX('Основной эфир'!$AI$3:$AI$1149,MATCH(B10,'Основной эфир'!$C$3:$C$1149,0)),"")</f>
        <v>3278.688525</v>
      </c>
      <c r="J10" s="15">
        <f t="array" ref="J10">IFERROR(INDEX('Основной эфир'!$AJ$3:$AJ$1149,MATCH(B10,'Основной эфир'!$C$3:$C$1149,0)),"")</f>
        <v>4000</v>
      </c>
      <c r="K10" s="18">
        <f>SUMIFS('Основной эфир'!$AK$3:$AK$1149,'Основной эфир'!$C$3:$C$1149,B10)</f>
        <v>39344.2623</v>
      </c>
      <c r="L10" s="15">
        <f>SUMIFS('Основной эфир'!$AL$3:$AL$1149,'Основной эфир'!$C$3:$C$1149,B10)</f>
        <v>48000</v>
      </c>
      <c r="M10" s="31">
        <v>1.0</v>
      </c>
      <c r="N10" s="4"/>
      <c r="O10" s="4"/>
      <c r="P10" s="4"/>
      <c r="Q10" s="4"/>
      <c r="R10" s="4"/>
      <c r="S10" s="4"/>
      <c r="T10" s="4"/>
      <c r="U10" s="4"/>
      <c r="V10" s="4"/>
      <c r="W10" s="4"/>
      <c r="X10" s="4"/>
      <c r="Y10" s="4"/>
      <c r="Z10" s="4"/>
      <c r="AA10" s="4"/>
      <c r="AB10" s="4"/>
      <c r="AC10" s="4"/>
      <c r="AD10" s="4"/>
      <c r="AE10" s="4"/>
      <c r="AF10" s="4"/>
      <c r="AG10" s="4"/>
      <c r="AH10" s="4"/>
      <c r="AI10" s="4"/>
      <c r="AJ10" s="4"/>
      <c r="AK10" s="4"/>
      <c r="AL10" s="4"/>
      <c r="AM10" s="4"/>
    </row>
    <row r="11">
      <c r="A11" s="8" t="s">
        <v>239</v>
      </c>
      <c r="B11" s="37" t="s">
        <v>240</v>
      </c>
      <c r="C11" s="13">
        <f>IFERROR(__xludf.DUMMYFUNCTION("COUNTUNIQUEIFS('Основной эфир'!E$3:E1004, 'Основной эфир'!C$3:C1004, B11, 'Основной эфир'!E$3:E1004, ""&lt;&gt;"")
"),1.0)</f>
        <v>1</v>
      </c>
      <c r="D11" s="13"/>
      <c r="E11" s="15">
        <f>IFERROR(__xludf.DUMMYFUNCTION("COUNTUNIQUEIFS('Основной эфир'!I$3:I1004, 'Основной эфир'!C$3:C1004, B11, 'Основной эфир'!I$3:I1004, ""&lt;&gt;"")
"),4.0)</f>
        <v>4</v>
      </c>
      <c r="F11" s="15">
        <f>IFERROR(__xludf.DUMMYFUNCTION("COUNTUNIQUEIFS('Основной эфир'!J$3:J1004, 'Основной эфир'!C$3:C1004, B11, 'Основной эфир'!J$3:J1004, ""&lt;&gt;"")
"),11.0)</f>
        <v>11</v>
      </c>
      <c r="G11" s="18">
        <f>SUMIFS('Основной эфир'!$P$3:$P$1149,'Основной эфир'!$C$3:$C$1149,B11)</f>
        <v>11765.6</v>
      </c>
      <c r="H11" s="15">
        <f>SUMIFS('Основной эфир'!$Q$3:$Q$1149,'Основной эфир'!$C$3:$C$1149,B11)</f>
        <v>48</v>
      </c>
      <c r="I11" s="18">
        <f t="array" ref="I11">IFERROR(INDEX('Основной эфир'!$AI$3:$AI$1149,MATCH(B11,'Основной эфир'!$C$3:$C$1149,0)),"")</f>
        <v>3278.688525</v>
      </c>
      <c r="J11" s="15">
        <f t="array" ref="J11">IFERROR(INDEX('Основной эфир'!$AJ$3:$AJ$1149,MATCH(B11,'Основной эфир'!$C$3:$C$1149,0)),"")</f>
        <v>4000</v>
      </c>
      <c r="K11" s="18">
        <f>SUMIFS('Основной эфир'!$AK$3:$AK$1149,'Основной эфир'!$C$3:$C$1149,B11)</f>
        <v>157377.0492</v>
      </c>
      <c r="L11" s="15">
        <f>SUMIFS('Основной эфир'!$AL$3:$AL$1149,'Основной эфир'!$C$3:$C$1149,B11)</f>
        <v>192000</v>
      </c>
      <c r="M11" s="31">
        <v>1.0</v>
      </c>
      <c r="N11" s="4"/>
      <c r="O11" s="4"/>
      <c r="P11" s="4"/>
      <c r="Q11" s="4"/>
      <c r="R11" s="4"/>
      <c r="S11" s="4"/>
      <c r="T11" s="4"/>
      <c r="U11" s="4"/>
      <c r="V11" s="4"/>
      <c r="W11" s="4"/>
      <c r="X11" s="4"/>
      <c r="Y11" s="4"/>
      <c r="Z11" s="4"/>
      <c r="AA11" s="4"/>
      <c r="AB11" s="4"/>
      <c r="AC11" s="4"/>
      <c r="AD11" s="4"/>
      <c r="AE11" s="4"/>
      <c r="AF11" s="4"/>
      <c r="AG11" s="4"/>
      <c r="AH11" s="4"/>
      <c r="AI11" s="4"/>
      <c r="AJ11" s="4"/>
      <c r="AK11" s="4"/>
      <c r="AL11" s="4"/>
      <c r="AM11" s="4"/>
    </row>
    <row r="12">
      <c r="A12" s="8" t="s">
        <v>239</v>
      </c>
      <c r="B12" s="37" t="s">
        <v>267</v>
      </c>
      <c r="C12" s="13">
        <f>IFERROR(__xludf.DUMMYFUNCTION("COUNTUNIQUEIFS('Основной эфир'!E$3:E1004, 'Основной эфир'!C$3:C1004, B12, 'Основной эфир'!E$3:E1004, ""&lt;&gt;"")
"),1.0)</f>
        <v>1</v>
      </c>
      <c r="D12" s="13"/>
      <c r="E12" s="15">
        <f>IFERROR(__xludf.DUMMYFUNCTION("COUNTUNIQUEIFS('Основной эфир'!I$3:I1004, 'Основной эфир'!C$3:C1004, B12, 'Основной эфир'!I$3:I1004, ""&lt;&gt;"")
"),9.0)</f>
        <v>9</v>
      </c>
      <c r="F12" s="15">
        <f>IFERROR(__xludf.DUMMYFUNCTION("COUNTUNIQUEIFS('Основной эфир'!J$3:J1004, 'Основной эфир'!C$3:C1004, B12, 'Основной эфир'!J$3:J1004, ""&lt;&gt;"")
"),17.0)</f>
        <v>17</v>
      </c>
      <c r="G12" s="18">
        <f>SUMIFS('Основной эфир'!$P$3:$P$1149,'Основной эфир'!$C$3:$C$1149,B12)</f>
        <v>19171.6</v>
      </c>
      <c r="H12" s="15">
        <f>SUMIFS('Основной эфир'!$Q$3:$Q$1149,'Основной эфир'!$C$3:$C$1149,B12)</f>
        <v>82</v>
      </c>
      <c r="I12" s="18">
        <f t="array" ref="I12">IFERROR(INDEX('Основной эфир'!$AI$3:$AI$1149,MATCH(B12,'Основной эфир'!$C$3:$C$1149,0)),"")</f>
        <v>3278.688525</v>
      </c>
      <c r="J12" s="15">
        <f t="array" ref="J12">IFERROR(INDEX('Основной эфир'!$AJ$3:$AJ$1149,MATCH(B12,'Основной эфир'!$C$3:$C$1149,0)),"")</f>
        <v>4000</v>
      </c>
      <c r="K12" s="18">
        <f>SUMIFS('Основной эфир'!$AK$3:$AK$1149,'Основной эфир'!$C$3:$C$1149,B12)</f>
        <v>268852.459</v>
      </c>
      <c r="L12" s="15">
        <f>SUMIFS('Основной эфир'!$AL$3:$AL$1149,'Основной эфир'!$C$3:$C$1149,B12)</f>
        <v>328000</v>
      </c>
      <c r="M12" s="31">
        <v>1.0</v>
      </c>
      <c r="N12" s="4"/>
      <c r="O12" s="4"/>
      <c r="P12" s="4"/>
      <c r="Q12" s="4"/>
      <c r="R12" s="4"/>
      <c r="S12" s="4"/>
      <c r="T12" s="4"/>
      <c r="U12" s="4"/>
      <c r="V12" s="4"/>
      <c r="W12" s="4"/>
      <c r="X12" s="4"/>
      <c r="Y12" s="4"/>
      <c r="Z12" s="4"/>
      <c r="AA12" s="4"/>
      <c r="AB12" s="4"/>
      <c r="AC12" s="4"/>
      <c r="AD12" s="4"/>
      <c r="AE12" s="4"/>
      <c r="AF12" s="4"/>
      <c r="AG12" s="4"/>
      <c r="AH12" s="4"/>
      <c r="AI12" s="4"/>
      <c r="AJ12" s="4"/>
      <c r="AK12" s="4"/>
      <c r="AL12" s="4"/>
      <c r="AM12" s="4"/>
    </row>
    <row r="13">
      <c r="A13" s="8" t="s">
        <v>239</v>
      </c>
      <c r="B13" s="37" t="s">
        <v>290</v>
      </c>
      <c r="C13" s="13">
        <f>IFERROR(__xludf.DUMMYFUNCTION("COUNTUNIQUEIFS('Основной эфир'!E$3:E1004, 'Основной эфир'!C$3:C1004, B13, 'Основной эфир'!E$3:E1004, ""&lt;&gt;"")
"),1.0)</f>
        <v>1</v>
      </c>
      <c r="D13" s="13"/>
      <c r="E13" s="15">
        <f>IFERROR(__xludf.DUMMYFUNCTION("COUNTUNIQUEIFS('Основной эфир'!I$3:I1004, 'Основной эфир'!C$3:C1004, B13, 'Основной эфир'!I$3:I1004, ""&lt;&gt;"")
"),3.0)</f>
        <v>3</v>
      </c>
      <c r="F13" s="15">
        <f>IFERROR(__xludf.DUMMYFUNCTION("COUNTUNIQUEIFS('Основной эфир'!J$3:J1004, 'Основной эфир'!C$3:C1004, B13, 'Основной эфир'!J$3:J1004, ""&lt;&gt;"")
"),5.0)</f>
        <v>5</v>
      </c>
      <c r="G13" s="18">
        <f>SUMIFS('Основной эфир'!$P$3:$P$1149,'Основной эфир'!$C$3:$C$1149,B13)</f>
        <v>12521.6</v>
      </c>
      <c r="H13" s="15">
        <f>SUMIFS('Основной эфир'!$Q$3:$Q$1149,'Основной эфир'!$C$3:$C$1149,B13)</f>
        <v>28</v>
      </c>
      <c r="I13" s="18">
        <f t="array" ref="I13">IFERROR(INDEX('Основной эфир'!$AI$3:$AI$1149,MATCH(B13,'Основной эфир'!$C$3:$C$1149,0)),"")</f>
        <v>3278.688525</v>
      </c>
      <c r="J13" s="15">
        <f t="array" ref="J13">IFERROR(INDEX('Основной эфир'!$AJ$3:$AJ$1149,MATCH(B13,'Основной эфир'!$C$3:$C$1149,0)),"")</f>
        <v>4000</v>
      </c>
      <c r="K13" s="18">
        <f>SUMIFS('Основной эфир'!$AK$3:$AK$1149,'Основной эфир'!$C$3:$C$1149,B13)</f>
        <v>91803.27869</v>
      </c>
      <c r="L13" s="15">
        <f>SUMIFS('Основной эфир'!$AL$3:$AL$1149,'Основной эфир'!$C$3:$C$1149,B13)</f>
        <v>112000</v>
      </c>
      <c r="M13" s="31">
        <v>1.0</v>
      </c>
      <c r="N13" s="4"/>
      <c r="O13" s="4"/>
      <c r="P13" s="4"/>
      <c r="Q13" s="4"/>
      <c r="R13" s="4"/>
      <c r="S13" s="4"/>
      <c r="T13" s="4"/>
      <c r="U13" s="4"/>
      <c r="V13" s="4"/>
      <c r="W13" s="4"/>
      <c r="X13" s="4"/>
      <c r="Y13" s="4"/>
      <c r="Z13" s="4"/>
      <c r="AA13" s="4"/>
      <c r="AB13" s="4"/>
      <c r="AC13" s="4"/>
      <c r="AD13" s="4"/>
      <c r="AE13" s="4"/>
      <c r="AF13" s="4"/>
      <c r="AG13" s="4"/>
      <c r="AH13" s="4"/>
      <c r="AI13" s="4"/>
      <c r="AJ13" s="4"/>
      <c r="AK13" s="4"/>
      <c r="AL13" s="4"/>
      <c r="AM13" s="4"/>
    </row>
    <row r="14">
      <c r="A14" s="8" t="s">
        <v>239</v>
      </c>
      <c r="B14" s="37" t="s">
        <v>314</v>
      </c>
      <c r="C14" s="13">
        <f>IFERROR(__xludf.DUMMYFUNCTION("COUNTUNIQUEIFS('Основной эфир'!E$3:E1004, 'Основной эфир'!C$3:C1004, B14, 'Основной эфир'!E$3:E1004, ""&lt;&gt;"")
"),1.0)</f>
        <v>1</v>
      </c>
      <c r="D14" s="13"/>
      <c r="E14" s="15">
        <f>IFERROR(__xludf.DUMMYFUNCTION("COUNTUNIQUEIFS('Основной эфир'!I$3:I1004, 'Основной эфир'!C$3:C1004, B14, 'Основной эфир'!I$3:I1004, ""&lt;&gt;"")
"),9.0)</f>
        <v>9</v>
      </c>
      <c r="F14" s="15">
        <f>IFERROR(__xludf.DUMMYFUNCTION("COUNTUNIQUEIFS('Основной эфир'!J$3:J1004, 'Основной эфир'!C$3:C1004, B14, 'Основной эфир'!J$3:J1004, ""&lt;&gt;"")
"),28.0)</f>
        <v>28</v>
      </c>
      <c r="G14" s="18">
        <f>SUMIFS('Основной эфир'!$P$3:$P$1149,'Основной эфир'!$C$3:$C$1149,B14)</f>
        <v>27244</v>
      </c>
      <c r="H14" s="15">
        <f>SUMIFS('Основной эфир'!$Q$3:$Q$1149,'Основной эфир'!$C$3:$C$1149,B14)</f>
        <v>84</v>
      </c>
      <c r="I14" s="18">
        <f t="array" ref="I14">IFERROR(INDEX('Основной эфир'!$AI$3:$AI$1149,MATCH(B14,'Основной эфир'!$C$3:$C$1149,0)),"")</f>
        <v>3278.688525</v>
      </c>
      <c r="J14" s="15">
        <f t="array" ref="J14">IFERROR(INDEX('Основной эфир'!$AJ$3:$AJ$1149,MATCH(B14,'Основной эфир'!$C$3:$C$1149,0)),"")</f>
        <v>4000</v>
      </c>
      <c r="K14" s="18">
        <f>SUMIFS('Основной эфир'!$AK$3:$AK$1149,'Основной эфир'!$C$3:$C$1149,B14)</f>
        <v>275409.8361</v>
      </c>
      <c r="L14" s="15">
        <f>SUMIFS('Основной эфир'!$AL$3:$AL$1149,'Основной эфир'!$C$3:$C$1149,B14)</f>
        <v>336000</v>
      </c>
      <c r="M14" s="31">
        <v>1.0</v>
      </c>
      <c r="N14" s="4"/>
      <c r="O14" s="4"/>
      <c r="P14" s="4"/>
      <c r="Q14" s="4"/>
      <c r="R14" s="4"/>
      <c r="S14" s="4"/>
      <c r="T14" s="4"/>
      <c r="U14" s="4"/>
      <c r="V14" s="4"/>
      <c r="W14" s="4"/>
      <c r="X14" s="4"/>
      <c r="Y14" s="4"/>
      <c r="Z14" s="4"/>
      <c r="AA14" s="4"/>
      <c r="AB14" s="4"/>
      <c r="AC14" s="4"/>
      <c r="AD14" s="4"/>
      <c r="AE14" s="4"/>
      <c r="AF14" s="4"/>
      <c r="AG14" s="4"/>
      <c r="AH14" s="4"/>
      <c r="AI14" s="4"/>
      <c r="AJ14" s="4"/>
      <c r="AK14" s="4"/>
      <c r="AL14" s="4"/>
      <c r="AM14" s="4"/>
    </row>
    <row r="15">
      <c r="A15" s="8" t="s">
        <v>239</v>
      </c>
      <c r="B15" s="37" t="s">
        <v>329</v>
      </c>
      <c r="C15" s="13">
        <f>IFERROR(__xludf.DUMMYFUNCTION("COUNTUNIQUEIFS('Основной эфир'!E$3:E1004, 'Основной эфир'!C$3:C1004, B15, 'Основной эфир'!E$3:E1004, ""&lt;&gt;"")
"),1.0)</f>
        <v>1</v>
      </c>
      <c r="D15" s="13"/>
      <c r="E15" s="15">
        <f>IFERROR(__xludf.DUMMYFUNCTION("COUNTUNIQUEIFS('Основной эфир'!I$3:I1004, 'Основной эфир'!C$3:C1004, B15, 'Основной эфир'!I$3:I1004, ""&lt;&gt;"")
"),4.0)</f>
        <v>4</v>
      </c>
      <c r="F15" s="15">
        <f>IFERROR(__xludf.DUMMYFUNCTION("COUNTUNIQUEIFS('Основной эфир'!J$3:J1004, 'Основной эфир'!C$3:C1004, B15, 'Основной эфир'!J$3:J1004, ""&lt;&gt;"")
"),16.0)</f>
        <v>16</v>
      </c>
      <c r="G15" s="18">
        <f>SUMIFS('Основной эфир'!$P$3:$P$1149,'Основной эфир'!$C$3:$C$1149,B15)</f>
        <v>9240</v>
      </c>
      <c r="H15" s="15">
        <f>SUMIFS('Основной эфир'!$Q$3:$Q$1149,'Основной эфир'!$C$3:$C$1149,B15)</f>
        <v>29</v>
      </c>
      <c r="I15" s="18">
        <f t="array" ref="I15">IFERROR(INDEX('Основной эфир'!$AI$3:$AI$1149,MATCH(B15,'Основной эфир'!$C$3:$C$1149,0)),"")</f>
        <v>3278.688525</v>
      </c>
      <c r="J15" s="15">
        <f t="array" ref="J15">IFERROR(INDEX('Основной эфир'!$AJ$3:$AJ$1149,MATCH(B15,'Основной эфир'!$C$3:$C$1149,0)),"")</f>
        <v>4000</v>
      </c>
      <c r="K15" s="18">
        <f>SUMIFS('Основной эфир'!$AK$3:$AK$1149,'Основной эфир'!$C$3:$C$1149,B15)</f>
        <v>95081.96721</v>
      </c>
      <c r="L15" s="15">
        <f>SUMIFS('Основной эфир'!$AL$3:$AL$1149,'Основной эфир'!$C$3:$C$1149,B15)</f>
        <v>116000</v>
      </c>
      <c r="M15" s="31">
        <v>1.0</v>
      </c>
      <c r="N15" s="4"/>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8" t="s">
        <v>239</v>
      </c>
      <c r="B16" s="10" t="s">
        <v>349</v>
      </c>
      <c r="C16" s="13">
        <f>IFERROR(__xludf.DUMMYFUNCTION("COUNTUNIQUEIFS('Основной эфир'!E$3:E1004, 'Основной эфир'!C$3:C1004, B16, 'Основной эфир'!E$3:E1004, ""&lt;&gt;"")
"),1.0)</f>
        <v>1</v>
      </c>
      <c r="D16" s="38"/>
      <c r="E16" s="15">
        <f>IFERROR(__xludf.DUMMYFUNCTION("COUNTUNIQUEIFS('Основной эфир'!I$3:I1004, 'Основной эфир'!C$3:C1004, B16, 'Основной эфир'!I$3:I1004, ""&lt;&gt;"")
"),13.0)</f>
        <v>13</v>
      </c>
      <c r="F16" s="15">
        <f>IFERROR(__xludf.DUMMYFUNCTION("COUNTUNIQUEIFS('Основной эфир'!J$3:J1004, 'Основной эфир'!C$3:C1004, B16, 'Основной эфир'!J$3:J1004, ""&lt;&gt;"")
"),26.0)</f>
        <v>26</v>
      </c>
      <c r="G16" s="18">
        <f>SUMIFS('Основной эфир'!$P$3:$P$1149,'Основной эфир'!$C$3:$C$1149,B16)</f>
        <v>33625.2</v>
      </c>
      <c r="H16" s="15">
        <f>SUMIFS('Основной эфир'!$Q$3:$Q$1149,'Основной эфир'!$C$3:$C$1149,B16)</f>
        <v>102</v>
      </c>
      <c r="I16" s="18">
        <f t="array" ref="I16">IFERROR(INDEX('Основной эфир'!$AI$3:$AI$1149,MATCH(B16,'Основной эфир'!$C$3:$C$1149,0)),"")</f>
        <v>3278.688525</v>
      </c>
      <c r="J16" s="15">
        <f t="array" ref="J16">IFERROR(INDEX('Основной эфир'!$AJ$3:$AJ$1149,MATCH(B16,'Основной эфир'!$C$3:$C$1149,0)),"")</f>
        <v>4000</v>
      </c>
      <c r="K16" s="18">
        <f>SUMIFS('Основной эфир'!$AK$3:$AK$1149,'Основной эфир'!$C$3:$C$1149,B16)</f>
        <v>334426.2295</v>
      </c>
      <c r="L16" s="15">
        <f>SUMIFS('Основной эфир'!$AL$3:$AL$1149,'Основной эфир'!$C$3:$C$1149,B16)</f>
        <v>408000</v>
      </c>
      <c r="M16" s="31">
        <v>1.0</v>
      </c>
      <c r="N16" s="4"/>
      <c r="O16" s="4"/>
      <c r="P16" s="4"/>
      <c r="Q16" s="4"/>
      <c r="R16" s="4"/>
      <c r="S16" s="4"/>
      <c r="T16" s="4"/>
      <c r="U16" s="4"/>
      <c r="V16" s="4"/>
      <c r="W16" s="4"/>
      <c r="X16" s="4"/>
      <c r="Y16" s="4"/>
      <c r="Z16" s="4"/>
      <c r="AA16" s="4"/>
      <c r="AB16" s="4"/>
      <c r="AC16" s="4"/>
      <c r="AD16" s="4"/>
      <c r="AE16" s="4"/>
      <c r="AF16" s="4"/>
      <c r="AG16" s="4"/>
      <c r="AH16" s="4"/>
      <c r="AI16" s="4"/>
      <c r="AJ16" s="4"/>
      <c r="AK16" s="4"/>
      <c r="AL16" s="4"/>
      <c r="AM16" s="4"/>
    </row>
    <row r="17" ht="18.75" customHeight="1">
      <c r="A17" s="39" t="s">
        <v>366</v>
      </c>
      <c r="B17" s="38">
        <f>COUNTA(B3:B16)</f>
        <v>14</v>
      </c>
      <c r="C17" s="13">
        <f>IFERROR(__xludf.DUMMYFUNCTION("COUNTUNIQUEIFS('Основной эфир'!E$3:E1004, 'Основной эфир'!C$3:C1004, B17, 'Основной эфир'!E$3:E1004, ""&lt;&gt;"")
"),0.0)</f>
        <v>0</v>
      </c>
      <c r="D17" s="13"/>
      <c r="E17" s="38">
        <f t="shared" ref="E17:F17" si="1">SUM(E3:E16)</f>
        <v>377</v>
      </c>
      <c r="F17" s="38">
        <f t="shared" si="1"/>
        <v>653</v>
      </c>
      <c r="G17" s="13"/>
      <c r="H17" s="38">
        <f>SUM(H3:H16)</f>
        <v>2481</v>
      </c>
      <c r="I17" s="13"/>
      <c r="J17" s="13"/>
      <c r="K17" s="40">
        <f t="shared" ref="K17:L17" si="2">SUM(K3:K16)</f>
        <v>8134426.23</v>
      </c>
      <c r="L17" s="38">
        <f t="shared" si="2"/>
        <v>9924000</v>
      </c>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row>
    <row r="21">
      <c r="A21" s="4"/>
      <c r="B21" s="4"/>
      <c r="C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row>
    <row r="25">
      <c r="A25" s="4"/>
      <c r="B25" s="4"/>
      <c r="C25" s="4"/>
      <c r="D25" s="4"/>
      <c r="E25" s="4"/>
      <c r="F25" s="4"/>
      <c r="G25" s="4"/>
      <c r="H25" s="4"/>
      <c r="I25" s="4"/>
      <c r="J25" s="4"/>
      <c r="K25" s="9" t="s">
        <v>394</v>
      </c>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row>
  </sheetData>
  <mergeCells count="2">
    <mergeCell ref="A1:B1"/>
    <mergeCell ref="C1:AM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23.5"/>
    <col customWidth="1" min="3" max="3" width="18.75"/>
    <col customWidth="1" min="4" max="4" width="18.25"/>
    <col customWidth="1" min="5" max="5" width="32.63"/>
    <col customWidth="1" min="6" max="8" width="15.75"/>
    <col customWidth="1" min="9" max="9" width="27.0"/>
    <col customWidth="1" min="10" max="10" width="36.38"/>
    <col customWidth="1" min="11" max="11" width="9.75"/>
    <col customWidth="1" min="12" max="12" width="9.38"/>
    <col customWidth="1" min="22" max="22" width="18.25"/>
    <col customWidth="1" min="23" max="23" width="15.75"/>
    <col customWidth="1" min="27" max="27" width="14.38"/>
    <col customWidth="1" min="32" max="32" width="13.25"/>
    <col customWidth="1" hidden="1" min="34" max="34" width="19.25"/>
    <col customWidth="1" min="35" max="38" width="19.0"/>
  </cols>
  <sheetData>
    <row r="1" ht="35.25" customHeight="1">
      <c r="A1" s="7"/>
      <c r="D1" s="2" t="s">
        <v>18</v>
      </c>
    </row>
    <row r="2">
      <c r="A2" s="3" t="s">
        <v>21</v>
      </c>
      <c r="B2" s="3" t="s">
        <v>1</v>
      </c>
      <c r="C2" s="3" t="s">
        <v>2</v>
      </c>
      <c r="D2" s="3" t="s">
        <v>22</v>
      </c>
      <c r="E2" s="3" t="s">
        <v>23</v>
      </c>
      <c r="F2" s="3" t="s">
        <v>24</v>
      </c>
      <c r="G2" s="3" t="s">
        <v>25</v>
      </c>
      <c r="H2" s="3" t="s">
        <v>26</v>
      </c>
      <c r="I2" s="3" t="s">
        <v>27</v>
      </c>
      <c r="J2" s="3" t="s">
        <v>28</v>
      </c>
      <c r="K2" s="14" t="s">
        <v>29</v>
      </c>
      <c r="L2" s="6"/>
      <c r="M2" s="3" t="s">
        <v>32</v>
      </c>
      <c r="N2" s="3" t="s">
        <v>33</v>
      </c>
      <c r="O2" s="3" t="s">
        <v>34</v>
      </c>
      <c r="P2" s="3" t="s">
        <v>9</v>
      </c>
      <c r="Q2" s="3" t="s">
        <v>36</v>
      </c>
      <c r="R2" s="3" t="s">
        <v>37</v>
      </c>
      <c r="S2" s="3" t="s">
        <v>38</v>
      </c>
      <c r="T2" s="3" t="s">
        <v>39</v>
      </c>
      <c r="U2" s="3" t="s">
        <v>40</v>
      </c>
      <c r="V2" s="3" t="s">
        <v>41</v>
      </c>
      <c r="W2" s="3" t="s">
        <v>42</v>
      </c>
      <c r="X2" s="3" t="s">
        <v>43</v>
      </c>
      <c r="Y2" s="3" t="s">
        <v>44</v>
      </c>
      <c r="Z2" s="3" t="s">
        <v>45</v>
      </c>
      <c r="AA2" s="3" t="s">
        <v>47</v>
      </c>
      <c r="AB2" s="3" t="s">
        <v>48</v>
      </c>
      <c r="AC2" s="3" t="s">
        <v>49</v>
      </c>
      <c r="AD2" s="3" t="s">
        <v>50</v>
      </c>
      <c r="AE2" s="3" t="s">
        <v>51</v>
      </c>
      <c r="AF2" s="3" t="s">
        <v>52</v>
      </c>
      <c r="AG2" s="3" t="s">
        <v>16</v>
      </c>
      <c r="AH2" s="3" t="s">
        <v>53</v>
      </c>
      <c r="AI2" s="3" t="s">
        <v>55</v>
      </c>
      <c r="AJ2" s="3" t="s">
        <v>56</v>
      </c>
      <c r="AK2" s="3" t="s">
        <v>57</v>
      </c>
      <c r="AL2" s="3" t="s">
        <v>58</v>
      </c>
    </row>
    <row r="3">
      <c r="A3" s="16" t="s">
        <v>59</v>
      </c>
      <c r="B3" s="17" t="s">
        <v>17</v>
      </c>
      <c r="C3" s="17" t="s">
        <v>19</v>
      </c>
      <c r="D3" s="17" t="s">
        <v>61</v>
      </c>
      <c r="E3" s="17" t="s">
        <v>62</v>
      </c>
      <c r="F3" s="17" t="s">
        <v>63</v>
      </c>
      <c r="G3" s="19">
        <v>45839.0</v>
      </c>
      <c r="H3" s="17" t="s">
        <v>65</v>
      </c>
      <c r="I3" s="20" t="s">
        <v>67</v>
      </c>
      <c r="J3" s="21" t="s">
        <v>68</v>
      </c>
      <c r="K3" s="22" t="s">
        <v>69</v>
      </c>
      <c r="L3" s="22" t="s">
        <v>70</v>
      </c>
      <c r="M3" s="17">
        <v>2021.0</v>
      </c>
      <c r="N3" s="17">
        <v>14.0</v>
      </c>
      <c r="O3" s="23">
        <v>412.0</v>
      </c>
      <c r="P3" s="24">
        <f t="shared" ref="P3:P184" si="1">O3*2.8</f>
        <v>1153.6</v>
      </c>
      <c r="Q3" s="25">
        <v>2.0</v>
      </c>
      <c r="R3" s="17">
        <v>1.0</v>
      </c>
      <c r="S3" s="26">
        <v>3.0</v>
      </c>
      <c r="T3" s="17">
        <v>1.0</v>
      </c>
      <c r="U3" s="17">
        <v>6.0</v>
      </c>
      <c r="V3" s="17" t="s">
        <v>75</v>
      </c>
      <c r="W3" s="28" t="s">
        <v>76</v>
      </c>
      <c r="X3" s="28" t="s">
        <v>78</v>
      </c>
      <c r="Y3" s="24">
        <v>10.0</v>
      </c>
      <c r="Z3" s="17">
        <v>150.0</v>
      </c>
      <c r="AA3" s="17">
        <v>576.0</v>
      </c>
      <c r="AB3" s="17">
        <v>31.0</v>
      </c>
      <c r="AC3" s="20">
        <f t="shared" ref="AC3:AC681" si="2">Q3*AA3*AB3</f>
        <v>35712</v>
      </c>
      <c r="AD3" s="30">
        <f t="shared" ref="AD3:AD681" si="3">AE3/P3</f>
        <v>5.194222222</v>
      </c>
      <c r="AE3" s="30">
        <f t="shared" ref="AE3:AE195" si="4">((P3*2.6*R3/S3/2)*30/Z3+(P3*2.6*T3/U3)*N3*2/Z3)*AB3</f>
        <v>5992.054756</v>
      </c>
      <c r="AF3" s="30">
        <f t="shared" ref="AF3:AF681" si="5">AL3/AE3*1000</f>
        <v>1335.101284</v>
      </c>
      <c r="AG3" s="34">
        <v>1.0</v>
      </c>
      <c r="AH3" s="35" t="s">
        <v>84</v>
      </c>
      <c r="AI3" s="30">
        <f t="shared" ref="AI3:AI681" si="6">AJ3/1.22</f>
        <v>3278.688525</v>
      </c>
      <c r="AJ3" s="17">
        <v>4000.0</v>
      </c>
      <c r="AK3" s="30">
        <f t="shared" ref="AK3:AK681" si="7">AI3*Q3</f>
        <v>6557.377049</v>
      </c>
      <c r="AL3" s="20">
        <f t="shared" ref="AL3:AL681" si="8">AK3*1.22</f>
        <v>8000</v>
      </c>
    </row>
    <row r="4">
      <c r="A4" s="16" t="s">
        <v>59</v>
      </c>
      <c r="B4" s="17" t="s">
        <v>17</v>
      </c>
      <c r="C4" s="17" t="s">
        <v>19</v>
      </c>
      <c r="D4" s="17" t="s">
        <v>61</v>
      </c>
      <c r="E4" s="17" t="s">
        <v>62</v>
      </c>
      <c r="F4" s="17" t="s">
        <v>63</v>
      </c>
      <c r="G4" s="19">
        <v>45839.0</v>
      </c>
      <c r="H4" s="17" t="s">
        <v>65</v>
      </c>
      <c r="I4" s="20" t="s">
        <v>67</v>
      </c>
      <c r="J4" s="21" t="s">
        <v>86</v>
      </c>
      <c r="K4" s="22" t="s">
        <v>87</v>
      </c>
      <c r="L4" s="22" t="s">
        <v>88</v>
      </c>
      <c r="M4" s="17">
        <v>2019.0</v>
      </c>
      <c r="N4" s="17">
        <v>26.0</v>
      </c>
      <c r="O4" s="23">
        <v>232.0</v>
      </c>
      <c r="P4" s="24">
        <f t="shared" si="1"/>
        <v>649.6</v>
      </c>
      <c r="Q4" s="25">
        <v>2.0</v>
      </c>
      <c r="R4" s="17">
        <v>1.0</v>
      </c>
      <c r="S4" s="26">
        <v>1.0</v>
      </c>
      <c r="T4" s="17">
        <v>1.0</v>
      </c>
      <c r="U4" s="17">
        <v>3.0</v>
      </c>
      <c r="V4" s="17" t="s">
        <v>75</v>
      </c>
      <c r="W4" s="28" t="s">
        <v>76</v>
      </c>
      <c r="X4" s="28" t="s">
        <v>78</v>
      </c>
      <c r="Y4" s="24">
        <v>10.0</v>
      </c>
      <c r="Z4" s="17">
        <v>150.0</v>
      </c>
      <c r="AA4" s="17">
        <v>576.0</v>
      </c>
      <c r="AB4" s="17">
        <v>31.0</v>
      </c>
      <c r="AC4" s="20">
        <f t="shared" si="2"/>
        <v>35712</v>
      </c>
      <c r="AD4" s="30">
        <f t="shared" si="3"/>
        <v>17.37377778</v>
      </c>
      <c r="AE4" s="30">
        <f t="shared" si="4"/>
        <v>11286.00604</v>
      </c>
      <c r="AF4" s="30">
        <f t="shared" si="5"/>
        <v>708.8424345</v>
      </c>
      <c r="AG4" s="34">
        <v>1.0</v>
      </c>
      <c r="AH4" s="35" t="s">
        <v>89</v>
      </c>
      <c r="AI4" s="30">
        <f t="shared" si="6"/>
        <v>3278.688525</v>
      </c>
      <c r="AJ4" s="17">
        <v>4000.0</v>
      </c>
      <c r="AK4" s="30">
        <f t="shared" si="7"/>
        <v>6557.377049</v>
      </c>
      <c r="AL4" s="20">
        <f t="shared" si="8"/>
        <v>8000</v>
      </c>
    </row>
    <row r="5">
      <c r="A5" s="16" t="s">
        <v>59</v>
      </c>
      <c r="B5" s="17" t="s">
        <v>17</v>
      </c>
      <c r="C5" s="17" t="s">
        <v>19</v>
      </c>
      <c r="D5" s="17" t="s">
        <v>61</v>
      </c>
      <c r="E5" s="17" t="s">
        <v>62</v>
      </c>
      <c r="F5" s="17" t="s">
        <v>63</v>
      </c>
      <c r="G5" s="19">
        <v>45839.0</v>
      </c>
      <c r="H5" s="17" t="s">
        <v>65</v>
      </c>
      <c r="I5" s="20" t="s">
        <v>67</v>
      </c>
      <c r="J5" s="21" t="s">
        <v>90</v>
      </c>
      <c r="K5" s="22" t="s">
        <v>91</v>
      </c>
      <c r="L5" s="22" t="s">
        <v>92</v>
      </c>
      <c r="M5" s="17">
        <v>2023.0</v>
      </c>
      <c r="N5" s="17">
        <v>25.0</v>
      </c>
      <c r="O5" s="23">
        <v>173.0</v>
      </c>
      <c r="P5" s="24">
        <f t="shared" si="1"/>
        <v>484.4</v>
      </c>
      <c r="Q5" s="25">
        <v>1.0</v>
      </c>
      <c r="R5" s="17">
        <v>0.0</v>
      </c>
      <c r="S5" s="26">
        <v>1.0</v>
      </c>
      <c r="T5" s="17">
        <v>1.0</v>
      </c>
      <c r="U5" s="17">
        <v>3.0</v>
      </c>
      <c r="V5" s="17" t="s">
        <v>75</v>
      </c>
      <c r="W5" s="28" t="s">
        <v>76</v>
      </c>
      <c r="X5" s="28" t="s">
        <v>78</v>
      </c>
      <c r="Y5" s="24">
        <v>10.0</v>
      </c>
      <c r="Z5" s="17">
        <v>150.0</v>
      </c>
      <c r="AA5" s="17">
        <v>576.0</v>
      </c>
      <c r="AB5" s="17">
        <v>31.0</v>
      </c>
      <c r="AC5" s="20">
        <f t="shared" si="2"/>
        <v>17856</v>
      </c>
      <c r="AD5" s="30">
        <f t="shared" si="3"/>
        <v>8.955555556</v>
      </c>
      <c r="AE5" s="30">
        <f t="shared" si="4"/>
        <v>4338.071111</v>
      </c>
      <c r="AF5" s="30">
        <f t="shared" si="5"/>
        <v>922.0687945</v>
      </c>
      <c r="AG5" s="34">
        <v>1.0</v>
      </c>
      <c r="AH5" s="36"/>
      <c r="AI5" s="30">
        <f t="shared" si="6"/>
        <v>3278.688525</v>
      </c>
      <c r="AJ5" s="17">
        <v>4000.0</v>
      </c>
      <c r="AK5" s="30">
        <f t="shared" si="7"/>
        <v>3278.688525</v>
      </c>
      <c r="AL5" s="20">
        <f t="shared" si="8"/>
        <v>4000</v>
      </c>
    </row>
    <row r="6">
      <c r="A6" s="16" t="s">
        <v>59</v>
      </c>
      <c r="B6" s="17" t="s">
        <v>17</v>
      </c>
      <c r="C6" s="17" t="s">
        <v>19</v>
      </c>
      <c r="D6" s="17" t="s">
        <v>61</v>
      </c>
      <c r="E6" s="17" t="s">
        <v>62</v>
      </c>
      <c r="F6" s="17" t="s">
        <v>63</v>
      </c>
      <c r="G6" s="19">
        <v>45839.0</v>
      </c>
      <c r="H6" s="17" t="s">
        <v>65</v>
      </c>
      <c r="I6" s="20" t="s">
        <v>67</v>
      </c>
      <c r="J6" s="21" t="s">
        <v>94</v>
      </c>
      <c r="K6" s="22" t="s">
        <v>95</v>
      </c>
      <c r="L6" s="22" t="s">
        <v>96</v>
      </c>
      <c r="M6" s="17">
        <v>2025.0</v>
      </c>
      <c r="N6" s="17">
        <v>26.0</v>
      </c>
      <c r="O6" s="23">
        <v>233.0</v>
      </c>
      <c r="P6" s="24">
        <f t="shared" si="1"/>
        <v>652.4</v>
      </c>
      <c r="Q6" s="25">
        <v>3.0</v>
      </c>
      <c r="R6" s="17">
        <v>0.0</v>
      </c>
      <c r="S6" s="26">
        <v>1.0</v>
      </c>
      <c r="T6" s="17">
        <v>3.0</v>
      </c>
      <c r="U6" s="17">
        <v>3.0</v>
      </c>
      <c r="V6" s="17" t="s">
        <v>75</v>
      </c>
      <c r="W6" s="28" t="s">
        <v>76</v>
      </c>
      <c r="X6" s="28" t="s">
        <v>78</v>
      </c>
      <c r="Y6" s="24">
        <v>10.0</v>
      </c>
      <c r="Z6" s="17">
        <v>150.0</v>
      </c>
      <c r="AA6" s="17">
        <v>576.0</v>
      </c>
      <c r="AB6" s="17">
        <v>31.0</v>
      </c>
      <c r="AC6" s="20">
        <f t="shared" si="2"/>
        <v>53568</v>
      </c>
      <c r="AD6" s="30">
        <f t="shared" si="3"/>
        <v>27.94133333</v>
      </c>
      <c r="AE6" s="30">
        <f t="shared" si="4"/>
        <v>18228.92587</v>
      </c>
      <c r="AF6" s="30">
        <f t="shared" si="5"/>
        <v>658.2944101</v>
      </c>
      <c r="AG6" s="34">
        <v>1.0</v>
      </c>
      <c r="AH6" s="36"/>
      <c r="AI6" s="30">
        <f t="shared" si="6"/>
        <v>3278.688525</v>
      </c>
      <c r="AJ6" s="17">
        <v>4000.0</v>
      </c>
      <c r="AK6" s="30">
        <f t="shared" si="7"/>
        <v>9836.065574</v>
      </c>
      <c r="AL6" s="20">
        <f t="shared" si="8"/>
        <v>12000</v>
      </c>
    </row>
    <row r="7">
      <c r="A7" s="16" t="s">
        <v>59</v>
      </c>
      <c r="B7" s="17" t="s">
        <v>17</v>
      </c>
      <c r="C7" s="17" t="s">
        <v>19</v>
      </c>
      <c r="D7" s="17" t="s">
        <v>61</v>
      </c>
      <c r="E7" s="17" t="s">
        <v>62</v>
      </c>
      <c r="F7" s="17" t="s">
        <v>63</v>
      </c>
      <c r="G7" s="19">
        <v>45839.0</v>
      </c>
      <c r="H7" s="17" t="s">
        <v>65</v>
      </c>
      <c r="I7" s="20" t="s">
        <v>67</v>
      </c>
      <c r="J7" s="21" t="s">
        <v>97</v>
      </c>
      <c r="K7" s="22" t="s">
        <v>98</v>
      </c>
      <c r="L7" s="22" t="s">
        <v>99</v>
      </c>
      <c r="M7" s="17">
        <v>2024.0</v>
      </c>
      <c r="N7" s="17">
        <v>15.0</v>
      </c>
      <c r="O7" s="23">
        <v>289.0</v>
      </c>
      <c r="P7" s="24">
        <f t="shared" si="1"/>
        <v>809.2</v>
      </c>
      <c r="Q7" s="25">
        <v>4.0</v>
      </c>
      <c r="R7" s="17">
        <v>2.0</v>
      </c>
      <c r="S7" s="26">
        <v>1.0</v>
      </c>
      <c r="T7" s="17">
        <v>2.0</v>
      </c>
      <c r="U7" s="17">
        <v>4.0</v>
      </c>
      <c r="V7" s="17" t="s">
        <v>75</v>
      </c>
      <c r="W7" s="28" t="s">
        <v>76</v>
      </c>
      <c r="X7" s="28" t="s">
        <v>78</v>
      </c>
      <c r="Y7" s="24">
        <v>10.0</v>
      </c>
      <c r="Z7" s="17">
        <v>150.0</v>
      </c>
      <c r="AA7" s="17">
        <v>576.0</v>
      </c>
      <c r="AB7" s="17">
        <v>31.0</v>
      </c>
      <c r="AC7" s="20">
        <f t="shared" si="2"/>
        <v>71424</v>
      </c>
      <c r="AD7" s="30">
        <f t="shared" si="3"/>
        <v>24.18</v>
      </c>
      <c r="AE7" s="30">
        <f t="shared" si="4"/>
        <v>19566.456</v>
      </c>
      <c r="AF7" s="30">
        <f t="shared" si="5"/>
        <v>817.7260103</v>
      </c>
      <c r="AG7" s="34">
        <v>1.0</v>
      </c>
      <c r="AH7" s="36"/>
      <c r="AI7" s="30">
        <f t="shared" si="6"/>
        <v>3278.688525</v>
      </c>
      <c r="AJ7" s="17">
        <v>4000.0</v>
      </c>
      <c r="AK7" s="30">
        <f t="shared" si="7"/>
        <v>13114.7541</v>
      </c>
      <c r="AL7" s="20">
        <f t="shared" si="8"/>
        <v>16000</v>
      </c>
    </row>
    <row r="8">
      <c r="A8" s="16" t="s">
        <v>100</v>
      </c>
      <c r="B8" s="17" t="s">
        <v>17</v>
      </c>
      <c r="C8" s="17" t="s">
        <v>19</v>
      </c>
      <c r="D8" s="17" t="s">
        <v>101</v>
      </c>
      <c r="E8" s="17" t="s">
        <v>102</v>
      </c>
      <c r="F8" s="17" t="s">
        <v>103</v>
      </c>
      <c r="G8" s="19">
        <v>45985.0</v>
      </c>
      <c r="H8" s="17" t="s">
        <v>104</v>
      </c>
      <c r="I8" s="20" t="s">
        <v>105</v>
      </c>
      <c r="J8" s="21" t="s">
        <v>106</v>
      </c>
      <c r="K8" s="22" t="s">
        <v>107</v>
      </c>
      <c r="L8" s="22" t="s">
        <v>108</v>
      </c>
      <c r="M8" s="17">
        <v>2021.0</v>
      </c>
      <c r="N8" s="17">
        <v>28.0</v>
      </c>
      <c r="O8" s="23">
        <v>301.0</v>
      </c>
      <c r="P8" s="24">
        <f t="shared" si="1"/>
        <v>842.8</v>
      </c>
      <c r="Q8" s="25">
        <v>3.0</v>
      </c>
      <c r="R8" s="17">
        <v>1.0</v>
      </c>
      <c r="S8" s="26">
        <v>1.0</v>
      </c>
      <c r="T8" s="17">
        <v>2.0</v>
      </c>
      <c r="U8" s="17">
        <v>4.0</v>
      </c>
      <c r="V8" s="17" t="s">
        <v>75</v>
      </c>
      <c r="W8" s="28" t="s">
        <v>76</v>
      </c>
      <c r="X8" s="28" t="s">
        <v>78</v>
      </c>
      <c r="Y8" s="24">
        <v>10.0</v>
      </c>
      <c r="Z8" s="17">
        <v>150.0</v>
      </c>
      <c r="AA8" s="17">
        <v>576.0</v>
      </c>
      <c r="AB8" s="17">
        <v>31.0</v>
      </c>
      <c r="AC8" s="20">
        <f t="shared" si="2"/>
        <v>53568</v>
      </c>
      <c r="AD8" s="30">
        <f t="shared" si="3"/>
        <v>23.10533333</v>
      </c>
      <c r="AE8" s="30">
        <f t="shared" si="4"/>
        <v>19473.17493</v>
      </c>
      <c r="AF8" s="30">
        <f t="shared" si="5"/>
        <v>616.232332</v>
      </c>
      <c r="AG8" s="34">
        <v>1.0</v>
      </c>
      <c r="AH8" s="36"/>
      <c r="AI8" s="30">
        <f t="shared" si="6"/>
        <v>3278.688525</v>
      </c>
      <c r="AJ8" s="17">
        <v>4000.0</v>
      </c>
      <c r="AK8" s="30">
        <f t="shared" si="7"/>
        <v>9836.065574</v>
      </c>
      <c r="AL8" s="20">
        <f t="shared" si="8"/>
        <v>12000</v>
      </c>
    </row>
    <row r="9">
      <c r="A9" s="16" t="s">
        <v>109</v>
      </c>
      <c r="B9" s="17" t="s">
        <v>17</v>
      </c>
      <c r="C9" s="17" t="s">
        <v>19</v>
      </c>
      <c r="D9" s="17" t="s">
        <v>101</v>
      </c>
      <c r="E9" s="17" t="s">
        <v>110</v>
      </c>
      <c r="F9" s="17" t="s">
        <v>63</v>
      </c>
      <c r="G9" s="19">
        <v>45950.0</v>
      </c>
      <c r="H9" s="17" t="s">
        <v>65</v>
      </c>
      <c r="I9" s="20" t="s">
        <v>111</v>
      </c>
      <c r="J9" s="21" t="s">
        <v>112</v>
      </c>
      <c r="K9" s="22" t="s">
        <v>113</v>
      </c>
      <c r="L9" s="22" t="s">
        <v>114</v>
      </c>
      <c r="M9" s="17">
        <v>2024.0</v>
      </c>
      <c r="N9" s="17">
        <v>10.0</v>
      </c>
      <c r="O9" s="23">
        <v>329.0</v>
      </c>
      <c r="P9" s="24">
        <f t="shared" si="1"/>
        <v>921.2</v>
      </c>
      <c r="Q9" s="25">
        <v>5.0</v>
      </c>
      <c r="R9" s="17">
        <v>0.0</v>
      </c>
      <c r="S9" s="26">
        <v>5.0</v>
      </c>
      <c r="T9" s="17">
        <v>5.0</v>
      </c>
      <c r="U9" s="17">
        <v>5.0</v>
      </c>
      <c r="V9" s="17" t="s">
        <v>75</v>
      </c>
      <c r="W9" s="28" t="s">
        <v>76</v>
      </c>
      <c r="X9" s="28" t="s">
        <v>78</v>
      </c>
      <c r="Y9" s="24">
        <v>10.0</v>
      </c>
      <c r="Z9" s="17">
        <v>150.0</v>
      </c>
      <c r="AA9" s="17">
        <v>576.0</v>
      </c>
      <c r="AB9" s="17">
        <v>31.0</v>
      </c>
      <c r="AC9" s="20">
        <f t="shared" si="2"/>
        <v>89280</v>
      </c>
      <c r="AD9" s="30">
        <f t="shared" si="3"/>
        <v>10.74666667</v>
      </c>
      <c r="AE9" s="30">
        <f t="shared" si="4"/>
        <v>9899.829333</v>
      </c>
      <c r="AF9" s="30">
        <f t="shared" si="5"/>
        <v>2020.236847</v>
      </c>
      <c r="AG9" s="34">
        <v>1.0</v>
      </c>
      <c r="AH9" s="36"/>
      <c r="AI9" s="30">
        <f t="shared" si="6"/>
        <v>3278.688525</v>
      </c>
      <c r="AJ9" s="17">
        <v>4000.0</v>
      </c>
      <c r="AK9" s="30">
        <f t="shared" si="7"/>
        <v>16393.44262</v>
      </c>
      <c r="AL9" s="20">
        <f t="shared" si="8"/>
        <v>20000</v>
      </c>
    </row>
    <row r="10">
      <c r="A10" s="16" t="s">
        <v>115</v>
      </c>
      <c r="B10" s="17" t="s">
        <v>17</v>
      </c>
      <c r="C10" s="17" t="s">
        <v>19</v>
      </c>
      <c r="D10" s="17" t="s">
        <v>116</v>
      </c>
      <c r="E10" s="17" t="s">
        <v>117</v>
      </c>
      <c r="F10" s="17" t="s">
        <v>103</v>
      </c>
      <c r="G10" s="19">
        <v>45961.0</v>
      </c>
      <c r="H10" s="17" t="s">
        <v>118</v>
      </c>
      <c r="I10" s="20" t="s">
        <v>119</v>
      </c>
      <c r="J10" s="21" t="s">
        <v>120</v>
      </c>
      <c r="K10" s="22" t="s">
        <v>121</v>
      </c>
      <c r="L10" s="22" t="s">
        <v>122</v>
      </c>
      <c r="M10" s="17">
        <v>2023.0</v>
      </c>
      <c r="N10" s="17">
        <v>19.0</v>
      </c>
      <c r="O10" s="23">
        <v>102.0</v>
      </c>
      <c r="P10" s="24">
        <f t="shared" si="1"/>
        <v>285.6</v>
      </c>
      <c r="Q10" s="25">
        <v>1.0</v>
      </c>
      <c r="R10" s="17">
        <v>1.0</v>
      </c>
      <c r="S10" s="26">
        <v>8.0</v>
      </c>
      <c r="T10" s="17">
        <v>0.0</v>
      </c>
      <c r="U10" s="17">
        <v>16.0</v>
      </c>
      <c r="V10" s="17" t="s">
        <v>75</v>
      </c>
      <c r="W10" s="28" t="s">
        <v>76</v>
      </c>
      <c r="X10" s="28" t="s">
        <v>78</v>
      </c>
      <c r="Y10" s="24">
        <v>10.0</v>
      </c>
      <c r="Z10" s="17">
        <v>150.0</v>
      </c>
      <c r="AA10" s="17">
        <v>576.0</v>
      </c>
      <c r="AB10" s="17">
        <v>31.0</v>
      </c>
      <c r="AC10" s="20">
        <f t="shared" si="2"/>
        <v>17856</v>
      </c>
      <c r="AD10" s="30">
        <f t="shared" si="3"/>
        <v>1.0075</v>
      </c>
      <c r="AE10" s="30">
        <f t="shared" si="4"/>
        <v>287.742</v>
      </c>
      <c r="AF10" s="30">
        <f t="shared" si="5"/>
        <v>13901.34217</v>
      </c>
      <c r="AG10" s="34">
        <v>1.0</v>
      </c>
      <c r="AH10" s="36"/>
      <c r="AI10" s="30">
        <f t="shared" si="6"/>
        <v>3278.688525</v>
      </c>
      <c r="AJ10" s="17">
        <v>4000.0</v>
      </c>
      <c r="AK10" s="30">
        <f t="shared" si="7"/>
        <v>3278.688525</v>
      </c>
      <c r="AL10" s="20">
        <f t="shared" si="8"/>
        <v>4000</v>
      </c>
    </row>
    <row r="11">
      <c r="A11" s="16" t="s">
        <v>115</v>
      </c>
      <c r="B11" s="17" t="s">
        <v>17</v>
      </c>
      <c r="C11" s="17" t="s">
        <v>19</v>
      </c>
      <c r="D11" s="17" t="s">
        <v>116</v>
      </c>
      <c r="E11" s="17" t="s">
        <v>117</v>
      </c>
      <c r="F11" s="17" t="s">
        <v>103</v>
      </c>
      <c r="G11" s="19">
        <v>45961.0</v>
      </c>
      <c r="H11" s="17" t="s">
        <v>118</v>
      </c>
      <c r="I11" s="20" t="s">
        <v>119</v>
      </c>
      <c r="J11" s="21" t="s">
        <v>124</v>
      </c>
      <c r="K11" s="22" t="s">
        <v>125</v>
      </c>
      <c r="L11" s="22" t="s">
        <v>126</v>
      </c>
      <c r="M11" s="17">
        <v>2018.0</v>
      </c>
      <c r="N11" s="17">
        <v>27.0</v>
      </c>
      <c r="O11" s="23">
        <v>338.0</v>
      </c>
      <c r="P11" s="24">
        <f t="shared" si="1"/>
        <v>946.4</v>
      </c>
      <c r="Q11" s="25">
        <v>1.0</v>
      </c>
      <c r="R11" s="17">
        <v>1.0</v>
      </c>
      <c r="S11" s="26">
        <v>1.0</v>
      </c>
      <c r="T11" s="17">
        <v>0.0</v>
      </c>
      <c r="U11" s="17">
        <v>3.0</v>
      </c>
      <c r="V11" s="17" t="s">
        <v>75</v>
      </c>
      <c r="W11" s="28" t="s">
        <v>76</v>
      </c>
      <c r="X11" s="28" t="s">
        <v>78</v>
      </c>
      <c r="Y11" s="24">
        <v>10.0</v>
      </c>
      <c r="Z11" s="17">
        <v>150.0</v>
      </c>
      <c r="AA11" s="17">
        <v>576.0</v>
      </c>
      <c r="AB11" s="17">
        <v>31.0</v>
      </c>
      <c r="AC11" s="20">
        <f t="shared" si="2"/>
        <v>17856</v>
      </c>
      <c r="AD11" s="30">
        <f t="shared" si="3"/>
        <v>8.06</v>
      </c>
      <c r="AE11" s="30">
        <f t="shared" si="4"/>
        <v>7627.984</v>
      </c>
      <c r="AF11" s="30">
        <f t="shared" si="5"/>
        <v>524.3849489</v>
      </c>
      <c r="AG11" s="34">
        <v>1.0</v>
      </c>
      <c r="AH11" s="36"/>
      <c r="AI11" s="30">
        <f t="shared" si="6"/>
        <v>3278.688525</v>
      </c>
      <c r="AJ11" s="17">
        <v>4000.0</v>
      </c>
      <c r="AK11" s="30">
        <f t="shared" si="7"/>
        <v>3278.688525</v>
      </c>
      <c r="AL11" s="20">
        <f t="shared" si="8"/>
        <v>4000</v>
      </c>
    </row>
    <row r="12">
      <c r="A12" s="16" t="s">
        <v>115</v>
      </c>
      <c r="B12" s="17" t="s">
        <v>17</v>
      </c>
      <c r="C12" s="17" t="s">
        <v>19</v>
      </c>
      <c r="D12" s="17" t="s">
        <v>116</v>
      </c>
      <c r="E12" s="17" t="s">
        <v>117</v>
      </c>
      <c r="F12" s="17" t="s">
        <v>103</v>
      </c>
      <c r="G12" s="19">
        <v>45961.0</v>
      </c>
      <c r="H12" s="17" t="s">
        <v>118</v>
      </c>
      <c r="I12" s="20" t="s">
        <v>119</v>
      </c>
      <c r="J12" s="21" t="s">
        <v>127</v>
      </c>
      <c r="K12" s="28" t="s">
        <v>128</v>
      </c>
      <c r="L12" s="28" t="s">
        <v>129</v>
      </c>
      <c r="M12" s="17">
        <v>2017.0</v>
      </c>
      <c r="N12" s="17">
        <v>18.0</v>
      </c>
      <c r="O12" s="23">
        <v>187.0</v>
      </c>
      <c r="P12" s="24">
        <f t="shared" si="1"/>
        <v>523.6</v>
      </c>
      <c r="Q12" s="25">
        <v>2.0</v>
      </c>
      <c r="R12" s="17">
        <v>0.0</v>
      </c>
      <c r="S12" s="26">
        <v>2.0</v>
      </c>
      <c r="T12" s="17">
        <v>2.0</v>
      </c>
      <c r="U12" s="17">
        <v>4.0</v>
      </c>
      <c r="V12" s="17" t="s">
        <v>130</v>
      </c>
      <c r="W12" s="28" t="s">
        <v>76</v>
      </c>
      <c r="X12" s="28" t="s">
        <v>78</v>
      </c>
      <c r="Y12" s="24">
        <v>10.0</v>
      </c>
      <c r="Z12" s="17">
        <v>150.0</v>
      </c>
      <c r="AA12" s="17">
        <v>576.0</v>
      </c>
      <c r="AB12" s="17">
        <v>31.0</v>
      </c>
      <c r="AC12" s="20">
        <f t="shared" si="2"/>
        <v>35712</v>
      </c>
      <c r="AD12" s="30">
        <f t="shared" si="3"/>
        <v>9.672</v>
      </c>
      <c r="AE12" s="30">
        <f t="shared" si="4"/>
        <v>5064.2592</v>
      </c>
      <c r="AF12" s="30">
        <f t="shared" si="5"/>
        <v>1579.697974</v>
      </c>
      <c r="AG12" s="34">
        <v>1.0</v>
      </c>
      <c r="AH12" s="36"/>
      <c r="AI12" s="30">
        <f t="shared" si="6"/>
        <v>3278.688525</v>
      </c>
      <c r="AJ12" s="17">
        <v>4000.0</v>
      </c>
      <c r="AK12" s="30">
        <f t="shared" si="7"/>
        <v>6557.377049</v>
      </c>
      <c r="AL12" s="20">
        <f t="shared" si="8"/>
        <v>8000</v>
      </c>
    </row>
    <row r="13">
      <c r="A13" s="16" t="s">
        <v>131</v>
      </c>
      <c r="B13" s="17" t="s">
        <v>17</v>
      </c>
      <c r="C13" s="17" t="s">
        <v>19</v>
      </c>
      <c r="D13" s="17" t="s">
        <v>61</v>
      </c>
      <c r="E13" s="17" t="s">
        <v>110</v>
      </c>
      <c r="F13" s="17" t="s">
        <v>103</v>
      </c>
      <c r="G13" s="19">
        <v>45961.0</v>
      </c>
      <c r="H13" s="17" t="s">
        <v>65</v>
      </c>
      <c r="I13" s="20" t="s">
        <v>132</v>
      </c>
      <c r="J13" s="21" t="s">
        <v>133</v>
      </c>
      <c r="K13" s="22" t="s">
        <v>134</v>
      </c>
      <c r="L13" s="22" t="s">
        <v>135</v>
      </c>
      <c r="M13" s="17">
        <v>2023.0</v>
      </c>
      <c r="N13" s="17">
        <v>19.0</v>
      </c>
      <c r="O13" s="23">
        <v>321.0</v>
      </c>
      <c r="P13" s="24">
        <f t="shared" si="1"/>
        <v>898.8</v>
      </c>
      <c r="Q13" s="25">
        <v>2.0</v>
      </c>
      <c r="R13" s="17">
        <v>2.0</v>
      </c>
      <c r="S13" s="26">
        <v>2.0</v>
      </c>
      <c r="T13" s="17">
        <v>0.0</v>
      </c>
      <c r="U13" s="17">
        <v>4.0</v>
      </c>
      <c r="V13" s="17" t="s">
        <v>75</v>
      </c>
      <c r="W13" s="28" t="s">
        <v>76</v>
      </c>
      <c r="X13" s="28" t="s">
        <v>78</v>
      </c>
      <c r="Y13" s="24">
        <v>10.0</v>
      </c>
      <c r="Z13" s="17">
        <v>150.0</v>
      </c>
      <c r="AA13" s="17">
        <v>576.0</v>
      </c>
      <c r="AB13" s="17">
        <v>31.0</v>
      </c>
      <c r="AC13" s="20">
        <f t="shared" si="2"/>
        <v>35712</v>
      </c>
      <c r="AD13" s="30">
        <f t="shared" si="3"/>
        <v>8.06</v>
      </c>
      <c r="AE13" s="30">
        <f t="shared" si="4"/>
        <v>7244.328</v>
      </c>
      <c r="AF13" s="30">
        <f t="shared" si="5"/>
        <v>1104.312229</v>
      </c>
      <c r="AG13" s="34">
        <v>1.0</v>
      </c>
      <c r="AH13" s="36"/>
      <c r="AI13" s="30">
        <f t="shared" si="6"/>
        <v>3278.688525</v>
      </c>
      <c r="AJ13" s="17">
        <v>4000.0</v>
      </c>
      <c r="AK13" s="30">
        <f t="shared" si="7"/>
        <v>6557.377049</v>
      </c>
      <c r="AL13" s="20">
        <f t="shared" si="8"/>
        <v>8000</v>
      </c>
    </row>
    <row r="14">
      <c r="A14" s="16" t="s">
        <v>131</v>
      </c>
      <c r="B14" s="17" t="s">
        <v>17</v>
      </c>
      <c r="C14" s="17" t="s">
        <v>19</v>
      </c>
      <c r="D14" s="17" t="s">
        <v>61</v>
      </c>
      <c r="E14" s="17" t="s">
        <v>110</v>
      </c>
      <c r="F14" s="17" t="s">
        <v>103</v>
      </c>
      <c r="G14" s="19">
        <v>45961.0</v>
      </c>
      <c r="H14" s="17" t="s">
        <v>65</v>
      </c>
      <c r="I14" s="20" t="s">
        <v>132</v>
      </c>
      <c r="J14" s="21" t="s">
        <v>136</v>
      </c>
      <c r="K14" s="22" t="s">
        <v>137</v>
      </c>
      <c r="L14" s="22" t="s">
        <v>138</v>
      </c>
      <c r="M14" s="17">
        <v>2020.0</v>
      </c>
      <c r="N14" s="17">
        <v>15.0</v>
      </c>
      <c r="O14" s="23">
        <v>151.0</v>
      </c>
      <c r="P14" s="24">
        <f t="shared" si="1"/>
        <v>422.8</v>
      </c>
      <c r="Q14" s="25">
        <v>2.0</v>
      </c>
      <c r="R14" s="17">
        <v>2.0</v>
      </c>
      <c r="S14" s="26">
        <v>2.0</v>
      </c>
      <c r="T14" s="17">
        <v>0.0</v>
      </c>
      <c r="U14" s="17">
        <v>4.0</v>
      </c>
      <c r="V14" s="17" t="s">
        <v>75</v>
      </c>
      <c r="W14" s="28" t="s">
        <v>76</v>
      </c>
      <c r="X14" s="28" t="s">
        <v>78</v>
      </c>
      <c r="Y14" s="24">
        <v>10.0</v>
      </c>
      <c r="Z14" s="17">
        <v>150.0</v>
      </c>
      <c r="AA14" s="17">
        <v>576.0</v>
      </c>
      <c r="AB14" s="17">
        <v>31.0</v>
      </c>
      <c r="AC14" s="20">
        <f t="shared" si="2"/>
        <v>35712</v>
      </c>
      <c r="AD14" s="30">
        <f t="shared" si="3"/>
        <v>8.06</v>
      </c>
      <c r="AE14" s="30">
        <f t="shared" si="4"/>
        <v>3407.768</v>
      </c>
      <c r="AF14" s="30">
        <f t="shared" si="5"/>
        <v>2347.577652</v>
      </c>
      <c r="AG14" s="34">
        <v>1.0</v>
      </c>
      <c r="AH14" s="36"/>
      <c r="AI14" s="30">
        <f t="shared" si="6"/>
        <v>3278.688525</v>
      </c>
      <c r="AJ14" s="17">
        <v>4000.0</v>
      </c>
      <c r="AK14" s="30">
        <f t="shared" si="7"/>
        <v>6557.377049</v>
      </c>
      <c r="AL14" s="20">
        <f t="shared" si="8"/>
        <v>8000</v>
      </c>
    </row>
    <row r="15">
      <c r="A15" s="16" t="s">
        <v>131</v>
      </c>
      <c r="B15" s="17" t="s">
        <v>17</v>
      </c>
      <c r="C15" s="17" t="s">
        <v>19</v>
      </c>
      <c r="D15" s="17" t="s">
        <v>61</v>
      </c>
      <c r="E15" s="17" t="s">
        <v>110</v>
      </c>
      <c r="F15" s="17" t="s">
        <v>103</v>
      </c>
      <c r="G15" s="19">
        <v>45961.0</v>
      </c>
      <c r="H15" s="17" t="s">
        <v>65</v>
      </c>
      <c r="I15" s="20" t="s">
        <v>132</v>
      </c>
      <c r="J15" s="21" t="s">
        <v>139</v>
      </c>
      <c r="K15" s="22" t="s">
        <v>140</v>
      </c>
      <c r="L15" s="22" t="s">
        <v>141</v>
      </c>
      <c r="M15" s="17">
        <v>2012.0</v>
      </c>
      <c r="N15" s="17">
        <v>18.0</v>
      </c>
      <c r="O15" s="23">
        <v>111.0</v>
      </c>
      <c r="P15" s="24">
        <f t="shared" si="1"/>
        <v>310.8</v>
      </c>
      <c r="Q15" s="25">
        <v>1.0</v>
      </c>
      <c r="R15" s="17">
        <v>1.0</v>
      </c>
      <c r="S15" s="26">
        <v>1.0</v>
      </c>
      <c r="T15" s="17">
        <v>0.0</v>
      </c>
      <c r="U15" s="17">
        <v>2.0</v>
      </c>
      <c r="V15" s="17" t="s">
        <v>75</v>
      </c>
      <c r="W15" s="28" t="s">
        <v>76</v>
      </c>
      <c r="X15" s="28" t="s">
        <v>78</v>
      </c>
      <c r="Y15" s="24">
        <v>10.0</v>
      </c>
      <c r="Z15" s="17">
        <v>150.0</v>
      </c>
      <c r="AA15" s="17">
        <v>576.0</v>
      </c>
      <c r="AB15" s="17">
        <v>31.0</v>
      </c>
      <c r="AC15" s="20">
        <f t="shared" si="2"/>
        <v>17856</v>
      </c>
      <c r="AD15" s="30">
        <f t="shared" si="3"/>
        <v>8.06</v>
      </c>
      <c r="AE15" s="30">
        <f t="shared" si="4"/>
        <v>2505.048</v>
      </c>
      <c r="AF15" s="30">
        <f t="shared" si="5"/>
        <v>1596.77579</v>
      </c>
      <c r="AG15" s="34">
        <v>1.0</v>
      </c>
      <c r="AH15" s="36"/>
      <c r="AI15" s="30">
        <f t="shared" si="6"/>
        <v>3278.688525</v>
      </c>
      <c r="AJ15" s="17">
        <v>4000.0</v>
      </c>
      <c r="AK15" s="30">
        <f t="shared" si="7"/>
        <v>3278.688525</v>
      </c>
      <c r="AL15" s="20">
        <f t="shared" si="8"/>
        <v>4000</v>
      </c>
    </row>
    <row r="16">
      <c r="A16" s="16" t="s">
        <v>131</v>
      </c>
      <c r="B16" s="17" t="s">
        <v>17</v>
      </c>
      <c r="C16" s="17" t="s">
        <v>19</v>
      </c>
      <c r="D16" s="17" t="s">
        <v>61</v>
      </c>
      <c r="E16" s="17" t="s">
        <v>110</v>
      </c>
      <c r="F16" s="17" t="s">
        <v>103</v>
      </c>
      <c r="G16" s="19">
        <v>45961.0</v>
      </c>
      <c r="H16" s="17" t="s">
        <v>65</v>
      </c>
      <c r="I16" s="20" t="s">
        <v>132</v>
      </c>
      <c r="J16" s="21" t="s">
        <v>144</v>
      </c>
      <c r="K16" s="22" t="s">
        <v>145</v>
      </c>
      <c r="L16" s="22" t="s">
        <v>146</v>
      </c>
      <c r="M16" s="17">
        <v>2018.0</v>
      </c>
      <c r="N16" s="17">
        <v>27.0</v>
      </c>
      <c r="O16" s="23">
        <v>271.0</v>
      </c>
      <c r="P16" s="24">
        <f t="shared" si="1"/>
        <v>758.8</v>
      </c>
      <c r="Q16" s="25">
        <v>1.0</v>
      </c>
      <c r="R16" s="17">
        <v>1.0</v>
      </c>
      <c r="S16" s="26">
        <v>1.0</v>
      </c>
      <c r="T16" s="17">
        <v>0.0</v>
      </c>
      <c r="U16" s="17">
        <v>3.0</v>
      </c>
      <c r="V16" s="17" t="s">
        <v>75</v>
      </c>
      <c r="W16" s="28" t="s">
        <v>76</v>
      </c>
      <c r="X16" s="28" t="s">
        <v>78</v>
      </c>
      <c r="Y16" s="24">
        <v>10.0</v>
      </c>
      <c r="Z16" s="17">
        <v>150.0</v>
      </c>
      <c r="AA16" s="17">
        <v>576.0</v>
      </c>
      <c r="AB16" s="17">
        <v>31.0</v>
      </c>
      <c r="AC16" s="20">
        <f t="shared" si="2"/>
        <v>17856</v>
      </c>
      <c r="AD16" s="30">
        <f t="shared" si="3"/>
        <v>8.06</v>
      </c>
      <c r="AE16" s="30">
        <f t="shared" si="4"/>
        <v>6115.928</v>
      </c>
      <c r="AF16" s="30">
        <f t="shared" si="5"/>
        <v>654.0299363</v>
      </c>
      <c r="AG16" s="34">
        <v>1.0</v>
      </c>
      <c r="AH16" s="36"/>
      <c r="AI16" s="30">
        <f t="shared" si="6"/>
        <v>3278.688525</v>
      </c>
      <c r="AJ16" s="17">
        <v>4000.0</v>
      </c>
      <c r="AK16" s="30">
        <f t="shared" si="7"/>
        <v>3278.688525</v>
      </c>
      <c r="AL16" s="20">
        <f t="shared" si="8"/>
        <v>4000</v>
      </c>
    </row>
    <row r="17">
      <c r="A17" s="16" t="s">
        <v>131</v>
      </c>
      <c r="B17" s="17" t="s">
        <v>17</v>
      </c>
      <c r="C17" s="17" t="s">
        <v>19</v>
      </c>
      <c r="D17" s="17" t="s">
        <v>61</v>
      </c>
      <c r="E17" s="17" t="s">
        <v>110</v>
      </c>
      <c r="F17" s="17" t="s">
        <v>103</v>
      </c>
      <c r="G17" s="19">
        <v>45961.0</v>
      </c>
      <c r="H17" s="17" t="s">
        <v>65</v>
      </c>
      <c r="I17" s="20" t="s">
        <v>132</v>
      </c>
      <c r="J17" s="21" t="s">
        <v>147</v>
      </c>
      <c r="K17" s="22" t="s">
        <v>148</v>
      </c>
      <c r="L17" s="22" t="s">
        <v>149</v>
      </c>
      <c r="M17" s="17">
        <v>2017.0</v>
      </c>
      <c r="N17" s="17">
        <v>13.0</v>
      </c>
      <c r="O17" s="23">
        <v>111.0</v>
      </c>
      <c r="P17" s="24">
        <f t="shared" si="1"/>
        <v>310.8</v>
      </c>
      <c r="Q17" s="25">
        <v>2.0</v>
      </c>
      <c r="R17" s="17">
        <v>2.0</v>
      </c>
      <c r="S17" s="26">
        <v>2.0</v>
      </c>
      <c r="T17" s="17">
        <v>0.0</v>
      </c>
      <c r="U17" s="17">
        <v>4.0</v>
      </c>
      <c r="V17" s="17" t="s">
        <v>75</v>
      </c>
      <c r="W17" s="28" t="s">
        <v>76</v>
      </c>
      <c r="X17" s="28" t="s">
        <v>78</v>
      </c>
      <c r="Y17" s="24">
        <v>10.0</v>
      </c>
      <c r="Z17" s="17">
        <v>150.0</v>
      </c>
      <c r="AA17" s="17">
        <v>576.0</v>
      </c>
      <c r="AB17" s="17">
        <v>31.0</v>
      </c>
      <c r="AC17" s="20">
        <f t="shared" si="2"/>
        <v>35712</v>
      </c>
      <c r="AD17" s="30">
        <f t="shared" si="3"/>
        <v>8.06</v>
      </c>
      <c r="AE17" s="30">
        <f t="shared" si="4"/>
        <v>2505.048</v>
      </c>
      <c r="AF17" s="30">
        <f t="shared" si="5"/>
        <v>3193.551581</v>
      </c>
      <c r="AG17" s="34">
        <v>1.0</v>
      </c>
      <c r="AH17" s="36"/>
      <c r="AI17" s="30">
        <f t="shared" si="6"/>
        <v>3278.688525</v>
      </c>
      <c r="AJ17" s="17">
        <v>4000.0</v>
      </c>
      <c r="AK17" s="30">
        <f t="shared" si="7"/>
        <v>6557.377049</v>
      </c>
      <c r="AL17" s="20">
        <f t="shared" si="8"/>
        <v>8000</v>
      </c>
    </row>
    <row r="18">
      <c r="A18" s="16" t="s">
        <v>150</v>
      </c>
      <c r="B18" s="17" t="s">
        <v>17</v>
      </c>
      <c r="C18" s="17" t="s">
        <v>19</v>
      </c>
      <c r="D18" s="17" t="s">
        <v>123</v>
      </c>
      <c r="E18" s="17" t="s">
        <v>62</v>
      </c>
      <c r="F18" s="17" t="s">
        <v>63</v>
      </c>
      <c r="G18" s="19">
        <v>45961.0</v>
      </c>
      <c r="H18" s="17" t="s">
        <v>65</v>
      </c>
      <c r="I18" s="20" t="s">
        <v>151</v>
      </c>
      <c r="J18" s="21" t="s">
        <v>152</v>
      </c>
      <c r="K18" s="22" t="s">
        <v>153</v>
      </c>
      <c r="L18" s="22" t="s">
        <v>154</v>
      </c>
      <c r="M18" s="17">
        <v>2019.0</v>
      </c>
      <c r="N18" s="17">
        <v>19.0</v>
      </c>
      <c r="O18" s="23">
        <v>139.0</v>
      </c>
      <c r="P18" s="24">
        <f t="shared" si="1"/>
        <v>389.2</v>
      </c>
      <c r="Q18" s="25">
        <v>1.0</v>
      </c>
      <c r="R18" s="17">
        <v>1.0</v>
      </c>
      <c r="S18" s="26">
        <v>1.0</v>
      </c>
      <c r="T18" s="17">
        <v>0.0</v>
      </c>
      <c r="U18" s="17">
        <v>2.0</v>
      </c>
      <c r="V18" s="17" t="s">
        <v>75</v>
      </c>
      <c r="W18" s="28" t="s">
        <v>76</v>
      </c>
      <c r="X18" s="28" t="s">
        <v>78</v>
      </c>
      <c r="Y18" s="24">
        <v>10.0</v>
      </c>
      <c r="Z18" s="17">
        <v>150.0</v>
      </c>
      <c r="AA18" s="17">
        <v>576.0</v>
      </c>
      <c r="AB18" s="17">
        <v>31.0</v>
      </c>
      <c r="AC18" s="20">
        <f t="shared" si="2"/>
        <v>17856</v>
      </c>
      <c r="AD18" s="30">
        <f t="shared" si="3"/>
        <v>8.06</v>
      </c>
      <c r="AE18" s="30">
        <f t="shared" si="4"/>
        <v>3136.952</v>
      </c>
      <c r="AF18" s="30">
        <f t="shared" si="5"/>
        <v>1275.123113</v>
      </c>
      <c r="AG18" s="34">
        <v>1.0</v>
      </c>
      <c r="AH18" s="36"/>
      <c r="AI18" s="30">
        <f t="shared" si="6"/>
        <v>3278.688525</v>
      </c>
      <c r="AJ18" s="17">
        <v>4000.0</v>
      </c>
      <c r="AK18" s="30">
        <f t="shared" si="7"/>
        <v>3278.688525</v>
      </c>
      <c r="AL18" s="20">
        <f t="shared" si="8"/>
        <v>4000</v>
      </c>
    </row>
    <row r="19">
      <c r="A19" s="16" t="s">
        <v>150</v>
      </c>
      <c r="B19" s="17" t="s">
        <v>17</v>
      </c>
      <c r="C19" s="17" t="s">
        <v>19</v>
      </c>
      <c r="D19" s="17" t="s">
        <v>123</v>
      </c>
      <c r="E19" s="17" t="s">
        <v>62</v>
      </c>
      <c r="F19" s="17" t="s">
        <v>63</v>
      </c>
      <c r="G19" s="19">
        <v>45961.0</v>
      </c>
      <c r="H19" s="17" t="s">
        <v>65</v>
      </c>
      <c r="I19" s="20" t="s">
        <v>151</v>
      </c>
      <c r="J19" s="21" t="s">
        <v>155</v>
      </c>
      <c r="K19" s="22" t="s">
        <v>156</v>
      </c>
      <c r="L19" s="22" t="s">
        <v>157</v>
      </c>
      <c r="M19" s="17">
        <v>2021.0</v>
      </c>
      <c r="N19" s="17">
        <v>28.0</v>
      </c>
      <c r="O19" s="23">
        <v>532.0</v>
      </c>
      <c r="P19" s="24">
        <f t="shared" si="1"/>
        <v>1489.6</v>
      </c>
      <c r="Q19" s="25">
        <v>2.0</v>
      </c>
      <c r="R19" s="17">
        <v>2.0</v>
      </c>
      <c r="S19" s="26">
        <v>1.0</v>
      </c>
      <c r="T19" s="17">
        <v>0.0</v>
      </c>
      <c r="U19" s="17">
        <v>4.0</v>
      </c>
      <c r="V19" s="17" t="s">
        <v>75</v>
      </c>
      <c r="W19" s="28" t="s">
        <v>76</v>
      </c>
      <c r="X19" s="28" t="s">
        <v>78</v>
      </c>
      <c r="Y19" s="24">
        <v>10.0</v>
      </c>
      <c r="Z19" s="17">
        <v>150.0</v>
      </c>
      <c r="AA19" s="17">
        <v>576.0</v>
      </c>
      <c r="AB19" s="17">
        <v>31.0</v>
      </c>
      <c r="AC19" s="20">
        <f t="shared" si="2"/>
        <v>35712</v>
      </c>
      <c r="AD19" s="30">
        <f t="shared" si="3"/>
        <v>16.12</v>
      </c>
      <c r="AE19" s="30">
        <f t="shared" si="4"/>
        <v>24012.352</v>
      </c>
      <c r="AF19" s="30">
        <f t="shared" si="5"/>
        <v>333.161866</v>
      </c>
      <c r="AG19" s="34">
        <v>1.0</v>
      </c>
      <c r="AH19" s="36"/>
      <c r="AI19" s="30">
        <f t="shared" si="6"/>
        <v>3278.688525</v>
      </c>
      <c r="AJ19" s="17">
        <v>4000.0</v>
      </c>
      <c r="AK19" s="30">
        <f t="shared" si="7"/>
        <v>6557.377049</v>
      </c>
      <c r="AL19" s="20">
        <f t="shared" si="8"/>
        <v>8000</v>
      </c>
    </row>
    <row r="20">
      <c r="A20" s="16" t="s">
        <v>150</v>
      </c>
      <c r="B20" s="17" t="s">
        <v>17</v>
      </c>
      <c r="C20" s="17" t="s">
        <v>19</v>
      </c>
      <c r="D20" s="17" t="s">
        <v>123</v>
      </c>
      <c r="E20" s="17" t="s">
        <v>62</v>
      </c>
      <c r="F20" s="17" t="s">
        <v>63</v>
      </c>
      <c r="G20" s="19">
        <v>45961.0</v>
      </c>
      <c r="H20" s="17" t="s">
        <v>65</v>
      </c>
      <c r="I20" s="20" t="s">
        <v>151</v>
      </c>
      <c r="J20" s="21" t="s">
        <v>158</v>
      </c>
      <c r="K20" s="22" t="s">
        <v>159</v>
      </c>
      <c r="L20" s="22" t="s">
        <v>160</v>
      </c>
      <c r="M20" s="17">
        <v>2024.0</v>
      </c>
      <c r="N20" s="17">
        <v>30.0</v>
      </c>
      <c r="O20" s="23">
        <v>451.0</v>
      </c>
      <c r="P20" s="24">
        <f t="shared" si="1"/>
        <v>1262.8</v>
      </c>
      <c r="Q20" s="25">
        <v>2.0</v>
      </c>
      <c r="R20" s="17">
        <v>2.0</v>
      </c>
      <c r="S20" s="26">
        <v>1.0</v>
      </c>
      <c r="T20" s="17">
        <v>0.0</v>
      </c>
      <c r="U20" s="17">
        <v>8.0</v>
      </c>
      <c r="V20" s="17" t="s">
        <v>75</v>
      </c>
      <c r="W20" s="28" t="s">
        <v>76</v>
      </c>
      <c r="X20" s="28" t="s">
        <v>78</v>
      </c>
      <c r="Y20" s="24">
        <v>10.0</v>
      </c>
      <c r="Z20" s="17">
        <v>150.0</v>
      </c>
      <c r="AA20" s="17">
        <v>576.0</v>
      </c>
      <c r="AB20" s="17">
        <v>31.0</v>
      </c>
      <c r="AC20" s="20">
        <f t="shared" si="2"/>
        <v>35712</v>
      </c>
      <c r="AD20" s="30">
        <f t="shared" si="3"/>
        <v>16.12</v>
      </c>
      <c r="AE20" s="30">
        <f t="shared" si="4"/>
        <v>20356.336</v>
      </c>
      <c r="AF20" s="30">
        <f t="shared" si="5"/>
        <v>392.9980327</v>
      </c>
      <c r="AG20" s="34">
        <v>1.0</v>
      </c>
      <c r="AH20" s="36"/>
      <c r="AI20" s="30">
        <f t="shared" si="6"/>
        <v>3278.688525</v>
      </c>
      <c r="AJ20" s="17">
        <v>4000.0</v>
      </c>
      <c r="AK20" s="30">
        <f t="shared" si="7"/>
        <v>6557.377049</v>
      </c>
      <c r="AL20" s="20">
        <f t="shared" si="8"/>
        <v>8000</v>
      </c>
    </row>
    <row r="21">
      <c r="A21" s="16" t="s">
        <v>161</v>
      </c>
      <c r="B21" s="17" t="s">
        <v>17</v>
      </c>
      <c r="C21" s="17" t="s">
        <v>19</v>
      </c>
      <c r="D21" s="17" t="s">
        <v>162</v>
      </c>
      <c r="E21" s="17" t="s">
        <v>163</v>
      </c>
      <c r="F21" s="17" t="s">
        <v>103</v>
      </c>
      <c r="G21" s="19">
        <v>45961.0</v>
      </c>
      <c r="H21" s="17" t="s">
        <v>104</v>
      </c>
      <c r="I21" s="20" t="s">
        <v>164</v>
      </c>
      <c r="J21" s="21" t="s">
        <v>166</v>
      </c>
      <c r="K21" s="22" t="s">
        <v>167</v>
      </c>
      <c r="L21" s="22" t="s">
        <v>168</v>
      </c>
      <c r="M21" s="17">
        <v>2023.0</v>
      </c>
      <c r="N21" s="17">
        <v>27.0</v>
      </c>
      <c r="O21" s="23">
        <v>597.0</v>
      </c>
      <c r="P21" s="24">
        <f t="shared" si="1"/>
        <v>1671.6</v>
      </c>
      <c r="Q21" s="25">
        <v>2.0</v>
      </c>
      <c r="R21" s="17">
        <v>2.0</v>
      </c>
      <c r="S21" s="26">
        <v>2.0</v>
      </c>
      <c r="T21" s="17">
        <v>0.0</v>
      </c>
      <c r="U21" s="17">
        <v>6.0</v>
      </c>
      <c r="V21" s="17" t="s">
        <v>75</v>
      </c>
      <c r="W21" s="28" t="s">
        <v>76</v>
      </c>
      <c r="X21" s="28" t="s">
        <v>78</v>
      </c>
      <c r="Y21" s="24">
        <v>10.0</v>
      </c>
      <c r="Z21" s="17">
        <v>150.0</v>
      </c>
      <c r="AA21" s="17">
        <v>576.0</v>
      </c>
      <c r="AB21" s="17">
        <v>31.0</v>
      </c>
      <c r="AC21" s="20">
        <f t="shared" si="2"/>
        <v>35712</v>
      </c>
      <c r="AD21" s="30">
        <f t="shared" si="3"/>
        <v>8.06</v>
      </c>
      <c r="AE21" s="30">
        <f t="shared" si="4"/>
        <v>13473.096</v>
      </c>
      <c r="AF21" s="30">
        <f t="shared" si="5"/>
        <v>593.775922</v>
      </c>
      <c r="AG21" s="34">
        <v>1.0</v>
      </c>
      <c r="AH21" s="36"/>
      <c r="AI21" s="30">
        <f t="shared" si="6"/>
        <v>3278.688525</v>
      </c>
      <c r="AJ21" s="17">
        <v>4000.0</v>
      </c>
      <c r="AK21" s="30">
        <f t="shared" si="7"/>
        <v>6557.377049</v>
      </c>
      <c r="AL21" s="20">
        <f t="shared" si="8"/>
        <v>8000</v>
      </c>
    </row>
    <row r="22">
      <c r="A22" s="16" t="s">
        <v>170</v>
      </c>
      <c r="B22" s="17" t="s">
        <v>17</v>
      </c>
      <c r="C22" s="17" t="s">
        <v>19</v>
      </c>
      <c r="D22" s="17" t="s">
        <v>162</v>
      </c>
      <c r="E22" s="17" t="s">
        <v>102</v>
      </c>
      <c r="F22" s="17" t="s">
        <v>103</v>
      </c>
      <c r="G22" s="19">
        <v>45961.0</v>
      </c>
      <c r="H22" s="17" t="s">
        <v>104</v>
      </c>
      <c r="I22" s="20" t="s">
        <v>171</v>
      </c>
      <c r="J22" s="21" t="s">
        <v>172</v>
      </c>
      <c r="K22" s="22" t="s">
        <v>173</v>
      </c>
      <c r="L22" s="22" t="s">
        <v>174</v>
      </c>
      <c r="M22" s="17">
        <v>2022.0</v>
      </c>
      <c r="N22" s="17">
        <v>26.0</v>
      </c>
      <c r="O22" s="23">
        <v>590.0</v>
      </c>
      <c r="P22" s="24">
        <f t="shared" si="1"/>
        <v>1652</v>
      </c>
      <c r="Q22" s="25">
        <v>2.0</v>
      </c>
      <c r="R22" s="17">
        <v>2.0</v>
      </c>
      <c r="S22" s="26">
        <v>2.0</v>
      </c>
      <c r="T22" s="17">
        <v>0.0</v>
      </c>
      <c r="U22" s="17">
        <v>6.0</v>
      </c>
      <c r="V22" s="17" t="s">
        <v>75</v>
      </c>
      <c r="W22" s="28" t="s">
        <v>76</v>
      </c>
      <c r="X22" s="28" t="s">
        <v>78</v>
      </c>
      <c r="Y22" s="24">
        <v>10.0</v>
      </c>
      <c r="Z22" s="17">
        <v>150.0</v>
      </c>
      <c r="AA22" s="17">
        <v>576.0</v>
      </c>
      <c r="AB22" s="17">
        <v>31.0</v>
      </c>
      <c r="AC22" s="20">
        <f t="shared" si="2"/>
        <v>35712</v>
      </c>
      <c r="AD22" s="30">
        <f t="shared" si="3"/>
        <v>8.06</v>
      </c>
      <c r="AE22" s="30">
        <f t="shared" si="4"/>
        <v>13315.12</v>
      </c>
      <c r="AF22" s="30">
        <f t="shared" si="5"/>
        <v>600.8207211</v>
      </c>
      <c r="AG22" s="34">
        <v>1.0</v>
      </c>
      <c r="AH22" s="36"/>
      <c r="AI22" s="30">
        <f t="shared" si="6"/>
        <v>3278.688525</v>
      </c>
      <c r="AJ22" s="17">
        <v>4000.0</v>
      </c>
      <c r="AK22" s="30">
        <f t="shared" si="7"/>
        <v>6557.377049</v>
      </c>
      <c r="AL22" s="20">
        <f t="shared" si="8"/>
        <v>8000</v>
      </c>
    </row>
    <row r="23">
      <c r="A23" s="16" t="s">
        <v>170</v>
      </c>
      <c r="B23" s="17" t="s">
        <v>17</v>
      </c>
      <c r="C23" s="17" t="s">
        <v>19</v>
      </c>
      <c r="D23" s="17" t="s">
        <v>162</v>
      </c>
      <c r="E23" s="17" t="s">
        <v>175</v>
      </c>
      <c r="F23" s="17" t="s">
        <v>103</v>
      </c>
      <c r="G23" s="19">
        <v>45961.0</v>
      </c>
      <c r="H23" s="17" t="s">
        <v>104</v>
      </c>
      <c r="I23" s="20" t="s">
        <v>171</v>
      </c>
      <c r="J23" s="21" t="s">
        <v>172</v>
      </c>
      <c r="K23" s="22" t="s">
        <v>173</v>
      </c>
      <c r="L23" s="22" t="s">
        <v>174</v>
      </c>
      <c r="M23" s="17">
        <v>2022.0</v>
      </c>
      <c r="N23" s="17">
        <v>26.0</v>
      </c>
      <c r="O23" s="23">
        <v>590.0</v>
      </c>
      <c r="P23" s="24">
        <f t="shared" si="1"/>
        <v>1652</v>
      </c>
      <c r="Q23" s="25">
        <v>6.0</v>
      </c>
      <c r="R23" s="17">
        <v>0.0</v>
      </c>
      <c r="S23" s="26">
        <v>2.0</v>
      </c>
      <c r="T23" s="17">
        <v>6.0</v>
      </c>
      <c r="U23" s="17">
        <v>6.0</v>
      </c>
      <c r="V23" s="17" t="s">
        <v>130</v>
      </c>
      <c r="W23" s="28" t="s">
        <v>76</v>
      </c>
      <c r="X23" s="28" t="s">
        <v>78</v>
      </c>
      <c r="Y23" s="24">
        <v>10.0</v>
      </c>
      <c r="Z23" s="17">
        <v>150.0</v>
      </c>
      <c r="AA23" s="17">
        <v>576.0</v>
      </c>
      <c r="AB23" s="17">
        <v>31.0</v>
      </c>
      <c r="AC23" s="20">
        <f t="shared" si="2"/>
        <v>107136</v>
      </c>
      <c r="AD23" s="30">
        <f t="shared" si="3"/>
        <v>27.94133333</v>
      </c>
      <c r="AE23" s="30">
        <f t="shared" si="4"/>
        <v>46159.08267</v>
      </c>
      <c r="AF23" s="30">
        <f t="shared" si="5"/>
        <v>519.9410086</v>
      </c>
      <c r="AG23" s="34">
        <v>1.0</v>
      </c>
      <c r="AH23" s="36"/>
      <c r="AI23" s="30">
        <f t="shared" si="6"/>
        <v>3278.688525</v>
      </c>
      <c r="AJ23" s="17">
        <v>4000.0</v>
      </c>
      <c r="AK23" s="30">
        <f t="shared" si="7"/>
        <v>19672.13115</v>
      </c>
      <c r="AL23" s="20">
        <f t="shared" si="8"/>
        <v>24000</v>
      </c>
    </row>
    <row r="24">
      <c r="A24" s="16" t="s">
        <v>176</v>
      </c>
      <c r="B24" s="17" t="s">
        <v>17</v>
      </c>
      <c r="C24" s="17" t="s">
        <v>19</v>
      </c>
      <c r="D24" s="17" t="s">
        <v>162</v>
      </c>
      <c r="E24" s="17" t="s">
        <v>177</v>
      </c>
      <c r="F24" s="17" t="s">
        <v>103</v>
      </c>
      <c r="G24" s="19">
        <v>45961.0</v>
      </c>
      <c r="H24" s="17" t="s">
        <v>104</v>
      </c>
      <c r="I24" s="20" t="s">
        <v>178</v>
      </c>
      <c r="J24" s="21" t="s">
        <v>179</v>
      </c>
      <c r="K24" s="22" t="s">
        <v>180</v>
      </c>
      <c r="L24" s="22" t="s">
        <v>181</v>
      </c>
      <c r="M24" s="17">
        <v>2025.0</v>
      </c>
      <c r="N24" s="17">
        <v>26.0</v>
      </c>
      <c r="O24" s="23">
        <v>578.0</v>
      </c>
      <c r="P24" s="24">
        <f t="shared" si="1"/>
        <v>1618.4</v>
      </c>
      <c r="Q24" s="25">
        <v>2.0</v>
      </c>
      <c r="R24" s="17">
        <v>2.0</v>
      </c>
      <c r="S24" s="26">
        <v>2.0</v>
      </c>
      <c r="T24" s="17">
        <v>0.0</v>
      </c>
      <c r="U24" s="17">
        <v>6.0</v>
      </c>
      <c r="V24" s="17" t="s">
        <v>75</v>
      </c>
      <c r="W24" s="28" t="s">
        <v>76</v>
      </c>
      <c r="X24" s="28" t="s">
        <v>78</v>
      </c>
      <c r="Y24" s="24">
        <v>10.0</v>
      </c>
      <c r="Z24" s="17">
        <v>150.0</v>
      </c>
      <c r="AA24" s="17">
        <v>576.0</v>
      </c>
      <c r="AB24" s="17">
        <v>31.0</v>
      </c>
      <c r="AC24" s="20">
        <f t="shared" si="2"/>
        <v>35712</v>
      </c>
      <c r="AD24" s="30">
        <f t="shared" si="3"/>
        <v>8.06</v>
      </c>
      <c r="AE24" s="30">
        <f t="shared" si="4"/>
        <v>13044.304</v>
      </c>
      <c r="AF24" s="30">
        <f t="shared" si="5"/>
        <v>613.2945077</v>
      </c>
      <c r="AG24" s="34">
        <v>1.0</v>
      </c>
      <c r="AH24" s="36"/>
      <c r="AI24" s="30">
        <f t="shared" si="6"/>
        <v>3278.688525</v>
      </c>
      <c r="AJ24" s="17">
        <v>4000.0</v>
      </c>
      <c r="AK24" s="30">
        <f t="shared" si="7"/>
        <v>6557.377049</v>
      </c>
      <c r="AL24" s="20">
        <f t="shared" si="8"/>
        <v>8000</v>
      </c>
    </row>
    <row r="25">
      <c r="A25" s="16" t="s">
        <v>176</v>
      </c>
      <c r="B25" s="17" t="s">
        <v>17</v>
      </c>
      <c r="C25" s="17" t="s">
        <v>19</v>
      </c>
      <c r="D25" s="17" t="s">
        <v>162</v>
      </c>
      <c r="E25" s="17" t="s">
        <v>182</v>
      </c>
      <c r="F25" s="17" t="s">
        <v>103</v>
      </c>
      <c r="G25" s="19">
        <v>45961.0</v>
      </c>
      <c r="H25" s="17" t="s">
        <v>104</v>
      </c>
      <c r="I25" s="20" t="s">
        <v>178</v>
      </c>
      <c r="J25" s="21" t="s">
        <v>179</v>
      </c>
      <c r="K25" s="22" t="s">
        <v>180</v>
      </c>
      <c r="L25" s="22" t="s">
        <v>181</v>
      </c>
      <c r="M25" s="17">
        <v>2025.0</v>
      </c>
      <c r="N25" s="17">
        <v>26.0</v>
      </c>
      <c r="O25" s="23">
        <v>578.0</v>
      </c>
      <c r="P25" s="24">
        <f t="shared" si="1"/>
        <v>1618.4</v>
      </c>
      <c r="Q25" s="25">
        <v>5.0</v>
      </c>
      <c r="R25" s="17">
        <v>0.0</v>
      </c>
      <c r="S25" s="26">
        <v>2.0</v>
      </c>
      <c r="T25" s="17">
        <v>5.0</v>
      </c>
      <c r="U25" s="17">
        <v>6.0</v>
      </c>
      <c r="V25" s="17" t="s">
        <v>130</v>
      </c>
      <c r="W25" s="28" t="s">
        <v>76</v>
      </c>
      <c r="X25" s="28" t="s">
        <v>78</v>
      </c>
      <c r="Y25" s="24">
        <v>10.0</v>
      </c>
      <c r="Z25" s="17">
        <v>150.0</v>
      </c>
      <c r="AA25" s="17">
        <v>576.0</v>
      </c>
      <c r="AB25" s="17">
        <v>31.0</v>
      </c>
      <c r="AC25" s="20">
        <f t="shared" si="2"/>
        <v>89280</v>
      </c>
      <c r="AD25" s="30">
        <f t="shared" si="3"/>
        <v>23.28444444</v>
      </c>
      <c r="AE25" s="30">
        <f t="shared" si="4"/>
        <v>37683.54489</v>
      </c>
      <c r="AF25" s="30">
        <f t="shared" si="5"/>
        <v>530.7356317</v>
      </c>
      <c r="AG25" s="34">
        <v>1.0</v>
      </c>
      <c r="AH25" s="36"/>
      <c r="AI25" s="30">
        <f t="shared" si="6"/>
        <v>3278.688525</v>
      </c>
      <c r="AJ25" s="17">
        <v>4000.0</v>
      </c>
      <c r="AK25" s="30">
        <f t="shared" si="7"/>
        <v>16393.44262</v>
      </c>
      <c r="AL25" s="20">
        <f t="shared" si="8"/>
        <v>20000</v>
      </c>
    </row>
    <row r="26">
      <c r="A26" s="16" t="s">
        <v>183</v>
      </c>
      <c r="B26" s="17" t="s">
        <v>17</v>
      </c>
      <c r="C26" s="17" t="s">
        <v>19</v>
      </c>
      <c r="D26" s="17" t="s">
        <v>61</v>
      </c>
      <c r="E26" s="17" t="s">
        <v>110</v>
      </c>
      <c r="F26" s="17" t="s">
        <v>103</v>
      </c>
      <c r="G26" s="19">
        <v>45961.0</v>
      </c>
      <c r="H26" s="17" t="s">
        <v>104</v>
      </c>
      <c r="I26" s="20" t="s">
        <v>184</v>
      </c>
      <c r="J26" s="21" t="s">
        <v>185</v>
      </c>
      <c r="K26" s="22" t="s">
        <v>186</v>
      </c>
      <c r="L26" s="22" t="s">
        <v>187</v>
      </c>
      <c r="M26" s="17">
        <v>2007.0</v>
      </c>
      <c r="N26" s="17">
        <v>11.0</v>
      </c>
      <c r="O26" s="23">
        <v>227.0</v>
      </c>
      <c r="P26" s="24">
        <f t="shared" si="1"/>
        <v>635.6</v>
      </c>
      <c r="Q26" s="25">
        <v>4.0</v>
      </c>
      <c r="R26" s="17">
        <v>4.0</v>
      </c>
      <c r="S26" s="26">
        <v>5.0</v>
      </c>
      <c r="T26" s="17">
        <v>0.0</v>
      </c>
      <c r="U26" s="17">
        <v>6.0</v>
      </c>
      <c r="V26" s="17" t="s">
        <v>75</v>
      </c>
      <c r="W26" s="28" t="s">
        <v>76</v>
      </c>
      <c r="X26" s="28" t="s">
        <v>78</v>
      </c>
      <c r="Y26" s="24">
        <v>10.0</v>
      </c>
      <c r="Z26" s="17">
        <v>150.0</v>
      </c>
      <c r="AA26" s="17">
        <v>576.0</v>
      </c>
      <c r="AB26" s="17">
        <v>31.0</v>
      </c>
      <c r="AC26" s="20">
        <f t="shared" si="2"/>
        <v>71424</v>
      </c>
      <c r="AD26" s="30">
        <f t="shared" si="3"/>
        <v>6.448</v>
      </c>
      <c r="AE26" s="30">
        <f t="shared" si="4"/>
        <v>4098.3488</v>
      </c>
      <c r="AF26" s="30">
        <f t="shared" si="5"/>
        <v>3904.011294</v>
      </c>
      <c r="AG26" s="34">
        <v>1.0</v>
      </c>
      <c r="AH26" s="36"/>
      <c r="AI26" s="30">
        <f t="shared" si="6"/>
        <v>3278.688525</v>
      </c>
      <c r="AJ26" s="17">
        <v>4000.0</v>
      </c>
      <c r="AK26" s="30">
        <f t="shared" si="7"/>
        <v>13114.7541</v>
      </c>
      <c r="AL26" s="20">
        <f t="shared" si="8"/>
        <v>16000</v>
      </c>
    </row>
    <row r="27">
      <c r="A27" s="16" t="s">
        <v>188</v>
      </c>
      <c r="B27" s="17" t="s">
        <v>17</v>
      </c>
      <c r="C27" s="17" t="s">
        <v>19</v>
      </c>
      <c r="D27" s="17" t="s">
        <v>123</v>
      </c>
      <c r="E27" s="17" t="s">
        <v>62</v>
      </c>
      <c r="F27" s="17" t="s">
        <v>63</v>
      </c>
      <c r="G27" s="19">
        <v>45961.0</v>
      </c>
      <c r="H27" s="17" t="s">
        <v>104</v>
      </c>
      <c r="I27" s="20" t="s">
        <v>189</v>
      </c>
      <c r="J27" s="21" t="s">
        <v>190</v>
      </c>
      <c r="K27" s="22" t="s">
        <v>191</v>
      </c>
      <c r="L27" s="22" t="s">
        <v>192</v>
      </c>
      <c r="M27" s="17">
        <v>2010.0</v>
      </c>
      <c r="N27" s="17">
        <v>16.0</v>
      </c>
      <c r="O27" s="23">
        <v>279.0</v>
      </c>
      <c r="P27" s="24">
        <f t="shared" si="1"/>
        <v>781.2</v>
      </c>
      <c r="Q27" s="25">
        <v>3.0</v>
      </c>
      <c r="R27" s="17">
        <v>3.0</v>
      </c>
      <c r="S27" s="26">
        <v>3.0</v>
      </c>
      <c r="T27" s="17">
        <v>0.0</v>
      </c>
      <c r="U27" s="17">
        <v>6.0</v>
      </c>
      <c r="V27" s="17" t="s">
        <v>75</v>
      </c>
      <c r="W27" s="28" t="s">
        <v>76</v>
      </c>
      <c r="X27" s="28" t="s">
        <v>78</v>
      </c>
      <c r="Y27" s="24">
        <v>10.0</v>
      </c>
      <c r="Z27" s="17">
        <v>150.0</v>
      </c>
      <c r="AA27" s="17">
        <v>576.0</v>
      </c>
      <c r="AB27" s="17">
        <v>31.0</v>
      </c>
      <c r="AC27" s="20">
        <f t="shared" si="2"/>
        <v>53568</v>
      </c>
      <c r="AD27" s="30">
        <f t="shared" si="3"/>
        <v>8.06</v>
      </c>
      <c r="AE27" s="30">
        <f t="shared" si="4"/>
        <v>6296.472</v>
      </c>
      <c r="AF27" s="30">
        <f t="shared" si="5"/>
        <v>1905.829169</v>
      </c>
      <c r="AG27" s="34">
        <v>1.0</v>
      </c>
      <c r="AH27" s="36"/>
      <c r="AI27" s="30">
        <f t="shared" si="6"/>
        <v>3278.688525</v>
      </c>
      <c r="AJ27" s="17">
        <v>4000.0</v>
      </c>
      <c r="AK27" s="30">
        <f t="shared" si="7"/>
        <v>9836.065574</v>
      </c>
      <c r="AL27" s="20">
        <f t="shared" si="8"/>
        <v>12000</v>
      </c>
    </row>
    <row r="28">
      <c r="A28" s="16" t="s">
        <v>188</v>
      </c>
      <c r="B28" s="17" t="s">
        <v>17</v>
      </c>
      <c r="C28" s="17" t="s">
        <v>19</v>
      </c>
      <c r="D28" s="17" t="s">
        <v>123</v>
      </c>
      <c r="E28" s="17" t="s">
        <v>62</v>
      </c>
      <c r="F28" s="17" t="s">
        <v>63</v>
      </c>
      <c r="G28" s="19">
        <v>45961.0</v>
      </c>
      <c r="H28" s="17" t="s">
        <v>104</v>
      </c>
      <c r="I28" s="20" t="s">
        <v>189</v>
      </c>
      <c r="J28" s="21" t="s">
        <v>195</v>
      </c>
      <c r="K28" s="22" t="s">
        <v>196</v>
      </c>
      <c r="L28" s="22" t="s">
        <v>197</v>
      </c>
      <c r="M28" s="17">
        <v>2010.0</v>
      </c>
      <c r="N28" s="17">
        <v>17.0</v>
      </c>
      <c r="O28" s="23">
        <v>51.0</v>
      </c>
      <c r="P28" s="24">
        <f t="shared" si="1"/>
        <v>142.8</v>
      </c>
      <c r="Q28" s="25">
        <v>1.0</v>
      </c>
      <c r="R28" s="17">
        <v>1.0</v>
      </c>
      <c r="S28" s="26">
        <v>1.0</v>
      </c>
      <c r="T28" s="17">
        <v>0.0</v>
      </c>
      <c r="U28" s="17">
        <v>2.0</v>
      </c>
      <c r="V28" s="17" t="s">
        <v>75</v>
      </c>
      <c r="W28" s="28" t="s">
        <v>76</v>
      </c>
      <c r="X28" s="28" t="s">
        <v>78</v>
      </c>
      <c r="Y28" s="24">
        <v>10.0</v>
      </c>
      <c r="Z28" s="17">
        <v>150.0</v>
      </c>
      <c r="AA28" s="17">
        <v>576.0</v>
      </c>
      <c r="AB28" s="17">
        <v>31.0</v>
      </c>
      <c r="AC28" s="20">
        <f t="shared" si="2"/>
        <v>17856</v>
      </c>
      <c r="AD28" s="30">
        <f t="shared" si="3"/>
        <v>8.06</v>
      </c>
      <c r="AE28" s="30">
        <f t="shared" si="4"/>
        <v>1150.968</v>
      </c>
      <c r="AF28" s="30">
        <f t="shared" si="5"/>
        <v>3475.335544</v>
      </c>
      <c r="AG28" s="34">
        <v>1.0</v>
      </c>
      <c r="AH28" s="36"/>
      <c r="AI28" s="30">
        <f t="shared" si="6"/>
        <v>3278.688525</v>
      </c>
      <c r="AJ28" s="17">
        <v>4000.0</v>
      </c>
      <c r="AK28" s="30">
        <f t="shared" si="7"/>
        <v>3278.688525</v>
      </c>
      <c r="AL28" s="20">
        <f t="shared" si="8"/>
        <v>4000</v>
      </c>
    </row>
    <row r="29">
      <c r="A29" s="16" t="s">
        <v>198</v>
      </c>
      <c r="B29" s="17" t="s">
        <v>17</v>
      </c>
      <c r="C29" s="17" t="s">
        <v>19</v>
      </c>
      <c r="D29" s="17" t="s">
        <v>162</v>
      </c>
      <c r="E29" s="17" t="s">
        <v>163</v>
      </c>
      <c r="F29" s="17" t="s">
        <v>63</v>
      </c>
      <c r="G29" s="19">
        <v>45961.0</v>
      </c>
      <c r="H29" s="17" t="s">
        <v>65</v>
      </c>
      <c r="I29" s="20" t="s">
        <v>199</v>
      </c>
      <c r="J29" s="21" t="s">
        <v>200</v>
      </c>
      <c r="K29" s="22" t="s">
        <v>201</v>
      </c>
      <c r="L29" s="22" t="s">
        <v>203</v>
      </c>
      <c r="M29" s="17">
        <v>2023.0</v>
      </c>
      <c r="N29" s="17">
        <v>32.0</v>
      </c>
      <c r="O29" s="23">
        <v>540.0</v>
      </c>
      <c r="P29" s="24">
        <f t="shared" si="1"/>
        <v>1512</v>
      </c>
      <c r="Q29" s="25">
        <v>2.0</v>
      </c>
      <c r="R29" s="17">
        <v>2.0</v>
      </c>
      <c r="S29" s="26">
        <v>2.0</v>
      </c>
      <c r="T29" s="17">
        <v>0.0</v>
      </c>
      <c r="U29" s="17">
        <v>8.0</v>
      </c>
      <c r="V29" s="17" t="s">
        <v>75</v>
      </c>
      <c r="W29" s="28" t="s">
        <v>76</v>
      </c>
      <c r="X29" s="28" t="s">
        <v>78</v>
      </c>
      <c r="Y29" s="24">
        <v>10.0</v>
      </c>
      <c r="Z29" s="17">
        <v>150.0</v>
      </c>
      <c r="AA29" s="17">
        <v>576.0</v>
      </c>
      <c r="AB29" s="17">
        <v>31.0</v>
      </c>
      <c r="AC29" s="20">
        <f t="shared" si="2"/>
        <v>35712</v>
      </c>
      <c r="AD29" s="30">
        <f t="shared" si="3"/>
        <v>8.06</v>
      </c>
      <c r="AE29" s="30">
        <f t="shared" si="4"/>
        <v>12186.72</v>
      </c>
      <c r="AF29" s="30">
        <f t="shared" si="5"/>
        <v>656.4522694</v>
      </c>
      <c r="AG29" s="34">
        <v>1.0</v>
      </c>
      <c r="AH29" s="36"/>
      <c r="AI29" s="30">
        <f t="shared" si="6"/>
        <v>3278.688525</v>
      </c>
      <c r="AJ29" s="17">
        <v>4000.0</v>
      </c>
      <c r="AK29" s="30">
        <f t="shared" si="7"/>
        <v>6557.377049</v>
      </c>
      <c r="AL29" s="20">
        <f t="shared" si="8"/>
        <v>8000</v>
      </c>
    </row>
    <row r="30">
      <c r="A30" s="16" t="s">
        <v>205</v>
      </c>
      <c r="B30" s="17" t="s">
        <v>17</v>
      </c>
      <c r="C30" s="17" t="s">
        <v>19</v>
      </c>
      <c r="D30" s="17" t="s">
        <v>101</v>
      </c>
      <c r="E30" s="17" t="s">
        <v>163</v>
      </c>
      <c r="F30" s="17" t="s">
        <v>103</v>
      </c>
      <c r="G30" s="19">
        <v>45961.0</v>
      </c>
      <c r="H30" s="17" t="s">
        <v>104</v>
      </c>
      <c r="I30" s="20" t="s">
        <v>206</v>
      </c>
      <c r="J30" s="21" t="s">
        <v>207</v>
      </c>
      <c r="K30" s="22" t="s">
        <v>208</v>
      </c>
      <c r="L30" s="22" t="s">
        <v>209</v>
      </c>
      <c r="M30" s="17">
        <v>2014.0</v>
      </c>
      <c r="N30" s="17">
        <v>26.0</v>
      </c>
      <c r="O30" s="23">
        <v>252.0</v>
      </c>
      <c r="P30" s="24">
        <f t="shared" si="1"/>
        <v>705.6</v>
      </c>
      <c r="Q30" s="25">
        <v>3.0</v>
      </c>
      <c r="R30" s="17">
        <v>1.0</v>
      </c>
      <c r="S30" s="26">
        <v>1.0</v>
      </c>
      <c r="T30" s="17">
        <v>2.0</v>
      </c>
      <c r="U30" s="17">
        <v>4.0</v>
      </c>
      <c r="V30" s="17" t="s">
        <v>75</v>
      </c>
      <c r="W30" s="28" t="s">
        <v>76</v>
      </c>
      <c r="X30" s="28" t="s">
        <v>78</v>
      </c>
      <c r="Y30" s="24">
        <v>10.0</v>
      </c>
      <c r="Z30" s="17">
        <v>150.0</v>
      </c>
      <c r="AA30" s="17">
        <v>576.0</v>
      </c>
      <c r="AB30" s="17">
        <v>31.0</v>
      </c>
      <c r="AC30" s="20">
        <f t="shared" si="2"/>
        <v>53568</v>
      </c>
      <c r="AD30" s="30">
        <f t="shared" si="3"/>
        <v>22.03066667</v>
      </c>
      <c r="AE30" s="30">
        <f t="shared" si="4"/>
        <v>15544.8384</v>
      </c>
      <c r="AF30" s="30">
        <f t="shared" si="5"/>
        <v>771.9604213</v>
      </c>
      <c r="AG30" s="34">
        <v>1.0</v>
      </c>
      <c r="AH30" s="36"/>
      <c r="AI30" s="30">
        <f t="shared" si="6"/>
        <v>3278.688525</v>
      </c>
      <c r="AJ30" s="17">
        <v>4000.0</v>
      </c>
      <c r="AK30" s="30">
        <f t="shared" si="7"/>
        <v>9836.065574</v>
      </c>
      <c r="AL30" s="20">
        <f t="shared" si="8"/>
        <v>12000</v>
      </c>
    </row>
    <row r="31">
      <c r="A31" s="16" t="s">
        <v>210</v>
      </c>
      <c r="B31" s="17" t="s">
        <v>17</v>
      </c>
      <c r="C31" s="17" t="s">
        <v>19</v>
      </c>
      <c r="D31" s="17" t="s">
        <v>101</v>
      </c>
      <c r="E31" s="17" t="s">
        <v>102</v>
      </c>
      <c r="F31" s="17" t="s">
        <v>103</v>
      </c>
      <c r="G31" s="19">
        <v>45961.0</v>
      </c>
      <c r="H31" s="17" t="s">
        <v>104</v>
      </c>
      <c r="I31" s="20" t="s">
        <v>211</v>
      </c>
      <c r="J31" s="21" t="s">
        <v>212</v>
      </c>
      <c r="K31" s="22" t="s">
        <v>213</v>
      </c>
      <c r="L31" s="22" t="s">
        <v>214</v>
      </c>
      <c r="M31" s="17">
        <v>2024.0</v>
      </c>
      <c r="N31" s="17">
        <v>20.0</v>
      </c>
      <c r="O31" s="23">
        <v>797.0</v>
      </c>
      <c r="P31" s="24">
        <f t="shared" si="1"/>
        <v>2231.6</v>
      </c>
      <c r="Q31" s="25">
        <v>6.0</v>
      </c>
      <c r="R31" s="17">
        <v>6.0</v>
      </c>
      <c r="S31" s="26">
        <v>6.0</v>
      </c>
      <c r="T31" s="17">
        <v>0.0</v>
      </c>
      <c r="U31" s="17">
        <v>12.0</v>
      </c>
      <c r="V31" s="17" t="s">
        <v>75</v>
      </c>
      <c r="W31" s="28" t="s">
        <v>76</v>
      </c>
      <c r="X31" s="28" t="s">
        <v>78</v>
      </c>
      <c r="Y31" s="24">
        <v>10.0</v>
      </c>
      <c r="Z31" s="17">
        <v>150.0</v>
      </c>
      <c r="AA31" s="17">
        <v>576.0</v>
      </c>
      <c r="AB31" s="17">
        <v>31.0</v>
      </c>
      <c r="AC31" s="20">
        <f t="shared" si="2"/>
        <v>107136</v>
      </c>
      <c r="AD31" s="30">
        <f t="shared" si="3"/>
        <v>8.06</v>
      </c>
      <c r="AE31" s="30">
        <f t="shared" si="4"/>
        <v>17986.696</v>
      </c>
      <c r="AF31" s="30">
        <f t="shared" si="5"/>
        <v>1334.319544</v>
      </c>
      <c r="AG31" s="34">
        <v>1.0</v>
      </c>
      <c r="AH31" s="36"/>
      <c r="AI31" s="30">
        <f t="shared" si="6"/>
        <v>3278.688525</v>
      </c>
      <c r="AJ31" s="17">
        <v>4000.0</v>
      </c>
      <c r="AK31" s="30">
        <f t="shared" si="7"/>
        <v>19672.13115</v>
      </c>
      <c r="AL31" s="20">
        <f t="shared" si="8"/>
        <v>24000</v>
      </c>
    </row>
    <row r="32">
      <c r="A32" s="16" t="s">
        <v>215</v>
      </c>
      <c r="B32" s="17" t="s">
        <v>17</v>
      </c>
      <c r="C32" s="17" t="s">
        <v>19</v>
      </c>
      <c r="D32" s="17" t="s">
        <v>101</v>
      </c>
      <c r="E32" s="17" t="s">
        <v>102</v>
      </c>
      <c r="F32" s="17" t="s">
        <v>103</v>
      </c>
      <c r="G32" s="19">
        <v>45961.0</v>
      </c>
      <c r="H32" s="17" t="s">
        <v>104</v>
      </c>
      <c r="I32" s="17" t="s">
        <v>217</v>
      </c>
      <c r="J32" s="21" t="s">
        <v>218</v>
      </c>
      <c r="K32" s="22" t="s">
        <v>219</v>
      </c>
      <c r="L32" s="22" t="s">
        <v>220</v>
      </c>
      <c r="M32" s="17">
        <v>2025.0</v>
      </c>
      <c r="N32" s="17">
        <v>27.0</v>
      </c>
      <c r="O32" s="23">
        <v>1062.0</v>
      </c>
      <c r="P32" s="24">
        <f t="shared" si="1"/>
        <v>2973.6</v>
      </c>
      <c r="Q32" s="25">
        <v>3.0</v>
      </c>
      <c r="R32" s="17">
        <v>3.0</v>
      </c>
      <c r="S32" s="26">
        <v>3.0</v>
      </c>
      <c r="T32" s="17">
        <v>0.0</v>
      </c>
      <c r="U32" s="17">
        <v>2.0</v>
      </c>
      <c r="V32" s="17" t="s">
        <v>75</v>
      </c>
      <c r="W32" s="28" t="s">
        <v>76</v>
      </c>
      <c r="X32" s="28" t="s">
        <v>78</v>
      </c>
      <c r="Y32" s="24">
        <v>10.0</v>
      </c>
      <c r="Z32" s="17">
        <v>150.0</v>
      </c>
      <c r="AA32" s="17">
        <v>576.0</v>
      </c>
      <c r="AB32" s="17">
        <v>31.0</v>
      </c>
      <c r="AC32" s="20">
        <f t="shared" si="2"/>
        <v>53568</v>
      </c>
      <c r="AD32" s="30">
        <f t="shared" si="3"/>
        <v>8.06</v>
      </c>
      <c r="AE32" s="30">
        <f t="shared" si="4"/>
        <v>23967.216</v>
      </c>
      <c r="AF32" s="30">
        <f t="shared" si="5"/>
        <v>500.6839343</v>
      </c>
      <c r="AG32" s="34">
        <v>1.0</v>
      </c>
      <c r="AH32" s="36"/>
      <c r="AI32" s="30">
        <f t="shared" si="6"/>
        <v>3278.688525</v>
      </c>
      <c r="AJ32" s="17">
        <v>4000.0</v>
      </c>
      <c r="AK32" s="30">
        <f t="shared" si="7"/>
        <v>9836.065574</v>
      </c>
      <c r="AL32" s="20">
        <f t="shared" si="8"/>
        <v>12000</v>
      </c>
    </row>
    <row r="33">
      <c r="A33" s="16" t="s">
        <v>215</v>
      </c>
      <c r="B33" s="17" t="s">
        <v>17</v>
      </c>
      <c r="C33" s="17" t="s">
        <v>19</v>
      </c>
      <c r="D33" s="17" t="s">
        <v>101</v>
      </c>
      <c r="E33" s="17" t="s">
        <v>102</v>
      </c>
      <c r="F33" s="17" t="s">
        <v>103</v>
      </c>
      <c r="G33" s="19">
        <v>45961.0</v>
      </c>
      <c r="H33" s="17" t="s">
        <v>104</v>
      </c>
      <c r="I33" s="17" t="s">
        <v>217</v>
      </c>
      <c r="J33" s="21" t="s">
        <v>221</v>
      </c>
      <c r="K33" s="22" t="s">
        <v>222</v>
      </c>
      <c r="L33" s="22" t="s">
        <v>223</v>
      </c>
      <c r="M33" s="17">
        <v>2021.0</v>
      </c>
      <c r="N33" s="17">
        <v>19.0</v>
      </c>
      <c r="O33" s="23">
        <v>411.0</v>
      </c>
      <c r="P33" s="24">
        <f t="shared" si="1"/>
        <v>1150.8</v>
      </c>
      <c r="Q33" s="25">
        <v>4.0</v>
      </c>
      <c r="R33" s="17">
        <v>4.0</v>
      </c>
      <c r="S33" s="26">
        <v>6.0</v>
      </c>
      <c r="T33" s="17">
        <v>0.0</v>
      </c>
      <c r="U33" s="17">
        <v>8.0</v>
      </c>
      <c r="V33" s="17" t="s">
        <v>75</v>
      </c>
      <c r="W33" s="28" t="s">
        <v>76</v>
      </c>
      <c r="X33" s="28" t="s">
        <v>78</v>
      </c>
      <c r="Y33" s="24">
        <v>10.0</v>
      </c>
      <c r="Z33" s="17">
        <v>150.0</v>
      </c>
      <c r="AA33" s="17">
        <v>576.0</v>
      </c>
      <c r="AB33" s="17">
        <v>31.0</v>
      </c>
      <c r="AC33" s="20">
        <f t="shared" si="2"/>
        <v>71424</v>
      </c>
      <c r="AD33" s="30">
        <f t="shared" si="3"/>
        <v>5.373333333</v>
      </c>
      <c r="AE33" s="30">
        <f t="shared" si="4"/>
        <v>6183.632</v>
      </c>
      <c r="AF33" s="30">
        <f t="shared" si="5"/>
        <v>2587.476098</v>
      </c>
      <c r="AG33" s="34">
        <v>1.0</v>
      </c>
      <c r="AH33" s="36"/>
      <c r="AI33" s="30">
        <f t="shared" si="6"/>
        <v>3278.688525</v>
      </c>
      <c r="AJ33" s="17">
        <v>4000.0</v>
      </c>
      <c r="AK33" s="30">
        <f t="shared" si="7"/>
        <v>13114.7541</v>
      </c>
      <c r="AL33" s="20">
        <f t="shared" si="8"/>
        <v>16000</v>
      </c>
    </row>
    <row r="34">
      <c r="A34" s="16" t="s">
        <v>224</v>
      </c>
      <c r="B34" s="17" t="s">
        <v>17</v>
      </c>
      <c r="C34" s="17" t="s">
        <v>19</v>
      </c>
      <c r="D34" s="17" t="s">
        <v>162</v>
      </c>
      <c r="E34" s="17" t="s">
        <v>110</v>
      </c>
      <c r="F34" s="17" t="s">
        <v>103</v>
      </c>
      <c r="G34" s="19">
        <v>45979.0</v>
      </c>
      <c r="H34" s="17" t="s">
        <v>118</v>
      </c>
      <c r="I34" s="20" t="s">
        <v>225</v>
      </c>
      <c r="J34" s="21" t="s">
        <v>226</v>
      </c>
      <c r="K34" s="22" t="s">
        <v>227</v>
      </c>
      <c r="L34" s="22" t="s">
        <v>228</v>
      </c>
      <c r="M34" s="17">
        <v>2015.0</v>
      </c>
      <c r="N34" s="17">
        <v>20.0</v>
      </c>
      <c r="O34" s="23">
        <v>703.0</v>
      </c>
      <c r="P34" s="24">
        <f t="shared" si="1"/>
        <v>1968.4</v>
      </c>
      <c r="Q34" s="25">
        <v>6.0</v>
      </c>
      <c r="R34" s="17">
        <v>6.0</v>
      </c>
      <c r="S34" s="26">
        <v>6.0</v>
      </c>
      <c r="T34" s="17">
        <v>0.0</v>
      </c>
      <c r="U34" s="17">
        <v>11.0</v>
      </c>
      <c r="V34" s="17" t="s">
        <v>75</v>
      </c>
      <c r="W34" s="28" t="s">
        <v>76</v>
      </c>
      <c r="X34" s="28" t="s">
        <v>78</v>
      </c>
      <c r="Y34" s="24">
        <v>10.0</v>
      </c>
      <c r="Z34" s="17">
        <v>150.0</v>
      </c>
      <c r="AA34" s="17">
        <v>576.0</v>
      </c>
      <c r="AB34" s="17">
        <v>31.0</v>
      </c>
      <c r="AC34" s="20">
        <f t="shared" si="2"/>
        <v>107136</v>
      </c>
      <c r="AD34" s="30">
        <f t="shared" si="3"/>
        <v>8.06</v>
      </c>
      <c r="AE34" s="30">
        <f t="shared" si="4"/>
        <v>15865.304</v>
      </c>
      <c r="AF34" s="30">
        <f t="shared" si="5"/>
        <v>1512.734959</v>
      </c>
      <c r="AG34" s="34">
        <v>1.0</v>
      </c>
      <c r="AH34" s="36"/>
      <c r="AI34" s="30">
        <f t="shared" si="6"/>
        <v>3278.688525</v>
      </c>
      <c r="AJ34" s="17">
        <v>4000.0</v>
      </c>
      <c r="AK34" s="30">
        <f t="shared" si="7"/>
        <v>19672.13115</v>
      </c>
      <c r="AL34" s="20">
        <f t="shared" si="8"/>
        <v>24000</v>
      </c>
    </row>
    <row r="35">
      <c r="A35" s="16" t="s">
        <v>229</v>
      </c>
      <c r="B35" s="17" t="s">
        <v>17</v>
      </c>
      <c r="C35" s="17" t="s">
        <v>19</v>
      </c>
      <c r="D35" s="17" t="s">
        <v>61</v>
      </c>
      <c r="E35" s="17" t="s">
        <v>110</v>
      </c>
      <c r="F35" s="17" t="s">
        <v>103</v>
      </c>
      <c r="G35" s="19">
        <v>45961.0</v>
      </c>
      <c r="H35" s="17" t="s">
        <v>104</v>
      </c>
      <c r="I35" s="20" t="s">
        <v>230</v>
      </c>
      <c r="J35" s="21" t="s">
        <v>231</v>
      </c>
      <c r="K35" s="22" t="s">
        <v>232</v>
      </c>
      <c r="L35" s="22" t="s">
        <v>233</v>
      </c>
      <c r="M35" s="17">
        <v>2018.0</v>
      </c>
      <c r="N35" s="17">
        <v>25.0</v>
      </c>
      <c r="O35" s="23">
        <v>571.0</v>
      </c>
      <c r="P35" s="24">
        <f t="shared" si="1"/>
        <v>1598.8</v>
      </c>
      <c r="Q35" s="25">
        <v>4.0</v>
      </c>
      <c r="R35" s="17">
        <v>4.0</v>
      </c>
      <c r="S35" s="26">
        <v>4.0</v>
      </c>
      <c r="T35" s="17">
        <v>0.0</v>
      </c>
      <c r="U35" s="17">
        <v>8.0</v>
      </c>
      <c r="V35" s="17" t="s">
        <v>75</v>
      </c>
      <c r="W35" s="28" t="s">
        <v>76</v>
      </c>
      <c r="X35" s="28" t="s">
        <v>78</v>
      </c>
      <c r="Y35" s="24">
        <v>10.0</v>
      </c>
      <c r="Z35" s="17">
        <v>150.0</v>
      </c>
      <c r="AA35" s="17">
        <v>576.0</v>
      </c>
      <c r="AB35" s="17">
        <v>31.0</v>
      </c>
      <c r="AC35" s="20">
        <f t="shared" si="2"/>
        <v>71424</v>
      </c>
      <c r="AD35" s="30">
        <f t="shared" si="3"/>
        <v>8.06</v>
      </c>
      <c r="AE35" s="30">
        <f t="shared" si="4"/>
        <v>12886.328</v>
      </c>
      <c r="AF35" s="30">
        <f t="shared" si="5"/>
        <v>1241.626009</v>
      </c>
      <c r="AG35" s="34">
        <v>1.0</v>
      </c>
      <c r="AH35" s="36"/>
      <c r="AI35" s="30">
        <f t="shared" si="6"/>
        <v>3278.688525</v>
      </c>
      <c r="AJ35" s="17">
        <v>4000.0</v>
      </c>
      <c r="AK35" s="30">
        <f t="shared" si="7"/>
        <v>13114.7541</v>
      </c>
      <c r="AL35" s="20">
        <f t="shared" si="8"/>
        <v>16000</v>
      </c>
    </row>
    <row r="36">
      <c r="A36" s="16" t="s">
        <v>234</v>
      </c>
      <c r="B36" s="17" t="s">
        <v>17</v>
      </c>
      <c r="C36" s="17" t="s">
        <v>19</v>
      </c>
      <c r="D36" s="17" t="s">
        <v>101</v>
      </c>
      <c r="E36" s="17" t="s">
        <v>102</v>
      </c>
      <c r="F36" s="17" t="s">
        <v>103</v>
      </c>
      <c r="G36" s="19">
        <v>45961.0</v>
      </c>
      <c r="H36" s="17" t="s">
        <v>118</v>
      </c>
      <c r="I36" s="20" t="s">
        <v>235</v>
      </c>
      <c r="J36" s="21" t="s">
        <v>236</v>
      </c>
      <c r="K36" s="22" t="s">
        <v>237</v>
      </c>
      <c r="L36" s="22" t="s">
        <v>238</v>
      </c>
      <c r="M36" s="17">
        <v>2020.0</v>
      </c>
      <c r="N36" s="17">
        <v>21.0</v>
      </c>
      <c r="O36" s="23">
        <v>193.0</v>
      </c>
      <c r="P36" s="24">
        <f t="shared" si="1"/>
        <v>540.4</v>
      </c>
      <c r="Q36" s="25">
        <v>1.0</v>
      </c>
      <c r="R36" s="17">
        <v>1.0</v>
      </c>
      <c r="S36" s="26">
        <v>1.0</v>
      </c>
      <c r="T36" s="17">
        <v>0.0</v>
      </c>
      <c r="U36" s="17">
        <v>2.0</v>
      </c>
      <c r="V36" s="17" t="s">
        <v>75</v>
      </c>
      <c r="W36" s="28" t="s">
        <v>76</v>
      </c>
      <c r="X36" s="28" t="s">
        <v>78</v>
      </c>
      <c r="Y36" s="24">
        <v>10.0</v>
      </c>
      <c r="Z36" s="17">
        <v>150.0</v>
      </c>
      <c r="AA36" s="17">
        <v>576.0</v>
      </c>
      <c r="AB36" s="17">
        <v>31.0</v>
      </c>
      <c r="AC36" s="20">
        <f t="shared" si="2"/>
        <v>17856</v>
      </c>
      <c r="AD36" s="30">
        <f t="shared" si="3"/>
        <v>8.06</v>
      </c>
      <c r="AE36" s="30">
        <f t="shared" si="4"/>
        <v>4355.624</v>
      </c>
      <c r="AF36" s="30">
        <f t="shared" si="5"/>
        <v>918.3529157</v>
      </c>
      <c r="AG36" s="34">
        <v>1.0</v>
      </c>
      <c r="AH36" s="36"/>
      <c r="AI36" s="30">
        <f t="shared" si="6"/>
        <v>3278.688525</v>
      </c>
      <c r="AJ36" s="17">
        <v>4000.0</v>
      </c>
      <c r="AK36" s="30">
        <f t="shared" si="7"/>
        <v>3278.688525</v>
      </c>
      <c r="AL36" s="20">
        <f t="shared" si="8"/>
        <v>4000</v>
      </c>
    </row>
    <row r="37">
      <c r="A37" s="16" t="s">
        <v>241</v>
      </c>
      <c r="B37" s="17" t="s">
        <v>17</v>
      </c>
      <c r="C37" s="17" t="s">
        <v>19</v>
      </c>
      <c r="D37" s="17" t="s">
        <v>101</v>
      </c>
      <c r="E37" s="17" t="s">
        <v>110</v>
      </c>
      <c r="F37" s="17" t="s">
        <v>103</v>
      </c>
      <c r="G37" s="19">
        <v>45961.0</v>
      </c>
      <c r="H37" s="17" t="s">
        <v>65</v>
      </c>
      <c r="I37" s="20" t="s">
        <v>242</v>
      </c>
      <c r="J37" s="21" t="s">
        <v>243</v>
      </c>
      <c r="K37" s="22" t="s">
        <v>244</v>
      </c>
      <c r="L37" s="22" t="s">
        <v>245</v>
      </c>
      <c r="M37" s="17">
        <v>2004.0</v>
      </c>
      <c r="N37" s="17">
        <v>17.0</v>
      </c>
      <c r="O37" s="23">
        <v>323.0</v>
      </c>
      <c r="P37" s="24">
        <f t="shared" si="1"/>
        <v>904.4</v>
      </c>
      <c r="Q37" s="25">
        <v>6.0</v>
      </c>
      <c r="R37" s="17">
        <v>6.0</v>
      </c>
      <c r="S37" s="26">
        <v>6.0</v>
      </c>
      <c r="T37" s="17">
        <v>0.0</v>
      </c>
      <c r="U37" s="17">
        <v>10.0</v>
      </c>
      <c r="V37" s="17" t="s">
        <v>75</v>
      </c>
      <c r="W37" s="28" t="s">
        <v>76</v>
      </c>
      <c r="X37" s="28" t="s">
        <v>78</v>
      </c>
      <c r="Y37" s="24">
        <v>10.0</v>
      </c>
      <c r="Z37" s="17">
        <v>150.0</v>
      </c>
      <c r="AA37" s="17">
        <v>576.0</v>
      </c>
      <c r="AB37" s="17">
        <v>31.0</v>
      </c>
      <c r="AC37" s="20">
        <f t="shared" si="2"/>
        <v>107136</v>
      </c>
      <c r="AD37" s="30">
        <f t="shared" si="3"/>
        <v>8.06</v>
      </c>
      <c r="AE37" s="30">
        <f t="shared" si="4"/>
        <v>7289.464</v>
      </c>
      <c r="AF37" s="30">
        <f t="shared" si="5"/>
        <v>3292.423147</v>
      </c>
      <c r="AG37" s="34">
        <v>1.0</v>
      </c>
      <c r="AH37" s="36"/>
      <c r="AI37" s="30">
        <f t="shared" si="6"/>
        <v>3278.688525</v>
      </c>
      <c r="AJ37" s="17">
        <v>4000.0</v>
      </c>
      <c r="AK37" s="30">
        <f t="shared" si="7"/>
        <v>19672.13115</v>
      </c>
      <c r="AL37" s="20">
        <f t="shared" si="8"/>
        <v>24000</v>
      </c>
    </row>
    <row r="38">
      <c r="A38" s="16" t="s">
        <v>246</v>
      </c>
      <c r="B38" s="17" t="s">
        <v>17</v>
      </c>
      <c r="C38" s="17" t="s">
        <v>19</v>
      </c>
      <c r="D38" s="17" t="s">
        <v>247</v>
      </c>
      <c r="E38" s="17" t="s">
        <v>62</v>
      </c>
      <c r="F38" s="17" t="s">
        <v>63</v>
      </c>
      <c r="G38" s="19">
        <v>45979.0</v>
      </c>
      <c r="H38" s="17" t="s">
        <v>65</v>
      </c>
      <c r="I38" s="20" t="s">
        <v>248</v>
      </c>
      <c r="J38" s="21" t="s">
        <v>249</v>
      </c>
      <c r="K38" s="22" t="s">
        <v>250</v>
      </c>
      <c r="L38" s="22" t="s">
        <v>251</v>
      </c>
      <c r="M38" s="17">
        <v>2016.0</v>
      </c>
      <c r="N38" s="17">
        <v>25.0</v>
      </c>
      <c r="O38" s="23">
        <v>535.0</v>
      </c>
      <c r="P38" s="24">
        <f t="shared" si="1"/>
        <v>1498</v>
      </c>
      <c r="Q38" s="25">
        <v>9.0</v>
      </c>
      <c r="R38" s="17">
        <v>9.0</v>
      </c>
      <c r="S38" s="26">
        <v>5.0</v>
      </c>
      <c r="T38" s="17">
        <v>0.0</v>
      </c>
      <c r="U38" s="17">
        <v>9.0</v>
      </c>
      <c r="V38" s="17" t="s">
        <v>75</v>
      </c>
      <c r="W38" s="28" t="s">
        <v>76</v>
      </c>
      <c r="X38" s="28" t="s">
        <v>78</v>
      </c>
      <c r="Y38" s="24">
        <v>10.0</v>
      </c>
      <c r="Z38" s="17">
        <v>150.0</v>
      </c>
      <c r="AA38" s="17">
        <v>576.0</v>
      </c>
      <c r="AB38" s="17">
        <v>31.0</v>
      </c>
      <c r="AC38" s="20">
        <f t="shared" si="2"/>
        <v>160704</v>
      </c>
      <c r="AD38" s="30">
        <f t="shared" si="3"/>
        <v>14.508</v>
      </c>
      <c r="AE38" s="30">
        <f t="shared" si="4"/>
        <v>21732.984</v>
      </c>
      <c r="AF38" s="30">
        <f t="shared" si="5"/>
        <v>1656.468343</v>
      </c>
      <c r="AG38" s="34">
        <v>1.0</v>
      </c>
      <c r="AH38" s="36"/>
      <c r="AI38" s="30">
        <f t="shared" si="6"/>
        <v>3278.688525</v>
      </c>
      <c r="AJ38" s="17">
        <v>4000.0</v>
      </c>
      <c r="AK38" s="30">
        <f t="shared" si="7"/>
        <v>29508.19672</v>
      </c>
      <c r="AL38" s="20">
        <f t="shared" si="8"/>
        <v>36000</v>
      </c>
    </row>
    <row r="39">
      <c r="A39" s="16" t="s">
        <v>252</v>
      </c>
      <c r="B39" s="17" t="s">
        <v>17</v>
      </c>
      <c r="C39" s="17" t="s">
        <v>19</v>
      </c>
      <c r="D39" s="17" t="s">
        <v>247</v>
      </c>
      <c r="E39" s="17" t="s">
        <v>62</v>
      </c>
      <c r="F39" s="17" t="s">
        <v>63</v>
      </c>
      <c r="G39" s="19">
        <v>46141.0</v>
      </c>
      <c r="H39" s="17" t="s">
        <v>65</v>
      </c>
      <c r="I39" s="20" t="s">
        <v>253</v>
      </c>
      <c r="J39" s="21" t="s">
        <v>254</v>
      </c>
      <c r="K39" s="22" t="s">
        <v>255</v>
      </c>
      <c r="L39" s="22" t="s">
        <v>256</v>
      </c>
      <c r="M39" s="17">
        <v>2018.0</v>
      </c>
      <c r="N39" s="17">
        <v>34.0</v>
      </c>
      <c r="O39" s="23">
        <v>1379.0</v>
      </c>
      <c r="P39" s="24">
        <f t="shared" si="1"/>
        <v>3861.2</v>
      </c>
      <c r="Q39" s="25">
        <v>10.0</v>
      </c>
      <c r="R39" s="17">
        <v>0.0</v>
      </c>
      <c r="S39" s="26">
        <v>5.0</v>
      </c>
      <c r="T39" s="17">
        <v>10.0</v>
      </c>
      <c r="U39" s="17">
        <v>12.0</v>
      </c>
      <c r="V39" s="17" t="s">
        <v>130</v>
      </c>
      <c r="W39" s="28" t="s">
        <v>76</v>
      </c>
      <c r="X39" s="28" t="s">
        <v>78</v>
      </c>
      <c r="Y39" s="24">
        <v>10.0</v>
      </c>
      <c r="Z39" s="17">
        <v>150.0</v>
      </c>
      <c r="AA39" s="17">
        <v>576.0</v>
      </c>
      <c r="AB39" s="17">
        <v>31.0</v>
      </c>
      <c r="AC39" s="20">
        <f t="shared" si="2"/>
        <v>178560</v>
      </c>
      <c r="AD39" s="30">
        <f t="shared" si="3"/>
        <v>30.44888889</v>
      </c>
      <c r="AE39" s="30">
        <f t="shared" si="4"/>
        <v>117569.2498</v>
      </c>
      <c r="AF39" s="30">
        <f t="shared" si="5"/>
        <v>340.225017</v>
      </c>
      <c r="AG39" s="34">
        <v>1.0</v>
      </c>
      <c r="AH39" s="36"/>
      <c r="AI39" s="30">
        <f t="shared" si="6"/>
        <v>3278.688525</v>
      </c>
      <c r="AJ39" s="17">
        <v>4000.0</v>
      </c>
      <c r="AK39" s="30">
        <f t="shared" si="7"/>
        <v>32786.88525</v>
      </c>
      <c r="AL39" s="20">
        <f t="shared" si="8"/>
        <v>40000</v>
      </c>
    </row>
    <row r="40">
      <c r="A40" s="16" t="s">
        <v>257</v>
      </c>
      <c r="B40" s="17" t="s">
        <v>17</v>
      </c>
      <c r="C40" s="17" t="s">
        <v>19</v>
      </c>
      <c r="D40" s="17" t="s">
        <v>162</v>
      </c>
      <c r="E40" s="17" t="s">
        <v>62</v>
      </c>
      <c r="F40" s="17" t="s">
        <v>103</v>
      </c>
      <c r="G40" s="19">
        <v>45975.0</v>
      </c>
      <c r="H40" s="17" t="s">
        <v>118</v>
      </c>
      <c r="I40" s="20" t="s">
        <v>258</v>
      </c>
      <c r="J40" s="21" t="s">
        <v>259</v>
      </c>
      <c r="K40" s="22" t="s">
        <v>260</v>
      </c>
      <c r="L40" s="22" t="s">
        <v>261</v>
      </c>
      <c r="M40" s="17">
        <v>2017.0</v>
      </c>
      <c r="N40" s="17">
        <v>26.0</v>
      </c>
      <c r="O40" s="23">
        <v>215.0</v>
      </c>
      <c r="P40" s="24">
        <f t="shared" si="1"/>
        <v>602</v>
      </c>
      <c r="Q40" s="25">
        <v>4.0</v>
      </c>
      <c r="R40" s="17">
        <v>1.0</v>
      </c>
      <c r="S40" s="26">
        <v>1.0</v>
      </c>
      <c r="T40" s="17">
        <v>3.0</v>
      </c>
      <c r="U40" s="17">
        <v>3.0</v>
      </c>
      <c r="V40" s="17" t="s">
        <v>75</v>
      </c>
      <c r="W40" s="28" t="s">
        <v>76</v>
      </c>
      <c r="X40" s="28" t="s">
        <v>78</v>
      </c>
      <c r="Y40" s="24">
        <v>10.0</v>
      </c>
      <c r="Z40" s="17">
        <v>150.0</v>
      </c>
      <c r="AA40" s="17">
        <v>576.0</v>
      </c>
      <c r="AB40" s="17">
        <v>31.0</v>
      </c>
      <c r="AC40" s="20">
        <f t="shared" si="2"/>
        <v>71424</v>
      </c>
      <c r="AD40" s="30">
        <f t="shared" si="3"/>
        <v>36.00133333</v>
      </c>
      <c r="AE40" s="30">
        <f t="shared" si="4"/>
        <v>21672.80267</v>
      </c>
      <c r="AF40" s="30">
        <f t="shared" si="5"/>
        <v>738.2524654</v>
      </c>
      <c r="AG40" s="34">
        <v>1.0</v>
      </c>
      <c r="AH40" s="36"/>
      <c r="AI40" s="30">
        <f t="shared" si="6"/>
        <v>3278.688525</v>
      </c>
      <c r="AJ40" s="17">
        <v>4000.0</v>
      </c>
      <c r="AK40" s="30">
        <f t="shared" si="7"/>
        <v>13114.7541</v>
      </c>
      <c r="AL40" s="20">
        <f t="shared" si="8"/>
        <v>16000</v>
      </c>
    </row>
    <row r="41">
      <c r="A41" s="16" t="s">
        <v>262</v>
      </c>
      <c r="B41" s="17" t="s">
        <v>17</v>
      </c>
      <c r="C41" s="17" t="s">
        <v>19</v>
      </c>
      <c r="D41" s="17" t="s">
        <v>123</v>
      </c>
      <c r="E41" s="17" t="s">
        <v>117</v>
      </c>
      <c r="F41" s="17" t="s">
        <v>103</v>
      </c>
      <c r="G41" s="19">
        <v>45973.0</v>
      </c>
      <c r="H41" s="17" t="s">
        <v>118</v>
      </c>
      <c r="I41" s="20" t="s">
        <v>263</v>
      </c>
      <c r="J41" s="21" t="s">
        <v>264</v>
      </c>
      <c r="K41" s="22" t="s">
        <v>265</v>
      </c>
      <c r="L41" s="22" t="s">
        <v>266</v>
      </c>
      <c r="M41" s="17">
        <v>2022.0</v>
      </c>
      <c r="N41" s="17">
        <v>23.0</v>
      </c>
      <c r="O41" s="23">
        <v>646.0</v>
      </c>
      <c r="P41" s="24">
        <f t="shared" si="1"/>
        <v>1808.8</v>
      </c>
      <c r="Q41" s="25">
        <v>4.0</v>
      </c>
      <c r="R41" s="17">
        <v>2.0</v>
      </c>
      <c r="S41" s="26">
        <v>2.0</v>
      </c>
      <c r="T41" s="17">
        <v>2.0</v>
      </c>
      <c r="U41" s="17">
        <v>7.0</v>
      </c>
      <c r="V41" s="17" t="s">
        <v>75</v>
      </c>
      <c r="W41" s="28" t="s">
        <v>76</v>
      </c>
      <c r="X41" s="28" t="s">
        <v>78</v>
      </c>
      <c r="Y41" s="24">
        <v>10.0</v>
      </c>
      <c r="Z41" s="17">
        <v>150.0</v>
      </c>
      <c r="AA41" s="17">
        <v>576.0</v>
      </c>
      <c r="AB41" s="17">
        <v>31.0</v>
      </c>
      <c r="AC41" s="20">
        <f t="shared" si="2"/>
        <v>71424</v>
      </c>
      <c r="AD41" s="30">
        <f t="shared" si="3"/>
        <v>15.12209524</v>
      </c>
      <c r="AE41" s="30">
        <f t="shared" si="4"/>
        <v>27352.84587</v>
      </c>
      <c r="AF41" s="30">
        <f t="shared" si="5"/>
        <v>584.9482748</v>
      </c>
      <c r="AG41" s="34">
        <v>1.0</v>
      </c>
      <c r="AH41" s="36"/>
      <c r="AI41" s="30">
        <f t="shared" si="6"/>
        <v>3278.688525</v>
      </c>
      <c r="AJ41" s="17">
        <v>4000.0</v>
      </c>
      <c r="AK41" s="30">
        <f t="shared" si="7"/>
        <v>13114.7541</v>
      </c>
      <c r="AL41" s="20">
        <f t="shared" si="8"/>
        <v>16000</v>
      </c>
    </row>
    <row r="42">
      <c r="A42" s="16" t="s">
        <v>262</v>
      </c>
      <c r="B42" s="17" t="s">
        <v>17</v>
      </c>
      <c r="C42" s="17" t="s">
        <v>19</v>
      </c>
      <c r="D42" s="17" t="s">
        <v>123</v>
      </c>
      <c r="E42" s="17" t="s">
        <v>117</v>
      </c>
      <c r="F42" s="17" t="s">
        <v>103</v>
      </c>
      <c r="G42" s="19">
        <v>45973.0</v>
      </c>
      <c r="H42" s="17" t="s">
        <v>118</v>
      </c>
      <c r="I42" s="20" t="s">
        <v>263</v>
      </c>
      <c r="J42" s="21" t="s">
        <v>268</v>
      </c>
      <c r="K42" s="22" t="s">
        <v>269</v>
      </c>
      <c r="L42" s="22" t="s">
        <v>270</v>
      </c>
      <c r="M42" s="17">
        <v>2021.0</v>
      </c>
      <c r="N42" s="17">
        <v>26.0</v>
      </c>
      <c r="O42" s="23">
        <v>623.0</v>
      </c>
      <c r="P42" s="24">
        <f t="shared" si="1"/>
        <v>1744.4</v>
      </c>
      <c r="Q42" s="25">
        <v>4.0</v>
      </c>
      <c r="R42" s="17">
        <v>2.0</v>
      </c>
      <c r="S42" s="26">
        <v>2.0</v>
      </c>
      <c r="T42" s="17">
        <v>2.0</v>
      </c>
      <c r="U42" s="17">
        <v>7.0</v>
      </c>
      <c r="V42" s="17" t="s">
        <v>75</v>
      </c>
      <c r="W42" s="28" t="s">
        <v>76</v>
      </c>
      <c r="X42" s="28" t="s">
        <v>78</v>
      </c>
      <c r="Y42" s="24">
        <v>10.0</v>
      </c>
      <c r="Z42" s="17">
        <v>150.0</v>
      </c>
      <c r="AA42" s="17">
        <v>576.0</v>
      </c>
      <c r="AB42" s="17">
        <v>31.0</v>
      </c>
      <c r="AC42" s="20">
        <f t="shared" si="2"/>
        <v>71424</v>
      </c>
      <c r="AD42" s="30">
        <f t="shared" si="3"/>
        <v>16.0432381</v>
      </c>
      <c r="AE42" s="30">
        <f t="shared" si="4"/>
        <v>27985.82453</v>
      </c>
      <c r="AF42" s="30">
        <f t="shared" si="5"/>
        <v>571.7180132</v>
      </c>
      <c r="AG42" s="34">
        <v>1.0</v>
      </c>
      <c r="AH42" s="36"/>
      <c r="AI42" s="30">
        <f t="shared" si="6"/>
        <v>3278.688525</v>
      </c>
      <c r="AJ42" s="17">
        <v>4000.0</v>
      </c>
      <c r="AK42" s="30">
        <f t="shared" si="7"/>
        <v>13114.7541</v>
      </c>
      <c r="AL42" s="20">
        <f t="shared" si="8"/>
        <v>16000</v>
      </c>
    </row>
    <row r="43">
      <c r="A43" s="16" t="s">
        <v>271</v>
      </c>
      <c r="B43" s="17" t="s">
        <v>17</v>
      </c>
      <c r="C43" s="17" t="s">
        <v>19</v>
      </c>
      <c r="D43" s="17" t="s">
        <v>123</v>
      </c>
      <c r="E43" s="17" t="s">
        <v>117</v>
      </c>
      <c r="F43" s="17" t="s">
        <v>103</v>
      </c>
      <c r="G43" s="19">
        <v>46197.0</v>
      </c>
      <c r="H43" s="17" t="s">
        <v>104</v>
      </c>
      <c r="I43" s="17" t="s">
        <v>272</v>
      </c>
      <c r="J43" s="21" t="s">
        <v>273</v>
      </c>
      <c r="K43" s="28" t="s">
        <v>274</v>
      </c>
      <c r="L43" s="28" t="s">
        <v>275</v>
      </c>
      <c r="M43" s="17">
        <v>2020.0</v>
      </c>
      <c r="N43" s="17">
        <v>20.0</v>
      </c>
      <c r="O43" s="23">
        <v>239.0</v>
      </c>
      <c r="P43" s="24">
        <f t="shared" si="1"/>
        <v>669.2</v>
      </c>
      <c r="Q43" s="25">
        <v>3.0</v>
      </c>
      <c r="R43" s="17">
        <v>0.0</v>
      </c>
      <c r="S43" s="26">
        <v>1.0</v>
      </c>
      <c r="T43" s="17">
        <v>3.0</v>
      </c>
      <c r="U43" s="17">
        <v>3.0</v>
      </c>
      <c r="V43" s="17" t="s">
        <v>130</v>
      </c>
      <c r="W43" s="28" t="s">
        <v>76</v>
      </c>
      <c r="X43" s="28" t="s">
        <v>78</v>
      </c>
      <c r="Y43" s="24">
        <v>10.0</v>
      </c>
      <c r="Z43" s="17">
        <v>150.0</v>
      </c>
      <c r="AA43" s="17">
        <v>576.0</v>
      </c>
      <c r="AB43" s="17">
        <v>31.0</v>
      </c>
      <c r="AC43" s="20">
        <f t="shared" si="2"/>
        <v>53568</v>
      </c>
      <c r="AD43" s="30">
        <f t="shared" si="3"/>
        <v>21.49333333</v>
      </c>
      <c r="AE43" s="30">
        <f t="shared" si="4"/>
        <v>14383.33867</v>
      </c>
      <c r="AF43" s="30">
        <f t="shared" si="5"/>
        <v>834.2986478</v>
      </c>
      <c r="AG43" s="34">
        <v>1.0</v>
      </c>
      <c r="AH43" s="36"/>
      <c r="AI43" s="30">
        <f t="shared" si="6"/>
        <v>3278.688525</v>
      </c>
      <c r="AJ43" s="17">
        <v>4000.0</v>
      </c>
      <c r="AK43" s="30">
        <f t="shared" si="7"/>
        <v>9836.065574</v>
      </c>
      <c r="AL43" s="20">
        <f t="shared" si="8"/>
        <v>12000</v>
      </c>
    </row>
    <row r="44">
      <c r="A44" s="16" t="s">
        <v>276</v>
      </c>
      <c r="B44" s="17" t="s">
        <v>17</v>
      </c>
      <c r="C44" s="17" t="s">
        <v>19</v>
      </c>
      <c r="D44" s="17" t="s">
        <v>116</v>
      </c>
      <c r="E44" s="17" t="s">
        <v>62</v>
      </c>
      <c r="F44" s="17" t="s">
        <v>103</v>
      </c>
      <c r="G44" s="19">
        <v>45988.0</v>
      </c>
      <c r="H44" s="17" t="s">
        <v>118</v>
      </c>
      <c r="I44" s="20" t="s">
        <v>277</v>
      </c>
      <c r="J44" s="21" t="s">
        <v>278</v>
      </c>
      <c r="K44" s="22" t="s">
        <v>279</v>
      </c>
      <c r="L44" s="22" t="s">
        <v>280</v>
      </c>
      <c r="M44" s="17">
        <v>2018.0</v>
      </c>
      <c r="N44" s="17">
        <v>13.0</v>
      </c>
      <c r="O44" s="23">
        <v>205.0</v>
      </c>
      <c r="P44" s="24">
        <f t="shared" si="1"/>
        <v>574</v>
      </c>
      <c r="Q44" s="25">
        <v>4.0</v>
      </c>
      <c r="R44" s="17">
        <v>4.0</v>
      </c>
      <c r="S44" s="26">
        <v>4.0</v>
      </c>
      <c r="T44" s="17">
        <v>0.0</v>
      </c>
      <c r="U44" s="17">
        <v>5.0</v>
      </c>
      <c r="V44" s="17" t="s">
        <v>75</v>
      </c>
      <c r="W44" s="28" t="s">
        <v>76</v>
      </c>
      <c r="X44" s="28" t="s">
        <v>78</v>
      </c>
      <c r="Y44" s="24">
        <v>10.0</v>
      </c>
      <c r="Z44" s="17">
        <v>150.0</v>
      </c>
      <c r="AA44" s="17">
        <v>576.0</v>
      </c>
      <c r="AB44" s="17">
        <v>31.0</v>
      </c>
      <c r="AC44" s="20">
        <f t="shared" si="2"/>
        <v>71424</v>
      </c>
      <c r="AD44" s="30">
        <f t="shared" si="3"/>
        <v>8.06</v>
      </c>
      <c r="AE44" s="30">
        <f t="shared" si="4"/>
        <v>4626.44</v>
      </c>
      <c r="AF44" s="30">
        <f t="shared" si="5"/>
        <v>3458.382687</v>
      </c>
      <c r="AG44" s="34">
        <v>1.0</v>
      </c>
      <c r="AH44" s="36"/>
      <c r="AI44" s="30">
        <f t="shared" si="6"/>
        <v>3278.688525</v>
      </c>
      <c r="AJ44" s="17">
        <v>4000.0</v>
      </c>
      <c r="AK44" s="30">
        <f t="shared" si="7"/>
        <v>13114.7541</v>
      </c>
      <c r="AL44" s="20">
        <f t="shared" si="8"/>
        <v>16000</v>
      </c>
    </row>
    <row r="45">
      <c r="A45" s="16" t="s">
        <v>281</v>
      </c>
      <c r="B45" s="17" t="s">
        <v>17</v>
      </c>
      <c r="C45" s="17" t="s">
        <v>19</v>
      </c>
      <c r="D45" s="17" t="s">
        <v>116</v>
      </c>
      <c r="E45" s="17" t="s">
        <v>62</v>
      </c>
      <c r="F45" s="17" t="s">
        <v>103</v>
      </c>
      <c r="G45" s="19">
        <v>45988.0</v>
      </c>
      <c r="H45" s="17" t="s">
        <v>118</v>
      </c>
      <c r="I45" s="20" t="s">
        <v>282</v>
      </c>
      <c r="J45" s="21" t="s">
        <v>278</v>
      </c>
      <c r="K45" s="22" t="s">
        <v>279</v>
      </c>
      <c r="L45" s="22" t="s">
        <v>280</v>
      </c>
      <c r="M45" s="17">
        <v>2018.0</v>
      </c>
      <c r="N45" s="17">
        <v>13.0</v>
      </c>
      <c r="O45" s="23">
        <v>205.0</v>
      </c>
      <c r="P45" s="24">
        <f t="shared" si="1"/>
        <v>574</v>
      </c>
      <c r="Q45" s="25">
        <v>4.0</v>
      </c>
      <c r="R45" s="17">
        <v>0.0</v>
      </c>
      <c r="S45" s="26">
        <v>4.0</v>
      </c>
      <c r="T45" s="17">
        <v>4.0</v>
      </c>
      <c r="U45" s="17">
        <v>5.0</v>
      </c>
      <c r="V45" s="17" t="s">
        <v>75</v>
      </c>
      <c r="W45" s="28" t="s">
        <v>76</v>
      </c>
      <c r="X45" s="28" t="s">
        <v>78</v>
      </c>
      <c r="Y45" s="24">
        <v>10.0</v>
      </c>
      <c r="Z45" s="17">
        <v>150.0</v>
      </c>
      <c r="AA45" s="17">
        <v>576.0</v>
      </c>
      <c r="AB45" s="17">
        <v>31.0</v>
      </c>
      <c r="AC45" s="20">
        <f t="shared" si="2"/>
        <v>71424</v>
      </c>
      <c r="AD45" s="30">
        <f t="shared" si="3"/>
        <v>11.17653333</v>
      </c>
      <c r="AE45" s="30">
        <f t="shared" si="4"/>
        <v>6415.330133</v>
      </c>
      <c r="AF45" s="30">
        <f t="shared" si="5"/>
        <v>2494.025976</v>
      </c>
      <c r="AG45" s="34">
        <v>1.0</v>
      </c>
      <c r="AH45" s="36"/>
      <c r="AI45" s="30">
        <f t="shared" si="6"/>
        <v>3278.688525</v>
      </c>
      <c r="AJ45" s="17">
        <v>4000.0</v>
      </c>
      <c r="AK45" s="30">
        <f t="shared" si="7"/>
        <v>13114.7541</v>
      </c>
      <c r="AL45" s="20">
        <f t="shared" si="8"/>
        <v>16000</v>
      </c>
    </row>
    <row r="46">
      <c r="A46" s="16" t="s">
        <v>283</v>
      </c>
      <c r="B46" s="17" t="s">
        <v>17</v>
      </c>
      <c r="C46" s="17" t="s">
        <v>19</v>
      </c>
      <c r="D46" s="17" t="s">
        <v>116</v>
      </c>
      <c r="E46" s="17" t="s">
        <v>62</v>
      </c>
      <c r="F46" s="17" t="s">
        <v>103</v>
      </c>
      <c r="G46" s="19">
        <v>45988.0</v>
      </c>
      <c r="H46" s="17" t="s">
        <v>118</v>
      </c>
      <c r="I46" s="20" t="s">
        <v>284</v>
      </c>
      <c r="J46" s="21" t="s">
        <v>285</v>
      </c>
      <c r="K46" s="22" t="s">
        <v>286</v>
      </c>
      <c r="L46" s="22" t="s">
        <v>287</v>
      </c>
      <c r="M46" s="17">
        <v>2021.0</v>
      </c>
      <c r="N46" s="17">
        <v>16.0</v>
      </c>
      <c r="O46" s="23">
        <v>402.0</v>
      </c>
      <c r="P46" s="24">
        <f t="shared" si="1"/>
        <v>1125.6</v>
      </c>
      <c r="Q46" s="25">
        <v>8.0</v>
      </c>
      <c r="R46" s="17">
        <v>8.0</v>
      </c>
      <c r="S46" s="26">
        <v>8.0</v>
      </c>
      <c r="T46" s="17">
        <v>0.0</v>
      </c>
      <c r="U46" s="17">
        <v>16.0</v>
      </c>
      <c r="V46" s="17" t="s">
        <v>75</v>
      </c>
      <c r="W46" s="28" t="s">
        <v>76</v>
      </c>
      <c r="X46" s="28" t="s">
        <v>78</v>
      </c>
      <c r="Y46" s="24">
        <v>10.0</v>
      </c>
      <c r="Z46" s="17">
        <v>150.0</v>
      </c>
      <c r="AA46" s="17">
        <v>576.0</v>
      </c>
      <c r="AB46" s="17">
        <v>31.0</v>
      </c>
      <c r="AC46" s="20">
        <f t="shared" si="2"/>
        <v>142848</v>
      </c>
      <c r="AD46" s="30">
        <f t="shared" si="3"/>
        <v>8.06</v>
      </c>
      <c r="AE46" s="30">
        <f t="shared" si="4"/>
        <v>9072.336</v>
      </c>
      <c r="AF46" s="30">
        <f t="shared" si="5"/>
        <v>3527.206223</v>
      </c>
      <c r="AG46" s="34">
        <v>1.0</v>
      </c>
      <c r="AH46" s="36"/>
      <c r="AI46" s="30">
        <f t="shared" si="6"/>
        <v>3278.688525</v>
      </c>
      <c r="AJ46" s="17">
        <v>4000.0</v>
      </c>
      <c r="AK46" s="30">
        <f t="shared" si="7"/>
        <v>26229.5082</v>
      </c>
      <c r="AL46" s="20">
        <f t="shared" si="8"/>
        <v>32000</v>
      </c>
    </row>
    <row r="47">
      <c r="A47" s="16" t="s">
        <v>288</v>
      </c>
      <c r="B47" s="17" t="s">
        <v>17</v>
      </c>
      <c r="C47" s="17" t="s">
        <v>19</v>
      </c>
      <c r="D47" s="17" t="s">
        <v>116</v>
      </c>
      <c r="E47" s="17" t="s">
        <v>62</v>
      </c>
      <c r="F47" s="17" t="s">
        <v>103</v>
      </c>
      <c r="G47" s="19">
        <v>45988.0</v>
      </c>
      <c r="H47" s="17" t="s">
        <v>118</v>
      </c>
      <c r="I47" s="20" t="s">
        <v>289</v>
      </c>
      <c r="J47" s="21" t="s">
        <v>285</v>
      </c>
      <c r="K47" s="22" t="s">
        <v>286</v>
      </c>
      <c r="L47" s="22" t="s">
        <v>287</v>
      </c>
      <c r="M47" s="17">
        <v>2021.0</v>
      </c>
      <c r="N47" s="17">
        <v>16.0</v>
      </c>
      <c r="O47" s="23">
        <v>402.0</v>
      </c>
      <c r="P47" s="24">
        <f t="shared" si="1"/>
        <v>1125.6</v>
      </c>
      <c r="Q47" s="25">
        <v>8.0</v>
      </c>
      <c r="R47" s="17">
        <v>0.0</v>
      </c>
      <c r="S47" s="26">
        <v>8.0</v>
      </c>
      <c r="T47" s="17">
        <v>8.0</v>
      </c>
      <c r="U47" s="17">
        <v>16.0</v>
      </c>
      <c r="V47" s="17" t="s">
        <v>75</v>
      </c>
      <c r="W47" s="28" t="s">
        <v>76</v>
      </c>
      <c r="X47" s="28" t="s">
        <v>78</v>
      </c>
      <c r="Y47" s="24">
        <v>10.0</v>
      </c>
      <c r="Z47" s="17">
        <v>150.0</v>
      </c>
      <c r="AA47" s="17">
        <v>576.0</v>
      </c>
      <c r="AB47" s="17">
        <v>31.0</v>
      </c>
      <c r="AC47" s="20">
        <f t="shared" si="2"/>
        <v>142848</v>
      </c>
      <c r="AD47" s="30">
        <f t="shared" si="3"/>
        <v>8.597333333</v>
      </c>
      <c r="AE47" s="30">
        <f t="shared" si="4"/>
        <v>9677.1584</v>
      </c>
      <c r="AF47" s="30">
        <f t="shared" si="5"/>
        <v>3306.755834</v>
      </c>
      <c r="AG47" s="34">
        <v>1.0</v>
      </c>
      <c r="AH47" s="36"/>
      <c r="AI47" s="30">
        <f t="shared" si="6"/>
        <v>3278.688525</v>
      </c>
      <c r="AJ47" s="17">
        <v>4000.0</v>
      </c>
      <c r="AK47" s="30">
        <f t="shared" si="7"/>
        <v>26229.5082</v>
      </c>
      <c r="AL47" s="20">
        <f t="shared" si="8"/>
        <v>32000</v>
      </c>
    </row>
    <row r="48">
      <c r="A48" s="16" t="s">
        <v>291</v>
      </c>
      <c r="B48" s="17" t="s">
        <v>17</v>
      </c>
      <c r="C48" s="17" t="s">
        <v>19</v>
      </c>
      <c r="D48" s="17" t="s">
        <v>123</v>
      </c>
      <c r="E48" s="17" t="s">
        <v>62</v>
      </c>
      <c r="F48" s="17" t="s">
        <v>63</v>
      </c>
      <c r="G48" s="19">
        <v>45974.0</v>
      </c>
      <c r="H48" s="17" t="s">
        <v>104</v>
      </c>
      <c r="I48" s="20" t="s">
        <v>292</v>
      </c>
      <c r="J48" s="21" t="s">
        <v>293</v>
      </c>
      <c r="K48" s="22" t="s">
        <v>294</v>
      </c>
      <c r="L48" s="22" t="s">
        <v>295</v>
      </c>
      <c r="M48" s="17">
        <v>2015.0</v>
      </c>
      <c r="N48" s="17">
        <v>25.0</v>
      </c>
      <c r="O48" s="23">
        <v>385.0</v>
      </c>
      <c r="P48" s="24">
        <f t="shared" si="1"/>
        <v>1078</v>
      </c>
      <c r="Q48" s="25">
        <v>3.0</v>
      </c>
      <c r="R48" s="17">
        <v>3.0</v>
      </c>
      <c r="S48" s="26">
        <v>3.0</v>
      </c>
      <c r="T48" s="17">
        <v>0.0</v>
      </c>
      <c r="U48" s="17">
        <v>7.0</v>
      </c>
      <c r="V48" s="17" t="s">
        <v>75</v>
      </c>
      <c r="W48" s="28" t="s">
        <v>76</v>
      </c>
      <c r="X48" s="28" t="s">
        <v>78</v>
      </c>
      <c r="Y48" s="24">
        <v>10.0</v>
      </c>
      <c r="Z48" s="17">
        <v>150.0</v>
      </c>
      <c r="AA48" s="17">
        <v>576.0</v>
      </c>
      <c r="AB48" s="17">
        <v>31.0</v>
      </c>
      <c r="AC48" s="20">
        <f t="shared" si="2"/>
        <v>53568</v>
      </c>
      <c r="AD48" s="30">
        <f t="shared" si="3"/>
        <v>8.06</v>
      </c>
      <c r="AE48" s="30">
        <f t="shared" si="4"/>
        <v>8688.68</v>
      </c>
      <c r="AF48" s="30">
        <f t="shared" si="5"/>
        <v>1381.107372</v>
      </c>
      <c r="AG48" s="34">
        <v>1.0</v>
      </c>
      <c r="AH48" s="36"/>
      <c r="AI48" s="30">
        <f t="shared" si="6"/>
        <v>3278.688525</v>
      </c>
      <c r="AJ48" s="17">
        <v>4000.0</v>
      </c>
      <c r="AK48" s="30">
        <f t="shared" si="7"/>
        <v>9836.065574</v>
      </c>
      <c r="AL48" s="20">
        <f t="shared" si="8"/>
        <v>12000</v>
      </c>
    </row>
    <row r="49">
      <c r="A49" s="16" t="s">
        <v>296</v>
      </c>
      <c r="B49" s="17" t="s">
        <v>17</v>
      </c>
      <c r="C49" s="17" t="s">
        <v>19</v>
      </c>
      <c r="D49" s="17" t="s">
        <v>123</v>
      </c>
      <c r="E49" s="17" t="s">
        <v>62</v>
      </c>
      <c r="F49" s="17" t="s">
        <v>63</v>
      </c>
      <c r="G49" s="19">
        <v>45974.0</v>
      </c>
      <c r="H49" s="17" t="s">
        <v>104</v>
      </c>
      <c r="I49" s="20" t="s">
        <v>297</v>
      </c>
      <c r="J49" s="21" t="s">
        <v>298</v>
      </c>
      <c r="K49" s="22" t="s">
        <v>299</v>
      </c>
      <c r="L49" s="22" t="s">
        <v>300</v>
      </c>
      <c r="M49" s="17">
        <v>2020.0</v>
      </c>
      <c r="N49" s="17">
        <v>25.0</v>
      </c>
      <c r="O49" s="23">
        <v>393.0</v>
      </c>
      <c r="P49" s="24">
        <f t="shared" si="1"/>
        <v>1100.4</v>
      </c>
      <c r="Q49" s="25">
        <v>3.0</v>
      </c>
      <c r="R49" s="17">
        <v>1.0</v>
      </c>
      <c r="S49" s="26">
        <v>1.0</v>
      </c>
      <c r="T49" s="17">
        <v>2.0</v>
      </c>
      <c r="U49" s="17">
        <v>3.0</v>
      </c>
      <c r="V49" s="17" t="s">
        <v>75</v>
      </c>
      <c r="W49" s="28" t="s">
        <v>76</v>
      </c>
      <c r="X49" s="28" t="s">
        <v>78</v>
      </c>
      <c r="Y49" s="24">
        <v>10.0</v>
      </c>
      <c r="Z49" s="17">
        <v>150.0</v>
      </c>
      <c r="AA49" s="17">
        <v>576.0</v>
      </c>
      <c r="AB49" s="17">
        <v>31.0</v>
      </c>
      <c r="AC49" s="20">
        <f t="shared" si="2"/>
        <v>53568</v>
      </c>
      <c r="AD49" s="30">
        <f t="shared" si="3"/>
        <v>25.97111111</v>
      </c>
      <c r="AE49" s="30">
        <f t="shared" si="4"/>
        <v>28578.61067</v>
      </c>
      <c r="AF49" s="30">
        <f t="shared" si="5"/>
        <v>419.8944497</v>
      </c>
      <c r="AG49" s="34">
        <v>1.0</v>
      </c>
      <c r="AH49" s="36"/>
      <c r="AI49" s="30">
        <f t="shared" si="6"/>
        <v>3278.688525</v>
      </c>
      <c r="AJ49" s="17">
        <v>4000.0</v>
      </c>
      <c r="AK49" s="30">
        <f t="shared" si="7"/>
        <v>9836.065574</v>
      </c>
      <c r="AL49" s="20">
        <f t="shared" si="8"/>
        <v>12000</v>
      </c>
    </row>
    <row r="50">
      <c r="A50" s="16" t="s">
        <v>296</v>
      </c>
      <c r="B50" s="17" t="s">
        <v>17</v>
      </c>
      <c r="C50" s="17" t="s">
        <v>19</v>
      </c>
      <c r="D50" s="17" t="s">
        <v>123</v>
      </c>
      <c r="E50" s="17" t="s">
        <v>62</v>
      </c>
      <c r="F50" s="17" t="s">
        <v>63</v>
      </c>
      <c r="G50" s="19">
        <v>46160.0</v>
      </c>
      <c r="H50" s="17" t="s">
        <v>104</v>
      </c>
      <c r="I50" s="20" t="s">
        <v>297</v>
      </c>
      <c r="J50" s="21" t="s">
        <v>301</v>
      </c>
      <c r="K50" s="22" t="s">
        <v>302</v>
      </c>
      <c r="L50" s="22" t="s">
        <v>303</v>
      </c>
      <c r="M50" s="17">
        <v>2019.0</v>
      </c>
      <c r="N50" s="17">
        <v>26.0</v>
      </c>
      <c r="O50" s="23">
        <v>364.0</v>
      </c>
      <c r="P50" s="24">
        <f t="shared" si="1"/>
        <v>1019.2</v>
      </c>
      <c r="Q50" s="25">
        <v>1.0</v>
      </c>
      <c r="R50" s="17">
        <v>1.0</v>
      </c>
      <c r="S50" s="26">
        <v>1.0</v>
      </c>
      <c r="T50" s="17">
        <v>0.0</v>
      </c>
      <c r="U50" s="17">
        <v>3.0</v>
      </c>
      <c r="V50" s="17" t="s">
        <v>75</v>
      </c>
      <c r="W50" s="28" t="s">
        <v>76</v>
      </c>
      <c r="X50" s="28" t="s">
        <v>78</v>
      </c>
      <c r="Y50" s="24">
        <v>10.0</v>
      </c>
      <c r="Z50" s="17">
        <v>150.0</v>
      </c>
      <c r="AA50" s="17">
        <v>576.0</v>
      </c>
      <c r="AB50" s="17">
        <v>31.0</v>
      </c>
      <c r="AC50" s="20">
        <f t="shared" si="2"/>
        <v>17856</v>
      </c>
      <c r="AD50" s="30">
        <f t="shared" si="3"/>
        <v>8.06</v>
      </c>
      <c r="AE50" s="30">
        <f t="shared" si="4"/>
        <v>8214.752</v>
      </c>
      <c r="AF50" s="30">
        <f t="shared" si="5"/>
        <v>486.9288811</v>
      </c>
      <c r="AG50" s="34">
        <v>1.0</v>
      </c>
      <c r="AH50" s="36"/>
      <c r="AI50" s="30">
        <f t="shared" si="6"/>
        <v>3278.688525</v>
      </c>
      <c r="AJ50" s="17">
        <v>4000.0</v>
      </c>
      <c r="AK50" s="30">
        <f t="shared" si="7"/>
        <v>3278.688525</v>
      </c>
      <c r="AL50" s="20">
        <f t="shared" si="8"/>
        <v>4000</v>
      </c>
    </row>
    <row r="51">
      <c r="A51" s="16" t="s">
        <v>304</v>
      </c>
      <c r="B51" s="17" t="s">
        <v>17</v>
      </c>
      <c r="C51" s="17" t="s">
        <v>19</v>
      </c>
      <c r="D51" s="17" t="s">
        <v>123</v>
      </c>
      <c r="E51" s="17" t="s">
        <v>62</v>
      </c>
      <c r="F51" s="17" t="s">
        <v>63</v>
      </c>
      <c r="G51" s="19">
        <v>46160.0</v>
      </c>
      <c r="H51" s="17" t="s">
        <v>104</v>
      </c>
      <c r="I51" s="20" t="s">
        <v>305</v>
      </c>
      <c r="J51" s="21" t="s">
        <v>306</v>
      </c>
      <c r="K51" s="22" t="s">
        <v>307</v>
      </c>
      <c r="L51" s="22" t="s">
        <v>308</v>
      </c>
      <c r="M51" s="17">
        <v>2014.0</v>
      </c>
      <c r="N51" s="17">
        <v>17.0</v>
      </c>
      <c r="O51" s="23">
        <v>445.0</v>
      </c>
      <c r="P51" s="24">
        <f t="shared" si="1"/>
        <v>1246</v>
      </c>
      <c r="Q51" s="25">
        <v>8.0</v>
      </c>
      <c r="R51" s="17">
        <v>0.0</v>
      </c>
      <c r="S51" s="26">
        <v>4.0</v>
      </c>
      <c r="T51" s="17">
        <v>8.0</v>
      </c>
      <c r="U51" s="17">
        <v>8.0</v>
      </c>
      <c r="V51" s="17" t="s">
        <v>130</v>
      </c>
      <c r="W51" s="28" t="s">
        <v>76</v>
      </c>
      <c r="X51" s="28" t="s">
        <v>78</v>
      </c>
      <c r="Y51" s="24">
        <v>10.0</v>
      </c>
      <c r="Z51" s="17">
        <v>150.0</v>
      </c>
      <c r="AA51" s="17">
        <v>576.0</v>
      </c>
      <c r="AB51" s="17">
        <v>31.0</v>
      </c>
      <c r="AC51" s="20">
        <f t="shared" si="2"/>
        <v>142848</v>
      </c>
      <c r="AD51" s="30">
        <f t="shared" si="3"/>
        <v>18.26933333</v>
      </c>
      <c r="AE51" s="30">
        <f t="shared" si="4"/>
        <v>22763.58933</v>
      </c>
      <c r="AF51" s="30">
        <f t="shared" si="5"/>
        <v>1405.753703</v>
      </c>
      <c r="AG51" s="34">
        <v>1.0</v>
      </c>
      <c r="AH51" s="36"/>
      <c r="AI51" s="30">
        <f t="shared" si="6"/>
        <v>3278.688525</v>
      </c>
      <c r="AJ51" s="17">
        <v>4000.0</v>
      </c>
      <c r="AK51" s="30">
        <f t="shared" si="7"/>
        <v>26229.5082</v>
      </c>
      <c r="AL51" s="20">
        <f t="shared" si="8"/>
        <v>32000</v>
      </c>
    </row>
    <row r="52">
      <c r="A52" s="16" t="s">
        <v>309</v>
      </c>
      <c r="B52" s="17" t="s">
        <v>17</v>
      </c>
      <c r="C52" s="17" t="s">
        <v>19</v>
      </c>
      <c r="D52" s="17" t="s">
        <v>123</v>
      </c>
      <c r="E52" s="17" t="s">
        <v>62</v>
      </c>
      <c r="F52" s="17" t="s">
        <v>63</v>
      </c>
      <c r="G52" s="19">
        <v>46160.0</v>
      </c>
      <c r="H52" s="17" t="s">
        <v>104</v>
      </c>
      <c r="I52" s="20" t="s">
        <v>310</v>
      </c>
      <c r="J52" s="21" t="s">
        <v>311</v>
      </c>
      <c r="K52" s="22" t="s">
        <v>312</v>
      </c>
      <c r="L52" s="22" t="s">
        <v>313</v>
      </c>
      <c r="M52" s="17">
        <v>2015.0</v>
      </c>
      <c r="N52" s="17">
        <v>18.0</v>
      </c>
      <c r="O52" s="23">
        <v>249.0</v>
      </c>
      <c r="P52" s="24">
        <f t="shared" si="1"/>
        <v>697.2</v>
      </c>
      <c r="Q52" s="25">
        <v>6.0</v>
      </c>
      <c r="R52" s="17">
        <v>0.0</v>
      </c>
      <c r="S52" s="26">
        <v>3.0</v>
      </c>
      <c r="T52" s="17">
        <v>6.0</v>
      </c>
      <c r="U52" s="17">
        <v>6.0</v>
      </c>
      <c r="V52" s="17" t="s">
        <v>130</v>
      </c>
      <c r="W52" s="28" t="s">
        <v>76</v>
      </c>
      <c r="X52" s="28" t="s">
        <v>78</v>
      </c>
      <c r="Y52" s="24">
        <v>10.0</v>
      </c>
      <c r="Z52" s="17">
        <v>150.0</v>
      </c>
      <c r="AA52" s="17">
        <v>576.0</v>
      </c>
      <c r="AB52" s="17">
        <v>31.0</v>
      </c>
      <c r="AC52" s="20">
        <f t="shared" si="2"/>
        <v>107136</v>
      </c>
      <c r="AD52" s="30">
        <f t="shared" si="3"/>
        <v>19.344</v>
      </c>
      <c r="AE52" s="30">
        <f t="shared" si="4"/>
        <v>13486.6368</v>
      </c>
      <c r="AF52" s="30">
        <f t="shared" si="5"/>
        <v>1779.539284</v>
      </c>
      <c r="AG52" s="34">
        <v>1.0</v>
      </c>
      <c r="AH52" s="36"/>
      <c r="AI52" s="30">
        <f t="shared" si="6"/>
        <v>3278.688525</v>
      </c>
      <c r="AJ52" s="17">
        <v>4000.0</v>
      </c>
      <c r="AK52" s="30">
        <f t="shared" si="7"/>
        <v>19672.13115</v>
      </c>
      <c r="AL52" s="20">
        <f t="shared" si="8"/>
        <v>24000</v>
      </c>
    </row>
    <row r="53">
      <c r="A53" s="16" t="s">
        <v>315</v>
      </c>
      <c r="B53" s="17" t="s">
        <v>17</v>
      </c>
      <c r="C53" s="17" t="s">
        <v>19</v>
      </c>
      <c r="D53" s="17" t="s">
        <v>61</v>
      </c>
      <c r="E53" s="17" t="s">
        <v>316</v>
      </c>
      <c r="F53" s="17" t="s">
        <v>103</v>
      </c>
      <c r="G53" s="19">
        <v>45971.0</v>
      </c>
      <c r="H53" s="17" t="s">
        <v>118</v>
      </c>
      <c r="I53" s="20" t="s">
        <v>317</v>
      </c>
      <c r="J53" s="21" t="s">
        <v>318</v>
      </c>
      <c r="K53" s="22" t="s">
        <v>319</v>
      </c>
      <c r="L53" s="22" t="s">
        <v>320</v>
      </c>
      <c r="M53" s="17">
        <v>2021.0</v>
      </c>
      <c r="N53" s="17">
        <v>17.0</v>
      </c>
      <c r="O53" s="23">
        <v>431.0</v>
      </c>
      <c r="P53" s="24">
        <f t="shared" si="1"/>
        <v>1206.8</v>
      </c>
      <c r="Q53" s="25">
        <v>2.0</v>
      </c>
      <c r="R53" s="17">
        <v>2.0</v>
      </c>
      <c r="S53" s="26">
        <v>2.0</v>
      </c>
      <c r="T53" s="17">
        <v>0.0</v>
      </c>
      <c r="U53" s="17">
        <v>4.0</v>
      </c>
      <c r="V53" s="17" t="s">
        <v>75</v>
      </c>
      <c r="W53" s="28" t="s">
        <v>76</v>
      </c>
      <c r="X53" s="28" t="s">
        <v>78</v>
      </c>
      <c r="Y53" s="24">
        <v>10.0</v>
      </c>
      <c r="Z53" s="17">
        <v>150.0</v>
      </c>
      <c r="AA53" s="17">
        <v>576.0</v>
      </c>
      <c r="AB53" s="17">
        <v>31.0</v>
      </c>
      <c r="AC53" s="20">
        <f t="shared" si="2"/>
        <v>35712</v>
      </c>
      <c r="AD53" s="30">
        <f t="shared" si="3"/>
        <v>8.06</v>
      </c>
      <c r="AE53" s="30">
        <f t="shared" si="4"/>
        <v>9726.808</v>
      </c>
      <c r="AF53" s="30">
        <f t="shared" si="5"/>
        <v>822.4692006</v>
      </c>
      <c r="AG53" s="34">
        <v>1.0</v>
      </c>
      <c r="AH53" s="36"/>
      <c r="AI53" s="30">
        <f t="shared" si="6"/>
        <v>3278.688525</v>
      </c>
      <c r="AJ53" s="17">
        <v>4000.0</v>
      </c>
      <c r="AK53" s="30">
        <f t="shared" si="7"/>
        <v>6557.377049</v>
      </c>
      <c r="AL53" s="20">
        <f t="shared" si="8"/>
        <v>8000</v>
      </c>
    </row>
    <row r="54">
      <c r="A54" s="16" t="s">
        <v>315</v>
      </c>
      <c r="B54" s="17" t="s">
        <v>17</v>
      </c>
      <c r="C54" s="17" t="s">
        <v>19</v>
      </c>
      <c r="D54" s="17" t="s">
        <v>61</v>
      </c>
      <c r="E54" s="17" t="s">
        <v>316</v>
      </c>
      <c r="F54" s="17" t="s">
        <v>103</v>
      </c>
      <c r="G54" s="19">
        <v>45971.0</v>
      </c>
      <c r="H54" s="17" t="s">
        <v>118</v>
      </c>
      <c r="I54" s="20" t="s">
        <v>317</v>
      </c>
      <c r="J54" s="21" t="s">
        <v>321</v>
      </c>
      <c r="K54" s="22" t="s">
        <v>322</v>
      </c>
      <c r="L54" s="22" t="s">
        <v>323</v>
      </c>
      <c r="M54" s="17">
        <v>2024.0</v>
      </c>
      <c r="N54" s="17">
        <v>17.0</v>
      </c>
      <c r="O54" s="23">
        <v>448.0</v>
      </c>
      <c r="P54" s="24">
        <f t="shared" si="1"/>
        <v>1254.4</v>
      </c>
      <c r="Q54" s="25">
        <v>2.0</v>
      </c>
      <c r="R54" s="17">
        <v>0.0</v>
      </c>
      <c r="S54" s="26">
        <v>2.0</v>
      </c>
      <c r="T54" s="17">
        <v>2.0</v>
      </c>
      <c r="U54" s="17">
        <v>4.0</v>
      </c>
      <c r="V54" s="17" t="s">
        <v>75</v>
      </c>
      <c r="W54" s="28" t="s">
        <v>76</v>
      </c>
      <c r="X54" s="28" t="s">
        <v>78</v>
      </c>
      <c r="Y54" s="24">
        <v>10.0</v>
      </c>
      <c r="Z54" s="17">
        <v>150.0</v>
      </c>
      <c r="AA54" s="17">
        <v>576.0</v>
      </c>
      <c r="AB54" s="17">
        <v>31.0</v>
      </c>
      <c r="AC54" s="20">
        <f t="shared" si="2"/>
        <v>35712</v>
      </c>
      <c r="AD54" s="30">
        <f t="shared" si="3"/>
        <v>9.134666667</v>
      </c>
      <c r="AE54" s="30">
        <f t="shared" si="4"/>
        <v>11458.52587</v>
      </c>
      <c r="AF54" s="30">
        <f t="shared" si="5"/>
        <v>698.1700869</v>
      </c>
      <c r="AG54" s="34">
        <v>1.0</v>
      </c>
      <c r="AH54" s="36"/>
      <c r="AI54" s="30">
        <f t="shared" si="6"/>
        <v>3278.688525</v>
      </c>
      <c r="AJ54" s="17">
        <v>4000.0</v>
      </c>
      <c r="AK54" s="30">
        <f t="shared" si="7"/>
        <v>6557.377049</v>
      </c>
      <c r="AL54" s="20">
        <f t="shared" si="8"/>
        <v>8000</v>
      </c>
    </row>
    <row r="55">
      <c r="A55" s="16" t="s">
        <v>315</v>
      </c>
      <c r="B55" s="17" t="s">
        <v>17</v>
      </c>
      <c r="C55" s="17" t="s">
        <v>19</v>
      </c>
      <c r="D55" s="17" t="s">
        <v>61</v>
      </c>
      <c r="E55" s="17" t="s">
        <v>316</v>
      </c>
      <c r="F55" s="17" t="s">
        <v>103</v>
      </c>
      <c r="G55" s="19">
        <v>45971.0</v>
      </c>
      <c r="H55" s="17" t="s">
        <v>118</v>
      </c>
      <c r="I55" s="20" t="s">
        <v>317</v>
      </c>
      <c r="J55" s="21" t="s">
        <v>324</v>
      </c>
      <c r="K55" s="22" t="s">
        <v>325</v>
      </c>
      <c r="L55" s="22" t="s">
        <v>326</v>
      </c>
      <c r="M55" s="17">
        <v>2025.0</v>
      </c>
      <c r="N55" s="17">
        <v>26.0</v>
      </c>
      <c r="O55" s="23">
        <v>309.0</v>
      </c>
      <c r="P55" s="24">
        <f t="shared" si="1"/>
        <v>865.2</v>
      </c>
      <c r="Q55" s="25">
        <v>2.0</v>
      </c>
      <c r="R55" s="17">
        <v>1.0</v>
      </c>
      <c r="S55" s="26">
        <v>1.0</v>
      </c>
      <c r="T55" s="17">
        <v>1.0</v>
      </c>
      <c r="U55" s="17">
        <v>3.0</v>
      </c>
      <c r="V55" s="17" t="s">
        <v>75</v>
      </c>
      <c r="W55" s="28" t="s">
        <v>76</v>
      </c>
      <c r="X55" s="28" t="s">
        <v>78</v>
      </c>
      <c r="Y55" s="24">
        <v>10.0</v>
      </c>
      <c r="Z55" s="17">
        <v>150.0</v>
      </c>
      <c r="AA55" s="17">
        <v>576.0</v>
      </c>
      <c r="AB55" s="17">
        <v>31.0</v>
      </c>
      <c r="AC55" s="20">
        <f t="shared" si="2"/>
        <v>35712</v>
      </c>
      <c r="AD55" s="30">
        <f t="shared" si="3"/>
        <v>17.37377778</v>
      </c>
      <c r="AE55" s="30">
        <f t="shared" si="4"/>
        <v>15031.79253</v>
      </c>
      <c r="AF55" s="30">
        <f t="shared" si="5"/>
        <v>532.205323</v>
      </c>
      <c r="AG55" s="34">
        <v>1.0</v>
      </c>
      <c r="AH55" s="36"/>
      <c r="AI55" s="30">
        <f t="shared" si="6"/>
        <v>3278.688525</v>
      </c>
      <c r="AJ55" s="17">
        <v>4000.0</v>
      </c>
      <c r="AK55" s="30">
        <f t="shared" si="7"/>
        <v>6557.377049</v>
      </c>
      <c r="AL55" s="20">
        <f t="shared" si="8"/>
        <v>8000</v>
      </c>
    </row>
    <row r="56">
      <c r="A56" s="16" t="s">
        <v>315</v>
      </c>
      <c r="B56" s="17" t="s">
        <v>17</v>
      </c>
      <c r="C56" s="17" t="s">
        <v>19</v>
      </c>
      <c r="D56" s="17" t="s">
        <v>61</v>
      </c>
      <c r="E56" s="17" t="s">
        <v>316</v>
      </c>
      <c r="F56" s="17" t="s">
        <v>103</v>
      </c>
      <c r="G56" s="19">
        <v>45971.0</v>
      </c>
      <c r="H56" s="17" t="s">
        <v>118</v>
      </c>
      <c r="I56" s="20" t="s">
        <v>317</v>
      </c>
      <c r="J56" s="21" t="s">
        <v>327</v>
      </c>
      <c r="K56" s="22" t="s">
        <v>265</v>
      </c>
      <c r="L56" s="22" t="s">
        <v>328</v>
      </c>
      <c r="M56" s="17">
        <v>2025.0</v>
      </c>
      <c r="N56" s="17">
        <v>26.0</v>
      </c>
      <c r="O56" s="23">
        <v>309.0</v>
      </c>
      <c r="P56" s="24">
        <f t="shared" si="1"/>
        <v>865.2</v>
      </c>
      <c r="Q56" s="25">
        <v>2.0</v>
      </c>
      <c r="R56" s="17">
        <v>1.0</v>
      </c>
      <c r="S56" s="26">
        <v>1.0</v>
      </c>
      <c r="T56" s="17">
        <v>1.0</v>
      </c>
      <c r="U56" s="17">
        <v>3.0</v>
      </c>
      <c r="V56" s="17" t="s">
        <v>75</v>
      </c>
      <c r="W56" s="28" t="s">
        <v>76</v>
      </c>
      <c r="X56" s="28" t="s">
        <v>78</v>
      </c>
      <c r="Y56" s="24">
        <v>10.0</v>
      </c>
      <c r="Z56" s="17">
        <v>150.0</v>
      </c>
      <c r="AA56" s="17">
        <v>576.0</v>
      </c>
      <c r="AB56" s="17">
        <v>31.0</v>
      </c>
      <c r="AC56" s="20">
        <f t="shared" si="2"/>
        <v>35712</v>
      </c>
      <c r="AD56" s="30">
        <f t="shared" si="3"/>
        <v>17.37377778</v>
      </c>
      <c r="AE56" s="30">
        <f t="shared" si="4"/>
        <v>15031.79253</v>
      </c>
      <c r="AF56" s="30">
        <f t="shared" si="5"/>
        <v>532.205323</v>
      </c>
      <c r="AG56" s="34">
        <v>1.0</v>
      </c>
      <c r="AH56" s="36"/>
      <c r="AI56" s="30">
        <f t="shared" si="6"/>
        <v>3278.688525</v>
      </c>
      <c r="AJ56" s="17">
        <v>4000.0</v>
      </c>
      <c r="AK56" s="30">
        <f t="shared" si="7"/>
        <v>6557.377049</v>
      </c>
      <c r="AL56" s="20">
        <f t="shared" si="8"/>
        <v>8000</v>
      </c>
    </row>
    <row r="57">
      <c r="A57" s="16" t="s">
        <v>330</v>
      </c>
      <c r="B57" s="17" t="s">
        <v>17</v>
      </c>
      <c r="C57" s="17" t="s">
        <v>19</v>
      </c>
      <c r="D57" s="17" t="s">
        <v>61</v>
      </c>
      <c r="E57" s="17" t="s">
        <v>316</v>
      </c>
      <c r="F57" s="17" t="s">
        <v>103</v>
      </c>
      <c r="G57" s="19">
        <v>45971.0</v>
      </c>
      <c r="H57" s="17" t="s">
        <v>118</v>
      </c>
      <c r="I57" s="20" t="s">
        <v>331</v>
      </c>
      <c r="J57" s="21" t="s">
        <v>332</v>
      </c>
      <c r="K57" s="22" t="s">
        <v>333</v>
      </c>
      <c r="L57" s="22" t="s">
        <v>334</v>
      </c>
      <c r="M57" s="17">
        <v>2021.0</v>
      </c>
      <c r="N57" s="17">
        <v>17.0</v>
      </c>
      <c r="O57" s="23">
        <v>441.0</v>
      </c>
      <c r="P57" s="24">
        <f t="shared" si="1"/>
        <v>1234.8</v>
      </c>
      <c r="Q57" s="25">
        <v>4.0</v>
      </c>
      <c r="R57" s="17">
        <v>2.0</v>
      </c>
      <c r="S57" s="26">
        <v>2.0</v>
      </c>
      <c r="T57" s="17">
        <v>2.0</v>
      </c>
      <c r="U57" s="17">
        <v>4.0</v>
      </c>
      <c r="V57" s="17" t="s">
        <v>75</v>
      </c>
      <c r="W57" s="28" t="s">
        <v>76</v>
      </c>
      <c r="X57" s="28" t="s">
        <v>78</v>
      </c>
      <c r="Y57" s="24">
        <v>10.0</v>
      </c>
      <c r="Z57" s="17">
        <v>150.0</v>
      </c>
      <c r="AA57" s="17">
        <v>576.0</v>
      </c>
      <c r="AB57" s="17">
        <v>31.0</v>
      </c>
      <c r="AC57" s="20">
        <f t="shared" si="2"/>
        <v>71424</v>
      </c>
      <c r="AD57" s="30">
        <f t="shared" si="3"/>
        <v>17.19466667</v>
      </c>
      <c r="AE57" s="30">
        <f t="shared" si="4"/>
        <v>21231.9744</v>
      </c>
      <c r="AF57" s="30">
        <f t="shared" si="5"/>
        <v>753.5804112</v>
      </c>
      <c r="AG57" s="34">
        <v>1.0</v>
      </c>
      <c r="AH57" s="36"/>
      <c r="AI57" s="30">
        <f t="shared" si="6"/>
        <v>3278.688525</v>
      </c>
      <c r="AJ57" s="17">
        <v>4000.0</v>
      </c>
      <c r="AK57" s="30">
        <f t="shared" si="7"/>
        <v>13114.7541</v>
      </c>
      <c r="AL57" s="20">
        <f t="shared" si="8"/>
        <v>16000</v>
      </c>
    </row>
    <row r="58">
      <c r="A58" s="16" t="s">
        <v>330</v>
      </c>
      <c r="B58" s="17" t="s">
        <v>17</v>
      </c>
      <c r="C58" s="17" t="s">
        <v>19</v>
      </c>
      <c r="D58" s="17" t="s">
        <v>61</v>
      </c>
      <c r="E58" s="17" t="s">
        <v>316</v>
      </c>
      <c r="F58" s="17" t="s">
        <v>103</v>
      </c>
      <c r="G58" s="19">
        <v>45971.0</v>
      </c>
      <c r="H58" s="17" t="s">
        <v>118</v>
      </c>
      <c r="I58" s="20" t="s">
        <v>331</v>
      </c>
      <c r="J58" s="21" t="s">
        <v>335</v>
      </c>
      <c r="K58" s="22" t="s">
        <v>336</v>
      </c>
      <c r="L58" s="22" t="s">
        <v>337</v>
      </c>
      <c r="M58" s="17">
        <v>2021.0</v>
      </c>
      <c r="N58" s="17">
        <v>17.0</v>
      </c>
      <c r="O58" s="23">
        <v>441.0</v>
      </c>
      <c r="P58" s="24">
        <f t="shared" si="1"/>
        <v>1234.8</v>
      </c>
      <c r="Q58" s="25">
        <v>2.0</v>
      </c>
      <c r="R58" s="17">
        <v>1.0</v>
      </c>
      <c r="S58" s="26">
        <v>2.0</v>
      </c>
      <c r="T58" s="17">
        <v>1.0</v>
      </c>
      <c r="U58" s="17">
        <v>4.0</v>
      </c>
      <c r="V58" s="17" t="s">
        <v>75</v>
      </c>
      <c r="W58" s="28" t="s">
        <v>76</v>
      </c>
      <c r="X58" s="28" t="s">
        <v>78</v>
      </c>
      <c r="Y58" s="24">
        <v>10.0</v>
      </c>
      <c r="Z58" s="17">
        <v>150.0</v>
      </c>
      <c r="AA58" s="17">
        <v>576.0</v>
      </c>
      <c r="AB58" s="17">
        <v>31.0</v>
      </c>
      <c r="AC58" s="20">
        <f t="shared" si="2"/>
        <v>35712</v>
      </c>
      <c r="AD58" s="30">
        <f t="shared" si="3"/>
        <v>8.597333333</v>
      </c>
      <c r="AE58" s="30">
        <f t="shared" si="4"/>
        <v>10615.9872</v>
      </c>
      <c r="AF58" s="30">
        <f t="shared" si="5"/>
        <v>753.5804112</v>
      </c>
      <c r="AG58" s="34">
        <v>1.0</v>
      </c>
      <c r="AH58" s="36"/>
      <c r="AI58" s="30">
        <f t="shared" si="6"/>
        <v>3278.688525</v>
      </c>
      <c r="AJ58" s="17">
        <v>4000.0</v>
      </c>
      <c r="AK58" s="30">
        <f t="shared" si="7"/>
        <v>6557.377049</v>
      </c>
      <c r="AL58" s="20">
        <f t="shared" si="8"/>
        <v>8000</v>
      </c>
    </row>
    <row r="59">
      <c r="A59" s="16" t="s">
        <v>330</v>
      </c>
      <c r="B59" s="17" t="s">
        <v>17</v>
      </c>
      <c r="C59" s="17" t="s">
        <v>19</v>
      </c>
      <c r="D59" s="17" t="s">
        <v>61</v>
      </c>
      <c r="E59" s="17" t="s">
        <v>316</v>
      </c>
      <c r="F59" s="17" t="s">
        <v>103</v>
      </c>
      <c r="G59" s="19">
        <v>45971.0</v>
      </c>
      <c r="H59" s="17" t="s">
        <v>118</v>
      </c>
      <c r="I59" s="20" t="s">
        <v>331</v>
      </c>
      <c r="J59" s="21" t="s">
        <v>338</v>
      </c>
      <c r="K59" s="22" t="s">
        <v>339</v>
      </c>
      <c r="L59" s="22" t="s">
        <v>340</v>
      </c>
      <c r="M59" s="17">
        <v>2022.0</v>
      </c>
      <c r="N59" s="17">
        <v>17.0</v>
      </c>
      <c r="O59" s="23">
        <v>431.0</v>
      </c>
      <c r="P59" s="24">
        <f t="shared" si="1"/>
        <v>1206.8</v>
      </c>
      <c r="Q59" s="25">
        <v>4.0</v>
      </c>
      <c r="R59" s="17">
        <v>2.0</v>
      </c>
      <c r="S59" s="26">
        <v>2.0</v>
      </c>
      <c r="T59" s="17">
        <v>2.0</v>
      </c>
      <c r="U59" s="17">
        <v>4.0</v>
      </c>
      <c r="V59" s="17" t="s">
        <v>75</v>
      </c>
      <c r="W59" s="28" t="s">
        <v>76</v>
      </c>
      <c r="X59" s="28" t="s">
        <v>78</v>
      </c>
      <c r="Y59" s="24">
        <v>10.0</v>
      </c>
      <c r="Z59" s="17">
        <v>150.0</v>
      </c>
      <c r="AA59" s="17">
        <v>576.0</v>
      </c>
      <c r="AB59" s="17">
        <v>31.0</v>
      </c>
      <c r="AC59" s="20">
        <f t="shared" si="2"/>
        <v>71424</v>
      </c>
      <c r="AD59" s="30">
        <f t="shared" si="3"/>
        <v>17.19466667</v>
      </c>
      <c r="AE59" s="30">
        <f t="shared" si="4"/>
        <v>20750.52373</v>
      </c>
      <c r="AF59" s="30">
        <f t="shared" si="5"/>
        <v>771.0648755</v>
      </c>
      <c r="AG59" s="34">
        <v>1.0</v>
      </c>
      <c r="AH59" s="36"/>
      <c r="AI59" s="30">
        <f t="shared" si="6"/>
        <v>3278.688525</v>
      </c>
      <c r="AJ59" s="17">
        <v>4000.0</v>
      </c>
      <c r="AK59" s="30">
        <f t="shared" si="7"/>
        <v>13114.7541</v>
      </c>
      <c r="AL59" s="20">
        <f t="shared" si="8"/>
        <v>16000</v>
      </c>
    </row>
    <row r="60">
      <c r="A60" s="16" t="s">
        <v>341</v>
      </c>
      <c r="B60" s="17" t="s">
        <v>17</v>
      </c>
      <c r="C60" s="17" t="s">
        <v>19</v>
      </c>
      <c r="D60" s="17" t="s">
        <v>61</v>
      </c>
      <c r="E60" s="17" t="s">
        <v>316</v>
      </c>
      <c r="F60" s="17" t="s">
        <v>103</v>
      </c>
      <c r="G60" s="19">
        <v>45985.0</v>
      </c>
      <c r="H60" s="17" t="s">
        <v>118</v>
      </c>
      <c r="I60" s="20" t="s">
        <v>342</v>
      </c>
      <c r="J60" s="21" t="s">
        <v>343</v>
      </c>
      <c r="K60" s="22" t="s">
        <v>344</v>
      </c>
      <c r="L60" s="22" t="s">
        <v>345</v>
      </c>
      <c r="M60" s="17">
        <v>2021.0</v>
      </c>
      <c r="N60" s="17">
        <v>25.0</v>
      </c>
      <c r="O60" s="23">
        <v>244.0</v>
      </c>
      <c r="P60" s="24">
        <f t="shared" si="1"/>
        <v>683.2</v>
      </c>
      <c r="Q60" s="25">
        <v>2.0</v>
      </c>
      <c r="R60" s="17">
        <v>1.0</v>
      </c>
      <c r="S60" s="26">
        <v>1.0</v>
      </c>
      <c r="T60" s="17">
        <v>1.0</v>
      </c>
      <c r="U60" s="17">
        <v>1.0</v>
      </c>
      <c r="V60" s="17" t="s">
        <v>75</v>
      </c>
      <c r="W60" s="28" t="s">
        <v>76</v>
      </c>
      <c r="X60" s="28" t="s">
        <v>78</v>
      </c>
      <c r="Y60" s="24">
        <v>10.0</v>
      </c>
      <c r="Z60" s="17">
        <v>150.0</v>
      </c>
      <c r="AA60" s="17">
        <v>576.0</v>
      </c>
      <c r="AB60" s="17">
        <v>31.0</v>
      </c>
      <c r="AC60" s="20">
        <f t="shared" si="2"/>
        <v>35712</v>
      </c>
      <c r="AD60" s="30">
        <f t="shared" si="3"/>
        <v>34.92666667</v>
      </c>
      <c r="AE60" s="30">
        <f t="shared" si="4"/>
        <v>23861.89867</v>
      </c>
      <c r="AF60" s="30">
        <f t="shared" si="5"/>
        <v>335.2625083</v>
      </c>
      <c r="AG60" s="34">
        <v>1.0</v>
      </c>
      <c r="AH60" s="36"/>
      <c r="AI60" s="30">
        <f t="shared" si="6"/>
        <v>3278.688525</v>
      </c>
      <c r="AJ60" s="17">
        <v>4000.0</v>
      </c>
      <c r="AK60" s="30">
        <f t="shared" si="7"/>
        <v>6557.377049</v>
      </c>
      <c r="AL60" s="20">
        <f t="shared" si="8"/>
        <v>8000</v>
      </c>
    </row>
    <row r="61">
      <c r="A61" s="16" t="s">
        <v>341</v>
      </c>
      <c r="B61" s="17" t="s">
        <v>17</v>
      </c>
      <c r="C61" s="17" t="s">
        <v>19</v>
      </c>
      <c r="D61" s="17" t="s">
        <v>61</v>
      </c>
      <c r="E61" s="17" t="s">
        <v>316</v>
      </c>
      <c r="F61" s="17" t="s">
        <v>103</v>
      </c>
      <c r="G61" s="19">
        <v>45985.0</v>
      </c>
      <c r="H61" s="17" t="s">
        <v>118</v>
      </c>
      <c r="I61" s="20" t="s">
        <v>342</v>
      </c>
      <c r="J61" s="21" t="s">
        <v>346</v>
      </c>
      <c r="K61" s="22" t="s">
        <v>347</v>
      </c>
      <c r="L61" s="22" t="s">
        <v>348</v>
      </c>
      <c r="M61" s="17">
        <v>2021.0</v>
      </c>
      <c r="N61" s="17">
        <v>26.0</v>
      </c>
      <c r="O61" s="23">
        <v>244.0</v>
      </c>
      <c r="P61" s="24">
        <f t="shared" si="1"/>
        <v>683.2</v>
      </c>
      <c r="Q61" s="25">
        <v>2.0</v>
      </c>
      <c r="R61" s="17">
        <v>1.0</v>
      </c>
      <c r="S61" s="26">
        <v>1.0</v>
      </c>
      <c r="T61" s="17">
        <v>1.0</v>
      </c>
      <c r="U61" s="17">
        <v>3.0</v>
      </c>
      <c r="V61" s="17" t="s">
        <v>75</v>
      </c>
      <c r="W61" s="28" t="s">
        <v>76</v>
      </c>
      <c r="X61" s="28" t="s">
        <v>78</v>
      </c>
      <c r="Y61" s="24">
        <v>10.0</v>
      </c>
      <c r="Z61" s="17">
        <v>150.0</v>
      </c>
      <c r="AA61" s="17">
        <v>576.0</v>
      </c>
      <c r="AB61" s="17">
        <v>31.0</v>
      </c>
      <c r="AC61" s="20">
        <f t="shared" si="2"/>
        <v>35712</v>
      </c>
      <c r="AD61" s="30">
        <f t="shared" si="3"/>
        <v>17.37377778</v>
      </c>
      <c r="AE61" s="30">
        <f t="shared" si="4"/>
        <v>11869.76498</v>
      </c>
      <c r="AF61" s="30">
        <f t="shared" si="5"/>
        <v>673.9813311</v>
      </c>
      <c r="AG61" s="34">
        <v>1.0</v>
      </c>
      <c r="AH61" s="36"/>
      <c r="AI61" s="30">
        <f t="shared" si="6"/>
        <v>3278.688525</v>
      </c>
      <c r="AJ61" s="17">
        <v>4000.0</v>
      </c>
      <c r="AK61" s="30">
        <f t="shared" si="7"/>
        <v>6557.377049</v>
      </c>
      <c r="AL61" s="20">
        <f t="shared" si="8"/>
        <v>8000</v>
      </c>
    </row>
    <row r="62">
      <c r="A62" s="16" t="s">
        <v>341</v>
      </c>
      <c r="B62" s="17" t="s">
        <v>17</v>
      </c>
      <c r="C62" s="17" t="s">
        <v>19</v>
      </c>
      <c r="D62" s="17" t="s">
        <v>61</v>
      </c>
      <c r="E62" s="17" t="s">
        <v>316</v>
      </c>
      <c r="F62" s="17" t="s">
        <v>103</v>
      </c>
      <c r="G62" s="19">
        <v>45985.0</v>
      </c>
      <c r="H62" s="17" t="s">
        <v>118</v>
      </c>
      <c r="I62" s="20" t="s">
        <v>342</v>
      </c>
      <c r="J62" s="21" t="s">
        <v>350</v>
      </c>
      <c r="K62" s="22" t="s">
        <v>351</v>
      </c>
      <c r="L62" s="22" t="s">
        <v>352</v>
      </c>
      <c r="M62" s="17">
        <v>2021.0</v>
      </c>
      <c r="N62" s="17">
        <v>26.0</v>
      </c>
      <c r="O62" s="23">
        <v>249.0</v>
      </c>
      <c r="P62" s="24">
        <f t="shared" si="1"/>
        <v>697.2</v>
      </c>
      <c r="Q62" s="25">
        <v>2.0</v>
      </c>
      <c r="R62" s="17">
        <v>1.0</v>
      </c>
      <c r="S62" s="26">
        <v>1.0</v>
      </c>
      <c r="T62" s="17">
        <v>1.0</v>
      </c>
      <c r="U62" s="17">
        <v>3.0</v>
      </c>
      <c r="V62" s="17" t="s">
        <v>75</v>
      </c>
      <c r="W62" s="28" t="s">
        <v>76</v>
      </c>
      <c r="X62" s="28" t="s">
        <v>78</v>
      </c>
      <c r="Y62" s="24">
        <v>10.0</v>
      </c>
      <c r="Z62" s="17">
        <v>150.0</v>
      </c>
      <c r="AA62" s="17">
        <v>576.0</v>
      </c>
      <c r="AB62" s="17">
        <v>31.0</v>
      </c>
      <c r="AC62" s="20">
        <f t="shared" si="2"/>
        <v>35712</v>
      </c>
      <c r="AD62" s="30">
        <f t="shared" si="3"/>
        <v>17.37377778</v>
      </c>
      <c r="AE62" s="30">
        <f t="shared" si="4"/>
        <v>12112.99787</v>
      </c>
      <c r="AF62" s="30">
        <f t="shared" si="5"/>
        <v>660.4475695</v>
      </c>
      <c r="AG62" s="34">
        <v>1.0</v>
      </c>
      <c r="AH62" s="36"/>
      <c r="AI62" s="30">
        <f t="shared" si="6"/>
        <v>3278.688525</v>
      </c>
      <c r="AJ62" s="17">
        <v>4000.0</v>
      </c>
      <c r="AK62" s="30">
        <f t="shared" si="7"/>
        <v>6557.377049</v>
      </c>
      <c r="AL62" s="20">
        <f t="shared" si="8"/>
        <v>8000</v>
      </c>
    </row>
    <row r="63">
      <c r="A63" s="16" t="s">
        <v>341</v>
      </c>
      <c r="B63" s="17" t="s">
        <v>17</v>
      </c>
      <c r="C63" s="17" t="s">
        <v>19</v>
      </c>
      <c r="D63" s="17" t="s">
        <v>61</v>
      </c>
      <c r="E63" s="17" t="s">
        <v>316</v>
      </c>
      <c r="F63" s="17" t="s">
        <v>103</v>
      </c>
      <c r="G63" s="19">
        <v>45985.0</v>
      </c>
      <c r="H63" s="17" t="s">
        <v>118</v>
      </c>
      <c r="I63" s="20" t="s">
        <v>342</v>
      </c>
      <c r="J63" s="21" t="s">
        <v>353</v>
      </c>
      <c r="K63" s="22" t="s">
        <v>354</v>
      </c>
      <c r="L63" s="22" t="s">
        <v>355</v>
      </c>
      <c r="M63" s="17">
        <v>2022.0</v>
      </c>
      <c r="N63" s="17">
        <v>26.0</v>
      </c>
      <c r="O63" s="23">
        <v>298.0</v>
      </c>
      <c r="P63" s="24">
        <f t="shared" si="1"/>
        <v>834.4</v>
      </c>
      <c r="Q63" s="25">
        <v>1.0</v>
      </c>
      <c r="R63" s="17">
        <v>1.0</v>
      </c>
      <c r="S63" s="26">
        <v>1.0</v>
      </c>
      <c r="T63" s="17">
        <v>0.0</v>
      </c>
      <c r="U63" s="17">
        <v>3.0</v>
      </c>
      <c r="V63" s="17" t="s">
        <v>75</v>
      </c>
      <c r="W63" s="28" t="s">
        <v>76</v>
      </c>
      <c r="X63" s="28" t="s">
        <v>78</v>
      </c>
      <c r="Y63" s="24">
        <v>10.0</v>
      </c>
      <c r="Z63" s="17">
        <v>150.0</v>
      </c>
      <c r="AA63" s="17">
        <v>576.0</v>
      </c>
      <c r="AB63" s="17">
        <v>31.0</v>
      </c>
      <c r="AC63" s="20">
        <f t="shared" si="2"/>
        <v>17856</v>
      </c>
      <c r="AD63" s="30">
        <f t="shared" si="3"/>
        <v>8.06</v>
      </c>
      <c r="AE63" s="30">
        <f t="shared" si="4"/>
        <v>6725.264</v>
      </c>
      <c r="AF63" s="30">
        <f t="shared" si="5"/>
        <v>594.7721904</v>
      </c>
      <c r="AG63" s="34">
        <v>1.0</v>
      </c>
      <c r="AH63" s="36"/>
      <c r="AI63" s="30">
        <f t="shared" si="6"/>
        <v>3278.688525</v>
      </c>
      <c r="AJ63" s="17">
        <v>4000.0</v>
      </c>
      <c r="AK63" s="30">
        <f t="shared" si="7"/>
        <v>3278.688525</v>
      </c>
      <c r="AL63" s="20">
        <f t="shared" si="8"/>
        <v>4000</v>
      </c>
    </row>
    <row r="64">
      <c r="A64" s="16" t="s">
        <v>341</v>
      </c>
      <c r="B64" s="17" t="s">
        <v>17</v>
      </c>
      <c r="C64" s="17" t="s">
        <v>19</v>
      </c>
      <c r="D64" s="17" t="s">
        <v>61</v>
      </c>
      <c r="E64" s="17" t="s">
        <v>316</v>
      </c>
      <c r="F64" s="17" t="s">
        <v>103</v>
      </c>
      <c r="G64" s="19">
        <v>45985.0</v>
      </c>
      <c r="H64" s="17" t="s">
        <v>118</v>
      </c>
      <c r="I64" s="20" t="s">
        <v>342</v>
      </c>
      <c r="J64" s="21" t="s">
        <v>356</v>
      </c>
      <c r="K64" s="22" t="s">
        <v>357</v>
      </c>
      <c r="L64" s="22" t="s">
        <v>358</v>
      </c>
      <c r="M64" s="17">
        <v>2021.0</v>
      </c>
      <c r="N64" s="17">
        <v>20.0</v>
      </c>
      <c r="O64" s="23">
        <v>456.0</v>
      </c>
      <c r="P64" s="24">
        <f t="shared" si="1"/>
        <v>1276.8</v>
      </c>
      <c r="Q64" s="25">
        <v>4.0</v>
      </c>
      <c r="R64" s="17">
        <v>2.0</v>
      </c>
      <c r="S64" s="26">
        <v>2.0</v>
      </c>
      <c r="T64" s="17">
        <v>2.0</v>
      </c>
      <c r="U64" s="17">
        <v>4.0</v>
      </c>
      <c r="V64" s="17" t="s">
        <v>75</v>
      </c>
      <c r="W64" s="28" t="s">
        <v>76</v>
      </c>
      <c r="X64" s="28" t="s">
        <v>78</v>
      </c>
      <c r="Y64" s="24">
        <v>10.0</v>
      </c>
      <c r="Z64" s="17">
        <v>150.0</v>
      </c>
      <c r="AA64" s="17">
        <v>576.0</v>
      </c>
      <c r="AB64" s="17">
        <v>31.0</v>
      </c>
      <c r="AC64" s="20">
        <f t="shared" si="2"/>
        <v>71424</v>
      </c>
      <c r="AD64" s="30">
        <f t="shared" si="3"/>
        <v>18.80666667</v>
      </c>
      <c r="AE64" s="30">
        <f t="shared" si="4"/>
        <v>24012.352</v>
      </c>
      <c r="AF64" s="30">
        <f t="shared" si="5"/>
        <v>666.3237321</v>
      </c>
      <c r="AG64" s="34">
        <v>1.0</v>
      </c>
      <c r="AH64" s="36"/>
      <c r="AI64" s="30">
        <f t="shared" si="6"/>
        <v>3278.688525</v>
      </c>
      <c r="AJ64" s="17">
        <v>4000.0</v>
      </c>
      <c r="AK64" s="30">
        <f t="shared" si="7"/>
        <v>13114.7541</v>
      </c>
      <c r="AL64" s="20">
        <f t="shared" si="8"/>
        <v>16000</v>
      </c>
    </row>
    <row r="65">
      <c r="A65" s="16" t="s">
        <v>359</v>
      </c>
      <c r="B65" s="17" t="s">
        <v>17</v>
      </c>
      <c r="C65" s="17" t="s">
        <v>19</v>
      </c>
      <c r="D65" s="17" t="s">
        <v>360</v>
      </c>
      <c r="E65" s="17" t="s">
        <v>361</v>
      </c>
      <c r="F65" s="17" t="s">
        <v>63</v>
      </c>
      <c r="G65" s="19">
        <v>45986.0</v>
      </c>
      <c r="H65" s="17" t="s">
        <v>104</v>
      </c>
      <c r="I65" s="20" t="s">
        <v>362</v>
      </c>
      <c r="J65" s="21" t="s">
        <v>363</v>
      </c>
      <c r="K65" s="22" t="s">
        <v>364</v>
      </c>
      <c r="L65" s="22" t="s">
        <v>365</v>
      </c>
      <c r="M65" s="17">
        <v>2023.0</v>
      </c>
      <c r="N65" s="17">
        <v>28.0</v>
      </c>
      <c r="O65" s="23">
        <v>280.0</v>
      </c>
      <c r="P65" s="24">
        <f t="shared" si="1"/>
        <v>784</v>
      </c>
      <c r="Q65" s="25">
        <v>2.0</v>
      </c>
      <c r="R65" s="17">
        <v>1.0</v>
      </c>
      <c r="S65" s="26">
        <v>1.0</v>
      </c>
      <c r="T65" s="17">
        <v>1.0</v>
      </c>
      <c r="U65" s="17">
        <v>3.0</v>
      </c>
      <c r="V65" s="17" t="s">
        <v>75</v>
      </c>
      <c r="W65" s="28" t="s">
        <v>76</v>
      </c>
      <c r="X65" s="28" t="s">
        <v>78</v>
      </c>
      <c r="Y65" s="24">
        <v>10.0</v>
      </c>
      <c r="Z65" s="17">
        <v>150.0</v>
      </c>
      <c r="AA65" s="17">
        <v>576.0</v>
      </c>
      <c r="AB65" s="17">
        <v>31.0</v>
      </c>
      <c r="AC65" s="20">
        <f t="shared" si="2"/>
        <v>35712</v>
      </c>
      <c r="AD65" s="30">
        <f t="shared" si="3"/>
        <v>18.09022222</v>
      </c>
      <c r="AE65" s="30">
        <f t="shared" si="4"/>
        <v>14182.73422</v>
      </c>
      <c r="AF65" s="30">
        <f t="shared" si="5"/>
        <v>564.0661296</v>
      </c>
      <c r="AG65" s="34">
        <v>1.0</v>
      </c>
      <c r="AH65" s="36"/>
      <c r="AI65" s="30">
        <f t="shared" si="6"/>
        <v>3278.688525</v>
      </c>
      <c r="AJ65" s="17">
        <v>4000.0</v>
      </c>
      <c r="AK65" s="30">
        <f t="shared" si="7"/>
        <v>6557.377049</v>
      </c>
      <c r="AL65" s="20">
        <f t="shared" si="8"/>
        <v>8000</v>
      </c>
    </row>
    <row r="66">
      <c r="A66" s="16" t="s">
        <v>367</v>
      </c>
      <c r="B66" s="17" t="s">
        <v>17</v>
      </c>
      <c r="C66" s="17" t="s">
        <v>19</v>
      </c>
      <c r="D66" s="17" t="s">
        <v>101</v>
      </c>
      <c r="E66" s="17" t="s">
        <v>163</v>
      </c>
      <c r="F66" s="17" t="s">
        <v>103</v>
      </c>
      <c r="G66" s="19">
        <v>45993.0</v>
      </c>
      <c r="H66" s="17" t="s">
        <v>104</v>
      </c>
      <c r="I66" s="20" t="s">
        <v>368</v>
      </c>
      <c r="J66" s="21" t="s">
        <v>369</v>
      </c>
      <c r="K66" s="22" t="s">
        <v>370</v>
      </c>
      <c r="L66" s="22" t="s">
        <v>371</v>
      </c>
      <c r="M66" s="17">
        <v>2020.0</v>
      </c>
      <c r="N66" s="17">
        <v>18.0</v>
      </c>
      <c r="O66" s="23">
        <v>454.0</v>
      </c>
      <c r="P66" s="24">
        <f t="shared" si="1"/>
        <v>1271.2</v>
      </c>
      <c r="Q66" s="25">
        <v>4.0</v>
      </c>
      <c r="R66" s="17">
        <v>0.0</v>
      </c>
      <c r="S66" s="26">
        <v>2.0</v>
      </c>
      <c r="T66" s="17">
        <v>4.0</v>
      </c>
      <c r="U66" s="17">
        <v>4.0</v>
      </c>
      <c r="V66" s="17" t="s">
        <v>75</v>
      </c>
      <c r="W66" s="28" t="s">
        <v>76</v>
      </c>
      <c r="X66" s="28" t="s">
        <v>78</v>
      </c>
      <c r="Y66" s="24">
        <v>10.0</v>
      </c>
      <c r="Z66" s="17">
        <v>150.0</v>
      </c>
      <c r="AA66" s="17">
        <v>576.0</v>
      </c>
      <c r="AB66" s="17">
        <v>31.0</v>
      </c>
      <c r="AC66" s="20">
        <f t="shared" si="2"/>
        <v>71424</v>
      </c>
      <c r="AD66" s="30">
        <f t="shared" si="3"/>
        <v>19.344</v>
      </c>
      <c r="AE66" s="30">
        <f t="shared" si="4"/>
        <v>24590.0928</v>
      </c>
      <c r="AF66" s="30">
        <f t="shared" si="5"/>
        <v>650.6685489</v>
      </c>
      <c r="AG66" s="34">
        <v>1.0</v>
      </c>
      <c r="AH66" s="36"/>
      <c r="AI66" s="30">
        <f t="shared" si="6"/>
        <v>3278.688525</v>
      </c>
      <c r="AJ66" s="17">
        <v>4000.0</v>
      </c>
      <c r="AK66" s="30">
        <f t="shared" si="7"/>
        <v>13114.7541</v>
      </c>
      <c r="AL66" s="20">
        <f t="shared" si="8"/>
        <v>16000</v>
      </c>
    </row>
    <row r="67">
      <c r="A67" s="16" t="s">
        <v>372</v>
      </c>
      <c r="B67" s="17" t="s">
        <v>17</v>
      </c>
      <c r="C67" s="17" t="s">
        <v>19</v>
      </c>
      <c r="D67" s="17" t="s">
        <v>116</v>
      </c>
      <c r="E67" s="17" t="s">
        <v>117</v>
      </c>
      <c r="F67" s="17" t="s">
        <v>63</v>
      </c>
      <c r="G67" s="19">
        <v>45995.0</v>
      </c>
      <c r="H67" s="17" t="s">
        <v>104</v>
      </c>
      <c r="I67" s="20" t="s">
        <v>373</v>
      </c>
      <c r="J67" s="21" t="s">
        <v>374</v>
      </c>
      <c r="K67" s="22" t="s">
        <v>375</v>
      </c>
      <c r="L67" s="22" t="s">
        <v>376</v>
      </c>
      <c r="M67" s="17">
        <v>2019.0</v>
      </c>
      <c r="N67" s="17">
        <v>27.0</v>
      </c>
      <c r="O67" s="23">
        <v>597.0</v>
      </c>
      <c r="P67" s="24">
        <f t="shared" si="1"/>
        <v>1671.6</v>
      </c>
      <c r="Q67" s="25">
        <v>2.0</v>
      </c>
      <c r="R67" s="17">
        <v>2.0</v>
      </c>
      <c r="S67" s="26">
        <v>1.0</v>
      </c>
      <c r="T67" s="17">
        <v>0.0</v>
      </c>
      <c r="U67" s="17">
        <v>3.0</v>
      </c>
      <c r="V67" s="17" t="s">
        <v>75</v>
      </c>
      <c r="W67" s="28" t="s">
        <v>76</v>
      </c>
      <c r="X67" s="28" t="s">
        <v>78</v>
      </c>
      <c r="Y67" s="24">
        <v>10.0</v>
      </c>
      <c r="Z67" s="17">
        <v>150.0</v>
      </c>
      <c r="AA67" s="17">
        <v>576.0</v>
      </c>
      <c r="AB67" s="17">
        <v>31.0</v>
      </c>
      <c r="AC67" s="20">
        <f t="shared" si="2"/>
        <v>35712</v>
      </c>
      <c r="AD67" s="30">
        <f t="shared" si="3"/>
        <v>16.12</v>
      </c>
      <c r="AE67" s="30">
        <f t="shared" si="4"/>
        <v>26946.192</v>
      </c>
      <c r="AF67" s="30">
        <f t="shared" si="5"/>
        <v>296.887961</v>
      </c>
      <c r="AG67" s="34">
        <v>1.0</v>
      </c>
      <c r="AH67" s="36"/>
      <c r="AI67" s="30">
        <f t="shared" si="6"/>
        <v>3278.688525</v>
      </c>
      <c r="AJ67" s="17">
        <v>4000.0</v>
      </c>
      <c r="AK67" s="30">
        <f t="shared" si="7"/>
        <v>6557.377049</v>
      </c>
      <c r="AL67" s="20">
        <f t="shared" si="8"/>
        <v>8000</v>
      </c>
    </row>
    <row r="68">
      <c r="A68" s="16" t="s">
        <v>377</v>
      </c>
      <c r="B68" s="17" t="s">
        <v>17</v>
      </c>
      <c r="C68" s="17" t="s">
        <v>19</v>
      </c>
      <c r="D68" s="17" t="s">
        <v>116</v>
      </c>
      <c r="E68" s="17" t="s">
        <v>117</v>
      </c>
      <c r="F68" s="17" t="s">
        <v>63</v>
      </c>
      <c r="G68" s="19">
        <v>46003.0</v>
      </c>
      <c r="H68" s="17" t="s">
        <v>118</v>
      </c>
      <c r="I68" s="20" t="s">
        <v>378</v>
      </c>
      <c r="J68" s="21" t="s">
        <v>379</v>
      </c>
      <c r="K68" s="22" t="s">
        <v>380</v>
      </c>
      <c r="L68" s="22" t="s">
        <v>381</v>
      </c>
      <c r="M68" s="17">
        <v>2012.0</v>
      </c>
      <c r="N68" s="17">
        <v>16.0</v>
      </c>
      <c r="O68" s="23">
        <v>95.0</v>
      </c>
      <c r="P68" s="24">
        <f t="shared" si="1"/>
        <v>266</v>
      </c>
      <c r="Q68" s="25">
        <v>2.0</v>
      </c>
      <c r="R68" s="17">
        <v>0.0</v>
      </c>
      <c r="S68" s="26">
        <v>1.0</v>
      </c>
      <c r="T68" s="17">
        <v>2.0</v>
      </c>
      <c r="U68" s="17">
        <v>2.0</v>
      </c>
      <c r="V68" s="17" t="s">
        <v>75</v>
      </c>
      <c r="W68" s="28" t="s">
        <v>76</v>
      </c>
      <c r="X68" s="28" t="s">
        <v>78</v>
      </c>
      <c r="Y68" s="24">
        <v>10.0</v>
      </c>
      <c r="Z68" s="17">
        <v>150.0</v>
      </c>
      <c r="AA68" s="17">
        <v>576.0</v>
      </c>
      <c r="AB68" s="17">
        <v>31.0</v>
      </c>
      <c r="AC68" s="20">
        <f t="shared" si="2"/>
        <v>35712</v>
      </c>
      <c r="AD68" s="30">
        <f t="shared" si="3"/>
        <v>17.19466667</v>
      </c>
      <c r="AE68" s="30">
        <f t="shared" si="4"/>
        <v>4573.781333</v>
      </c>
      <c r="AF68" s="30">
        <f t="shared" si="5"/>
        <v>1749.099797</v>
      </c>
      <c r="AG68" s="34">
        <v>1.0</v>
      </c>
      <c r="AH68" s="36"/>
      <c r="AI68" s="30">
        <f t="shared" si="6"/>
        <v>3278.688525</v>
      </c>
      <c r="AJ68" s="17">
        <v>4000.0</v>
      </c>
      <c r="AK68" s="30">
        <f t="shared" si="7"/>
        <v>6557.377049</v>
      </c>
      <c r="AL68" s="20">
        <f t="shared" si="8"/>
        <v>8000</v>
      </c>
    </row>
    <row r="69">
      <c r="A69" s="16" t="s">
        <v>377</v>
      </c>
      <c r="B69" s="17" t="s">
        <v>17</v>
      </c>
      <c r="C69" s="17" t="s">
        <v>19</v>
      </c>
      <c r="D69" s="17" t="s">
        <v>116</v>
      </c>
      <c r="E69" s="17" t="s">
        <v>117</v>
      </c>
      <c r="F69" s="17" t="s">
        <v>63</v>
      </c>
      <c r="G69" s="19">
        <v>46003.0</v>
      </c>
      <c r="H69" s="17" t="s">
        <v>118</v>
      </c>
      <c r="I69" s="20" t="s">
        <v>378</v>
      </c>
      <c r="J69" s="21" t="s">
        <v>382</v>
      </c>
      <c r="K69" s="22" t="s">
        <v>383</v>
      </c>
      <c r="L69" s="22" t="s">
        <v>384</v>
      </c>
      <c r="M69" s="17">
        <v>2014.0</v>
      </c>
      <c r="N69" s="17">
        <v>16.0</v>
      </c>
      <c r="O69" s="23">
        <v>356.0</v>
      </c>
      <c r="P69" s="24">
        <f t="shared" si="1"/>
        <v>996.8</v>
      </c>
      <c r="Q69" s="25">
        <v>4.0</v>
      </c>
      <c r="R69" s="17">
        <v>0.0</v>
      </c>
      <c r="S69" s="26">
        <v>5.0</v>
      </c>
      <c r="T69" s="17">
        <v>4.0</v>
      </c>
      <c r="U69" s="17">
        <v>8.0</v>
      </c>
      <c r="V69" s="17" t="s">
        <v>130</v>
      </c>
      <c r="W69" s="28" t="s">
        <v>76</v>
      </c>
      <c r="X69" s="28" t="s">
        <v>78</v>
      </c>
      <c r="Y69" s="24">
        <v>10.0</v>
      </c>
      <c r="Z69" s="17">
        <v>150.0</v>
      </c>
      <c r="AA69" s="17">
        <v>576.0</v>
      </c>
      <c r="AB69" s="17">
        <v>31.0</v>
      </c>
      <c r="AC69" s="20">
        <f t="shared" si="2"/>
        <v>71424</v>
      </c>
      <c r="AD69" s="30">
        <f t="shared" si="3"/>
        <v>8.597333333</v>
      </c>
      <c r="AE69" s="30">
        <f t="shared" si="4"/>
        <v>8569.821867</v>
      </c>
      <c r="AF69" s="30">
        <f t="shared" si="5"/>
        <v>1867.016637</v>
      </c>
      <c r="AG69" s="34">
        <v>1.0</v>
      </c>
      <c r="AH69" s="36"/>
      <c r="AI69" s="30">
        <f t="shared" si="6"/>
        <v>3278.688525</v>
      </c>
      <c r="AJ69" s="17">
        <v>4000.0</v>
      </c>
      <c r="AK69" s="30">
        <f t="shared" si="7"/>
        <v>13114.7541</v>
      </c>
      <c r="AL69" s="20">
        <f t="shared" si="8"/>
        <v>16000</v>
      </c>
    </row>
    <row r="70">
      <c r="A70" s="16" t="s">
        <v>385</v>
      </c>
      <c r="B70" s="17" t="s">
        <v>17</v>
      </c>
      <c r="C70" s="17" t="s">
        <v>19</v>
      </c>
      <c r="D70" s="17" t="s">
        <v>116</v>
      </c>
      <c r="E70" s="17" t="s">
        <v>117</v>
      </c>
      <c r="F70" s="17" t="s">
        <v>63</v>
      </c>
      <c r="G70" s="19">
        <v>46003.0</v>
      </c>
      <c r="H70" s="17" t="s">
        <v>118</v>
      </c>
      <c r="I70" s="20" t="s">
        <v>386</v>
      </c>
      <c r="J70" s="21" t="s">
        <v>387</v>
      </c>
      <c r="K70" s="22" t="s">
        <v>388</v>
      </c>
      <c r="L70" s="22" t="s">
        <v>389</v>
      </c>
      <c r="M70" s="17">
        <v>2015.0</v>
      </c>
      <c r="N70" s="17">
        <v>18.0</v>
      </c>
      <c r="O70" s="23">
        <v>79.0</v>
      </c>
      <c r="P70" s="24">
        <f t="shared" si="1"/>
        <v>221.2</v>
      </c>
      <c r="Q70" s="25">
        <v>2.0</v>
      </c>
      <c r="R70" s="17">
        <v>0.0</v>
      </c>
      <c r="S70" s="26">
        <v>1.0</v>
      </c>
      <c r="T70" s="17">
        <v>2.0</v>
      </c>
      <c r="U70" s="17">
        <v>2.0</v>
      </c>
      <c r="V70" s="17" t="s">
        <v>75</v>
      </c>
      <c r="W70" s="28" t="s">
        <v>76</v>
      </c>
      <c r="X70" s="28" t="s">
        <v>78</v>
      </c>
      <c r="Y70" s="24">
        <v>10.0</v>
      </c>
      <c r="Z70" s="17">
        <v>150.0</v>
      </c>
      <c r="AA70" s="17">
        <v>576.0</v>
      </c>
      <c r="AB70" s="17">
        <v>31.0</v>
      </c>
      <c r="AC70" s="20">
        <f t="shared" si="2"/>
        <v>35712</v>
      </c>
      <c r="AD70" s="30">
        <f t="shared" si="3"/>
        <v>19.344</v>
      </c>
      <c r="AE70" s="30">
        <f t="shared" si="4"/>
        <v>4278.8928</v>
      </c>
      <c r="AF70" s="30">
        <f t="shared" si="5"/>
        <v>1869.642539</v>
      </c>
      <c r="AG70" s="34">
        <v>1.0</v>
      </c>
      <c r="AH70" s="36"/>
      <c r="AI70" s="30">
        <f t="shared" si="6"/>
        <v>3278.688525</v>
      </c>
      <c r="AJ70" s="17">
        <v>4000.0</v>
      </c>
      <c r="AK70" s="30">
        <f t="shared" si="7"/>
        <v>6557.377049</v>
      </c>
      <c r="AL70" s="20">
        <f t="shared" si="8"/>
        <v>8000</v>
      </c>
    </row>
    <row r="71">
      <c r="A71" s="16" t="s">
        <v>390</v>
      </c>
      <c r="B71" s="17" t="s">
        <v>17</v>
      </c>
      <c r="C71" s="17" t="s">
        <v>19</v>
      </c>
      <c r="D71" s="17" t="s">
        <v>116</v>
      </c>
      <c r="E71" s="17" t="s">
        <v>117</v>
      </c>
      <c r="F71" s="17" t="s">
        <v>63</v>
      </c>
      <c r="G71" s="19">
        <v>46003.0</v>
      </c>
      <c r="H71" s="17" t="s">
        <v>118</v>
      </c>
      <c r="I71" s="20" t="s">
        <v>391</v>
      </c>
      <c r="J71" s="21" t="s">
        <v>392</v>
      </c>
      <c r="K71" s="22" t="s">
        <v>393</v>
      </c>
      <c r="L71" s="22" t="s">
        <v>395</v>
      </c>
      <c r="M71" s="17">
        <v>2017.0</v>
      </c>
      <c r="N71" s="17">
        <v>18.0</v>
      </c>
      <c r="O71" s="23">
        <v>193.0</v>
      </c>
      <c r="P71" s="24">
        <f t="shared" si="1"/>
        <v>540.4</v>
      </c>
      <c r="Q71" s="25">
        <v>3.0</v>
      </c>
      <c r="R71" s="17">
        <v>0.0</v>
      </c>
      <c r="S71" s="26">
        <v>3.0</v>
      </c>
      <c r="T71" s="17">
        <v>3.0</v>
      </c>
      <c r="U71" s="17">
        <v>6.0</v>
      </c>
      <c r="V71" s="17" t="s">
        <v>130</v>
      </c>
      <c r="W71" s="28" t="s">
        <v>76</v>
      </c>
      <c r="X71" s="28" t="s">
        <v>78</v>
      </c>
      <c r="Y71" s="24">
        <v>10.0</v>
      </c>
      <c r="Z71" s="17">
        <v>150.0</v>
      </c>
      <c r="AA71" s="17">
        <v>576.0</v>
      </c>
      <c r="AB71" s="17">
        <v>31.0</v>
      </c>
      <c r="AC71" s="20">
        <f t="shared" si="2"/>
        <v>53568</v>
      </c>
      <c r="AD71" s="30">
        <f t="shared" si="3"/>
        <v>9.672</v>
      </c>
      <c r="AE71" s="30">
        <f t="shared" si="4"/>
        <v>5226.7488</v>
      </c>
      <c r="AF71" s="30">
        <f t="shared" si="5"/>
        <v>2295.882289</v>
      </c>
      <c r="AG71" s="34">
        <v>1.0</v>
      </c>
      <c r="AH71" s="36"/>
      <c r="AI71" s="30">
        <f t="shared" si="6"/>
        <v>3278.688525</v>
      </c>
      <c r="AJ71" s="17">
        <v>4000.0</v>
      </c>
      <c r="AK71" s="30">
        <f t="shared" si="7"/>
        <v>9836.065574</v>
      </c>
      <c r="AL71" s="20">
        <f t="shared" si="8"/>
        <v>12000</v>
      </c>
    </row>
    <row r="72">
      <c r="A72" s="16" t="s">
        <v>396</v>
      </c>
      <c r="B72" s="17" t="s">
        <v>17</v>
      </c>
      <c r="C72" s="17" t="s">
        <v>19</v>
      </c>
      <c r="D72" s="17" t="s">
        <v>162</v>
      </c>
      <c r="E72" s="17" t="s">
        <v>110</v>
      </c>
      <c r="F72" s="17" t="s">
        <v>63</v>
      </c>
      <c r="G72" s="19">
        <v>46006.0</v>
      </c>
      <c r="H72" s="17" t="s">
        <v>104</v>
      </c>
      <c r="I72" s="20" t="s">
        <v>397</v>
      </c>
      <c r="J72" s="21" t="s">
        <v>398</v>
      </c>
      <c r="K72" s="22" t="s">
        <v>399</v>
      </c>
      <c r="L72" s="22" t="s">
        <v>400</v>
      </c>
      <c r="M72" s="17">
        <v>2022.0</v>
      </c>
      <c r="N72" s="17">
        <v>25.0</v>
      </c>
      <c r="O72" s="23">
        <v>890.0</v>
      </c>
      <c r="P72" s="24">
        <f t="shared" si="1"/>
        <v>2492</v>
      </c>
      <c r="Q72" s="25">
        <v>8.0</v>
      </c>
      <c r="R72" s="17">
        <v>4.0</v>
      </c>
      <c r="S72" s="26">
        <v>4.0</v>
      </c>
      <c r="T72" s="17">
        <v>4.0</v>
      </c>
      <c r="U72" s="17">
        <v>4.0</v>
      </c>
      <c r="V72" s="17" t="s">
        <v>75</v>
      </c>
      <c r="W72" s="28" t="s">
        <v>76</v>
      </c>
      <c r="X72" s="28" t="s">
        <v>78</v>
      </c>
      <c r="Y72" s="24">
        <v>10.0</v>
      </c>
      <c r="Z72" s="17">
        <v>150.0</v>
      </c>
      <c r="AA72" s="17">
        <v>576.0</v>
      </c>
      <c r="AB72" s="17">
        <v>31.0</v>
      </c>
      <c r="AC72" s="20">
        <f t="shared" si="2"/>
        <v>142848</v>
      </c>
      <c r="AD72" s="30">
        <f t="shared" si="3"/>
        <v>34.92666667</v>
      </c>
      <c r="AE72" s="30">
        <f t="shared" si="4"/>
        <v>87037.25333</v>
      </c>
      <c r="AF72" s="30">
        <f t="shared" si="5"/>
        <v>367.6586608</v>
      </c>
      <c r="AG72" s="34">
        <v>1.0</v>
      </c>
      <c r="AH72" s="36"/>
      <c r="AI72" s="30">
        <f t="shared" si="6"/>
        <v>3278.688525</v>
      </c>
      <c r="AJ72" s="17">
        <v>4000.0</v>
      </c>
      <c r="AK72" s="30">
        <f t="shared" si="7"/>
        <v>26229.5082</v>
      </c>
      <c r="AL72" s="20">
        <f t="shared" si="8"/>
        <v>32000</v>
      </c>
    </row>
    <row r="73">
      <c r="A73" s="16" t="s">
        <v>401</v>
      </c>
      <c r="B73" s="17" t="s">
        <v>17</v>
      </c>
      <c r="C73" s="17" t="s">
        <v>19</v>
      </c>
      <c r="D73" s="17" t="s">
        <v>101</v>
      </c>
      <c r="E73" s="17" t="s">
        <v>163</v>
      </c>
      <c r="F73" s="17" t="s">
        <v>103</v>
      </c>
      <c r="G73" s="19">
        <v>46006.0</v>
      </c>
      <c r="H73" s="17" t="s">
        <v>118</v>
      </c>
      <c r="I73" s="20" t="s">
        <v>402</v>
      </c>
      <c r="J73" s="21" t="s">
        <v>403</v>
      </c>
      <c r="K73" s="22" t="s">
        <v>404</v>
      </c>
      <c r="L73" s="22" t="s">
        <v>405</v>
      </c>
      <c r="M73" s="17">
        <v>2015.0</v>
      </c>
      <c r="N73" s="17">
        <v>25.0</v>
      </c>
      <c r="O73" s="23">
        <v>248.0</v>
      </c>
      <c r="P73" s="24">
        <f t="shared" si="1"/>
        <v>694.4</v>
      </c>
      <c r="Q73" s="25">
        <v>3.0</v>
      </c>
      <c r="R73" s="17">
        <v>1.0</v>
      </c>
      <c r="S73" s="26">
        <v>1.0</v>
      </c>
      <c r="T73" s="17">
        <v>2.0</v>
      </c>
      <c r="U73" s="17">
        <v>4.0</v>
      </c>
      <c r="V73" s="17" t="s">
        <v>75</v>
      </c>
      <c r="W73" s="28" t="s">
        <v>76</v>
      </c>
      <c r="X73" s="28" t="s">
        <v>78</v>
      </c>
      <c r="Y73" s="24">
        <v>10.0</v>
      </c>
      <c r="Z73" s="17">
        <v>150.0</v>
      </c>
      <c r="AA73" s="17">
        <v>576.0</v>
      </c>
      <c r="AB73" s="17">
        <v>31.0</v>
      </c>
      <c r="AC73" s="20">
        <f t="shared" si="2"/>
        <v>53568</v>
      </c>
      <c r="AD73" s="30">
        <f t="shared" si="3"/>
        <v>21.49333333</v>
      </c>
      <c r="AE73" s="30">
        <f t="shared" si="4"/>
        <v>14924.97067</v>
      </c>
      <c r="AF73" s="30">
        <f t="shared" si="5"/>
        <v>804.0216807</v>
      </c>
      <c r="AG73" s="34">
        <v>1.0</v>
      </c>
      <c r="AH73" s="36"/>
      <c r="AI73" s="30">
        <f t="shared" si="6"/>
        <v>3278.688525</v>
      </c>
      <c r="AJ73" s="17">
        <v>4000.0</v>
      </c>
      <c r="AK73" s="30">
        <f t="shared" si="7"/>
        <v>9836.065574</v>
      </c>
      <c r="AL73" s="20">
        <f t="shared" si="8"/>
        <v>12000</v>
      </c>
    </row>
    <row r="74">
      <c r="A74" s="16" t="s">
        <v>401</v>
      </c>
      <c r="B74" s="17" t="s">
        <v>17</v>
      </c>
      <c r="C74" s="17" t="s">
        <v>19</v>
      </c>
      <c r="D74" s="17" t="s">
        <v>101</v>
      </c>
      <c r="E74" s="17" t="s">
        <v>163</v>
      </c>
      <c r="F74" s="17" t="s">
        <v>103</v>
      </c>
      <c r="G74" s="19">
        <v>46006.0</v>
      </c>
      <c r="H74" s="17" t="s">
        <v>118</v>
      </c>
      <c r="I74" s="20" t="s">
        <v>402</v>
      </c>
      <c r="J74" s="21" t="s">
        <v>406</v>
      </c>
      <c r="K74" s="22" t="s">
        <v>407</v>
      </c>
      <c r="L74" s="22" t="s">
        <v>408</v>
      </c>
      <c r="M74" s="17">
        <v>2015.0</v>
      </c>
      <c r="N74" s="17">
        <v>25.0</v>
      </c>
      <c r="O74" s="23">
        <v>254.0</v>
      </c>
      <c r="P74" s="24">
        <f t="shared" si="1"/>
        <v>711.2</v>
      </c>
      <c r="Q74" s="25">
        <v>3.0</v>
      </c>
      <c r="R74" s="17">
        <v>1.0</v>
      </c>
      <c r="S74" s="26">
        <v>1.0</v>
      </c>
      <c r="T74" s="17">
        <v>2.0</v>
      </c>
      <c r="U74" s="17">
        <v>4.0</v>
      </c>
      <c r="V74" s="17" t="s">
        <v>75</v>
      </c>
      <c r="W74" s="28" t="s">
        <v>76</v>
      </c>
      <c r="X74" s="28" t="s">
        <v>78</v>
      </c>
      <c r="Y74" s="24">
        <v>10.0</v>
      </c>
      <c r="Z74" s="17">
        <v>150.0</v>
      </c>
      <c r="AA74" s="17">
        <v>576.0</v>
      </c>
      <c r="AB74" s="17">
        <v>31.0</v>
      </c>
      <c r="AC74" s="20">
        <f t="shared" si="2"/>
        <v>53568</v>
      </c>
      <c r="AD74" s="30">
        <f t="shared" si="3"/>
        <v>21.49333333</v>
      </c>
      <c r="AE74" s="30">
        <f t="shared" si="4"/>
        <v>15286.05867</v>
      </c>
      <c r="AF74" s="30">
        <f t="shared" si="5"/>
        <v>785.0290426</v>
      </c>
      <c r="AG74" s="34">
        <v>1.0</v>
      </c>
      <c r="AH74" s="36"/>
      <c r="AI74" s="30">
        <f t="shared" si="6"/>
        <v>3278.688525</v>
      </c>
      <c r="AJ74" s="17">
        <v>4000.0</v>
      </c>
      <c r="AK74" s="30">
        <f t="shared" si="7"/>
        <v>9836.065574</v>
      </c>
      <c r="AL74" s="20">
        <f t="shared" si="8"/>
        <v>12000</v>
      </c>
    </row>
    <row r="75">
      <c r="A75" s="16" t="s">
        <v>409</v>
      </c>
      <c r="B75" s="17" t="s">
        <v>17</v>
      </c>
      <c r="C75" s="17" t="s">
        <v>19</v>
      </c>
      <c r="D75" s="17" t="s">
        <v>123</v>
      </c>
      <c r="E75" s="17" t="s">
        <v>62</v>
      </c>
      <c r="F75" s="17" t="s">
        <v>63</v>
      </c>
      <c r="G75" s="19">
        <v>46013.0</v>
      </c>
      <c r="H75" s="17" t="s">
        <v>104</v>
      </c>
      <c r="I75" s="20" t="s">
        <v>410</v>
      </c>
      <c r="J75" s="21" t="s">
        <v>411</v>
      </c>
      <c r="K75" s="22" t="s">
        <v>412</v>
      </c>
      <c r="L75" s="22" t="s">
        <v>413</v>
      </c>
      <c r="M75" s="17">
        <v>2023.0</v>
      </c>
      <c r="N75" s="17">
        <v>26.0</v>
      </c>
      <c r="O75" s="23">
        <v>407.0</v>
      </c>
      <c r="P75" s="24">
        <f t="shared" si="1"/>
        <v>1139.6</v>
      </c>
      <c r="Q75" s="25">
        <v>3.0</v>
      </c>
      <c r="R75" s="17">
        <v>0.0</v>
      </c>
      <c r="S75" s="26">
        <v>1.0</v>
      </c>
      <c r="T75" s="17">
        <v>3.0</v>
      </c>
      <c r="U75" s="17">
        <v>3.0</v>
      </c>
      <c r="V75" s="17" t="s">
        <v>75</v>
      </c>
      <c r="W75" s="28" t="s">
        <v>76</v>
      </c>
      <c r="X75" s="28" t="s">
        <v>78</v>
      </c>
      <c r="Y75" s="24">
        <v>10.0</v>
      </c>
      <c r="Z75" s="17">
        <v>150.0</v>
      </c>
      <c r="AA75" s="17">
        <v>576.0</v>
      </c>
      <c r="AB75" s="17">
        <v>31.0</v>
      </c>
      <c r="AC75" s="20">
        <f t="shared" si="2"/>
        <v>53568</v>
      </c>
      <c r="AD75" s="30">
        <f t="shared" si="3"/>
        <v>27.94133333</v>
      </c>
      <c r="AE75" s="30">
        <f t="shared" si="4"/>
        <v>31841.94347</v>
      </c>
      <c r="AF75" s="30">
        <f t="shared" si="5"/>
        <v>376.861419</v>
      </c>
      <c r="AG75" s="34">
        <v>1.0</v>
      </c>
      <c r="AH75" s="36"/>
      <c r="AI75" s="30">
        <f t="shared" si="6"/>
        <v>3278.688525</v>
      </c>
      <c r="AJ75" s="17">
        <v>4000.0</v>
      </c>
      <c r="AK75" s="30">
        <f t="shared" si="7"/>
        <v>9836.065574</v>
      </c>
      <c r="AL75" s="20">
        <f t="shared" si="8"/>
        <v>12000</v>
      </c>
    </row>
    <row r="76">
      <c r="A76" s="16" t="s">
        <v>409</v>
      </c>
      <c r="B76" s="17" t="s">
        <v>17</v>
      </c>
      <c r="C76" s="17" t="s">
        <v>19</v>
      </c>
      <c r="D76" s="17" t="s">
        <v>123</v>
      </c>
      <c r="E76" s="17" t="s">
        <v>62</v>
      </c>
      <c r="F76" s="17" t="s">
        <v>63</v>
      </c>
      <c r="G76" s="19">
        <v>46013.0</v>
      </c>
      <c r="H76" s="17" t="s">
        <v>104</v>
      </c>
      <c r="I76" s="20" t="s">
        <v>410</v>
      </c>
      <c r="J76" s="21" t="s">
        <v>414</v>
      </c>
      <c r="K76" s="22" t="s">
        <v>415</v>
      </c>
      <c r="L76" s="22" t="s">
        <v>416</v>
      </c>
      <c r="M76" s="17">
        <v>2024.0</v>
      </c>
      <c r="N76" s="17">
        <v>10.0</v>
      </c>
      <c r="O76" s="23">
        <v>81.0</v>
      </c>
      <c r="P76" s="24">
        <f t="shared" si="1"/>
        <v>226.8</v>
      </c>
      <c r="Q76" s="25">
        <v>2.0</v>
      </c>
      <c r="R76" s="17">
        <v>1.0</v>
      </c>
      <c r="S76" s="26">
        <v>1.0</v>
      </c>
      <c r="T76" s="17">
        <v>1.0</v>
      </c>
      <c r="U76" s="17">
        <v>2.0</v>
      </c>
      <c r="V76" s="17" t="s">
        <v>75</v>
      </c>
      <c r="W76" s="28" t="s">
        <v>76</v>
      </c>
      <c r="X76" s="28" t="s">
        <v>78</v>
      </c>
      <c r="Y76" s="24">
        <v>10.0</v>
      </c>
      <c r="Z76" s="17">
        <v>150.0</v>
      </c>
      <c r="AA76" s="17">
        <v>576.0</v>
      </c>
      <c r="AB76" s="17">
        <v>31.0</v>
      </c>
      <c r="AC76" s="20">
        <f t="shared" si="2"/>
        <v>35712</v>
      </c>
      <c r="AD76" s="30">
        <f t="shared" si="3"/>
        <v>13.43333333</v>
      </c>
      <c r="AE76" s="30">
        <f t="shared" si="4"/>
        <v>3046.68</v>
      </c>
      <c r="AF76" s="30">
        <f t="shared" si="5"/>
        <v>2625.809077</v>
      </c>
      <c r="AG76" s="34">
        <v>1.0</v>
      </c>
      <c r="AH76" s="36"/>
      <c r="AI76" s="30">
        <f t="shared" si="6"/>
        <v>3278.688525</v>
      </c>
      <c r="AJ76" s="17">
        <v>4000.0</v>
      </c>
      <c r="AK76" s="30">
        <f t="shared" si="7"/>
        <v>6557.377049</v>
      </c>
      <c r="AL76" s="20">
        <f t="shared" si="8"/>
        <v>8000</v>
      </c>
    </row>
    <row r="77">
      <c r="A77" s="16" t="s">
        <v>409</v>
      </c>
      <c r="B77" s="17" t="s">
        <v>17</v>
      </c>
      <c r="C77" s="17" t="s">
        <v>19</v>
      </c>
      <c r="D77" s="17" t="s">
        <v>123</v>
      </c>
      <c r="E77" s="17" t="s">
        <v>62</v>
      </c>
      <c r="F77" s="17" t="s">
        <v>63</v>
      </c>
      <c r="G77" s="19">
        <v>46013.0</v>
      </c>
      <c r="H77" s="17" t="s">
        <v>104</v>
      </c>
      <c r="I77" s="20" t="s">
        <v>410</v>
      </c>
      <c r="J77" s="21" t="s">
        <v>417</v>
      </c>
      <c r="K77" s="22" t="s">
        <v>418</v>
      </c>
      <c r="L77" s="22" t="s">
        <v>419</v>
      </c>
      <c r="M77" s="17">
        <v>2023.0</v>
      </c>
      <c r="N77" s="17">
        <v>16.0</v>
      </c>
      <c r="O77" s="23">
        <v>338.0</v>
      </c>
      <c r="P77" s="24">
        <f t="shared" si="1"/>
        <v>946.4</v>
      </c>
      <c r="Q77" s="25">
        <v>4.0</v>
      </c>
      <c r="R77" s="17">
        <v>0.0</v>
      </c>
      <c r="S77" s="26">
        <v>2.0</v>
      </c>
      <c r="T77" s="17">
        <v>4.0</v>
      </c>
      <c r="U77" s="17">
        <v>4.0</v>
      </c>
      <c r="V77" s="17" t="s">
        <v>75</v>
      </c>
      <c r="W77" s="28" t="s">
        <v>76</v>
      </c>
      <c r="X77" s="28" t="s">
        <v>78</v>
      </c>
      <c r="Y77" s="24">
        <v>10.0</v>
      </c>
      <c r="Z77" s="17">
        <v>150.0</v>
      </c>
      <c r="AA77" s="17">
        <v>576.0</v>
      </c>
      <c r="AB77" s="17">
        <v>31.0</v>
      </c>
      <c r="AC77" s="20">
        <f t="shared" si="2"/>
        <v>71424</v>
      </c>
      <c r="AD77" s="30">
        <f t="shared" si="3"/>
        <v>17.19466667</v>
      </c>
      <c r="AE77" s="30">
        <f t="shared" si="4"/>
        <v>16273.03253</v>
      </c>
      <c r="AF77" s="30">
        <f t="shared" si="5"/>
        <v>983.2217792</v>
      </c>
      <c r="AG77" s="34">
        <v>1.0</v>
      </c>
      <c r="AH77" s="36"/>
      <c r="AI77" s="30">
        <f t="shared" si="6"/>
        <v>3278.688525</v>
      </c>
      <c r="AJ77" s="17">
        <v>4000.0</v>
      </c>
      <c r="AK77" s="30">
        <f t="shared" si="7"/>
        <v>13114.7541</v>
      </c>
      <c r="AL77" s="20">
        <f t="shared" si="8"/>
        <v>16000</v>
      </c>
    </row>
    <row r="78">
      <c r="A78" s="16" t="s">
        <v>420</v>
      </c>
      <c r="B78" s="17" t="s">
        <v>17</v>
      </c>
      <c r="C78" s="17" t="s">
        <v>19</v>
      </c>
      <c r="D78" s="17" t="s">
        <v>162</v>
      </c>
      <c r="E78" s="17" t="s">
        <v>110</v>
      </c>
      <c r="F78" s="17" t="s">
        <v>103</v>
      </c>
      <c r="G78" s="19">
        <v>46015.0</v>
      </c>
      <c r="H78" s="17" t="s">
        <v>104</v>
      </c>
      <c r="I78" s="20" t="s">
        <v>421</v>
      </c>
      <c r="J78" s="21" t="s">
        <v>422</v>
      </c>
      <c r="K78" s="22" t="s">
        <v>423</v>
      </c>
      <c r="L78" s="22" t="s">
        <v>424</v>
      </c>
      <c r="M78" s="17">
        <v>2012.0</v>
      </c>
      <c r="N78" s="17">
        <v>20.0</v>
      </c>
      <c r="O78" s="23">
        <v>126.0</v>
      </c>
      <c r="P78" s="24">
        <f t="shared" si="1"/>
        <v>352.8</v>
      </c>
      <c r="Q78" s="25">
        <v>1.0</v>
      </c>
      <c r="R78" s="17">
        <v>1.0</v>
      </c>
      <c r="S78" s="26">
        <v>1.0</v>
      </c>
      <c r="T78" s="17">
        <v>0.0</v>
      </c>
      <c r="U78" s="17">
        <v>2.0</v>
      </c>
      <c r="V78" s="17" t="s">
        <v>75</v>
      </c>
      <c r="W78" s="28" t="s">
        <v>76</v>
      </c>
      <c r="X78" s="28" t="s">
        <v>78</v>
      </c>
      <c r="Y78" s="24">
        <v>10.0</v>
      </c>
      <c r="Z78" s="17">
        <v>150.0</v>
      </c>
      <c r="AA78" s="17">
        <v>576.0</v>
      </c>
      <c r="AB78" s="17">
        <v>31.0</v>
      </c>
      <c r="AC78" s="20">
        <f t="shared" si="2"/>
        <v>17856</v>
      </c>
      <c r="AD78" s="30">
        <f t="shared" si="3"/>
        <v>8.06</v>
      </c>
      <c r="AE78" s="30">
        <f t="shared" si="4"/>
        <v>2843.568</v>
      </c>
      <c r="AF78" s="30">
        <f t="shared" si="5"/>
        <v>1406.683434</v>
      </c>
      <c r="AG78" s="34">
        <v>1.0</v>
      </c>
      <c r="AH78" s="36"/>
      <c r="AI78" s="30">
        <f t="shared" si="6"/>
        <v>3278.688525</v>
      </c>
      <c r="AJ78" s="17">
        <v>4000.0</v>
      </c>
      <c r="AK78" s="30">
        <f t="shared" si="7"/>
        <v>3278.688525</v>
      </c>
      <c r="AL78" s="20">
        <f t="shared" si="8"/>
        <v>4000</v>
      </c>
    </row>
    <row r="79">
      <c r="A79" s="16" t="s">
        <v>420</v>
      </c>
      <c r="B79" s="17" t="s">
        <v>17</v>
      </c>
      <c r="C79" s="17" t="s">
        <v>19</v>
      </c>
      <c r="D79" s="17" t="s">
        <v>162</v>
      </c>
      <c r="E79" s="17" t="s">
        <v>110</v>
      </c>
      <c r="F79" s="17" t="s">
        <v>103</v>
      </c>
      <c r="G79" s="19">
        <v>46015.0</v>
      </c>
      <c r="H79" s="17" t="s">
        <v>104</v>
      </c>
      <c r="I79" s="20" t="s">
        <v>421</v>
      </c>
      <c r="J79" s="21" t="s">
        <v>425</v>
      </c>
      <c r="K79" s="22" t="s">
        <v>426</v>
      </c>
      <c r="L79" s="22" t="s">
        <v>427</v>
      </c>
      <c r="M79" s="17">
        <v>2011.0</v>
      </c>
      <c r="N79" s="17">
        <v>20.0</v>
      </c>
      <c r="O79" s="23">
        <v>132.0</v>
      </c>
      <c r="P79" s="24">
        <f t="shared" si="1"/>
        <v>369.6</v>
      </c>
      <c r="Q79" s="25">
        <v>3.0</v>
      </c>
      <c r="R79" s="17">
        <v>1.0</v>
      </c>
      <c r="S79" s="26">
        <v>1.0</v>
      </c>
      <c r="T79" s="17">
        <v>2.0</v>
      </c>
      <c r="U79" s="17">
        <v>2.0</v>
      </c>
      <c r="V79" s="17" t="s">
        <v>75</v>
      </c>
      <c r="W79" s="28" t="s">
        <v>76</v>
      </c>
      <c r="X79" s="28" t="s">
        <v>78</v>
      </c>
      <c r="Y79" s="24">
        <v>10.0</v>
      </c>
      <c r="Z79" s="17">
        <v>150.0</v>
      </c>
      <c r="AA79" s="17">
        <v>576.0</v>
      </c>
      <c r="AB79" s="17">
        <v>31.0</v>
      </c>
      <c r="AC79" s="20">
        <f t="shared" si="2"/>
        <v>53568</v>
      </c>
      <c r="AD79" s="30">
        <f t="shared" si="3"/>
        <v>29.55333333</v>
      </c>
      <c r="AE79" s="30">
        <f t="shared" si="4"/>
        <v>10922.912</v>
      </c>
      <c r="AF79" s="30">
        <f t="shared" si="5"/>
        <v>1098.608137</v>
      </c>
      <c r="AG79" s="34">
        <v>1.0</v>
      </c>
      <c r="AH79" s="36"/>
      <c r="AI79" s="30">
        <f t="shared" si="6"/>
        <v>3278.688525</v>
      </c>
      <c r="AJ79" s="17">
        <v>4000.0</v>
      </c>
      <c r="AK79" s="30">
        <f t="shared" si="7"/>
        <v>9836.065574</v>
      </c>
      <c r="AL79" s="20">
        <f t="shared" si="8"/>
        <v>12000</v>
      </c>
    </row>
    <row r="80">
      <c r="A80" s="16" t="s">
        <v>420</v>
      </c>
      <c r="B80" s="17" t="s">
        <v>17</v>
      </c>
      <c r="C80" s="17" t="s">
        <v>19</v>
      </c>
      <c r="D80" s="17" t="s">
        <v>162</v>
      </c>
      <c r="E80" s="17" t="s">
        <v>110</v>
      </c>
      <c r="F80" s="17" t="s">
        <v>103</v>
      </c>
      <c r="G80" s="19">
        <v>46015.0</v>
      </c>
      <c r="H80" s="17" t="s">
        <v>104</v>
      </c>
      <c r="I80" s="20" t="s">
        <v>421</v>
      </c>
      <c r="J80" s="21" t="s">
        <v>428</v>
      </c>
      <c r="K80" s="22" t="s">
        <v>429</v>
      </c>
      <c r="L80" s="22" t="s">
        <v>430</v>
      </c>
      <c r="M80" s="17">
        <v>2004.0</v>
      </c>
      <c r="N80" s="17">
        <v>10.0</v>
      </c>
      <c r="O80" s="23">
        <v>122.0</v>
      </c>
      <c r="P80" s="24">
        <f t="shared" si="1"/>
        <v>341.6</v>
      </c>
      <c r="Q80" s="25">
        <v>2.0</v>
      </c>
      <c r="R80" s="17">
        <v>0.0</v>
      </c>
      <c r="S80" s="26">
        <v>2.0</v>
      </c>
      <c r="T80" s="17">
        <v>2.0</v>
      </c>
      <c r="U80" s="17">
        <v>2.0</v>
      </c>
      <c r="V80" s="17" t="s">
        <v>130</v>
      </c>
      <c r="W80" s="28" t="s">
        <v>76</v>
      </c>
      <c r="X80" s="28" t="s">
        <v>78</v>
      </c>
      <c r="Y80" s="24">
        <v>10.0</v>
      </c>
      <c r="Z80" s="17">
        <v>150.0</v>
      </c>
      <c r="AA80" s="17">
        <v>576.0</v>
      </c>
      <c r="AB80" s="17">
        <v>31.0</v>
      </c>
      <c r="AC80" s="20">
        <f t="shared" si="2"/>
        <v>35712</v>
      </c>
      <c r="AD80" s="30">
        <f t="shared" si="3"/>
        <v>10.74666667</v>
      </c>
      <c r="AE80" s="30">
        <f t="shared" si="4"/>
        <v>3671.061333</v>
      </c>
      <c r="AF80" s="30">
        <f t="shared" si="5"/>
        <v>2179.206304</v>
      </c>
      <c r="AG80" s="34">
        <v>1.0</v>
      </c>
      <c r="AH80" s="36"/>
      <c r="AI80" s="30">
        <f t="shared" si="6"/>
        <v>3278.688525</v>
      </c>
      <c r="AJ80" s="17">
        <v>4000.0</v>
      </c>
      <c r="AK80" s="30">
        <f t="shared" si="7"/>
        <v>6557.377049</v>
      </c>
      <c r="AL80" s="20">
        <f t="shared" si="8"/>
        <v>8000</v>
      </c>
    </row>
    <row r="81">
      <c r="A81" s="16" t="s">
        <v>431</v>
      </c>
      <c r="B81" s="17" t="s">
        <v>17</v>
      </c>
      <c r="C81" s="17" t="s">
        <v>19</v>
      </c>
      <c r="D81" s="17" t="s">
        <v>101</v>
      </c>
      <c r="E81" s="17" t="s">
        <v>361</v>
      </c>
      <c r="F81" s="17" t="s">
        <v>103</v>
      </c>
      <c r="G81" s="19">
        <v>46106.0</v>
      </c>
      <c r="H81" s="17" t="s">
        <v>104</v>
      </c>
      <c r="I81" s="20" t="s">
        <v>432</v>
      </c>
      <c r="J81" s="21" t="s">
        <v>433</v>
      </c>
      <c r="K81" s="22" t="s">
        <v>434</v>
      </c>
      <c r="L81" s="22" t="s">
        <v>435</v>
      </c>
      <c r="M81" s="17">
        <v>2024.0</v>
      </c>
      <c r="N81" s="17">
        <v>7.0</v>
      </c>
      <c r="O81" s="23">
        <v>407.0</v>
      </c>
      <c r="P81" s="24">
        <f t="shared" si="1"/>
        <v>1139.6</v>
      </c>
      <c r="Q81" s="25">
        <v>8.0</v>
      </c>
      <c r="R81" s="17">
        <v>0.0</v>
      </c>
      <c r="S81" s="26">
        <v>8.0</v>
      </c>
      <c r="T81" s="17">
        <v>8.0</v>
      </c>
      <c r="U81" s="17">
        <v>8.0</v>
      </c>
      <c r="V81" s="17" t="s">
        <v>75</v>
      </c>
      <c r="W81" s="28" t="s">
        <v>76</v>
      </c>
      <c r="X81" s="28" t="s">
        <v>78</v>
      </c>
      <c r="Y81" s="24">
        <v>10.0</v>
      </c>
      <c r="Z81" s="17">
        <v>150.0</v>
      </c>
      <c r="AA81" s="17">
        <v>576.0</v>
      </c>
      <c r="AB81" s="17">
        <v>31.0</v>
      </c>
      <c r="AC81" s="20">
        <f t="shared" si="2"/>
        <v>142848</v>
      </c>
      <c r="AD81" s="30">
        <f t="shared" si="3"/>
        <v>7.522666667</v>
      </c>
      <c r="AE81" s="30">
        <f t="shared" si="4"/>
        <v>8572.830933</v>
      </c>
      <c r="AF81" s="30">
        <f t="shared" si="5"/>
        <v>3732.722627</v>
      </c>
      <c r="AG81" s="34">
        <v>1.0</v>
      </c>
      <c r="AH81" s="36"/>
      <c r="AI81" s="30">
        <f t="shared" si="6"/>
        <v>3278.688525</v>
      </c>
      <c r="AJ81" s="17">
        <v>4000.0</v>
      </c>
      <c r="AK81" s="30">
        <f t="shared" si="7"/>
        <v>26229.5082</v>
      </c>
      <c r="AL81" s="20">
        <f t="shared" si="8"/>
        <v>32000</v>
      </c>
    </row>
    <row r="82">
      <c r="A82" s="16" t="s">
        <v>436</v>
      </c>
      <c r="B82" s="17" t="s">
        <v>17</v>
      </c>
      <c r="C82" s="17" t="s">
        <v>19</v>
      </c>
      <c r="D82" s="17" t="s">
        <v>101</v>
      </c>
      <c r="E82" s="17" t="s">
        <v>361</v>
      </c>
      <c r="F82" s="17" t="s">
        <v>103</v>
      </c>
      <c r="G82" s="19">
        <v>46107.0</v>
      </c>
      <c r="H82" s="17" t="s">
        <v>104</v>
      </c>
      <c r="I82" s="20" t="s">
        <v>437</v>
      </c>
      <c r="J82" s="21" t="s">
        <v>438</v>
      </c>
      <c r="K82" s="22" t="s">
        <v>439</v>
      </c>
      <c r="L82" s="22" t="s">
        <v>440</v>
      </c>
      <c r="M82" s="17">
        <v>2025.0</v>
      </c>
      <c r="N82" s="17">
        <v>7.0</v>
      </c>
      <c r="O82" s="23">
        <v>476.0</v>
      </c>
      <c r="P82" s="24">
        <f t="shared" si="1"/>
        <v>1332.8</v>
      </c>
      <c r="Q82" s="25">
        <v>8.0</v>
      </c>
      <c r="R82" s="17">
        <v>0.0</v>
      </c>
      <c r="S82" s="26">
        <v>8.0</v>
      </c>
      <c r="T82" s="17">
        <v>8.0</v>
      </c>
      <c r="U82" s="17">
        <v>8.0</v>
      </c>
      <c r="V82" s="17" t="s">
        <v>75</v>
      </c>
      <c r="W82" s="28" t="s">
        <v>76</v>
      </c>
      <c r="X82" s="28" t="s">
        <v>78</v>
      </c>
      <c r="Y82" s="24">
        <v>10.0</v>
      </c>
      <c r="Z82" s="17">
        <v>150.0</v>
      </c>
      <c r="AA82" s="17">
        <v>576.0</v>
      </c>
      <c r="AB82" s="17">
        <v>31.0</v>
      </c>
      <c r="AC82" s="20">
        <f t="shared" si="2"/>
        <v>142848</v>
      </c>
      <c r="AD82" s="30">
        <f t="shared" si="3"/>
        <v>7.522666667</v>
      </c>
      <c r="AE82" s="30">
        <f t="shared" si="4"/>
        <v>10026.21013</v>
      </c>
      <c r="AF82" s="30">
        <f t="shared" si="5"/>
        <v>3191.634683</v>
      </c>
      <c r="AG82" s="34">
        <v>1.0</v>
      </c>
      <c r="AH82" s="36"/>
      <c r="AI82" s="30">
        <f t="shared" si="6"/>
        <v>3278.688525</v>
      </c>
      <c r="AJ82" s="17">
        <v>4000.0</v>
      </c>
      <c r="AK82" s="30">
        <f t="shared" si="7"/>
        <v>26229.5082</v>
      </c>
      <c r="AL82" s="20">
        <f t="shared" si="8"/>
        <v>32000</v>
      </c>
    </row>
    <row r="83">
      <c r="A83" s="16" t="s">
        <v>441</v>
      </c>
      <c r="B83" s="17" t="s">
        <v>17</v>
      </c>
      <c r="C83" s="17" t="s">
        <v>19</v>
      </c>
      <c r="D83" s="17" t="s">
        <v>101</v>
      </c>
      <c r="E83" s="17" t="s">
        <v>361</v>
      </c>
      <c r="F83" s="17" t="s">
        <v>103</v>
      </c>
      <c r="G83" s="19">
        <v>46020.0</v>
      </c>
      <c r="H83" s="17" t="s">
        <v>104</v>
      </c>
      <c r="I83" s="20" t="s">
        <v>442</v>
      </c>
      <c r="J83" s="21" t="s">
        <v>443</v>
      </c>
      <c r="K83" s="22" t="s">
        <v>444</v>
      </c>
      <c r="L83" s="22" t="s">
        <v>445</v>
      </c>
      <c r="M83" s="17">
        <v>2021.0</v>
      </c>
      <c r="N83" s="17">
        <v>7.0</v>
      </c>
      <c r="O83" s="23">
        <v>395.0</v>
      </c>
      <c r="P83" s="24">
        <f t="shared" si="1"/>
        <v>1106</v>
      </c>
      <c r="Q83" s="25">
        <v>6.0</v>
      </c>
      <c r="R83" s="17">
        <v>0.0</v>
      </c>
      <c r="S83" s="26">
        <v>6.0</v>
      </c>
      <c r="T83" s="17">
        <v>6.0</v>
      </c>
      <c r="U83" s="17">
        <v>6.0</v>
      </c>
      <c r="V83" s="17" t="s">
        <v>75</v>
      </c>
      <c r="W83" s="28" t="s">
        <v>76</v>
      </c>
      <c r="X83" s="28" t="s">
        <v>78</v>
      </c>
      <c r="Y83" s="24">
        <v>10.0</v>
      </c>
      <c r="Z83" s="17">
        <v>150.0</v>
      </c>
      <c r="AA83" s="17">
        <v>576.0</v>
      </c>
      <c r="AB83" s="17">
        <v>31.0</v>
      </c>
      <c r="AC83" s="20">
        <f t="shared" si="2"/>
        <v>107136</v>
      </c>
      <c r="AD83" s="30">
        <f t="shared" si="3"/>
        <v>7.522666667</v>
      </c>
      <c r="AE83" s="30">
        <f t="shared" si="4"/>
        <v>8320.069333</v>
      </c>
      <c r="AF83" s="30">
        <f t="shared" si="5"/>
        <v>2884.591346</v>
      </c>
      <c r="AG83" s="34">
        <v>1.0</v>
      </c>
      <c r="AH83" s="36"/>
      <c r="AI83" s="30">
        <f t="shared" si="6"/>
        <v>3278.688525</v>
      </c>
      <c r="AJ83" s="17">
        <v>4000.0</v>
      </c>
      <c r="AK83" s="30">
        <f t="shared" si="7"/>
        <v>19672.13115</v>
      </c>
      <c r="AL83" s="20">
        <f t="shared" si="8"/>
        <v>24000</v>
      </c>
    </row>
    <row r="84">
      <c r="A84" s="16" t="s">
        <v>446</v>
      </c>
      <c r="B84" s="17" t="s">
        <v>17</v>
      </c>
      <c r="C84" s="17" t="s">
        <v>19</v>
      </c>
      <c r="D84" s="17" t="s">
        <v>247</v>
      </c>
      <c r="E84" s="17" t="s">
        <v>62</v>
      </c>
      <c r="F84" s="17" t="s">
        <v>103</v>
      </c>
      <c r="G84" s="19">
        <v>46021.0</v>
      </c>
      <c r="H84" s="17" t="s">
        <v>65</v>
      </c>
      <c r="I84" s="20" t="s">
        <v>447</v>
      </c>
      <c r="J84" s="21" t="s">
        <v>448</v>
      </c>
      <c r="K84" s="22" t="s">
        <v>449</v>
      </c>
      <c r="L84" s="22" t="s">
        <v>450</v>
      </c>
      <c r="M84" s="17">
        <v>2010.0</v>
      </c>
      <c r="N84" s="17">
        <v>23.0</v>
      </c>
      <c r="O84" s="23">
        <v>160.0</v>
      </c>
      <c r="P84" s="24">
        <f t="shared" si="1"/>
        <v>448</v>
      </c>
      <c r="Q84" s="25">
        <v>3.0</v>
      </c>
      <c r="R84" s="17">
        <v>0.0</v>
      </c>
      <c r="S84" s="26">
        <v>1.0</v>
      </c>
      <c r="T84" s="17">
        <v>3.0</v>
      </c>
      <c r="U84" s="17">
        <v>3.0</v>
      </c>
      <c r="V84" s="17" t="s">
        <v>75</v>
      </c>
      <c r="W84" s="28" t="s">
        <v>76</v>
      </c>
      <c r="X84" s="28" t="s">
        <v>78</v>
      </c>
      <c r="Y84" s="24">
        <v>10.0</v>
      </c>
      <c r="Z84" s="17">
        <v>150.0</v>
      </c>
      <c r="AA84" s="17">
        <v>576.0</v>
      </c>
      <c r="AB84" s="17">
        <v>31.0</v>
      </c>
      <c r="AC84" s="20">
        <f t="shared" si="2"/>
        <v>53568</v>
      </c>
      <c r="AD84" s="30">
        <f t="shared" si="3"/>
        <v>24.71733333</v>
      </c>
      <c r="AE84" s="30">
        <f t="shared" si="4"/>
        <v>11073.36533</v>
      </c>
      <c r="AF84" s="30">
        <f t="shared" si="5"/>
        <v>1083.681396</v>
      </c>
      <c r="AG84" s="34">
        <v>1.0</v>
      </c>
      <c r="AH84" s="36"/>
      <c r="AI84" s="30">
        <f t="shared" si="6"/>
        <v>3278.688525</v>
      </c>
      <c r="AJ84" s="17">
        <v>4000.0</v>
      </c>
      <c r="AK84" s="30">
        <f t="shared" si="7"/>
        <v>9836.065574</v>
      </c>
      <c r="AL84" s="20">
        <f t="shared" si="8"/>
        <v>12000</v>
      </c>
    </row>
    <row r="85">
      <c r="A85" s="16" t="s">
        <v>451</v>
      </c>
      <c r="B85" s="17" t="s">
        <v>17</v>
      </c>
      <c r="C85" s="17" t="s">
        <v>19</v>
      </c>
      <c r="D85" s="17" t="s">
        <v>452</v>
      </c>
      <c r="E85" s="17" t="s">
        <v>117</v>
      </c>
      <c r="F85" s="17" t="s">
        <v>103</v>
      </c>
      <c r="G85" s="19">
        <v>46021.0</v>
      </c>
      <c r="H85" s="17" t="s">
        <v>104</v>
      </c>
      <c r="I85" s="20" t="s">
        <v>453</v>
      </c>
      <c r="J85" s="21" t="s">
        <v>454</v>
      </c>
      <c r="K85" s="22" t="s">
        <v>455</v>
      </c>
      <c r="L85" s="22" t="s">
        <v>456</v>
      </c>
      <c r="M85" s="17">
        <v>2007.0</v>
      </c>
      <c r="N85" s="17">
        <v>15.0</v>
      </c>
      <c r="O85" s="23">
        <v>114.0</v>
      </c>
      <c r="P85" s="24">
        <f t="shared" si="1"/>
        <v>319.2</v>
      </c>
      <c r="Q85" s="25">
        <v>2.0</v>
      </c>
      <c r="R85" s="17">
        <v>1.0</v>
      </c>
      <c r="S85" s="26">
        <v>1.0</v>
      </c>
      <c r="T85" s="17">
        <v>1.0</v>
      </c>
      <c r="U85" s="17">
        <v>2.0</v>
      </c>
      <c r="V85" s="17" t="s">
        <v>75</v>
      </c>
      <c r="W85" s="28" t="s">
        <v>76</v>
      </c>
      <c r="X85" s="28" t="s">
        <v>78</v>
      </c>
      <c r="Y85" s="24">
        <v>10.0</v>
      </c>
      <c r="Z85" s="17">
        <v>150.0</v>
      </c>
      <c r="AA85" s="17">
        <v>576.0</v>
      </c>
      <c r="AB85" s="17">
        <v>31.0</v>
      </c>
      <c r="AC85" s="20">
        <f t="shared" si="2"/>
        <v>35712</v>
      </c>
      <c r="AD85" s="30">
        <f t="shared" si="3"/>
        <v>16.12</v>
      </c>
      <c r="AE85" s="30">
        <f t="shared" si="4"/>
        <v>5145.504</v>
      </c>
      <c r="AF85" s="30">
        <f t="shared" si="5"/>
        <v>1554.755375</v>
      </c>
      <c r="AG85" s="34">
        <v>1.0</v>
      </c>
      <c r="AH85" s="36"/>
      <c r="AI85" s="30">
        <f t="shared" si="6"/>
        <v>3278.688525</v>
      </c>
      <c r="AJ85" s="17">
        <v>4000.0</v>
      </c>
      <c r="AK85" s="30">
        <f t="shared" si="7"/>
        <v>6557.377049</v>
      </c>
      <c r="AL85" s="20">
        <f t="shared" si="8"/>
        <v>8000</v>
      </c>
    </row>
    <row r="86">
      <c r="A86" s="16" t="s">
        <v>451</v>
      </c>
      <c r="B86" s="17" t="s">
        <v>17</v>
      </c>
      <c r="C86" s="17" t="s">
        <v>19</v>
      </c>
      <c r="D86" s="17" t="s">
        <v>452</v>
      </c>
      <c r="E86" s="17" t="s">
        <v>117</v>
      </c>
      <c r="F86" s="17" t="s">
        <v>103</v>
      </c>
      <c r="G86" s="19">
        <v>46021.0</v>
      </c>
      <c r="H86" s="17" t="s">
        <v>104</v>
      </c>
      <c r="I86" s="20" t="s">
        <v>453</v>
      </c>
      <c r="J86" s="21" t="s">
        <v>457</v>
      </c>
      <c r="K86" s="22" t="s">
        <v>458</v>
      </c>
      <c r="L86" s="22" t="s">
        <v>459</v>
      </c>
      <c r="M86" s="17">
        <v>1993.0</v>
      </c>
      <c r="N86" s="17">
        <v>12.0</v>
      </c>
      <c r="O86" s="23">
        <v>48.0</v>
      </c>
      <c r="P86" s="24">
        <f t="shared" si="1"/>
        <v>134.4</v>
      </c>
      <c r="Q86" s="25">
        <v>2.0</v>
      </c>
      <c r="R86" s="17">
        <v>0.0</v>
      </c>
      <c r="S86" s="26">
        <v>1.0</v>
      </c>
      <c r="T86" s="17">
        <v>2.0</v>
      </c>
      <c r="U86" s="17">
        <v>2.0</v>
      </c>
      <c r="V86" s="17" t="s">
        <v>130</v>
      </c>
      <c r="W86" s="28" t="s">
        <v>76</v>
      </c>
      <c r="X86" s="28" t="s">
        <v>78</v>
      </c>
      <c r="Y86" s="24">
        <v>10.0</v>
      </c>
      <c r="Z86" s="17">
        <v>150.0</v>
      </c>
      <c r="AA86" s="17">
        <v>576.0</v>
      </c>
      <c r="AB86" s="17">
        <v>31.0</v>
      </c>
      <c r="AC86" s="20">
        <f t="shared" si="2"/>
        <v>35712</v>
      </c>
      <c r="AD86" s="30">
        <f t="shared" si="3"/>
        <v>12.896</v>
      </c>
      <c r="AE86" s="30">
        <f t="shared" si="4"/>
        <v>1733.2224</v>
      </c>
      <c r="AF86" s="30">
        <f t="shared" si="5"/>
        <v>4615.680019</v>
      </c>
      <c r="AG86" s="34">
        <v>1.0</v>
      </c>
      <c r="AH86" s="36"/>
      <c r="AI86" s="30">
        <f t="shared" si="6"/>
        <v>3278.688525</v>
      </c>
      <c r="AJ86" s="17">
        <v>4000.0</v>
      </c>
      <c r="AK86" s="30">
        <f t="shared" si="7"/>
        <v>6557.377049</v>
      </c>
      <c r="AL86" s="20">
        <f t="shared" si="8"/>
        <v>8000</v>
      </c>
    </row>
    <row r="87">
      <c r="A87" s="16" t="s">
        <v>460</v>
      </c>
      <c r="B87" s="17" t="s">
        <v>17</v>
      </c>
      <c r="C87" s="17" t="s">
        <v>19</v>
      </c>
      <c r="D87" s="17" t="s">
        <v>101</v>
      </c>
      <c r="E87" s="17" t="s">
        <v>163</v>
      </c>
      <c r="F87" s="17" t="s">
        <v>103</v>
      </c>
      <c r="G87" s="19">
        <v>46045.0</v>
      </c>
      <c r="H87" s="17" t="s">
        <v>104</v>
      </c>
      <c r="I87" s="20" t="s">
        <v>461</v>
      </c>
      <c r="J87" s="21" t="s">
        <v>462</v>
      </c>
      <c r="K87" s="22" t="s">
        <v>463</v>
      </c>
      <c r="L87" s="22" t="s">
        <v>464</v>
      </c>
      <c r="M87" s="17">
        <v>2019.0</v>
      </c>
      <c r="N87" s="17">
        <v>20.0</v>
      </c>
      <c r="O87" s="23">
        <v>81.0</v>
      </c>
      <c r="P87" s="24">
        <f t="shared" si="1"/>
        <v>226.8</v>
      </c>
      <c r="Q87" s="25">
        <v>4.0</v>
      </c>
      <c r="R87" s="17">
        <v>0.0</v>
      </c>
      <c r="S87" s="26">
        <v>1.0</v>
      </c>
      <c r="T87" s="17">
        <v>4.0</v>
      </c>
      <c r="U87" s="17">
        <v>2.0</v>
      </c>
      <c r="V87" s="17" t="s">
        <v>75</v>
      </c>
      <c r="W87" s="28" t="s">
        <v>76</v>
      </c>
      <c r="X87" s="28" t="s">
        <v>78</v>
      </c>
      <c r="Y87" s="24">
        <v>10.0</v>
      </c>
      <c r="Z87" s="17">
        <v>150.0</v>
      </c>
      <c r="AA87" s="17">
        <v>576.0</v>
      </c>
      <c r="AB87" s="17">
        <v>31.0</v>
      </c>
      <c r="AC87" s="20">
        <f t="shared" si="2"/>
        <v>71424</v>
      </c>
      <c r="AD87" s="30">
        <f t="shared" si="3"/>
        <v>42.98666667</v>
      </c>
      <c r="AE87" s="30">
        <f t="shared" si="4"/>
        <v>9749.376</v>
      </c>
      <c r="AF87" s="30">
        <f t="shared" si="5"/>
        <v>1641.130673</v>
      </c>
      <c r="AG87" s="34">
        <v>1.0</v>
      </c>
      <c r="AH87" s="36"/>
      <c r="AI87" s="30">
        <f t="shared" si="6"/>
        <v>3278.688525</v>
      </c>
      <c r="AJ87" s="17">
        <v>4000.0</v>
      </c>
      <c r="AK87" s="30">
        <f t="shared" si="7"/>
        <v>13114.7541</v>
      </c>
      <c r="AL87" s="20">
        <f t="shared" si="8"/>
        <v>16000</v>
      </c>
    </row>
    <row r="88">
      <c r="A88" s="16" t="s">
        <v>465</v>
      </c>
      <c r="B88" s="17" t="s">
        <v>17</v>
      </c>
      <c r="C88" s="17" t="s">
        <v>19</v>
      </c>
      <c r="D88" s="17" t="s">
        <v>116</v>
      </c>
      <c r="E88" s="17" t="s">
        <v>117</v>
      </c>
      <c r="F88" s="17" t="s">
        <v>103</v>
      </c>
      <c r="G88" s="19">
        <v>46069.0</v>
      </c>
      <c r="H88" s="17" t="s">
        <v>104</v>
      </c>
      <c r="I88" s="20" t="s">
        <v>466</v>
      </c>
      <c r="J88" s="21" t="s">
        <v>467</v>
      </c>
      <c r="K88" s="22" t="s">
        <v>468</v>
      </c>
      <c r="L88" s="22" t="s">
        <v>469</v>
      </c>
      <c r="M88" s="17">
        <v>2025.0</v>
      </c>
      <c r="N88" s="17">
        <v>16.0</v>
      </c>
      <c r="O88" s="23">
        <v>193.0</v>
      </c>
      <c r="P88" s="24">
        <f t="shared" si="1"/>
        <v>540.4</v>
      </c>
      <c r="Q88" s="25">
        <v>4.0</v>
      </c>
      <c r="R88" s="17">
        <v>0.0</v>
      </c>
      <c r="S88" s="26">
        <v>2.0</v>
      </c>
      <c r="T88" s="17">
        <v>4.0</v>
      </c>
      <c r="U88" s="17">
        <v>4.0</v>
      </c>
      <c r="V88" s="17" t="s">
        <v>75</v>
      </c>
      <c r="W88" s="28" t="s">
        <v>76</v>
      </c>
      <c r="X88" s="28" t="s">
        <v>78</v>
      </c>
      <c r="Y88" s="24">
        <v>10.0</v>
      </c>
      <c r="Z88" s="17">
        <v>150.0</v>
      </c>
      <c r="AA88" s="17">
        <v>576.0</v>
      </c>
      <c r="AB88" s="17">
        <v>31.0</v>
      </c>
      <c r="AC88" s="20">
        <f t="shared" si="2"/>
        <v>71424</v>
      </c>
      <c r="AD88" s="30">
        <f t="shared" si="3"/>
        <v>17.19466667</v>
      </c>
      <c r="AE88" s="30">
        <f t="shared" si="4"/>
        <v>9291.997867</v>
      </c>
      <c r="AF88" s="30">
        <f t="shared" si="5"/>
        <v>1721.911717</v>
      </c>
      <c r="AG88" s="34">
        <v>1.0</v>
      </c>
      <c r="AH88" s="36"/>
      <c r="AI88" s="30">
        <f t="shared" si="6"/>
        <v>3278.688525</v>
      </c>
      <c r="AJ88" s="17">
        <v>4000.0</v>
      </c>
      <c r="AK88" s="30">
        <f t="shared" si="7"/>
        <v>13114.7541</v>
      </c>
      <c r="AL88" s="20">
        <f t="shared" si="8"/>
        <v>16000</v>
      </c>
    </row>
    <row r="89">
      <c r="A89" s="16" t="s">
        <v>465</v>
      </c>
      <c r="B89" s="17" t="s">
        <v>17</v>
      </c>
      <c r="C89" s="17" t="s">
        <v>19</v>
      </c>
      <c r="D89" s="17" t="s">
        <v>116</v>
      </c>
      <c r="E89" s="17" t="s">
        <v>117</v>
      </c>
      <c r="F89" s="17" t="s">
        <v>103</v>
      </c>
      <c r="G89" s="19">
        <v>46069.0</v>
      </c>
      <c r="H89" s="17" t="s">
        <v>104</v>
      </c>
      <c r="I89" s="20" t="s">
        <v>466</v>
      </c>
      <c r="J89" s="21" t="s">
        <v>470</v>
      </c>
      <c r="K89" s="22" t="s">
        <v>471</v>
      </c>
      <c r="L89" s="22" t="s">
        <v>472</v>
      </c>
      <c r="M89" s="17">
        <v>2022.0</v>
      </c>
      <c r="N89" s="17">
        <v>16.0</v>
      </c>
      <c r="O89" s="23">
        <v>220.0</v>
      </c>
      <c r="P89" s="24">
        <f t="shared" si="1"/>
        <v>616</v>
      </c>
      <c r="Q89" s="25">
        <v>3.0</v>
      </c>
      <c r="R89" s="17">
        <v>0.0</v>
      </c>
      <c r="S89" s="26">
        <v>3.0</v>
      </c>
      <c r="T89" s="17">
        <v>3.0</v>
      </c>
      <c r="U89" s="17">
        <v>3.0</v>
      </c>
      <c r="V89" s="17" t="s">
        <v>130</v>
      </c>
      <c r="W89" s="28" t="s">
        <v>76</v>
      </c>
      <c r="X89" s="28" t="s">
        <v>78</v>
      </c>
      <c r="Y89" s="24">
        <v>10.0</v>
      </c>
      <c r="Z89" s="17">
        <v>150.0</v>
      </c>
      <c r="AA89" s="17">
        <v>576.0</v>
      </c>
      <c r="AB89" s="17">
        <v>31.0</v>
      </c>
      <c r="AC89" s="20">
        <f t="shared" si="2"/>
        <v>53568</v>
      </c>
      <c r="AD89" s="30">
        <f t="shared" si="3"/>
        <v>17.19466667</v>
      </c>
      <c r="AE89" s="30">
        <f t="shared" si="4"/>
        <v>10591.91467</v>
      </c>
      <c r="AF89" s="30">
        <f t="shared" si="5"/>
        <v>1132.939641</v>
      </c>
      <c r="AG89" s="34">
        <v>1.0</v>
      </c>
      <c r="AH89" s="36"/>
      <c r="AI89" s="30">
        <f t="shared" si="6"/>
        <v>3278.688525</v>
      </c>
      <c r="AJ89" s="17">
        <v>4000.0</v>
      </c>
      <c r="AK89" s="30">
        <f t="shared" si="7"/>
        <v>9836.065574</v>
      </c>
      <c r="AL89" s="20">
        <f t="shared" si="8"/>
        <v>12000</v>
      </c>
    </row>
    <row r="90">
      <c r="A90" s="16" t="s">
        <v>465</v>
      </c>
      <c r="B90" s="17" t="s">
        <v>17</v>
      </c>
      <c r="C90" s="17" t="s">
        <v>19</v>
      </c>
      <c r="D90" s="17" t="s">
        <v>116</v>
      </c>
      <c r="E90" s="17" t="s">
        <v>117</v>
      </c>
      <c r="F90" s="17" t="s">
        <v>103</v>
      </c>
      <c r="G90" s="19">
        <v>46069.0</v>
      </c>
      <c r="H90" s="17" t="s">
        <v>104</v>
      </c>
      <c r="I90" s="20" t="s">
        <v>466</v>
      </c>
      <c r="J90" s="21" t="s">
        <v>473</v>
      </c>
      <c r="K90" s="22" t="s">
        <v>474</v>
      </c>
      <c r="L90" s="22" t="s">
        <v>475</v>
      </c>
      <c r="M90" s="17">
        <v>2018.0</v>
      </c>
      <c r="N90" s="17">
        <v>16.0</v>
      </c>
      <c r="O90" s="23">
        <v>258.0</v>
      </c>
      <c r="P90" s="24">
        <f t="shared" si="1"/>
        <v>722.4</v>
      </c>
      <c r="Q90" s="25">
        <v>3.0</v>
      </c>
      <c r="R90" s="17">
        <v>0.0</v>
      </c>
      <c r="S90" s="26">
        <v>3.0</v>
      </c>
      <c r="T90" s="17">
        <v>3.0</v>
      </c>
      <c r="U90" s="17">
        <v>3.0</v>
      </c>
      <c r="V90" s="17" t="s">
        <v>130</v>
      </c>
      <c r="W90" s="28" t="s">
        <v>76</v>
      </c>
      <c r="X90" s="28" t="s">
        <v>78</v>
      </c>
      <c r="Y90" s="24">
        <v>10.0</v>
      </c>
      <c r="Z90" s="17">
        <v>150.0</v>
      </c>
      <c r="AA90" s="17">
        <v>576.0</v>
      </c>
      <c r="AB90" s="17">
        <v>31.0</v>
      </c>
      <c r="AC90" s="20">
        <f t="shared" si="2"/>
        <v>53568</v>
      </c>
      <c r="AD90" s="30">
        <f t="shared" si="3"/>
        <v>17.19466667</v>
      </c>
      <c r="AE90" s="30">
        <f t="shared" si="4"/>
        <v>12421.4272</v>
      </c>
      <c r="AF90" s="30">
        <f t="shared" si="5"/>
        <v>966.0725621</v>
      </c>
      <c r="AG90" s="34">
        <v>1.0</v>
      </c>
      <c r="AH90" s="36"/>
      <c r="AI90" s="30">
        <f t="shared" si="6"/>
        <v>3278.688525</v>
      </c>
      <c r="AJ90" s="17">
        <v>4000.0</v>
      </c>
      <c r="AK90" s="30">
        <f t="shared" si="7"/>
        <v>9836.065574</v>
      </c>
      <c r="AL90" s="20">
        <f t="shared" si="8"/>
        <v>12000</v>
      </c>
    </row>
    <row r="91">
      <c r="A91" s="16" t="s">
        <v>476</v>
      </c>
      <c r="B91" s="17" t="s">
        <v>17</v>
      </c>
      <c r="C91" s="17" t="s">
        <v>19</v>
      </c>
      <c r="D91" s="17" t="s">
        <v>61</v>
      </c>
      <c r="E91" s="17" t="s">
        <v>316</v>
      </c>
      <c r="F91" s="17" t="s">
        <v>103</v>
      </c>
      <c r="G91" s="19">
        <v>46073.0</v>
      </c>
      <c r="H91" s="17" t="s">
        <v>104</v>
      </c>
      <c r="I91" s="20" t="s">
        <v>477</v>
      </c>
      <c r="J91" s="21" t="s">
        <v>478</v>
      </c>
      <c r="K91" s="22" t="s">
        <v>479</v>
      </c>
      <c r="L91" s="22" t="s">
        <v>480</v>
      </c>
      <c r="M91" s="17">
        <v>2021.0</v>
      </c>
      <c r="N91" s="17">
        <v>24.0</v>
      </c>
      <c r="O91" s="23">
        <v>479.0</v>
      </c>
      <c r="P91" s="24">
        <f t="shared" si="1"/>
        <v>1341.2</v>
      </c>
      <c r="Q91" s="25">
        <v>10.0</v>
      </c>
      <c r="R91" s="17">
        <v>0.0</v>
      </c>
      <c r="S91" s="26">
        <v>8.0</v>
      </c>
      <c r="T91" s="17">
        <v>10.0</v>
      </c>
      <c r="U91" s="17">
        <v>12.0</v>
      </c>
      <c r="V91" s="17" t="s">
        <v>75</v>
      </c>
      <c r="W91" s="28" t="s">
        <v>76</v>
      </c>
      <c r="X91" s="28" t="s">
        <v>78</v>
      </c>
      <c r="Y91" s="24">
        <v>10.0</v>
      </c>
      <c r="Z91" s="17">
        <v>150.0</v>
      </c>
      <c r="AA91" s="17">
        <v>576.0</v>
      </c>
      <c r="AB91" s="17">
        <v>31.0</v>
      </c>
      <c r="AC91" s="20">
        <f t="shared" si="2"/>
        <v>178560</v>
      </c>
      <c r="AD91" s="30">
        <f t="shared" si="3"/>
        <v>21.49333333</v>
      </c>
      <c r="AE91" s="30">
        <f t="shared" si="4"/>
        <v>28826.85867</v>
      </c>
      <c r="AF91" s="30">
        <f t="shared" si="5"/>
        <v>1387.594828</v>
      </c>
      <c r="AG91" s="34">
        <v>1.0</v>
      </c>
      <c r="AH91" s="36"/>
      <c r="AI91" s="30">
        <f t="shared" si="6"/>
        <v>3278.688525</v>
      </c>
      <c r="AJ91" s="17">
        <v>4000.0</v>
      </c>
      <c r="AK91" s="30">
        <f t="shared" si="7"/>
        <v>32786.88525</v>
      </c>
      <c r="AL91" s="20">
        <f t="shared" si="8"/>
        <v>40000</v>
      </c>
    </row>
    <row r="92">
      <c r="A92" s="16" t="s">
        <v>481</v>
      </c>
      <c r="B92" s="17" t="s">
        <v>17</v>
      </c>
      <c r="C92" s="17" t="s">
        <v>19</v>
      </c>
      <c r="D92" s="17" t="s">
        <v>61</v>
      </c>
      <c r="E92" s="17" t="s">
        <v>316</v>
      </c>
      <c r="F92" s="17" t="s">
        <v>103</v>
      </c>
      <c r="G92" s="19">
        <v>46112.0</v>
      </c>
      <c r="H92" s="17" t="s">
        <v>104</v>
      </c>
      <c r="I92" s="20" t="s">
        <v>482</v>
      </c>
      <c r="J92" s="21" t="s">
        <v>483</v>
      </c>
      <c r="K92" s="22" t="s">
        <v>484</v>
      </c>
      <c r="L92" s="22" t="s">
        <v>485</v>
      </c>
      <c r="M92" s="17">
        <v>2025.0</v>
      </c>
      <c r="N92" s="17">
        <v>25.0</v>
      </c>
      <c r="O92" s="23">
        <v>270.0</v>
      </c>
      <c r="P92" s="24">
        <f t="shared" si="1"/>
        <v>756</v>
      </c>
      <c r="Q92" s="25">
        <v>3.0</v>
      </c>
      <c r="R92" s="17">
        <v>0.0</v>
      </c>
      <c r="S92" s="26">
        <v>1.0</v>
      </c>
      <c r="T92" s="17">
        <v>3.0</v>
      </c>
      <c r="U92" s="17">
        <v>3.0</v>
      </c>
      <c r="V92" s="17" t="s">
        <v>75</v>
      </c>
      <c r="W92" s="28" t="s">
        <v>76</v>
      </c>
      <c r="X92" s="28" t="s">
        <v>78</v>
      </c>
      <c r="Y92" s="24">
        <v>10.0</v>
      </c>
      <c r="Z92" s="17">
        <v>150.0</v>
      </c>
      <c r="AA92" s="17">
        <v>576.0</v>
      </c>
      <c r="AB92" s="17">
        <v>31.0</v>
      </c>
      <c r="AC92" s="20">
        <f t="shared" si="2"/>
        <v>53568</v>
      </c>
      <c r="AD92" s="30">
        <f t="shared" si="3"/>
        <v>26.86666667</v>
      </c>
      <c r="AE92" s="30">
        <f t="shared" si="4"/>
        <v>20311.2</v>
      </c>
      <c r="AF92" s="30">
        <f t="shared" si="5"/>
        <v>590.8070424</v>
      </c>
      <c r="AG92" s="34">
        <v>1.0</v>
      </c>
      <c r="AH92" s="36"/>
      <c r="AI92" s="30">
        <f t="shared" si="6"/>
        <v>3278.688525</v>
      </c>
      <c r="AJ92" s="17">
        <v>4000.0</v>
      </c>
      <c r="AK92" s="30">
        <f t="shared" si="7"/>
        <v>9836.065574</v>
      </c>
      <c r="AL92" s="20">
        <f t="shared" si="8"/>
        <v>12000</v>
      </c>
    </row>
    <row r="93">
      <c r="A93" s="16" t="s">
        <v>481</v>
      </c>
      <c r="B93" s="17" t="s">
        <v>17</v>
      </c>
      <c r="C93" s="17" t="s">
        <v>19</v>
      </c>
      <c r="D93" s="17" t="s">
        <v>61</v>
      </c>
      <c r="E93" s="17" t="s">
        <v>316</v>
      </c>
      <c r="F93" s="17" t="s">
        <v>103</v>
      </c>
      <c r="G93" s="19">
        <v>46112.0</v>
      </c>
      <c r="H93" s="17" t="s">
        <v>104</v>
      </c>
      <c r="I93" s="20" t="s">
        <v>482</v>
      </c>
      <c r="J93" s="21" t="s">
        <v>486</v>
      </c>
      <c r="K93" s="22" t="s">
        <v>487</v>
      </c>
      <c r="L93" s="22" t="s">
        <v>488</v>
      </c>
      <c r="M93" s="17">
        <v>2025.0</v>
      </c>
      <c r="N93" s="17">
        <v>25.0</v>
      </c>
      <c r="O93" s="23">
        <v>269.0</v>
      </c>
      <c r="P93" s="24">
        <f t="shared" si="1"/>
        <v>753.2</v>
      </c>
      <c r="Q93" s="25">
        <v>3.0</v>
      </c>
      <c r="R93" s="17">
        <v>0.0</v>
      </c>
      <c r="S93" s="26">
        <v>1.0</v>
      </c>
      <c r="T93" s="17">
        <v>3.0</v>
      </c>
      <c r="U93" s="17">
        <v>3.0</v>
      </c>
      <c r="V93" s="17" t="s">
        <v>75</v>
      </c>
      <c r="W93" s="28" t="s">
        <v>76</v>
      </c>
      <c r="X93" s="28" t="s">
        <v>78</v>
      </c>
      <c r="Y93" s="24">
        <v>10.0</v>
      </c>
      <c r="Z93" s="17">
        <v>150.0</v>
      </c>
      <c r="AA93" s="17">
        <v>576.0</v>
      </c>
      <c r="AB93" s="17">
        <v>31.0</v>
      </c>
      <c r="AC93" s="20">
        <f t="shared" si="2"/>
        <v>53568</v>
      </c>
      <c r="AD93" s="30">
        <f t="shared" si="3"/>
        <v>26.86666667</v>
      </c>
      <c r="AE93" s="30">
        <f t="shared" si="4"/>
        <v>20235.97333</v>
      </c>
      <c r="AF93" s="30">
        <f t="shared" si="5"/>
        <v>593.0033511</v>
      </c>
      <c r="AG93" s="34">
        <v>1.0</v>
      </c>
      <c r="AH93" s="36"/>
      <c r="AI93" s="30">
        <f t="shared" si="6"/>
        <v>3278.688525</v>
      </c>
      <c r="AJ93" s="17">
        <v>4000.0</v>
      </c>
      <c r="AK93" s="30">
        <f t="shared" si="7"/>
        <v>9836.065574</v>
      </c>
      <c r="AL93" s="20">
        <f t="shared" si="8"/>
        <v>12000</v>
      </c>
    </row>
    <row r="94">
      <c r="A94" s="16" t="s">
        <v>481</v>
      </c>
      <c r="B94" s="17" t="s">
        <v>17</v>
      </c>
      <c r="C94" s="17" t="s">
        <v>19</v>
      </c>
      <c r="D94" s="17" t="s">
        <v>61</v>
      </c>
      <c r="E94" s="17" t="s">
        <v>316</v>
      </c>
      <c r="F94" s="17" t="s">
        <v>103</v>
      </c>
      <c r="G94" s="19">
        <v>46112.0</v>
      </c>
      <c r="H94" s="17" t="s">
        <v>104</v>
      </c>
      <c r="I94" s="20" t="s">
        <v>482</v>
      </c>
      <c r="J94" s="21" t="s">
        <v>489</v>
      </c>
      <c r="K94" s="22" t="s">
        <v>490</v>
      </c>
      <c r="L94" s="22" t="s">
        <v>491</v>
      </c>
      <c r="M94" s="17">
        <v>2022.0</v>
      </c>
      <c r="N94" s="17">
        <v>25.0</v>
      </c>
      <c r="O94" s="23">
        <v>269.0</v>
      </c>
      <c r="P94" s="24">
        <f t="shared" si="1"/>
        <v>753.2</v>
      </c>
      <c r="Q94" s="25">
        <v>3.0</v>
      </c>
      <c r="R94" s="17">
        <v>0.0</v>
      </c>
      <c r="S94" s="26">
        <v>1.0</v>
      </c>
      <c r="T94" s="17">
        <v>3.0</v>
      </c>
      <c r="U94" s="17">
        <v>3.0</v>
      </c>
      <c r="V94" s="17" t="s">
        <v>75</v>
      </c>
      <c r="W94" s="28" t="s">
        <v>76</v>
      </c>
      <c r="X94" s="28" t="s">
        <v>78</v>
      </c>
      <c r="Y94" s="24">
        <v>10.0</v>
      </c>
      <c r="Z94" s="17">
        <v>150.0</v>
      </c>
      <c r="AA94" s="17">
        <v>576.0</v>
      </c>
      <c r="AB94" s="17">
        <v>31.0</v>
      </c>
      <c r="AC94" s="20">
        <f t="shared" si="2"/>
        <v>53568</v>
      </c>
      <c r="AD94" s="30">
        <f t="shared" si="3"/>
        <v>26.86666667</v>
      </c>
      <c r="AE94" s="30">
        <f t="shared" si="4"/>
        <v>20235.97333</v>
      </c>
      <c r="AF94" s="30">
        <f t="shared" si="5"/>
        <v>593.0033511</v>
      </c>
      <c r="AG94" s="34">
        <v>1.0</v>
      </c>
      <c r="AH94" s="36"/>
      <c r="AI94" s="30">
        <f t="shared" si="6"/>
        <v>3278.688525</v>
      </c>
      <c r="AJ94" s="17">
        <v>4000.0</v>
      </c>
      <c r="AK94" s="30">
        <f t="shared" si="7"/>
        <v>9836.065574</v>
      </c>
      <c r="AL94" s="20">
        <f t="shared" si="8"/>
        <v>12000</v>
      </c>
    </row>
    <row r="95">
      <c r="A95" s="16" t="s">
        <v>492</v>
      </c>
      <c r="B95" s="17" t="s">
        <v>17</v>
      </c>
      <c r="C95" s="17" t="s">
        <v>19</v>
      </c>
      <c r="D95" s="17" t="s">
        <v>61</v>
      </c>
      <c r="E95" s="17" t="s">
        <v>316</v>
      </c>
      <c r="F95" s="17" t="s">
        <v>103</v>
      </c>
      <c r="G95" s="19">
        <v>46167.0</v>
      </c>
      <c r="H95" s="17" t="s">
        <v>104</v>
      </c>
      <c r="I95" s="20" t="s">
        <v>493</v>
      </c>
      <c r="J95" s="21" t="s">
        <v>494</v>
      </c>
      <c r="K95" s="22" t="s">
        <v>495</v>
      </c>
      <c r="L95" s="22" t="s">
        <v>496</v>
      </c>
      <c r="M95" s="17">
        <v>2025.0</v>
      </c>
      <c r="N95" s="17">
        <v>25.0</v>
      </c>
      <c r="O95" s="23">
        <v>270.0</v>
      </c>
      <c r="P95" s="24">
        <f t="shared" si="1"/>
        <v>756</v>
      </c>
      <c r="Q95" s="25">
        <v>3.0</v>
      </c>
      <c r="R95" s="17">
        <v>0.0</v>
      </c>
      <c r="S95" s="26">
        <v>1.0</v>
      </c>
      <c r="T95" s="17">
        <v>3.0</v>
      </c>
      <c r="U95" s="17">
        <v>3.0</v>
      </c>
      <c r="V95" s="17" t="s">
        <v>130</v>
      </c>
      <c r="W95" s="28" t="s">
        <v>76</v>
      </c>
      <c r="X95" s="28" t="s">
        <v>78</v>
      </c>
      <c r="Y95" s="24">
        <v>10.0</v>
      </c>
      <c r="Z95" s="17">
        <v>150.0</v>
      </c>
      <c r="AA95" s="17">
        <v>576.0</v>
      </c>
      <c r="AB95" s="17">
        <v>31.0</v>
      </c>
      <c r="AC95" s="20">
        <f t="shared" si="2"/>
        <v>53568</v>
      </c>
      <c r="AD95" s="30">
        <f t="shared" si="3"/>
        <v>26.86666667</v>
      </c>
      <c r="AE95" s="30">
        <f t="shared" si="4"/>
        <v>20311.2</v>
      </c>
      <c r="AF95" s="30">
        <f t="shared" si="5"/>
        <v>590.8070424</v>
      </c>
      <c r="AG95" s="34">
        <v>1.0</v>
      </c>
      <c r="AH95" s="36"/>
      <c r="AI95" s="30">
        <f t="shared" si="6"/>
        <v>3278.688525</v>
      </c>
      <c r="AJ95" s="17">
        <v>4000.0</v>
      </c>
      <c r="AK95" s="30">
        <f t="shared" si="7"/>
        <v>9836.065574</v>
      </c>
      <c r="AL95" s="20">
        <f t="shared" si="8"/>
        <v>12000</v>
      </c>
    </row>
    <row r="96">
      <c r="A96" s="16" t="s">
        <v>497</v>
      </c>
      <c r="B96" s="17" t="s">
        <v>17</v>
      </c>
      <c r="C96" s="17" t="s">
        <v>19</v>
      </c>
      <c r="D96" s="17" t="s">
        <v>61</v>
      </c>
      <c r="E96" s="17" t="s">
        <v>316</v>
      </c>
      <c r="F96" s="17" t="s">
        <v>103</v>
      </c>
      <c r="G96" s="19">
        <v>46224.0</v>
      </c>
      <c r="H96" s="17" t="s">
        <v>104</v>
      </c>
      <c r="I96" s="20" t="s">
        <v>498</v>
      </c>
      <c r="J96" s="21" t="s">
        <v>499</v>
      </c>
      <c r="K96" s="28" t="s">
        <v>500</v>
      </c>
      <c r="L96" s="28" t="s">
        <v>501</v>
      </c>
      <c r="M96" s="17">
        <v>2025.0</v>
      </c>
      <c r="N96" s="17">
        <v>25.0</v>
      </c>
      <c r="O96" s="23">
        <v>289.0</v>
      </c>
      <c r="P96" s="24">
        <f t="shared" si="1"/>
        <v>809.2</v>
      </c>
      <c r="Q96" s="25">
        <v>3.0</v>
      </c>
      <c r="R96" s="17">
        <v>0.0</v>
      </c>
      <c r="S96" s="26">
        <v>1.0</v>
      </c>
      <c r="T96" s="17">
        <v>3.0</v>
      </c>
      <c r="U96" s="17">
        <v>3.0</v>
      </c>
      <c r="V96" s="17" t="s">
        <v>130</v>
      </c>
      <c r="W96" s="28" t="s">
        <v>76</v>
      </c>
      <c r="X96" s="28" t="s">
        <v>78</v>
      </c>
      <c r="Y96" s="24">
        <v>10.0</v>
      </c>
      <c r="Z96" s="17">
        <v>150.0</v>
      </c>
      <c r="AA96" s="17">
        <v>576.0</v>
      </c>
      <c r="AB96" s="17">
        <v>31.0</v>
      </c>
      <c r="AC96" s="20">
        <f t="shared" si="2"/>
        <v>53568</v>
      </c>
      <c r="AD96" s="30">
        <f t="shared" si="3"/>
        <v>26.86666667</v>
      </c>
      <c r="AE96" s="30">
        <f t="shared" si="4"/>
        <v>21740.50667</v>
      </c>
      <c r="AF96" s="30">
        <f t="shared" si="5"/>
        <v>551.9650569</v>
      </c>
      <c r="AG96" s="34">
        <v>1.0</v>
      </c>
      <c r="AH96" s="36"/>
      <c r="AI96" s="30">
        <f t="shared" si="6"/>
        <v>3278.688525</v>
      </c>
      <c r="AJ96" s="17">
        <v>4000.0</v>
      </c>
      <c r="AK96" s="30">
        <f t="shared" si="7"/>
        <v>9836.065574</v>
      </c>
      <c r="AL96" s="20">
        <f t="shared" si="8"/>
        <v>12000</v>
      </c>
    </row>
    <row r="97">
      <c r="A97" s="16" t="s">
        <v>497</v>
      </c>
      <c r="B97" s="17" t="s">
        <v>17</v>
      </c>
      <c r="C97" s="17" t="s">
        <v>19</v>
      </c>
      <c r="D97" s="17" t="s">
        <v>61</v>
      </c>
      <c r="E97" s="17" t="s">
        <v>316</v>
      </c>
      <c r="F97" s="17" t="s">
        <v>103</v>
      </c>
      <c r="G97" s="19">
        <v>46224.0</v>
      </c>
      <c r="H97" s="17" t="s">
        <v>104</v>
      </c>
      <c r="I97" s="20" t="s">
        <v>498</v>
      </c>
      <c r="J97" s="21" t="s">
        <v>502</v>
      </c>
      <c r="K97" s="28" t="s">
        <v>503</v>
      </c>
      <c r="L97" s="28" t="s">
        <v>504</v>
      </c>
      <c r="M97" s="17">
        <v>2024.0</v>
      </c>
      <c r="N97" s="17">
        <v>25.0</v>
      </c>
      <c r="O97" s="23">
        <v>289.0</v>
      </c>
      <c r="P97" s="24">
        <f t="shared" si="1"/>
        <v>809.2</v>
      </c>
      <c r="Q97" s="25">
        <v>3.0</v>
      </c>
      <c r="R97" s="17">
        <v>0.0</v>
      </c>
      <c r="S97" s="26">
        <v>1.0</v>
      </c>
      <c r="T97" s="17">
        <v>3.0</v>
      </c>
      <c r="U97" s="17">
        <v>3.0</v>
      </c>
      <c r="V97" s="17" t="s">
        <v>130</v>
      </c>
      <c r="W97" s="28" t="s">
        <v>76</v>
      </c>
      <c r="X97" s="28" t="s">
        <v>78</v>
      </c>
      <c r="Y97" s="24">
        <v>10.0</v>
      </c>
      <c r="Z97" s="17">
        <v>150.0</v>
      </c>
      <c r="AA97" s="17">
        <v>576.0</v>
      </c>
      <c r="AB97" s="17">
        <v>31.0</v>
      </c>
      <c r="AC97" s="20">
        <f t="shared" si="2"/>
        <v>53568</v>
      </c>
      <c r="AD97" s="30">
        <f t="shared" si="3"/>
        <v>26.86666667</v>
      </c>
      <c r="AE97" s="30">
        <f t="shared" si="4"/>
        <v>21740.50667</v>
      </c>
      <c r="AF97" s="30">
        <f t="shared" si="5"/>
        <v>551.9650569</v>
      </c>
      <c r="AG97" s="34">
        <v>1.0</v>
      </c>
      <c r="AH97" s="36"/>
      <c r="AI97" s="30">
        <f t="shared" si="6"/>
        <v>3278.688525</v>
      </c>
      <c r="AJ97" s="17">
        <v>4000.0</v>
      </c>
      <c r="AK97" s="30">
        <f t="shared" si="7"/>
        <v>9836.065574</v>
      </c>
      <c r="AL97" s="20">
        <f t="shared" si="8"/>
        <v>12000</v>
      </c>
    </row>
    <row r="98">
      <c r="A98" s="16" t="s">
        <v>497</v>
      </c>
      <c r="B98" s="17" t="s">
        <v>17</v>
      </c>
      <c r="C98" s="17" t="s">
        <v>19</v>
      </c>
      <c r="D98" s="17" t="s">
        <v>61</v>
      </c>
      <c r="E98" s="17" t="s">
        <v>316</v>
      </c>
      <c r="F98" s="17" t="s">
        <v>103</v>
      </c>
      <c r="G98" s="19">
        <v>46224.0</v>
      </c>
      <c r="H98" s="17" t="s">
        <v>104</v>
      </c>
      <c r="I98" s="20" t="s">
        <v>498</v>
      </c>
      <c r="J98" s="21" t="s">
        <v>505</v>
      </c>
      <c r="K98" s="28" t="s">
        <v>506</v>
      </c>
      <c r="L98" s="28" t="s">
        <v>507</v>
      </c>
      <c r="M98" s="17">
        <v>2024.0</v>
      </c>
      <c r="N98" s="17">
        <v>18.0</v>
      </c>
      <c r="O98" s="23">
        <v>186.0</v>
      </c>
      <c r="P98" s="24">
        <f t="shared" si="1"/>
        <v>520.8</v>
      </c>
      <c r="Q98" s="25">
        <v>2.0</v>
      </c>
      <c r="R98" s="17">
        <v>0.0</v>
      </c>
      <c r="S98" s="26">
        <v>1.0</v>
      </c>
      <c r="T98" s="17">
        <v>2.0</v>
      </c>
      <c r="U98" s="17">
        <v>3.0</v>
      </c>
      <c r="V98" s="17" t="s">
        <v>130</v>
      </c>
      <c r="W98" s="28" t="s">
        <v>76</v>
      </c>
      <c r="X98" s="28" t="s">
        <v>78</v>
      </c>
      <c r="Y98" s="24">
        <v>10.0</v>
      </c>
      <c r="Z98" s="17">
        <v>150.0</v>
      </c>
      <c r="AA98" s="17">
        <v>576.0</v>
      </c>
      <c r="AB98" s="17">
        <v>31.0</v>
      </c>
      <c r="AC98" s="20">
        <f t="shared" si="2"/>
        <v>35712</v>
      </c>
      <c r="AD98" s="30">
        <f t="shared" si="3"/>
        <v>12.896</v>
      </c>
      <c r="AE98" s="30">
        <f t="shared" si="4"/>
        <v>6716.2368</v>
      </c>
      <c r="AF98" s="30">
        <f t="shared" si="5"/>
        <v>1191.143231</v>
      </c>
      <c r="AG98" s="34">
        <v>1.0</v>
      </c>
      <c r="AH98" s="36"/>
      <c r="AI98" s="30">
        <f t="shared" si="6"/>
        <v>3278.688525</v>
      </c>
      <c r="AJ98" s="17">
        <v>4000.0</v>
      </c>
      <c r="AK98" s="30">
        <f t="shared" si="7"/>
        <v>6557.377049</v>
      </c>
      <c r="AL98" s="20">
        <f t="shared" si="8"/>
        <v>8000</v>
      </c>
    </row>
    <row r="99">
      <c r="A99" s="16" t="s">
        <v>497</v>
      </c>
      <c r="B99" s="17" t="s">
        <v>17</v>
      </c>
      <c r="C99" s="17" t="s">
        <v>19</v>
      </c>
      <c r="D99" s="17" t="s">
        <v>61</v>
      </c>
      <c r="E99" s="17" t="s">
        <v>316</v>
      </c>
      <c r="F99" s="17" t="s">
        <v>103</v>
      </c>
      <c r="G99" s="19">
        <v>46224.0</v>
      </c>
      <c r="H99" s="17" t="s">
        <v>104</v>
      </c>
      <c r="I99" s="17" t="s">
        <v>498</v>
      </c>
      <c r="J99" s="21" t="s">
        <v>508</v>
      </c>
      <c r="K99" s="28" t="s">
        <v>509</v>
      </c>
      <c r="L99" s="28" t="s">
        <v>510</v>
      </c>
      <c r="M99" s="17">
        <v>2024.0</v>
      </c>
      <c r="N99" s="17">
        <v>17.0</v>
      </c>
      <c r="O99" s="23">
        <v>186.0</v>
      </c>
      <c r="P99" s="24">
        <f t="shared" si="1"/>
        <v>520.8</v>
      </c>
      <c r="Q99" s="25">
        <v>2.0</v>
      </c>
      <c r="R99" s="17">
        <v>0.0</v>
      </c>
      <c r="S99" s="26">
        <v>1.0</v>
      </c>
      <c r="T99" s="17">
        <v>2.0</v>
      </c>
      <c r="U99" s="17">
        <v>2.0</v>
      </c>
      <c r="V99" s="17" t="s">
        <v>130</v>
      </c>
      <c r="W99" s="28" t="s">
        <v>76</v>
      </c>
      <c r="X99" s="28" t="s">
        <v>78</v>
      </c>
      <c r="Y99" s="24">
        <v>10.0</v>
      </c>
      <c r="Z99" s="17">
        <v>150.0</v>
      </c>
      <c r="AA99" s="17">
        <v>576.0</v>
      </c>
      <c r="AB99" s="17">
        <v>31.0</v>
      </c>
      <c r="AC99" s="20">
        <f t="shared" si="2"/>
        <v>35712</v>
      </c>
      <c r="AD99" s="30">
        <f t="shared" si="3"/>
        <v>18.26933333</v>
      </c>
      <c r="AE99" s="30">
        <f t="shared" si="4"/>
        <v>9514.6688</v>
      </c>
      <c r="AF99" s="30">
        <f t="shared" si="5"/>
        <v>840.8069864</v>
      </c>
      <c r="AG99" s="34">
        <v>1.0</v>
      </c>
      <c r="AH99" s="36"/>
      <c r="AI99" s="30">
        <f t="shared" si="6"/>
        <v>3278.688525</v>
      </c>
      <c r="AJ99" s="17">
        <v>4000.0</v>
      </c>
      <c r="AK99" s="30">
        <f t="shared" si="7"/>
        <v>6557.377049</v>
      </c>
      <c r="AL99" s="20">
        <f t="shared" si="8"/>
        <v>8000</v>
      </c>
    </row>
    <row r="100">
      <c r="A100" s="16" t="s">
        <v>511</v>
      </c>
      <c r="B100" s="17" t="s">
        <v>17</v>
      </c>
      <c r="C100" s="17" t="s">
        <v>19</v>
      </c>
      <c r="D100" s="17" t="s">
        <v>101</v>
      </c>
      <c r="E100" s="17" t="s">
        <v>102</v>
      </c>
      <c r="F100" s="17" t="s">
        <v>63</v>
      </c>
      <c r="G100" s="19">
        <v>46092.0</v>
      </c>
      <c r="H100" s="17" t="s">
        <v>104</v>
      </c>
      <c r="I100" s="20" t="s">
        <v>512</v>
      </c>
      <c r="J100" s="21" t="s">
        <v>513</v>
      </c>
      <c r="K100" s="22" t="s">
        <v>514</v>
      </c>
      <c r="L100" s="22" t="s">
        <v>515</v>
      </c>
      <c r="M100" s="17">
        <v>2020.0</v>
      </c>
      <c r="N100" s="17">
        <v>25.0</v>
      </c>
      <c r="O100" s="23">
        <v>936.0</v>
      </c>
      <c r="P100" s="24">
        <f t="shared" si="1"/>
        <v>2620.8</v>
      </c>
      <c r="Q100" s="25">
        <v>8.0</v>
      </c>
      <c r="R100" s="17">
        <v>0.0</v>
      </c>
      <c r="S100" s="26">
        <v>4.0</v>
      </c>
      <c r="T100" s="17">
        <v>8.0</v>
      </c>
      <c r="U100" s="17">
        <v>9.0</v>
      </c>
      <c r="V100" s="17" t="s">
        <v>130</v>
      </c>
      <c r="W100" s="28" t="s">
        <v>76</v>
      </c>
      <c r="X100" s="28" t="s">
        <v>78</v>
      </c>
      <c r="Y100" s="24">
        <v>10.0</v>
      </c>
      <c r="Z100" s="17">
        <v>150.0</v>
      </c>
      <c r="AA100" s="17">
        <v>576.0</v>
      </c>
      <c r="AB100" s="17">
        <v>31.0</v>
      </c>
      <c r="AC100" s="20">
        <f t="shared" si="2"/>
        <v>142848</v>
      </c>
      <c r="AD100" s="30">
        <f t="shared" si="3"/>
        <v>23.88148148</v>
      </c>
      <c r="AE100" s="30">
        <f t="shared" si="4"/>
        <v>62588.58667</v>
      </c>
      <c r="AF100" s="30">
        <f t="shared" si="5"/>
        <v>511.2753252</v>
      </c>
      <c r="AG100" s="34">
        <v>1.0</v>
      </c>
      <c r="AH100" s="36"/>
      <c r="AI100" s="30">
        <f t="shared" si="6"/>
        <v>3278.688525</v>
      </c>
      <c r="AJ100" s="17">
        <v>4000.0</v>
      </c>
      <c r="AK100" s="30">
        <f t="shared" si="7"/>
        <v>26229.5082</v>
      </c>
      <c r="AL100" s="20">
        <f t="shared" si="8"/>
        <v>32000</v>
      </c>
    </row>
    <row r="101">
      <c r="A101" s="16" t="s">
        <v>516</v>
      </c>
      <c r="B101" s="17" t="s">
        <v>17</v>
      </c>
      <c r="C101" s="17" t="s">
        <v>19</v>
      </c>
      <c r="D101" s="17" t="s">
        <v>162</v>
      </c>
      <c r="E101" s="17" t="s">
        <v>62</v>
      </c>
      <c r="F101" s="17" t="s">
        <v>63</v>
      </c>
      <c r="G101" s="19">
        <v>46098.0</v>
      </c>
      <c r="H101" s="17" t="s">
        <v>104</v>
      </c>
      <c r="I101" s="20" t="s">
        <v>517</v>
      </c>
      <c r="J101" s="21" t="s">
        <v>518</v>
      </c>
      <c r="K101" s="22" t="s">
        <v>519</v>
      </c>
      <c r="L101" s="22" t="s">
        <v>520</v>
      </c>
      <c r="M101" s="17">
        <v>2021.0</v>
      </c>
      <c r="N101" s="17">
        <v>27.0</v>
      </c>
      <c r="O101" s="23">
        <v>456.0</v>
      </c>
      <c r="P101" s="24">
        <f t="shared" si="1"/>
        <v>1276.8</v>
      </c>
      <c r="Q101" s="25">
        <v>2.0</v>
      </c>
      <c r="R101" s="17">
        <v>2.0</v>
      </c>
      <c r="S101" s="26">
        <v>2.0</v>
      </c>
      <c r="T101" s="17">
        <v>0.0</v>
      </c>
      <c r="U101" s="17">
        <v>6.0</v>
      </c>
      <c r="V101" s="17" t="s">
        <v>75</v>
      </c>
      <c r="W101" s="28" t="s">
        <v>76</v>
      </c>
      <c r="X101" s="28" t="s">
        <v>78</v>
      </c>
      <c r="Y101" s="24">
        <v>10.0</v>
      </c>
      <c r="Z101" s="17">
        <v>150.0</v>
      </c>
      <c r="AA101" s="17">
        <v>576.0</v>
      </c>
      <c r="AB101" s="17">
        <v>31.0</v>
      </c>
      <c r="AC101" s="20">
        <f t="shared" si="2"/>
        <v>35712</v>
      </c>
      <c r="AD101" s="30">
        <f t="shared" si="3"/>
        <v>8.06</v>
      </c>
      <c r="AE101" s="30">
        <f t="shared" si="4"/>
        <v>10291.008</v>
      </c>
      <c r="AF101" s="30">
        <f t="shared" si="5"/>
        <v>777.3776874</v>
      </c>
      <c r="AG101" s="34">
        <v>1.0</v>
      </c>
      <c r="AH101" s="36"/>
      <c r="AI101" s="30">
        <f t="shared" si="6"/>
        <v>3278.688525</v>
      </c>
      <c r="AJ101" s="17">
        <v>4000.0</v>
      </c>
      <c r="AK101" s="30">
        <f t="shared" si="7"/>
        <v>6557.377049</v>
      </c>
      <c r="AL101" s="20">
        <f t="shared" si="8"/>
        <v>8000</v>
      </c>
    </row>
    <row r="102">
      <c r="A102" s="16" t="s">
        <v>521</v>
      </c>
      <c r="B102" s="17" t="s">
        <v>17</v>
      </c>
      <c r="C102" s="17" t="s">
        <v>19</v>
      </c>
      <c r="D102" s="17" t="s">
        <v>123</v>
      </c>
      <c r="E102" s="17" t="s">
        <v>62</v>
      </c>
      <c r="F102" s="17" t="s">
        <v>63</v>
      </c>
      <c r="G102" s="19">
        <v>46100.0</v>
      </c>
      <c r="H102" s="17" t="s">
        <v>104</v>
      </c>
      <c r="I102" s="20" t="s">
        <v>522</v>
      </c>
      <c r="J102" s="21" t="s">
        <v>523</v>
      </c>
      <c r="K102" s="22" t="s">
        <v>524</v>
      </c>
      <c r="L102" s="22" t="s">
        <v>525</v>
      </c>
      <c r="M102" s="17">
        <v>2008.0</v>
      </c>
      <c r="N102" s="17">
        <v>16.0</v>
      </c>
      <c r="O102" s="23">
        <v>109.0</v>
      </c>
      <c r="P102" s="24">
        <f t="shared" si="1"/>
        <v>305.2</v>
      </c>
      <c r="Q102" s="25">
        <v>4.0</v>
      </c>
      <c r="R102" s="17">
        <v>0.0</v>
      </c>
      <c r="S102" s="26">
        <v>2.0</v>
      </c>
      <c r="T102" s="17">
        <v>4.0</v>
      </c>
      <c r="U102" s="17">
        <v>4.0</v>
      </c>
      <c r="V102" s="17" t="s">
        <v>75</v>
      </c>
      <c r="W102" s="28" t="s">
        <v>76</v>
      </c>
      <c r="X102" s="28" t="s">
        <v>78</v>
      </c>
      <c r="Y102" s="24">
        <v>10.0</v>
      </c>
      <c r="Z102" s="17">
        <v>150.0</v>
      </c>
      <c r="AA102" s="17">
        <v>576.0</v>
      </c>
      <c r="AB102" s="17">
        <v>31.0</v>
      </c>
      <c r="AC102" s="20">
        <f t="shared" si="2"/>
        <v>71424</v>
      </c>
      <c r="AD102" s="30">
        <f t="shared" si="3"/>
        <v>17.19466667</v>
      </c>
      <c r="AE102" s="30">
        <f t="shared" si="4"/>
        <v>5247.812267</v>
      </c>
      <c r="AF102" s="30">
        <f t="shared" si="5"/>
        <v>3048.889554</v>
      </c>
      <c r="AG102" s="34">
        <v>1.0</v>
      </c>
      <c r="AH102" s="36"/>
      <c r="AI102" s="30">
        <f t="shared" si="6"/>
        <v>3278.688525</v>
      </c>
      <c r="AJ102" s="17">
        <v>4000.0</v>
      </c>
      <c r="AK102" s="30">
        <f t="shared" si="7"/>
        <v>13114.7541</v>
      </c>
      <c r="AL102" s="20">
        <f t="shared" si="8"/>
        <v>16000</v>
      </c>
    </row>
    <row r="103">
      <c r="A103" s="16" t="s">
        <v>526</v>
      </c>
      <c r="B103" s="17" t="s">
        <v>17</v>
      </c>
      <c r="C103" s="17" t="s">
        <v>19</v>
      </c>
      <c r="D103" s="17" t="s">
        <v>101</v>
      </c>
      <c r="E103" s="17" t="s">
        <v>110</v>
      </c>
      <c r="F103" s="17" t="s">
        <v>103</v>
      </c>
      <c r="G103" s="19">
        <v>46104.0</v>
      </c>
      <c r="H103" s="17" t="s">
        <v>104</v>
      </c>
      <c r="I103" s="20" t="s">
        <v>527</v>
      </c>
      <c r="J103" s="21" t="s">
        <v>528</v>
      </c>
      <c r="K103" s="22" t="s">
        <v>529</v>
      </c>
      <c r="L103" s="22" t="s">
        <v>530</v>
      </c>
      <c r="M103" s="17">
        <v>2022.0</v>
      </c>
      <c r="N103" s="17">
        <v>25.0</v>
      </c>
      <c r="O103" s="23">
        <v>720.0</v>
      </c>
      <c r="P103" s="24">
        <f t="shared" si="1"/>
        <v>2016</v>
      </c>
      <c r="Q103" s="25">
        <v>8.0</v>
      </c>
      <c r="R103" s="17">
        <v>2.0</v>
      </c>
      <c r="S103" s="26">
        <v>3.0</v>
      </c>
      <c r="T103" s="17">
        <v>6.0</v>
      </c>
      <c r="U103" s="17">
        <v>6.0</v>
      </c>
      <c r="V103" s="17" t="s">
        <v>75</v>
      </c>
      <c r="W103" s="28" t="s">
        <v>76</v>
      </c>
      <c r="X103" s="28" t="s">
        <v>78</v>
      </c>
      <c r="Y103" s="24">
        <v>10.0</v>
      </c>
      <c r="Z103" s="17">
        <v>150.0</v>
      </c>
      <c r="AA103" s="17">
        <v>576.0</v>
      </c>
      <c r="AB103" s="17">
        <v>31.0</v>
      </c>
      <c r="AC103" s="20">
        <f t="shared" si="2"/>
        <v>142848</v>
      </c>
      <c r="AD103" s="30">
        <f t="shared" si="3"/>
        <v>32.24</v>
      </c>
      <c r="AE103" s="30">
        <f t="shared" si="4"/>
        <v>64995.84</v>
      </c>
      <c r="AF103" s="30">
        <f t="shared" si="5"/>
        <v>492.339202</v>
      </c>
      <c r="AG103" s="34">
        <v>1.0</v>
      </c>
      <c r="AH103" s="36"/>
      <c r="AI103" s="30">
        <f t="shared" si="6"/>
        <v>3278.688525</v>
      </c>
      <c r="AJ103" s="17">
        <v>4000.0</v>
      </c>
      <c r="AK103" s="30">
        <f t="shared" si="7"/>
        <v>26229.5082</v>
      </c>
      <c r="AL103" s="20">
        <f t="shared" si="8"/>
        <v>32000</v>
      </c>
    </row>
    <row r="104">
      <c r="A104" s="16" t="s">
        <v>531</v>
      </c>
      <c r="B104" s="17" t="s">
        <v>17</v>
      </c>
      <c r="C104" s="17" t="s">
        <v>19</v>
      </c>
      <c r="D104" s="17" t="s">
        <v>101</v>
      </c>
      <c r="E104" s="17" t="s">
        <v>102</v>
      </c>
      <c r="F104" s="17" t="s">
        <v>103</v>
      </c>
      <c r="G104" s="19">
        <v>46107.0</v>
      </c>
      <c r="H104" s="17" t="s">
        <v>104</v>
      </c>
      <c r="I104" s="20" t="s">
        <v>532</v>
      </c>
      <c r="J104" s="21" t="s">
        <v>533</v>
      </c>
      <c r="K104" s="22" t="s">
        <v>534</v>
      </c>
      <c r="L104" s="22" t="s">
        <v>535</v>
      </c>
      <c r="M104" s="17">
        <v>2014.0</v>
      </c>
      <c r="N104" s="17">
        <v>17.0</v>
      </c>
      <c r="O104" s="23">
        <v>75.0</v>
      </c>
      <c r="P104" s="24">
        <f t="shared" si="1"/>
        <v>210</v>
      </c>
      <c r="Q104" s="25">
        <v>2.0</v>
      </c>
      <c r="R104" s="17">
        <v>0.0</v>
      </c>
      <c r="S104" s="26">
        <v>1.0</v>
      </c>
      <c r="T104" s="17">
        <v>2.0</v>
      </c>
      <c r="U104" s="17">
        <v>2.0</v>
      </c>
      <c r="V104" s="17" t="s">
        <v>75</v>
      </c>
      <c r="W104" s="28" t="s">
        <v>76</v>
      </c>
      <c r="X104" s="28" t="s">
        <v>78</v>
      </c>
      <c r="Y104" s="24">
        <v>10.0</v>
      </c>
      <c r="Z104" s="17">
        <v>150.0</v>
      </c>
      <c r="AA104" s="17">
        <v>576.0</v>
      </c>
      <c r="AB104" s="17">
        <v>31.0</v>
      </c>
      <c r="AC104" s="20">
        <f t="shared" si="2"/>
        <v>35712</v>
      </c>
      <c r="AD104" s="30">
        <f t="shared" si="3"/>
        <v>18.26933333</v>
      </c>
      <c r="AE104" s="30">
        <f t="shared" si="4"/>
        <v>3836.56</v>
      </c>
      <c r="AF104" s="30">
        <f t="shared" si="5"/>
        <v>2085.201326</v>
      </c>
      <c r="AG104" s="34">
        <v>1.0</v>
      </c>
      <c r="AH104" s="36"/>
      <c r="AI104" s="30">
        <f t="shared" si="6"/>
        <v>3278.688525</v>
      </c>
      <c r="AJ104" s="17">
        <v>4000.0</v>
      </c>
      <c r="AK104" s="30">
        <f t="shared" si="7"/>
        <v>6557.377049</v>
      </c>
      <c r="AL104" s="20">
        <f t="shared" si="8"/>
        <v>8000</v>
      </c>
    </row>
    <row r="105">
      <c r="A105" s="16" t="s">
        <v>536</v>
      </c>
      <c r="B105" s="17" t="s">
        <v>17</v>
      </c>
      <c r="C105" s="17" t="s">
        <v>19</v>
      </c>
      <c r="D105" s="17" t="s">
        <v>61</v>
      </c>
      <c r="E105" s="17" t="s">
        <v>110</v>
      </c>
      <c r="F105" s="17" t="s">
        <v>103</v>
      </c>
      <c r="G105" s="19">
        <v>46111.0</v>
      </c>
      <c r="H105" s="17" t="s">
        <v>104</v>
      </c>
      <c r="I105" s="20" t="s">
        <v>537</v>
      </c>
      <c r="J105" s="21" t="s">
        <v>538</v>
      </c>
      <c r="K105" s="22" t="s">
        <v>539</v>
      </c>
      <c r="L105" s="22" t="s">
        <v>540</v>
      </c>
      <c r="M105" s="17">
        <v>2022.0</v>
      </c>
      <c r="N105" s="17">
        <v>19.0</v>
      </c>
      <c r="O105" s="23">
        <v>118.0</v>
      </c>
      <c r="P105" s="24">
        <f t="shared" si="1"/>
        <v>330.4</v>
      </c>
      <c r="Q105" s="25">
        <v>2.0</v>
      </c>
      <c r="R105" s="17">
        <v>0.0</v>
      </c>
      <c r="S105" s="26">
        <v>1.0</v>
      </c>
      <c r="T105" s="17">
        <v>2.0</v>
      </c>
      <c r="U105" s="17">
        <v>2.0</v>
      </c>
      <c r="V105" s="17" t="s">
        <v>75</v>
      </c>
      <c r="W105" s="28" t="s">
        <v>76</v>
      </c>
      <c r="X105" s="28" t="s">
        <v>78</v>
      </c>
      <c r="Y105" s="24">
        <v>10.0</v>
      </c>
      <c r="Z105" s="17">
        <v>150.0</v>
      </c>
      <c r="AA105" s="17">
        <v>576.0</v>
      </c>
      <c r="AB105" s="17">
        <v>31.0</v>
      </c>
      <c r="AC105" s="20">
        <f t="shared" si="2"/>
        <v>35712</v>
      </c>
      <c r="AD105" s="30">
        <f t="shared" si="3"/>
        <v>20.41866667</v>
      </c>
      <c r="AE105" s="30">
        <f t="shared" si="4"/>
        <v>6746.327467</v>
      </c>
      <c r="AF105" s="30">
        <f t="shared" si="5"/>
        <v>1185.830371</v>
      </c>
      <c r="AG105" s="34">
        <v>1.0</v>
      </c>
      <c r="AH105" s="36"/>
      <c r="AI105" s="30">
        <f t="shared" si="6"/>
        <v>3278.688525</v>
      </c>
      <c r="AJ105" s="17">
        <v>4000.0</v>
      </c>
      <c r="AK105" s="30">
        <f t="shared" si="7"/>
        <v>6557.377049</v>
      </c>
      <c r="AL105" s="20">
        <f t="shared" si="8"/>
        <v>8000</v>
      </c>
    </row>
    <row r="106">
      <c r="A106" s="16" t="s">
        <v>536</v>
      </c>
      <c r="B106" s="17" t="s">
        <v>17</v>
      </c>
      <c r="C106" s="17" t="s">
        <v>19</v>
      </c>
      <c r="D106" s="17" t="s">
        <v>61</v>
      </c>
      <c r="E106" s="17" t="s">
        <v>110</v>
      </c>
      <c r="F106" s="17" t="s">
        <v>103</v>
      </c>
      <c r="G106" s="19">
        <v>46111.0</v>
      </c>
      <c r="H106" s="17" t="s">
        <v>104</v>
      </c>
      <c r="I106" s="20" t="s">
        <v>537</v>
      </c>
      <c r="J106" s="21" t="s">
        <v>541</v>
      </c>
      <c r="K106" s="22" t="s">
        <v>542</v>
      </c>
      <c r="L106" s="22" t="s">
        <v>543</v>
      </c>
      <c r="M106" s="17">
        <v>2024.0</v>
      </c>
      <c r="N106" s="17">
        <v>20.0</v>
      </c>
      <c r="O106" s="23">
        <v>139.0</v>
      </c>
      <c r="P106" s="24">
        <f t="shared" si="1"/>
        <v>389.2</v>
      </c>
      <c r="Q106" s="25">
        <v>2.0</v>
      </c>
      <c r="R106" s="17">
        <v>0.0</v>
      </c>
      <c r="S106" s="26">
        <v>1.0</v>
      </c>
      <c r="T106" s="17">
        <v>2.0</v>
      </c>
      <c r="U106" s="17">
        <v>2.0</v>
      </c>
      <c r="V106" s="17" t="s">
        <v>130</v>
      </c>
      <c r="W106" s="28" t="s">
        <v>76</v>
      </c>
      <c r="X106" s="28" t="s">
        <v>78</v>
      </c>
      <c r="Y106" s="24">
        <v>10.0</v>
      </c>
      <c r="Z106" s="17">
        <v>150.0</v>
      </c>
      <c r="AA106" s="17">
        <v>576.0</v>
      </c>
      <c r="AB106" s="17">
        <v>31.0</v>
      </c>
      <c r="AC106" s="20">
        <f t="shared" si="2"/>
        <v>35712</v>
      </c>
      <c r="AD106" s="30">
        <f t="shared" si="3"/>
        <v>21.49333333</v>
      </c>
      <c r="AE106" s="30">
        <f t="shared" si="4"/>
        <v>8365.205333</v>
      </c>
      <c r="AF106" s="30">
        <f t="shared" si="5"/>
        <v>956.3423349</v>
      </c>
      <c r="AG106" s="34">
        <v>1.0</v>
      </c>
      <c r="AH106" s="36"/>
      <c r="AI106" s="30">
        <f t="shared" si="6"/>
        <v>3278.688525</v>
      </c>
      <c r="AJ106" s="17">
        <v>4000.0</v>
      </c>
      <c r="AK106" s="30">
        <f t="shared" si="7"/>
        <v>6557.377049</v>
      </c>
      <c r="AL106" s="20">
        <f t="shared" si="8"/>
        <v>8000</v>
      </c>
    </row>
    <row r="107">
      <c r="A107" s="16" t="s">
        <v>544</v>
      </c>
      <c r="B107" s="17" t="s">
        <v>17</v>
      </c>
      <c r="C107" s="17" t="s">
        <v>19</v>
      </c>
      <c r="D107" s="17" t="s">
        <v>101</v>
      </c>
      <c r="E107" s="17" t="s">
        <v>110</v>
      </c>
      <c r="F107" s="17" t="s">
        <v>103</v>
      </c>
      <c r="G107" s="19">
        <v>46111.0</v>
      </c>
      <c r="H107" s="17" t="s">
        <v>104</v>
      </c>
      <c r="I107" s="20" t="s">
        <v>545</v>
      </c>
      <c r="J107" s="21" t="s">
        <v>546</v>
      </c>
      <c r="K107" s="22" t="s">
        <v>547</v>
      </c>
      <c r="L107" s="22" t="s">
        <v>548</v>
      </c>
      <c r="M107" s="17">
        <v>2012.0</v>
      </c>
      <c r="N107" s="17">
        <v>10.0</v>
      </c>
      <c r="O107" s="23">
        <v>183.0</v>
      </c>
      <c r="P107" s="24">
        <f t="shared" si="1"/>
        <v>512.4</v>
      </c>
      <c r="Q107" s="25">
        <v>4.0</v>
      </c>
      <c r="R107" s="17">
        <v>0.0</v>
      </c>
      <c r="S107" s="26">
        <v>4.0</v>
      </c>
      <c r="T107" s="17">
        <v>4.0</v>
      </c>
      <c r="U107" s="17">
        <v>4.0</v>
      </c>
      <c r="V107" s="17" t="s">
        <v>130</v>
      </c>
      <c r="W107" s="28" t="s">
        <v>76</v>
      </c>
      <c r="X107" s="28" t="s">
        <v>78</v>
      </c>
      <c r="Y107" s="24">
        <v>10.0</v>
      </c>
      <c r="Z107" s="17">
        <v>150.0</v>
      </c>
      <c r="AA107" s="17">
        <v>576.0</v>
      </c>
      <c r="AB107" s="17">
        <v>31.0</v>
      </c>
      <c r="AC107" s="20">
        <f t="shared" si="2"/>
        <v>71424</v>
      </c>
      <c r="AD107" s="30">
        <f t="shared" si="3"/>
        <v>10.74666667</v>
      </c>
      <c r="AE107" s="30">
        <f t="shared" si="4"/>
        <v>5506.592</v>
      </c>
      <c r="AF107" s="30">
        <f t="shared" si="5"/>
        <v>2905.608405</v>
      </c>
      <c r="AG107" s="34">
        <v>1.0</v>
      </c>
      <c r="AH107" s="36"/>
      <c r="AI107" s="30">
        <f t="shared" si="6"/>
        <v>3278.688525</v>
      </c>
      <c r="AJ107" s="17">
        <v>4000.0</v>
      </c>
      <c r="AK107" s="30">
        <f t="shared" si="7"/>
        <v>13114.7541</v>
      </c>
      <c r="AL107" s="20">
        <f t="shared" si="8"/>
        <v>16000</v>
      </c>
    </row>
    <row r="108">
      <c r="A108" s="16" t="s">
        <v>544</v>
      </c>
      <c r="B108" s="17" t="s">
        <v>17</v>
      </c>
      <c r="C108" s="17" t="s">
        <v>19</v>
      </c>
      <c r="D108" s="17" t="s">
        <v>101</v>
      </c>
      <c r="E108" s="17" t="s">
        <v>110</v>
      </c>
      <c r="F108" s="17" t="s">
        <v>103</v>
      </c>
      <c r="G108" s="19">
        <v>46111.0</v>
      </c>
      <c r="H108" s="17" t="s">
        <v>104</v>
      </c>
      <c r="I108" s="20" t="s">
        <v>545</v>
      </c>
      <c r="J108" s="21" t="s">
        <v>549</v>
      </c>
      <c r="K108" s="22" t="s">
        <v>550</v>
      </c>
      <c r="L108" s="22" t="s">
        <v>551</v>
      </c>
      <c r="M108" s="17">
        <v>2014.0</v>
      </c>
      <c r="N108" s="17">
        <v>10.0</v>
      </c>
      <c r="O108" s="23">
        <v>104.0</v>
      </c>
      <c r="P108" s="24">
        <f t="shared" si="1"/>
        <v>291.2</v>
      </c>
      <c r="Q108" s="25">
        <v>3.0</v>
      </c>
      <c r="R108" s="17">
        <v>0.0</v>
      </c>
      <c r="S108" s="26">
        <v>3.0</v>
      </c>
      <c r="T108" s="17">
        <v>3.0</v>
      </c>
      <c r="U108" s="17">
        <v>3.0</v>
      </c>
      <c r="V108" s="17" t="s">
        <v>130</v>
      </c>
      <c r="W108" s="28" t="s">
        <v>76</v>
      </c>
      <c r="X108" s="28" t="s">
        <v>78</v>
      </c>
      <c r="Y108" s="24">
        <v>10.0</v>
      </c>
      <c r="Z108" s="17">
        <v>150.0</v>
      </c>
      <c r="AA108" s="17">
        <v>576.0</v>
      </c>
      <c r="AB108" s="17">
        <v>31.0</v>
      </c>
      <c r="AC108" s="20">
        <f t="shared" si="2"/>
        <v>53568</v>
      </c>
      <c r="AD108" s="30">
        <f t="shared" si="3"/>
        <v>10.74666667</v>
      </c>
      <c r="AE108" s="30">
        <f t="shared" si="4"/>
        <v>3129.429333</v>
      </c>
      <c r="AF108" s="30">
        <f t="shared" si="5"/>
        <v>3834.564939</v>
      </c>
      <c r="AG108" s="34">
        <v>1.0</v>
      </c>
      <c r="AH108" s="36"/>
      <c r="AI108" s="30">
        <f t="shared" si="6"/>
        <v>3278.688525</v>
      </c>
      <c r="AJ108" s="17">
        <v>4000.0</v>
      </c>
      <c r="AK108" s="30">
        <f t="shared" si="7"/>
        <v>9836.065574</v>
      </c>
      <c r="AL108" s="20">
        <f t="shared" si="8"/>
        <v>12000</v>
      </c>
    </row>
    <row r="109">
      <c r="A109" s="16" t="s">
        <v>552</v>
      </c>
      <c r="B109" s="17" t="s">
        <v>17</v>
      </c>
      <c r="C109" s="17" t="s">
        <v>19</v>
      </c>
      <c r="D109" s="17" t="s">
        <v>123</v>
      </c>
      <c r="E109" s="17" t="s">
        <v>117</v>
      </c>
      <c r="F109" s="17" t="s">
        <v>103</v>
      </c>
      <c r="G109" s="19">
        <v>46132.0</v>
      </c>
      <c r="H109" s="17" t="s">
        <v>104</v>
      </c>
      <c r="I109" s="17" t="s">
        <v>553</v>
      </c>
      <c r="J109" s="21" t="s">
        <v>554</v>
      </c>
      <c r="K109" s="22" t="s">
        <v>555</v>
      </c>
      <c r="L109" s="22" t="s">
        <v>556</v>
      </c>
      <c r="M109" s="17">
        <v>2019.0</v>
      </c>
      <c r="N109" s="17">
        <v>17.0</v>
      </c>
      <c r="O109" s="23">
        <v>136.0</v>
      </c>
      <c r="P109" s="24">
        <f t="shared" si="1"/>
        <v>380.8</v>
      </c>
      <c r="Q109" s="25">
        <v>1.0</v>
      </c>
      <c r="R109" s="17">
        <v>0.0</v>
      </c>
      <c r="S109" s="26">
        <v>1.0</v>
      </c>
      <c r="T109" s="17">
        <v>1.0</v>
      </c>
      <c r="U109" s="17">
        <v>2.0</v>
      </c>
      <c r="V109" s="17" t="s">
        <v>130</v>
      </c>
      <c r="W109" s="28" t="s">
        <v>76</v>
      </c>
      <c r="X109" s="28" t="s">
        <v>78</v>
      </c>
      <c r="Y109" s="24">
        <v>10.0</v>
      </c>
      <c r="Z109" s="17">
        <v>150.0</v>
      </c>
      <c r="AA109" s="17">
        <v>576.0</v>
      </c>
      <c r="AB109" s="17">
        <v>31.0</v>
      </c>
      <c r="AC109" s="20">
        <f t="shared" si="2"/>
        <v>17856</v>
      </c>
      <c r="AD109" s="30">
        <f t="shared" si="3"/>
        <v>9.134666667</v>
      </c>
      <c r="AE109" s="30">
        <f t="shared" si="4"/>
        <v>3478.481067</v>
      </c>
      <c r="AF109" s="30">
        <f t="shared" si="5"/>
        <v>1149.927202</v>
      </c>
      <c r="AG109" s="34">
        <v>1.0</v>
      </c>
      <c r="AH109" s="36"/>
      <c r="AI109" s="30">
        <f t="shared" si="6"/>
        <v>3278.688525</v>
      </c>
      <c r="AJ109" s="17">
        <v>4000.0</v>
      </c>
      <c r="AK109" s="30">
        <f t="shared" si="7"/>
        <v>3278.688525</v>
      </c>
      <c r="AL109" s="20">
        <f t="shared" si="8"/>
        <v>4000</v>
      </c>
    </row>
    <row r="110">
      <c r="A110" s="16" t="s">
        <v>557</v>
      </c>
      <c r="B110" s="17" t="s">
        <v>17</v>
      </c>
      <c r="C110" s="17" t="s">
        <v>19</v>
      </c>
      <c r="D110" s="17" t="s">
        <v>123</v>
      </c>
      <c r="E110" s="17" t="s">
        <v>117</v>
      </c>
      <c r="F110" s="17" t="s">
        <v>103</v>
      </c>
      <c r="G110" s="19">
        <v>46132.0</v>
      </c>
      <c r="H110" s="17" t="s">
        <v>104</v>
      </c>
      <c r="I110" s="17" t="s">
        <v>553</v>
      </c>
      <c r="J110" s="21" t="s">
        <v>558</v>
      </c>
      <c r="K110" s="22" t="s">
        <v>559</v>
      </c>
      <c r="L110" s="22" t="s">
        <v>560</v>
      </c>
      <c r="M110" s="17">
        <v>2021.0</v>
      </c>
      <c r="N110" s="17">
        <v>17.0</v>
      </c>
      <c r="O110" s="23">
        <v>269.0</v>
      </c>
      <c r="P110" s="24">
        <f t="shared" si="1"/>
        <v>753.2</v>
      </c>
      <c r="Q110" s="25">
        <v>3.0</v>
      </c>
      <c r="R110" s="17">
        <v>0.0</v>
      </c>
      <c r="S110" s="26">
        <v>3.0</v>
      </c>
      <c r="T110" s="17">
        <v>3.0</v>
      </c>
      <c r="U110" s="17">
        <v>6.0</v>
      </c>
      <c r="V110" s="17" t="s">
        <v>130</v>
      </c>
      <c r="W110" s="28" t="s">
        <v>76</v>
      </c>
      <c r="X110" s="28" t="s">
        <v>78</v>
      </c>
      <c r="Y110" s="24">
        <v>10.0</v>
      </c>
      <c r="Z110" s="17">
        <v>150.0</v>
      </c>
      <c r="AA110" s="17">
        <v>576.0</v>
      </c>
      <c r="AB110" s="17">
        <v>31.0</v>
      </c>
      <c r="AC110" s="20">
        <f t="shared" si="2"/>
        <v>53568</v>
      </c>
      <c r="AD110" s="30">
        <f t="shared" si="3"/>
        <v>9.134666667</v>
      </c>
      <c r="AE110" s="30">
        <f t="shared" si="4"/>
        <v>6880.230933</v>
      </c>
      <c r="AF110" s="30">
        <f t="shared" si="5"/>
        <v>1744.127503</v>
      </c>
      <c r="AG110" s="34">
        <v>1.0</v>
      </c>
      <c r="AH110" s="36"/>
      <c r="AI110" s="30">
        <f t="shared" si="6"/>
        <v>3278.688525</v>
      </c>
      <c r="AJ110" s="17">
        <v>4000.0</v>
      </c>
      <c r="AK110" s="30">
        <f t="shared" si="7"/>
        <v>9836.065574</v>
      </c>
      <c r="AL110" s="20">
        <f t="shared" si="8"/>
        <v>12000</v>
      </c>
    </row>
    <row r="111">
      <c r="A111" s="16" t="s">
        <v>561</v>
      </c>
      <c r="B111" s="17" t="s">
        <v>17</v>
      </c>
      <c r="C111" s="17" t="s">
        <v>19</v>
      </c>
      <c r="D111" s="17" t="s">
        <v>123</v>
      </c>
      <c r="E111" s="17" t="s">
        <v>117</v>
      </c>
      <c r="F111" s="17" t="s">
        <v>103</v>
      </c>
      <c r="G111" s="19">
        <v>46132.0</v>
      </c>
      <c r="H111" s="17" t="s">
        <v>104</v>
      </c>
      <c r="I111" s="17" t="s">
        <v>562</v>
      </c>
      <c r="J111" s="21" t="s">
        <v>563</v>
      </c>
      <c r="K111" s="22" t="s">
        <v>555</v>
      </c>
      <c r="L111" s="22" t="s">
        <v>564</v>
      </c>
      <c r="M111" s="17">
        <v>2020.0</v>
      </c>
      <c r="N111" s="17">
        <v>17.0</v>
      </c>
      <c r="O111" s="23">
        <v>439.0</v>
      </c>
      <c r="P111" s="24">
        <f t="shared" si="1"/>
        <v>1229.2</v>
      </c>
      <c r="Q111" s="25">
        <v>8.0</v>
      </c>
      <c r="R111" s="17">
        <v>0.0</v>
      </c>
      <c r="S111" s="26">
        <v>8.0</v>
      </c>
      <c r="T111" s="17">
        <v>8.0</v>
      </c>
      <c r="U111" s="17">
        <v>16.0</v>
      </c>
      <c r="V111" s="17" t="s">
        <v>130</v>
      </c>
      <c r="W111" s="28" t="s">
        <v>76</v>
      </c>
      <c r="X111" s="28" t="s">
        <v>78</v>
      </c>
      <c r="Y111" s="24">
        <v>10.0</v>
      </c>
      <c r="Z111" s="17">
        <v>150.0</v>
      </c>
      <c r="AA111" s="17">
        <v>576.0</v>
      </c>
      <c r="AB111" s="17">
        <v>31.0</v>
      </c>
      <c r="AC111" s="20">
        <f t="shared" si="2"/>
        <v>142848</v>
      </c>
      <c r="AD111" s="30">
        <f t="shared" si="3"/>
        <v>9.134666667</v>
      </c>
      <c r="AE111" s="30">
        <f t="shared" si="4"/>
        <v>11228.33227</v>
      </c>
      <c r="AF111" s="30">
        <f t="shared" si="5"/>
        <v>2849.933475</v>
      </c>
      <c r="AG111" s="34">
        <v>1.0</v>
      </c>
      <c r="AH111" s="36"/>
      <c r="AI111" s="30">
        <f t="shared" si="6"/>
        <v>3278.688525</v>
      </c>
      <c r="AJ111" s="17">
        <v>4000.0</v>
      </c>
      <c r="AK111" s="30">
        <f t="shared" si="7"/>
        <v>26229.5082</v>
      </c>
      <c r="AL111" s="20">
        <f t="shared" si="8"/>
        <v>32000</v>
      </c>
    </row>
    <row r="112">
      <c r="A112" s="16" t="s">
        <v>565</v>
      </c>
      <c r="B112" s="17" t="s">
        <v>17</v>
      </c>
      <c r="C112" s="17" t="s">
        <v>19</v>
      </c>
      <c r="D112" s="17" t="s">
        <v>101</v>
      </c>
      <c r="E112" s="17" t="s">
        <v>102</v>
      </c>
      <c r="F112" s="17" t="s">
        <v>103</v>
      </c>
      <c r="G112" s="19">
        <v>46132.0</v>
      </c>
      <c r="H112" s="17" t="s">
        <v>118</v>
      </c>
      <c r="I112" s="20" t="s">
        <v>566</v>
      </c>
      <c r="J112" s="21" t="s">
        <v>567</v>
      </c>
      <c r="K112" s="22" t="s">
        <v>568</v>
      </c>
      <c r="L112" s="22" t="s">
        <v>569</v>
      </c>
      <c r="M112" s="17">
        <v>2011.0</v>
      </c>
      <c r="N112" s="17">
        <v>17.0</v>
      </c>
      <c r="O112" s="23">
        <v>80.0</v>
      </c>
      <c r="P112" s="24">
        <f t="shared" si="1"/>
        <v>224</v>
      </c>
      <c r="Q112" s="25">
        <v>2.0</v>
      </c>
      <c r="R112" s="17">
        <v>0.0</v>
      </c>
      <c r="S112" s="26">
        <v>1.0</v>
      </c>
      <c r="T112" s="17">
        <v>2.0</v>
      </c>
      <c r="U112" s="17">
        <v>2.0</v>
      </c>
      <c r="V112" s="17" t="s">
        <v>130</v>
      </c>
      <c r="W112" s="28" t="s">
        <v>76</v>
      </c>
      <c r="X112" s="28" t="s">
        <v>78</v>
      </c>
      <c r="Y112" s="24">
        <v>10.0</v>
      </c>
      <c r="Z112" s="17">
        <v>150.0</v>
      </c>
      <c r="AA112" s="17">
        <v>576.0</v>
      </c>
      <c r="AB112" s="17">
        <v>31.0</v>
      </c>
      <c r="AC112" s="20">
        <f t="shared" si="2"/>
        <v>35712</v>
      </c>
      <c r="AD112" s="30">
        <f t="shared" si="3"/>
        <v>18.26933333</v>
      </c>
      <c r="AE112" s="30">
        <f t="shared" si="4"/>
        <v>4092.330667</v>
      </c>
      <c r="AF112" s="30">
        <f t="shared" si="5"/>
        <v>1954.876243</v>
      </c>
      <c r="AG112" s="34">
        <v>1.0</v>
      </c>
      <c r="AH112" s="36"/>
      <c r="AI112" s="30">
        <f t="shared" si="6"/>
        <v>3278.688525</v>
      </c>
      <c r="AJ112" s="17">
        <v>4000.0</v>
      </c>
      <c r="AK112" s="30">
        <f t="shared" si="7"/>
        <v>6557.377049</v>
      </c>
      <c r="AL112" s="20">
        <f t="shared" si="8"/>
        <v>8000</v>
      </c>
    </row>
    <row r="113">
      <c r="A113" s="16" t="s">
        <v>570</v>
      </c>
      <c r="B113" s="17" t="s">
        <v>17</v>
      </c>
      <c r="C113" s="17" t="s">
        <v>19</v>
      </c>
      <c r="D113" s="17" t="s">
        <v>123</v>
      </c>
      <c r="E113" s="17" t="s">
        <v>62</v>
      </c>
      <c r="F113" s="17" t="s">
        <v>63</v>
      </c>
      <c r="G113" s="19">
        <v>46136.0</v>
      </c>
      <c r="H113" s="17" t="s">
        <v>65</v>
      </c>
      <c r="I113" s="20" t="s">
        <v>571</v>
      </c>
      <c r="J113" s="21" t="s">
        <v>572</v>
      </c>
      <c r="K113" s="22" t="s">
        <v>573</v>
      </c>
      <c r="L113" s="22" t="s">
        <v>574</v>
      </c>
      <c r="M113" s="17">
        <v>2025.0</v>
      </c>
      <c r="N113" s="17">
        <v>25.0</v>
      </c>
      <c r="O113" s="23">
        <v>828.0</v>
      </c>
      <c r="P113" s="24">
        <f t="shared" si="1"/>
        <v>2318.4</v>
      </c>
      <c r="Q113" s="25">
        <v>8.0</v>
      </c>
      <c r="R113" s="17">
        <v>0.0</v>
      </c>
      <c r="S113" s="26">
        <v>1.0</v>
      </c>
      <c r="T113" s="17">
        <v>8.0</v>
      </c>
      <c r="U113" s="17">
        <v>4.0</v>
      </c>
      <c r="V113" s="17" t="s">
        <v>130</v>
      </c>
      <c r="W113" s="28" t="s">
        <v>76</v>
      </c>
      <c r="X113" s="28" t="s">
        <v>78</v>
      </c>
      <c r="Y113" s="24">
        <v>10.0</v>
      </c>
      <c r="Z113" s="17">
        <v>150.0</v>
      </c>
      <c r="AA113" s="17">
        <v>576.0</v>
      </c>
      <c r="AB113" s="17">
        <v>31.0</v>
      </c>
      <c r="AC113" s="20">
        <f t="shared" si="2"/>
        <v>142848</v>
      </c>
      <c r="AD113" s="30">
        <f t="shared" si="3"/>
        <v>53.73333333</v>
      </c>
      <c r="AE113" s="30">
        <f t="shared" si="4"/>
        <v>124575.36</v>
      </c>
      <c r="AF113" s="30">
        <f t="shared" si="5"/>
        <v>256.8726271</v>
      </c>
      <c r="AG113" s="34">
        <v>1.0</v>
      </c>
      <c r="AH113" s="36"/>
      <c r="AI113" s="30">
        <f t="shared" si="6"/>
        <v>3278.688525</v>
      </c>
      <c r="AJ113" s="17">
        <v>4000.0</v>
      </c>
      <c r="AK113" s="30">
        <f t="shared" si="7"/>
        <v>26229.5082</v>
      </c>
      <c r="AL113" s="20">
        <f t="shared" si="8"/>
        <v>32000</v>
      </c>
    </row>
    <row r="114">
      <c r="A114" s="16" t="s">
        <v>575</v>
      </c>
      <c r="B114" s="17" t="s">
        <v>17</v>
      </c>
      <c r="C114" s="17" t="s">
        <v>19</v>
      </c>
      <c r="D114" s="17" t="s">
        <v>162</v>
      </c>
      <c r="E114" s="17" t="s">
        <v>110</v>
      </c>
      <c r="F114" s="17" t="s">
        <v>103</v>
      </c>
      <c r="G114" s="19">
        <v>46141.0</v>
      </c>
      <c r="H114" s="17" t="s">
        <v>104</v>
      </c>
      <c r="I114" s="20" t="s">
        <v>576</v>
      </c>
      <c r="J114" s="21" t="s">
        <v>577</v>
      </c>
      <c r="K114" s="22" t="s">
        <v>578</v>
      </c>
      <c r="L114" s="22" t="s">
        <v>579</v>
      </c>
      <c r="M114" s="17">
        <v>2003.0</v>
      </c>
      <c r="N114" s="17">
        <v>9.0</v>
      </c>
      <c r="O114" s="23">
        <v>86.0</v>
      </c>
      <c r="P114" s="24">
        <f t="shared" si="1"/>
        <v>240.8</v>
      </c>
      <c r="Q114" s="25">
        <v>5.0</v>
      </c>
      <c r="R114" s="17">
        <v>0.0</v>
      </c>
      <c r="S114" s="26">
        <v>4.0</v>
      </c>
      <c r="T114" s="17">
        <v>5.0</v>
      </c>
      <c r="U114" s="17">
        <v>5.0</v>
      </c>
      <c r="V114" s="17" t="s">
        <v>130</v>
      </c>
      <c r="W114" s="28" t="s">
        <v>76</v>
      </c>
      <c r="X114" s="28" t="s">
        <v>78</v>
      </c>
      <c r="Y114" s="24">
        <v>10.0</v>
      </c>
      <c r="Z114" s="17">
        <v>150.0</v>
      </c>
      <c r="AA114" s="17">
        <v>576.0</v>
      </c>
      <c r="AB114" s="17">
        <v>31.0</v>
      </c>
      <c r="AC114" s="20">
        <f t="shared" si="2"/>
        <v>89280</v>
      </c>
      <c r="AD114" s="30">
        <f t="shared" si="3"/>
        <v>9.672</v>
      </c>
      <c r="AE114" s="30">
        <f t="shared" si="4"/>
        <v>2329.0176</v>
      </c>
      <c r="AF114" s="30">
        <f t="shared" si="5"/>
        <v>8587.311663</v>
      </c>
      <c r="AG114" s="34">
        <v>1.0</v>
      </c>
      <c r="AH114" s="36"/>
      <c r="AI114" s="30">
        <f t="shared" si="6"/>
        <v>3278.688525</v>
      </c>
      <c r="AJ114" s="17">
        <v>4000.0</v>
      </c>
      <c r="AK114" s="30">
        <f t="shared" si="7"/>
        <v>16393.44262</v>
      </c>
      <c r="AL114" s="20">
        <f t="shared" si="8"/>
        <v>20000</v>
      </c>
    </row>
    <row r="115">
      <c r="A115" s="16" t="s">
        <v>575</v>
      </c>
      <c r="B115" s="17" t="s">
        <v>17</v>
      </c>
      <c r="C115" s="17" t="s">
        <v>19</v>
      </c>
      <c r="D115" s="17" t="s">
        <v>162</v>
      </c>
      <c r="E115" s="17" t="s">
        <v>110</v>
      </c>
      <c r="F115" s="17" t="s">
        <v>103</v>
      </c>
      <c r="G115" s="19">
        <v>46141.0</v>
      </c>
      <c r="H115" s="17" t="s">
        <v>104</v>
      </c>
      <c r="I115" s="20" t="s">
        <v>576</v>
      </c>
      <c r="J115" s="21" t="s">
        <v>580</v>
      </c>
      <c r="K115" s="22" t="s">
        <v>581</v>
      </c>
      <c r="L115" s="22" t="s">
        <v>582</v>
      </c>
      <c r="M115" s="17">
        <v>2007.0</v>
      </c>
      <c r="N115" s="17">
        <v>14.0</v>
      </c>
      <c r="O115" s="23">
        <v>136.0</v>
      </c>
      <c r="P115" s="24">
        <f t="shared" si="1"/>
        <v>380.8</v>
      </c>
      <c r="Q115" s="25">
        <v>4.0</v>
      </c>
      <c r="R115" s="17">
        <v>0.0</v>
      </c>
      <c r="S115" s="26">
        <v>4.0</v>
      </c>
      <c r="T115" s="17">
        <v>4.0</v>
      </c>
      <c r="U115" s="17">
        <v>5.0</v>
      </c>
      <c r="V115" s="17" t="s">
        <v>130</v>
      </c>
      <c r="W115" s="28" t="s">
        <v>76</v>
      </c>
      <c r="X115" s="28" t="s">
        <v>78</v>
      </c>
      <c r="Y115" s="24">
        <v>10.0</v>
      </c>
      <c r="Z115" s="17">
        <v>150.0</v>
      </c>
      <c r="AA115" s="17">
        <v>576.0</v>
      </c>
      <c r="AB115" s="17">
        <v>31.0</v>
      </c>
      <c r="AC115" s="20">
        <f t="shared" si="2"/>
        <v>71424</v>
      </c>
      <c r="AD115" s="30">
        <f t="shared" si="3"/>
        <v>12.03626667</v>
      </c>
      <c r="AE115" s="30">
        <f t="shared" si="4"/>
        <v>4583.410347</v>
      </c>
      <c r="AF115" s="30">
        <f t="shared" si="5"/>
        <v>3490.850434</v>
      </c>
      <c r="AG115" s="34">
        <v>1.0</v>
      </c>
      <c r="AH115" s="36"/>
      <c r="AI115" s="30">
        <f t="shared" si="6"/>
        <v>3278.688525</v>
      </c>
      <c r="AJ115" s="17">
        <v>4000.0</v>
      </c>
      <c r="AK115" s="30">
        <f t="shared" si="7"/>
        <v>13114.7541</v>
      </c>
      <c r="AL115" s="20">
        <f t="shared" si="8"/>
        <v>16000</v>
      </c>
    </row>
    <row r="116">
      <c r="A116" s="16" t="s">
        <v>583</v>
      </c>
      <c r="B116" s="17" t="s">
        <v>17</v>
      </c>
      <c r="C116" s="17" t="s">
        <v>19</v>
      </c>
      <c r="D116" s="17" t="s">
        <v>61</v>
      </c>
      <c r="E116" s="17" t="s">
        <v>110</v>
      </c>
      <c r="F116" s="17" t="s">
        <v>103</v>
      </c>
      <c r="G116" s="19">
        <v>46141.0</v>
      </c>
      <c r="H116" s="17" t="s">
        <v>104</v>
      </c>
      <c r="I116" s="20" t="s">
        <v>584</v>
      </c>
      <c r="J116" s="21" t="s">
        <v>585</v>
      </c>
      <c r="K116" s="22" t="s">
        <v>586</v>
      </c>
      <c r="L116" s="22" t="s">
        <v>587</v>
      </c>
      <c r="M116" s="17">
        <v>2002.0</v>
      </c>
      <c r="N116" s="17">
        <v>11.0</v>
      </c>
      <c r="O116" s="23">
        <v>62.0</v>
      </c>
      <c r="P116" s="24">
        <f t="shared" si="1"/>
        <v>173.6</v>
      </c>
      <c r="Q116" s="25">
        <v>2.0</v>
      </c>
      <c r="R116" s="17">
        <v>0.0</v>
      </c>
      <c r="S116" s="26">
        <v>2.0</v>
      </c>
      <c r="T116" s="17">
        <v>2.0</v>
      </c>
      <c r="U116" s="17">
        <v>4.0</v>
      </c>
      <c r="V116" s="17" t="s">
        <v>130</v>
      </c>
      <c r="W116" s="28" t="s">
        <v>76</v>
      </c>
      <c r="X116" s="28" t="s">
        <v>78</v>
      </c>
      <c r="Y116" s="24">
        <v>10.0</v>
      </c>
      <c r="Z116" s="17">
        <v>150.0</v>
      </c>
      <c r="AA116" s="17">
        <v>576.0</v>
      </c>
      <c r="AB116" s="17">
        <v>31.0</v>
      </c>
      <c r="AC116" s="20">
        <f t="shared" si="2"/>
        <v>35712</v>
      </c>
      <c r="AD116" s="30">
        <f t="shared" si="3"/>
        <v>5.910666667</v>
      </c>
      <c r="AE116" s="30">
        <f t="shared" si="4"/>
        <v>1026.091733</v>
      </c>
      <c r="AF116" s="30">
        <f t="shared" si="5"/>
        <v>7796.573874</v>
      </c>
      <c r="AG116" s="34">
        <v>1.0</v>
      </c>
      <c r="AH116" s="36"/>
      <c r="AI116" s="30">
        <f t="shared" si="6"/>
        <v>3278.688525</v>
      </c>
      <c r="AJ116" s="17">
        <v>4000.0</v>
      </c>
      <c r="AK116" s="30">
        <f t="shared" si="7"/>
        <v>6557.377049</v>
      </c>
      <c r="AL116" s="20">
        <f t="shared" si="8"/>
        <v>8000</v>
      </c>
    </row>
    <row r="117">
      <c r="A117" s="16" t="s">
        <v>588</v>
      </c>
      <c r="B117" s="17" t="s">
        <v>17</v>
      </c>
      <c r="C117" s="17" t="s">
        <v>19</v>
      </c>
      <c r="D117" s="17" t="s">
        <v>61</v>
      </c>
      <c r="E117" s="17" t="s">
        <v>110</v>
      </c>
      <c r="F117" s="17" t="s">
        <v>103</v>
      </c>
      <c r="G117" s="19">
        <v>46142.0</v>
      </c>
      <c r="H117" s="17" t="s">
        <v>104</v>
      </c>
      <c r="I117" s="20" t="s">
        <v>589</v>
      </c>
      <c r="J117" s="21" t="s">
        <v>590</v>
      </c>
      <c r="K117" s="22" t="s">
        <v>591</v>
      </c>
      <c r="L117" s="22" t="s">
        <v>592</v>
      </c>
      <c r="M117" s="17">
        <v>2001.0</v>
      </c>
      <c r="N117" s="17">
        <v>15.0</v>
      </c>
      <c r="O117" s="23">
        <v>41.0</v>
      </c>
      <c r="P117" s="24">
        <f t="shared" si="1"/>
        <v>114.8</v>
      </c>
      <c r="Q117" s="25">
        <v>2.0</v>
      </c>
      <c r="R117" s="17">
        <v>0.0</v>
      </c>
      <c r="S117" s="26">
        <v>1.0</v>
      </c>
      <c r="T117" s="17">
        <v>2.0</v>
      </c>
      <c r="U117" s="17">
        <v>2.0</v>
      </c>
      <c r="V117" s="17" t="s">
        <v>130</v>
      </c>
      <c r="W117" s="28" t="s">
        <v>76</v>
      </c>
      <c r="X117" s="28" t="s">
        <v>78</v>
      </c>
      <c r="Y117" s="24">
        <v>10.0</v>
      </c>
      <c r="Z117" s="17">
        <v>150.0</v>
      </c>
      <c r="AA117" s="17">
        <v>576.0</v>
      </c>
      <c r="AB117" s="17">
        <v>31.0</v>
      </c>
      <c r="AC117" s="20">
        <f t="shared" si="2"/>
        <v>35712</v>
      </c>
      <c r="AD117" s="30">
        <f t="shared" si="3"/>
        <v>16.12</v>
      </c>
      <c r="AE117" s="30">
        <f t="shared" si="4"/>
        <v>1850.576</v>
      </c>
      <c r="AF117" s="30">
        <f t="shared" si="5"/>
        <v>4322.978359</v>
      </c>
      <c r="AG117" s="34">
        <v>1.0</v>
      </c>
      <c r="AH117" s="36"/>
      <c r="AI117" s="30">
        <f t="shared" si="6"/>
        <v>3278.688525</v>
      </c>
      <c r="AJ117" s="17">
        <v>4000.0</v>
      </c>
      <c r="AK117" s="30">
        <f t="shared" si="7"/>
        <v>6557.377049</v>
      </c>
      <c r="AL117" s="20">
        <f t="shared" si="8"/>
        <v>8000</v>
      </c>
    </row>
    <row r="118">
      <c r="A118" s="16" t="s">
        <v>588</v>
      </c>
      <c r="B118" s="17" t="s">
        <v>17</v>
      </c>
      <c r="C118" s="17" t="s">
        <v>19</v>
      </c>
      <c r="D118" s="17" t="s">
        <v>61</v>
      </c>
      <c r="E118" s="17" t="s">
        <v>110</v>
      </c>
      <c r="F118" s="17" t="s">
        <v>103</v>
      </c>
      <c r="G118" s="19">
        <v>46142.0</v>
      </c>
      <c r="H118" s="17" t="s">
        <v>104</v>
      </c>
      <c r="I118" s="20" t="s">
        <v>589</v>
      </c>
      <c r="J118" s="21" t="s">
        <v>593</v>
      </c>
      <c r="K118" s="22" t="s">
        <v>594</v>
      </c>
      <c r="L118" s="22" t="s">
        <v>595</v>
      </c>
      <c r="M118" s="17">
        <v>2016.0</v>
      </c>
      <c r="N118" s="17">
        <v>20.0</v>
      </c>
      <c r="O118" s="23">
        <v>114.0</v>
      </c>
      <c r="P118" s="24">
        <f t="shared" si="1"/>
        <v>319.2</v>
      </c>
      <c r="Q118" s="25">
        <v>2.0</v>
      </c>
      <c r="R118" s="17">
        <v>0.0</v>
      </c>
      <c r="S118" s="26">
        <v>1.0</v>
      </c>
      <c r="T118" s="17">
        <v>2.0</v>
      </c>
      <c r="U118" s="17">
        <v>2.0</v>
      </c>
      <c r="V118" s="17" t="s">
        <v>130</v>
      </c>
      <c r="W118" s="28" t="s">
        <v>76</v>
      </c>
      <c r="X118" s="28" t="s">
        <v>78</v>
      </c>
      <c r="Y118" s="24">
        <v>10.0</v>
      </c>
      <c r="Z118" s="17">
        <v>150.0</v>
      </c>
      <c r="AA118" s="17">
        <v>576.0</v>
      </c>
      <c r="AB118" s="17">
        <v>31.0</v>
      </c>
      <c r="AC118" s="20">
        <f t="shared" si="2"/>
        <v>35712</v>
      </c>
      <c r="AD118" s="30">
        <f t="shared" si="3"/>
        <v>21.49333333</v>
      </c>
      <c r="AE118" s="30">
        <f t="shared" si="4"/>
        <v>6860.672</v>
      </c>
      <c r="AF118" s="30">
        <f t="shared" si="5"/>
        <v>1166.066531</v>
      </c>
      <c r="AG118" s="34">
        <v>1.0</v>
      </c>
      <c r="AH118" s="36"/>
      <c r="AI118" s="30">
        <f t="shared" si="6"/>
        <v>3278.688525</v>
      </c>
      <c r="AJ118" s="17">
        <v>4000.0</v>
      </c>
      <c r="AK118" s="30">
        <f t="shared" si="7"/>
        <v>6557.377049</v>
      </c>
      <c r="AL118" s="20">
        <f t="shared" si="8"/>
        <v>8000</v>
      </c>
    </row>
    <row r="119">
      <c r="A119" s="16" t="s">
        <v>596</v>
      </c>
      <c r="B119" s="17" t="s">
        <v>17</v>
      </c>
      <c r="C119" s="17" t="s">
        <v>19</v>
      </c>
      <c r="D119" s="17" t="s">
        <v>360</v>
      </c>
      <c r="E119" s="17" t="s">
        <v>361</v>
      </c>
      <c r="F119" s="17" t="s">
        <v>63</v>
      </c>
      <c r="G119" s="19">
        <v>46162.0</v>
      </c>
      <c r="H119" s="17" t="s">
        <v>104</v>
      </c>
      <c r="I119" s="20" t="s">
        <v>597</v>
      </c>
      <c r="J119" s="21" t="s">
        <v>598</v>
      </c>
      <c r="K119" s="22" t="s">
        <v>599</v>
      </c>
      <c r="L119" s="22" t="s">
        <v>600</v>
      </c>
      <c r="M119" s="17">
        <v>2022.0</v>
      </c>
      <c r="N119" s="17">
        <v>22.0</v>
      </c>
      <c r="O119" s="23">
        <v>231.0</v>
      </c>
      <c r="P119" s="24">
        <f t="shared" si="1"/>
        <v>646.8</v>
      </c>
      <c r="Q119" s="25">
        <v>3.0</v>
      </c>
      <c r="R119" s="17">
        <v>0.0</v>
      </c>
      <c r="S119" s="26">
        <v>1.0</v>
      </c>
      <c r="T119" s="17">
        <v>3.0</v>
      </c>
      <c r="U119" s="17">
        <v>2.0</v>
      </c>
      <c r="V119" s="17" t="s">
        <v>130</v>
      </c>
      <c r="W119" s="28" t="s">
        <v>76</v>
      </c>
      <c r="X119" s="28" t="s">
        <v>78</v>
      </c>
      <c r="Y119" s="24">
        <v>10.0</v>
      </c>
      <c r="Z119" s="17">
        <v>150.0</v>
      </c>
      <c r="AA119" s="17">
        <v>576.0</v>
      </c>
      <c r="AB119" s="17">
        <v>31.0</v>
      </c>
      <c r="AC119" s="20">
        <f t="shared" si="2"/>
        <v>53568</v>
      </c>
      <c r="AD119" s="30">
        <f t="shared" si="3"/>
        <v>35.464</v>
      </c>
      <c r="AE119" s="30">
        <f t="shared" si="4"/>
        <v>22938.1152</v>
      </c>
      <c r="AF119" s="30">
        <f t="shared" si="5"/>
        <v>523.1467318</v>
      </c>
      <c r="AG119" s="34">
        <v>1.0</v>
      </c>
      <c r="AH119" s="36"/>
      <c r="AI119" s="30">
        <f t="shared" si="6"/>
        <v>3278.688525</v>
      </c>
      <c r="AJ119" s="17">
        <v>4000.0</v>
      </c>
      <c r="AK119" s="30">
        <f t="shared" si="7"/>
        <v>9836.065574</v>
      </c>
      <c r="AL119" s="20">
        <f t="shared" si="8"/>
        <v>12000</v>
      </c>
    </row>
    <row r="120">
      <c r="A120" s="16" t="s">
        <v>601</v>
      </c>
      <c r="B120" s="17" t="s">
        <v>17</v>
      </c>
      <c r="C120" s="17" t="s">
        <v>19</v>
      </c>
      <c r="D120" s="17" t="s">
        <v>101</v>
      </c>
      <c r="E120" s="17" t="s">
        <v>110</v>
      </c>
      <c r="F120" s="17" t="s">
        <v>63</v>
      </c>
      <c r="G120" s="19">
        <v>46162.0</v>
      </c>
      <c r="H120" s="17" t="s">
        <v>65</v>
      </c>
      <c r="I120" s="20" t="s">
        <v>602</v>
      </c>
      <c r="J120" s="21" t="s">
        <v>603</v>
      </c>
      <c r="K120" s="22" t="s">
        <v>604</v>
      </c>
      <c r="L120" s="22" t="s">
        <v>605</v>
      </c>
      <c r="M120" s="17">
        <v>2006.0</v>
      </c>
      <c r="N120" s="17">
        <v>9.0</v>
      </c>
      <c r="O120" s="23">
        <v>72.0</v>
      </c>
      <c r="P120" s="24">
        <f t="shared" si="1"/>
        <v>201.6</v>
      </c>
      <c r="Q120" s="25">
        <v>3.0</v>
      </c>
      <c r="R120" s="17">
        <v>0.0</v>
      </c>
      <c r="S120" s="26">
        <v>3.0</v>
      </c>
      <c r="T120" s="17">
        <v>3.0</v>
      </c>
      <c r="U120" s="17">
        <v>3.0</v>
      </c>
      <c r="V120" s="17" t="s">
        <v>130</v>
      </c>
      <c r="W120" s="28" t="s">
        <v>76</v>
      </c>
      <c r="X120" s="28" t="s">
        <v>78</v>
      </c>
      <c r="Y120" s="24">
        <v>10.0</v>
      </c>
      <c r="Z120" s="17">
        <v>150.0</v>
      </c>
      <c r="AA120" s="17">
        <v>576.0</v>
      </c>
      <c r="AB120" s="17">
        <v>31.0</v>
      </c>
      <c r="AC120" s="20">
        <f t="shared" si="2"/>
        <v>53568</v>
      </c>
      <c r="AD120" s="30">
        <f t="shared" si="3"/>
        <v>9.672</v>
      </c>
      <c r="AE120" s="30">
        <f t="shared" si="4"/>
        <v>1949.8752</v>
      </c>
      <c r="AF120" s="30">
        <f t="shared" si="5"/>
        <v>6154.240025</v>
      </c>
      <c r="AG120" s="34">
        <v>1.0</v>
      </c>
      <c r="AH120" s="36"/>
      <c r="AI120" s="30">
        <f t="shared" si="6"/>
        <v>3278.688525</v>
      </c>
      <c r="AJ120" s="17">
        <v>4000.0</v>
      </c>
      <c r="AK120" s="30">
        <f t="shared" si="7"/>
        <v>9836.065574</v>
      </c>
      <c r="AL120" s="20">
        <f t="shared" si="8"/>
        <v>12000</v>
      </c>
    </row>
    <row r="121">
      <c r="A121" s="16" t="s">
        <v>606</v>
      </c>
      <c r="B121" s="17" t="s">
        <v>17</v>
      </c>
      <c r="C121" s="17" t="s">
        <v>19</v>
      </c>
      <c r="D121" s="17" t="s">
        <v>101</v>
      </c>
      <c r="E121" s="17" t="s">
        <v>163</v>
      </c>
      <c r="F121" s="17" t="s">
        <v>103</v>
      </c>
      <c r="G121" s="19">
        <v>46164.0</v>
      </c>
      <c r="H121" s="17" t="s">
        <v>104</v>
      </c>
      <c r="I121" s="20" t="s">
        <v>607</v>
      </c>
      <c r="J121" s="21" t="s">
        <v>608</v>
      </c>
      <c r="K121" s="22" t="s">
        <v>609</v>
      </c>
      <c r="L121" s="22" t="s">
        <v>610</v>
      </c>
      <c r="M121" s="17">
        <v>2016.0</v>
      </c>
      <c r="N121" s="17">
        <v>18.0</v>
      </c>
      <c r="O121" s="23">
        <v>183.0</v>
      </c>
      <c r="P121" s="24">
        <f t="shared" si="1"/>
        <v>512.4</v>
      </c>
      <c r="Q121" s="25">
        <v>2.0</v>
      </c>
      <c r="R121" s="17">
        <v>0.0</v>
      </c>
      <c r="S121" s="26">
        <v>2.0</v>
      </c>
      <c r="T121" s="17">
        <v>2.0</v>
      </c>
      <c r="U121" s="17">
        <v>4.0</v>
      </c>
      <c r="V121" s="17" t="s">
        <v>130</v>
      </c>
      <c r="W121" s="28" t="s">
        <v>76</v>
      </c>
      <c r="X121" s="28" t="s">
        <v>78</v>
      </c>
      <c r="Y121" s="24">
        <v>10.0</v>
      </c>
      <c r="Z121" s="17">
        <v>150.0</v>
      </c>
      <c r="AA121" s="17">
        <v>576.0</v>
      </c>
      <c r="AB121" s="17">
        <v>31.0</v>
      </c>
      <c r="AC121" s="20">
        <f t="shared" si="2"/>
        <v>35712</v>
      </c>
      <c r="AD121" s="30">
        <f t="shared" si="3"/>
        <v>9.672</v>
      </c>
      <c r="AE121" s="30">
        <f t="shared" si="4"/>
        <v>4955.9328</v>
      </c>
      <c r="AF121" s="30">
        <f t="shared" si="5"/>
        <v>1614.226892</v>
      </c>
      <c r="AG121" s="34">
        <v>1.0</v>
      </c>
      <c r="AH121" s="36"/>
      <c r="AI121" s="30">
        <f t="shared" si="6"/>
        <v>3278.688525</v>
      </c>
      <c r="AJ121" s="17">
        <v>4000.0</v>
      </c>
      <c r="AK121" s="30">
        <f t="shared" si="7"/>
        <v>6557.377049</v>
      </c>
      <c r="AL121" s="20">
        <f t="shared" si="8"/>
        <v>8000</v>
      </c>
    </row>
    <row r="122">
      <c r="A122" s="16" t="s">
        <v>606</v>
      </c>
      <c r="B122" s="17" t="s">
        <v>17</v>
      </c>
      <c r="C122" s="17" t="s">
        <v>19</v>
      </c>
      <c r="D122" s="17" t="s">
        <v>101</v>
      </c>
      <c r="E122" s="17" t="s">
        <v>102</v>
      </c>
      <c r="F122" s="17" t="s">
        <v>103</v>
      </c>
      <c r="G122" s="19">
        <v>46164.0</v>
      </c>
      <c r="H122" s="17" t="s">
        <v>104</v>
      </c>
      <c r="I122" s="20" t="s">
        <v>607</v>
      </c>
      <c r="J122" s="21" t="s">
        <v>611</v>
      </c>
      <c r="K122" s="22" t="s">
        <v>612</v>
      </c>
      <c r="L122" s="22" t="s">
        <v>613</v>
      </c>
      <c r="M122" s="17">
        <v>2017.0</v>
      </c>
      <c r="N122" s="17">
        <v>18.0</v>
      </c>
      <c r="O122" s="23">
        <v>173.0</v>
      </c>
      <c r="P122" s="24">
        <f t="shared" si="1"/>
        <v>484.4</v>
      </c>
      <c r="Q122" s="25">
        <v>2.0</v>
      </c>
      <c r="R122" s="17">
        <v>0.0</v>
      </c>
      <c r="S122" s="26">
        <v>2.0</v>
      </c>
      <c r="T122" s="17">
        <v>2.0</v>
      </c>
      <c r="U122" s="17">
        <v>4.0</v>
      </c>
      <c r="V122" s="17" t="s">
        <v>130</v>
      </c>
      <c r="W122" s="28" t="s">
        <v>76</v>
      </c>
      <c r="X122" s="28" t="s">
        <v>78</v>
      </c>
      <c r="Y122" s="24">
        <v>10.0</v>
      </c>
      <c r="Z122" s="17">
        <v>150.0</v>
      </c>
      <c r="AA122" s="17">
        <v>576.0</v>
      </c>
      <c r="AB122" s="17">
        <v>31.0</v>
      </c>
      <c r="AC122" s="20">
        <f t="shared" si="2"/>
        <v>35712</v>
      </c>
      <c r="AD122" s="30">
        <f t="shared" si="3"/>
        <v>9.672</v>
      </c>
      <c r="AE122" s="30">
        <f t="shared" si="4"/>
        <v>4685.1168</v>
      </c>
      <c r="AF122" s="30">
        <f t="shared" si="5"/>
        <v>1707.534805</v>
      </c>
      <c r="AG122" s="34">
        <v>1.0</v>
      </c>
      <c r="AH122" s="36"/>
      <c r="AI122" s="30">
        <f t="shared" si="6"/>
        <v>3278.688525</v>
      </c>
      <c r="AJ122" s="17">
        <v>4000.0</v>
      </c>
      <c r="AK122" s="30">
        <f t="shared" si="7"/>
        <v>6557.377049</v>
      </c>
      <c r="AL122" s="20">
        <f t="shared" si="8"/>
        <v>8000</v>
      </c>
    </row>
    <row r="123">
      <c r="A123" s="16" t="s">
        <v>614</v>
      </c>
      <c r="B123" s="17" t="s">
        <v>17</v>
      </c>
      <c r="C123" s="17" t="s">
        <v>19</v>
      </c>
      <c r="D123" s="17" t="s">
        <v>101</v>
      </c>
      <c r="E123" s="17" t="s">
        <v>175</v>
      </c>
      <c r="F123" s="17" t="s">
        <v>103</v>
      </c>
      <c r="G123" s="19">
        <v>46164.0</v>
      </c>
      <c r="H123" s="17" t="s">
        <v>104</v>
      </c>
      <c r="I123" s="20" t="s">
        <v>615</v>
      </c>
      <c r="J123" s="21" t="s">
        <v>616</v>
      </c>
      <c r="K123" s="22" t="s">
        <v>617</v>
      </c>
      <c r="L123" s="22" t="s">
        <v>618</v>
      </c>
      <c r="M123" s="17">
        <v>2015.0</v>
      </c>
      <c r="N123" s="17">
        <v>12.0</v>
      </c>
      <c r="O123" s="23">
        <v>236.0</v>
      </c>
      <c r="P123" s="24">
        <f t="shared" si="1"/>
        <v>660.8</v>
      </c>
      <c r="Q123" s="25">
        <v>4.0</v>
      </c>
      <c r="R123" s="17">
        <v>0.0</v>
      </c>
      <c r="S123" s="26">
        <v>4.0</v>
      </c>
      <c r="T123" s="17">
        <v>4.0</v>
      </c>
      <c r="U123" s="17">
        <v>8.0</v>
      </c>
      <c r="V123" s="17" t="s">
        <v>130</v>
      </c>
      <c r="W123" s="28" t="s">
        <v>76</v>
      </c>
      <c r="X123" s="28" t="s">
        <v>78</v>
      </c>
      <c r="Y123" s="24">
        <v>10.0</v>
      </c>
      <c r="Z123" s="17">
        <v>150.0</v>
      </c>
      <c r="AA123" s="17">
        <v>576.0</v>
      </c>
      <c r="AB123" s="17">
        <v>31.0</v>
      </c>
      <c r="AC123" s="20">
        <f t="shared" si="2"/>
        <v>71424</v>
      </c>
      <c r="AD123" s="30">
        <f t="shared" si="3"/>
        <v>6.448</v>
      </c>
      <c r="AE123" s="30">
        <f t="shared" si="4"/>
        <v>4260.8384</v>
      </c>
      <c r="AF123" s="30">
        <f t="shared" si="5"/>
        <v>3755.129507</v>
      </c>
      <c r="AG123" s="34">
        <v>1.0</v>
      </c>
      <c r="AH123" s="36"/>
      <c r="AI123" s="30">
        <f t="shared" si="6"/>
        <v>3278.688525</v>
      </c>
      <c r="AJ123" s="17">
        <v>4000.0</v>
      </c>
      <c r="AK123" s="30">
        <f t="shared" si="7"/>
        <v>13114.7541</v>
      </c>
      <c r="AL123" s="20">
        <f t="shared" si="8"/>
        <v>16000</v>
      </c>
    </row>
    <row r="124">
      <c r="A124" s="16" t="s">
        <v>619</v>
      </c>
      <c r="B124" s="17" t="s">
        <v>17</v>
      </c>
      <c r="C124" s="17" t="s">
        <v>19</v>
      </c>
      <c r="D124" s="17" t="s">
        <v>123</v>
      </c>
      <c r="E124" s="17" t="s">
        <v>117</v>
      </c>
      <c r="F124" s="17" t="s">
        <v>63</v>
      </c>
      <c r="G124" s="19">
        <v>46164.0</v>
      </c>
      <c r="H124" s="17" t="s">
        <v>104</v>
      </c>
      <c r="I124" s="20" t="s">
        <v>620</v>
      </c>
      <c r="J124" s="21" t="s">
        <v>621</v>
      </c>
      <c r="K124" s="22" t="s">
        <v>622</v>
      </c>
      <c r="L124" s="22" t="s">
        <v>623</v>
      </c>
      <c r="M124" s="17">
        <v>2003.0</v>
      </c>
      <c r="N124" s="17">
        <v>15.0</v>
      </c>
      <c r="O124" s="23">
        <v>66.0</v>
      </c>
      <c r="P124" s="24">
        <f t="shared" si="1"/>
        <v>184.8</v>
      </c>
      <c r="Q124" s="25">
        <v>2.0</v>
      </c>
      <c r="R124" s="17">
        <v>0.0</v>
      </c>
      <c r="S124" s="26">
        <v>1.0</v>
      </c>
      <c r="T124" s="17">
        <v>2.0</v>
      </c>
      <c r="U124" s="17">
        <v>2.0</v>
      </c>
      <c r="V124" s="17" t="s">
        <v>130</v>
      </c>
      <c r="W124" s="28" t="s">
        <v>76</v>
      </c>
      <c r="X124" s="28" t="s">
        <v>78</v>
      </c>
      <c r="Y124" s="24">
        <v>10.0</v>
      </c>
      <c r="Z124" s="17">
        <v>150.0</v>
      </c>
      <c r="AA124" s="17">
        <v>576.0</v>
      </c>
      <c r="AB124" s="17">
        <v>31.0</v>
      </c>
      <c r="AC124" s="20">
        <f t="shared" si="2"/>
        <v>35712</v>
      </c>
      <c r="AD124" s="30">
        <f t="shared" si="3"/>
        <v>16.12</v>
      </c>
      <c r="AE124" s="30">
        <f t="shared" si="4"/>
        <v>2978.976</v>
      </c>
      <c r="AF124" s="30">
        <f t="shared" si="5"/>
        <v>2685.486556</v>
      </c>
      <c r="AG124" s="34">
        <v>1.0</v>
      </c>
      <c r="AH124" s="36"/>
      <c r="AI124" s="30">
        <f t="shared" si="6"/>
        <v>3278.688525</v>
      </c>
      <c r="AJ124" s="17">
        <v>4000.0</v>
      </c>
      <c r="AK124" s="30">
        <f t="shared" si="7"/>
        <v>6557.377049</v>
      </c>
      <c r="AL124" s="20">
        <f t="shared" si="8"/>
        <v>8000</v>
      </c>
    </row>
    <row r="125">
      <c r="A125" s="16" t="s">
        <v>624</v>
      </c>
      <c r="B125" s="17" t="s">
        <v>17</v>
      </c>
      <c r="C125" s="17" t="s">
        <v>19</v>
      </c>
      <c r="D125" s="17" t="s">
        <v>123</v>
      </c>
      <c r="E125" s="17" t="s">
        <v>117</v>
      </c>
      <c r="F125" s="17" t="s">
        <v>63</v>
      </c>
      <c r="G125" s="19">
        <v>46164.0</v>
      </c>
      <c r="H125" s="17" t="s">
        <v>118</v>
      </c>
      <c r="I125" s="20" t="s">
        <v>625</v>
      </c>
      <c r="J125" s="21" t="s">
        <v>626</v>
      </c>
      <c r="K125" s="22" t="s">
        <v>627</v>
      </c>
      <c r="L125" s="22" t="s">
        <v>628</v>
      </c>
      <c r="M125" s="17">
        <v>2008.0</v>
      </c>
      <c r="N125" s="17">
        <v>12.0</v>
      </c>
      <c r="O125" s="23">
        <v>84.0</v>
      </c>
      <c r="P125" s="24">
        <f t="shared" si="1"/>
        <v>235.2</v>
      </c>
      <c r="Q125" s="25">
        <v>2.0</v>
      </c>
      <c r="R125" s="17">
        <v>0.0</v>
      </c>
      <c r="S125" s="26">
        <v>1.0</v>
      </c>
      <c r="T125" s="17">
        <v>2.0</v>
      </c>
      <c r="U125" s="17">
        <v>2.0</v>
      </c>
      <c r="V125" s="17" t="s">
        <v>130</v>
      </c>
      <c r="W125" s="28" t="s">
        <v>76</v>
      </c>
      <c r="X125" s="28" t="s">
        <v>78</v>
      </c>
      <c r="Y125" s="24">
        <v>10.0</v>
      </c>
      <c r="Z125" s="17">
        <v>150.0</v>
      </c>
      <c r="AA125" s="17">
        <v>576.0</v>
      </c>
      <c r="AB125" s="17">
        <v>31.0</v>
      </c>
      <c r="AC125" s="20">
        <f t="shared" si="2"/>
        <v>35712</v>
      </c>
      <c r="AD125" s="30">
        <f t="shared" si="3"/>
        <v>12.896</v>
      </c>
      <c r="AE125" s="30">
        <f t="shared" si="4"/>
        <v>3033.1392</v>
      </c>
      <c r="AF125" s="30">
        <f t="shared" si="5"/>
        <v>2637.531439</v>
      </c>
      <c r="AG125" s="34">
        <v>1.0</v>
      </c>
      <c r="AH125" s="36"/>
      <c r="AI125" s="30">
        <f t="shared" si="6"/>
        <v>3278.688525</v>
      </c>
      <c r="AJ125" s="17">
        <v>4000.0</v>
      </c>
      <c r="AK125" s="30">
        <f t="shared" si="7"/>
        <v>6557.377049</v>
      </c>
      <c r="AL125" s="20">
        <f t="shared" si="8"/>
        <v>8000</v>
      </c>
    </row>
    <row r="126">
      <c r="A126" s="16" t="s">
        <v>629</v>
      </c>
      <c r="B126" s="17" t="s">
        <v>17</v>
      </c>
      <c r="C126" s="17" t="s">
        <v>19</v>
      </c>
      <c r="D126" s="17" t="s">
        <v>123</v>
      </c>
      <c r="E126" s="17" t="s">
        <v>117</v>
      </c>
      <c r="F126" s="17" t="s">
        <v>63</v>
      </c>
      <c r="G126" s="19">
        <v>46171.0</v>
      </c>
      <c r="H126" s="17" t="s">
        <v>104</v>
      </c>
      <c r="I126" s="20" t="s">
        <v>630</v>
      </c>
      <c r="J126" s="21" t="s">
        <v>631</v>
      </c>
      <c r="K126" s="22" t="s">
        <v>632</v>
      </c>
      <c r="L126" s="22" t="s">
        <v>633</v>
      </c>
      <c r="M126" s="17">
        <v>2006.0</v>
      </c>
      <c r="N126" s="17">
        <v>19.0</v>
      </c>
      <c r="O126" s="23">
        <v>112.0</v>
      </c>
      <c r="P126" s="24">
        <f t="shared" si="1"/>
        <v>313.6</v>
      </c>
      <c r="Q126" s="25">
        <v>2.0</v>
      </c>
      <c r="R126" s="17">
        <v>0.0</v>
      </c>
      <c r="S126" s="26">
        <v>1.0</v>
      </c>
      <c r="T126" s="17">
        <v>2.0</v>
      </c>
      <c r="U126" s="17">
        <v>2.0</v>
      </c>
      <c r="V126" s="17" t="s">
        <v>130</v>
      </c>
      <c r="W126" s="28" t="s">
        <v>76</v>
      </c>
      <c r="X126" s="28" t="s">
        <v>78</v>
      </c>
      <c r="Y126" s="24">
        <v>10.0</v>
      </c>
      <c r="Z126" s="17">
        <v>150.0</v>
      </c>
      <c r="AA126" s="17">
        <v>576.0</v>
      </c>
      <c r="AB126" s="17">
        <v>31.0</v>
      </c>
      <c r="AC126" s="20">
        <f t="shared" si="2"/>
        <v>35712</v>
      </c>
      <c r="AD126" s="30">
        <f t="shared" si="3"/>
        <v>20.41866667</v>
      </c>
      <c r="AE126" s="30">
        <f t="shared" si="4"/>
        <v>6403.293867</v>
      </c>
      <c r="AF126" s="30">
        <f t="shared" si="5"/>
        <v>1249.356998</v>
      </c>
      <c r="AG126" s="34">
        <v>1.0</v>
      </c>
      <c r="AH126" s="36"/>
      <c r="AI126" s="30">
        <f t="shared" si="6"/>
        <v>3278.688525</v>
      </c>
      <c r="AJ126" s="17">
        <v>4000.0</v>
      </c>
      <c r="AK126" s="30">
        <f t="shared" si="7"/>
        <v>6557.377049</v>
      </c>
      <c r="AL126" s="20">
        <f t="shared" si="8"/>
        <v>8000</v>
      </c>
    </row>
    <row r="127">
      <c r="A127" s="16" t="s">
        <v>629</v>
      </c>
      <c r="B127" s="17" t="s">
        <v>17</v>
      </c>
      <c r="C127" s="17" t="s">
        <v>19</v>
      </c>
      <c r="D127" s="17" t="s">
        <v>123</v>
      </c>
      <c r="E127" s="17" t="s">
        <v>117</v>
      </c>
      <c r="F127" s="17" t="s">
        <v>63</v>
      </c>
      <c r="G127" s="19">
        <v>46171.0</v>
      </c>
      <c r="H127" s="17" t="s">
        <v>104</v>
      </c>
      <c r="I127" s="17" t="s">
        <v>630</v>
      </c>
      <c r="J127" s="21" t="s">
        <v>634</v>
      </c>
      <c r="K127" s="22" t="s">
        <v>635</v>
      </c>
      <c r="L127" s="22" t="s">
        <v>636</v>
      </c>
      <c r="M127" s="17">
        <v>2006.0</v>
      </c>
      <c r="N127" s="17">
        <v>19.0</v>
      </c>
      <c r="O127" s="23">
        <v>112.0</v>
      </c>
      <c r="P127" s="24">
        <f t="shared" si="1"/>
        <v>313.6</v>
      </c>
      <c r="Q127" s="25">
        <v>2.0</v>
      </c>
      <c r="R127" s="17">
        <v>0.0</v>
      </c>
      <c r="S127" s="26">
        <v>1.0</v>
      </c>
      <c r="T127" s="17">
        <v>2.0</v>
      </c>
      <c r="U127" s="17">
        <v>2.0</v>
      </c>
      <c r="V127" s="17" t="s">
        <v>130</v>
      </c>
      <c r="W127" s="28" t="s">
        <v>76</v>
      </c>
      <c r="X127" s="28" t="s">
        <v>78</v>
      </c>
      <c r="Y127" s="24">
        <v>10.0</v>
      </c>
      <c r="Z127" s="17">
        <v>150.0</v>
      </c>
      <c r="AA127" s="17">
        <v>576.0</v>
      </c>
      <c r="AB127" s="17">
        <v>31.0</v>
      </c>
      <c r="AC127" s="20">
        <f t="shared" si="2"/>
        <v>35712</v>
      </c>
      <c r="AD127" s="30">
        <f t="shared" si="3"/>
        <v>20.41866667</v>
      </c>
      <c r="AE127" s="30">
        <f t="shared" si="4"/>
        <v>6403.293867</v>
      </c>
      <c r="AF127" s="30">
        <f t="shared" si="5"/>
        <v>1249.356998</v>
      </c>
      <c r="AG127" s="34">
        <v>1.0</v>
      </c>
      <c r="AH127" s="36"/>
      <c r="AI127" s="30">
        <f t="shared" si="6"/>
        <v>3278.688525</v>
      </c>
      <c r="AJ127" s="17">
        <v>4000.0</v>
      </c>
      <c r="AK127" s="30">
        <f t="shared" si="7"/>
        <v>6557.377049</v>
      </c>
      <c r="AL127" s="20">
        <f t="shared" si="8"/>
        <v>8000</v>
      </c>
    </row>
    <row r="128">
      <c r="A128" s="16" t="s">
        <v>629</v>
      </c>
      <c r="B128" s="17" t="s">
        <v>17</v>
      </c>
      <c r="C128" s="17" t="s">
        <v>19</v>
      </c>
      <c r="D128" s="17" t="s">
        <v>123</v>
      </c>
      <c r="E128" s="17" t="s">
        <v>117</v>
      </c>
      <c r="F128" s="17" t="s">
        <v>63</v>
      </c>
      <c r="G128" s="19">
        <v>46171.0</v>
      </c>
      <c r="H128" s="17" t="s">
        <v>104</v>
      </c>
      <c r="I128" s="17" t="s">
        <v>630</v>
      </c>
      <c r="J128" s="21" t="s">
        <v>637</v>
      </c>
      <c r="K128" s="22" t="s">
        <v>638</v>
      </c>
      <c r="L128" s="22" t="s">
        <v>639</v>
      </c>
      <c r="M128" s="17">
        <v>2001.0</v>
      </c>
      <c r="N128" s="17">
        <v>18.0</v>
      </c>
      <c r="O128" s="23">
        <v>90.0</v>
      </c>
      <c r="P128" s="24">
        <f t="shared" si="1"/>
        <v>252</v>
      </c>
      <c r="Q128" s="25">
        <v>2.0</v>
      </c>
      <c r="R128" s="17">
        <v>0.0</v>
      </c>
      <c r="S128" s="26">
        <v>1.0</v>
      </c>
      <c r="T128" s="17">
        <v>2.0</v>
      </c>
      <c r="U128" s="17">
        <v>2.0</v>
      </c>
      <c r="V128" s="17" t="s">
        <v>130</v>
      </c>
      <c r="W128" s="28" t="s">
        <v>76</v>
      </c>
      <c r="X128" s="28" t="s">
        <v>78</v>
      </c>
      <c r="Y128" s="24">
        <v>10.0</v>
      </c>
      <c r="Z128" s="17">
        <v>150.0</v>
      </c>
      <c r="AA128" s="17">
        <v>576.0</v>
      </c>
      <c r="AB128" s="17">
        <v>31.0</v>
      </c>
      <c r="AC128" s="20">
        <f t="shared" si="2"/>
        <v>35712</v>
      </c>
      <c r="AD128" s="30">
        <f t="shared" si="3"/>
        <v>19.344</v>
      </c>
      <c r="AE128" s="30">
        <f t="shared" si="4"/>
        <v>4874.688</v>
      </c>
      <c r="AF128" s="30">
        <f t="shared" si="5"/>
        <v>1641.130673</v>
      </c>
      <c r="AG128" s="34">
        <v>1.0</v>
      </c>
      <c r="AH128" s="36"/>
      <c r="AI128" s="30">
        <f t="shared" si="6"/>
        <v>3278.688525</v>
      </c>
      <c r="AJ128" s="17">
        <v>4000.0</v>
      </c>
      <c r="AK128" s="30">
        <f t="shared" si="7"/>
        <v>6557.377049</v>
      </c>
      <c r="AL128" s="20">
        <f t="shared" si="8"/>
        <v>8000</v>
      </c>
    </row>
    <row r="129">
      <c r="A129" s="16" t="s">
        <v>640</v>
      </c>
      <c r="B129" s="17" t="s">
        <v>17</v>
      </c>
      <c r="C129" s="17" t="s">
        <v>19</v>
      </c>
      <c r="D129" s="17" t="s">
        <v>101</v>
      </c>
      <c r="E129" s="17" t="s">
        <v>102</v>
      </c>
      <c r="F129" s="17" t="s">
        <v>103</v>
      </c>
      <c r="G129" s="19">
        <v>46167.0</v>
      </c>
      <c r="H129" s="17" t="s">
        <v>104</v>
      </c>
      <c r="I129" s="20" t="s">
        <v>641</v>
      </c>
      <c r="J129" s="21" t="s">
        <v>642</v>
      </c>
      <c r="K129" s="22" t="s">
        <v>643</v>
      </c>
      <c r="L129" s="22" t="s">
        <v>644</v>
      </c>
      <c r="M129" s="17">
        <v>2003.0</v>
      </c>
      <c r="N129" s="17">
        <v>10.0</v>
      </c>
      <c r="O129" s="23">
        <v>167.0</v>
      </c>
      <c r="P129" s="24">
        <f t="shared" si="1"/>
        <v>467.6</v>
      </c>
      <c r="Q129" s="25">
        <v>3.0</v>
      </c>
      <c r="R129" s="17">
        <v>0.0</v>
      </c>
      <c r="S129" s="26">
        <v>3.0</v>
      </c>
      <c r="T129" s="17">
        <v>3.0</v>
      </c>
      <c r="U129" s="17">
        <v>3.0</v>
      </c>
      <c r="V129" s="17" t="s">
        <v>130</v>
      </c>
      <c r="W129" s="28" t="s">
        <v>76</v>
      </c>
      <c r="X129" s="28" t="s">
        <v>78</v>
      </c>
      <c r="Y129" s="24">
        <v>10.0</v>
      </c>
      <c r="Z129" s="17">
        <v>150.0</v>
      </c>
      <c r="AA129" s="17">
        <v>576.0</v>
      </c>
      <c r="AB129" s="17">
        <v>31.0</v>
      </c>
      <c r="AC129" s="20">
        <f t="shared" si="2"/>
        <v>53568</v>
      </c>
      <c r="AD129" s="30">
        <f t="shared" si="3"/>
        <v>10.74666667</v>
      </c>
      <c r="AE129" s="30">
        <f t="shared" si="4"/>
        <v>5025.141333</v>
      </c>
      <c r="AF129" s="30">
        <f t="shared" si="5"/>
        <v>2387.992537</v>
      </c>
      <c r="AG129" s="34">
        <v>1.0</v>
      </c>
      <c r="AH129" s="36"/>
      <c r="AI129" s="30">
        <f t="shared" si="6"/>
        <v>3278.688525</v>
      </c>
      <c r="AJ129" s="17">
        <v>4000.0</v>
      </c>
      <c r="AK129" s="30">
        <f t="shared" si="7"/>
        <v>9836.065574</v>
      </c>
      <c r="AL129" s="20">
        <f t="shared" si="8"/>
        <v>12000</v>
      </c>
    </row>
    <row r="130">
      <c r="A130" s="16" t="s">
        <v>645</v>
      </c>
      <c r="B130" s="17" t="s">
        <v>17</v>
      </c>
      <c r="C130" s="17" t="s">
        <v>19</v>
      </c>
      <c r="D130" s="17" t="s">
        <v>101</v>
      </c>
      <c r="E130" s="17" t="s">
        <v>102</v>
      </c>
      <c r="F130" s="17" t="s">
        <v>63</v>
      </c>
      <c r="G130" s="19">
        <v>46167.0</v>
      </c>
      <c r="H130" s="17" t="s">
        <v>104</v>
      </c>
      <c r="I130" s="20" t="s">
        <v>646</v>
      </c>
      <c r="J130" s="21" t="s">
        <v>647</v>
      </c>
      <c r="K130" s="22" t="s">
        <v>648</v>
      </c>
      <c r="L130" s="22" t="s">
        <v>649</v>
      </c>
      <c r="M130" s="17">
        <v>2022.0</v>
      </c>
      <c r="N130" s="17">
        <v>11.0</v>
      </c>
      <c r="O130" s="23">
        <v>248.0</v>
      </c>
      <c r="P130" s="24">
        <f t="shared" si="1"/>
        <v>694.4</v>
      </c>
      <c r="Q130" s="25">
        <v>2.0</v>
      </c>
      <c r="R130" s="17">
        <v>0.0</v>
      </c>
      <c r="S130" s="26">
        <v>1.0</v>
      </c>
      <c r="T130" s="17">
        <v>2.0</v>
      </c>
      <c r="U130" s="17">
        <v>2.0</v>
      </c>
      <c r="V130" s="17" t="s">
        <v>130</v>
      </c>
      <c r="W130" s="28" t="s">
        <v>76</v>
      </c>
      <c r="X130" s="28" t="s">
        <v>78</v>
      </c>
      <c r="Y130" s="24">
        <v>10.0</v>
      </c>
      <c r="Z130" s="17">
        <v>150.0</v>
      </c>
      <c r="AA130" s="17">
        <v>576.0</v>
      </c>
      <c r="AB130" s="17">
        <v>31.0</v>
      </c>
      <c r="AC130" s="20">
        <f t="shared" si="2"/>
        <v>35712</v>
      </c>
      <c r="AD130" s="30">
        <f t="shared" si="3"/>
        <v>11.82133333</v>
      </c>
      <c r="AE130" s="30">
        <f t="shared" si="4"/>
        <v>8208.733867</v>
      </c>
      <c r="AF130" s="30">
        <f t="shared" si="5"/>
        <v>974.5717342</v>
      </c>
      <c r="AG130" s="34">
        <v>1.0</v>
      </c>
      <c r="AH130" s="36"/>
      <c r="AI130" s="30">
        <f t="shared" si="6"/>
        <v>3278.688525</v>
      </c>
      <c r="AJ130" s="17">
        <v>4000.0</v>
      </c>
      <c r="AK130" s="30">
        <f t="shared" si="7"/>
        <v>6557.377049</v>
      </c>
      <c r="AL130" s="20">
        <f t="shared" si="8"/>
        <v>8000</v>
      </c>
    </row>
    <row r="131">
      <c r="A131" s="16" t="s">
        <v>650</v>
      </c>
      <c r="B131" s="17" t="s">
        <v>17</v>
      </c>
      <c r="C131" s="17" t="s">
        <v>19</v>
      </c>
      <c r="D131" s="17" t="s">
        <v>101</v>
      </c>
      <c r="E131" s="17" t="s">
        <v>102</v>
      </c>
      <c r="F131" s="17" t="s">
        <v>63</v>
      </c>
      <c r="G131" s="19">
        <v>46171.0</v>
      </c>
      <c r="H131" s="17" t="s">
        <v>104</v>
      </c>
      <c r="I131" s="20" t="s">
        <v>651</v>
      </c>
      <c r="J131" s="21" t="s">
        <v>652</v>
      </c>
      <c r="K131" s="22" t="s">
        <v>653</v>
      </c>
      <c r="L131" s="22" t="s">
        <v>654</v>
      </c>
      <c r="M131" s="17">
        <v>2019.0</v>
      </c>
      <c r="N131" s="17">
        <v>11.0</v>
      </c>
      <c r="O131" s="23">
        <v>70.0</v>
      </c>
      <c r="P131" s="24">
        <f t="shared" si="1"/>
        <v>196</v>
      </c>
      <c r="Q131" s="25">
        <v>1.0</v>
      </c>
      <c r="R131" s="17">
        <v>0.0</v>
      </c>
      <c r="S131" s="26">
        <v>1.0</v>
      </c>
      <c r="T131" s="17">
        <v>1.0</v>
      </c>
      <c r="U131" s="17">
        <v>1.0</v>
      </c>
      <c r="V131" s="17" t="s">
        <v>130</v>
      </c>
      <c r="W131" s="28" t="s">
        <v>76</v>
      </c>
      <c r="X131" s="28" t="s">
        <v>78</v>
      </c>
      <c r="Y131" s="24">
        <v>10.0</v>
      </c>
      <c r="Z131" s="17">
        <v>150.0</v>
      </c>
      <c r="AA131" s="17">
        <v>576.0</v>
      </c>
      <c r="AB131" s="17">
        <v>31.0</v>
      </c>
      <c r="AC131" s="20">
        <f t="shared" si="2"/>
        <v>17856</v>
      </c>
      <c r="AD131" s="30">
        <f t="shared" si="3"/>
        <v>11.82133333</v>
      </c>
      <c r="AE131" s="30">
        <f t="shared" si="4"/>
        <v>2316.981333</v>
      </c>
      <c r="AF131" s="30">
        <f t="shared" si="5"/>
        <v>1726.384215</v>
      </c>
      <c r="AG131" s="34">
        <v>1.0</v>
      </c>
      <c r="AH131" s="36"/>
      <c r="AI131" s="30">
        <f t="shared" si="6"/>
        <v>3278.688525</v>
      </c>
      <c r="AJ131" s="17">
        <v>4000.0</v>
      </c>
      <c r="AK131" s="30">
        <f t="shared" si="7"/>
        <v>3278.688525</v>
      </c>
      <c r="AL131" s="20">
        <f t="shared" si="8"/>
        <v>4000</v>
      </c>
    </row>
    <row r="132">
      <c r="A132" s="41" t="s">
        <v>650</v>
      </c>
      <c r="B132" s="42" t="s">
        <v>17</v>
      </c>
      <c r="C132" s="42" t="s">
        <v>19</v>
      </c>
      <c r="D132" s="42" t="s">
        <v>101</v>
      </c>
      <c r="E132" s="42" t="s">
        <v>102</v>
      </c>
      <c r="F132" s="17" t="s">
        <v>63</v>
      </c>
      <c r="G132" s="19">
        <v>46244.0</v>
      </c>
      <c r="H132" s="17" t="s">
        <v>104</v>
      </c>
      <c r="I132" s="43" t="s">
        <v>651</v>
      </c>
      <c r="J132" s="44" t="s">
        <v>655</v>
      </c>
      <c r="K132" s="45" t="s">
        <v>656</v>
      </c>
      <c r="L132" s="46"/>
      <c r="M132" s="42">
        <v>2023.0</v>
      </c>
      <c r="N132" s="42">
        <v>12.0</v>
      </c>
      <c r="O132" s="47">
        <v>158.0</v>
      </c>
      <c r="P132" s="48">
        <f t="shared" si="1"/>
        <v>442.4</v>
      </c>
      <c r="Q132" s="41">
        <v>2.0</v>
      </c>
      <c r="R132" s="42">
        <v>0.0</v>
      </c>
      <c r="S132" s="49">
        <v>1.0</v>
      </c>
      <c r="T132" s="42">
        <v>2.0</v>
      </c>
      <c r="U132" s="42">
        <v>2.0</v>
      </c>
      <c r="V132" s="42" t="s">
        <v>130</v>
      </c>
      <c r="W132" s="45" t="s">
        <v>76</v>
      </c>
      <c r="X132" s="45" t="s">
        <v>78</v>
      </c>
      <c r="Y132" s="48">
        <v>10.0</v>
      </c>
      <c r="Z132" s="42">
        <v>150.0</v>
      </c>
      <c r="AA132" s="42">
        <v>576.0</v>
      </c>
      <c r="AB132" s="42">
        <v>31.0</v>
      </c>
      <c r="AC132" s="43">
        <f t="shared" si="2"/>
        <v>35712</v>
      </c>
      <c r="AD132" s="50">
        <f t="shared" si="3"/>
        <v>12.896</v>
      </c>
      <c r="AE132" s="50">
        <f t="shared" si="4"/>
        <v>5705.1904</v>
      </c>
      <c r="AF132" s="50">
        <f t="shared" si="5"/>
        <v>1402.231904</v>
      </c>
      <c r="AG132" s="51">
        <v>1.0</v>
      </c>
      <c r="AH132" s="52"/>
      <c r="AI132" s="50">
        <f t="shared" si="6"/>
        <v>3278.688525</v>
      </c>
      <c r="AJ132" s="42">
        <v>4000.0</v>
      </c>
      <c r="AK132" s="50">
        <f t="shared" si="7"/>
        <v>6557.377049</v>
      </c>
      <c r="AL132" s="43">
        <f t="shared" si="8"/>
        <v>8000</v>
      </c>
    </row>
    <row r="133">
      <c r="A133" s="16" t="s">
        <v>657</v>
      </c>
      <c r="B133" s="17" t="s">
        <v>17</v>
      </c>
      <c r="C133" s="17" t="s">
        <v>19</v>
      </c>
      <c r="D133" s="17" t="s">
        <v>61</v>
      </c>
      <c r="E133" s="17" t="s">
        <v>316</v>
      </c>
      <c r="F133" s="17" t="s">
        <v>63</v>
      </c>
      <c r="G133" s="19">
        <v>46183.0</v>
      </c>
      <c r="H133" s="17" t="s">
        <v>118</v>
      </c>
      <c r="I133" s="20" t="s">
        <v>658</v>
      </c>
      <c r="J133" s="21" t="s">
        <v>659</v>
      </c>
      <c r="K133" s="22" t="s">
        <v>660</v>
      </c>
      <c r="L133" s="22" t="s">
        <v>661</v>
      </c>
      <c r="M133" s="17">
        <v>2014.0</v>
      </c>
      <c r="N133" s="17">
        <v>18.0</v>
      </c>
      <c r="O133" s="23">
        <v>90.0</v>
      </c>
      <c r="P133" s="24">
        <f t="shared" si="1"/>
        <v>252</v>
      </c>
      <c r="Q133" s="25">
        <v>2.0</v>
      </c>
      <c r="R133" s="17">
        <v>0.0</v>
      </c>
      <c r="S133" s="26">
        <v>1.0</v>
      </c>
      <c r="T133" s="17">
        <v>2.0</v>
      </c>
      <c r="U133" s="17">
        <v>2.0</v>
      </c>
      <c r="V133" s="17" t="s">
        <v>130</v>
      </c>
      <c r="W133" s="28" t="s">
        <v>76</v>
      </c>
      <c r="X133" s="28" t="s">
        <v>78</v>
      </c>
      <c r="Y133" s="24">
        <v>10.0</v>
      </c>
      <c r="Z133" s="17">
        <v>150.0</v>
      </c>
      <c r="AA133" s="17">
        <v>576.0</v>
      </c>
      <c r="AB133" s="17">
        <v>31.0</v>
      </c>
      <c r="AC133" s="20">
        <f t="shared" si="2"/>
        <v>35712</v>
      </c>
      <c r="AD133" s="30">
        <f t="shared" si="3"/>
        <v>19.344</v>
      </c>
      <c r="AE133" s="30">
        <f t="shared" si="4"/>
        <v>4874.688</v>
      </c>
      <c r="AF133" s="30">
        <f t="shared" si="5"/>
        <v>1641.130673</v>
      </c>
      <c r="AG133" s="34">
        <v>1.0</v>
      </c>
      <c r="AH133" s="36"/>
      <c r="AI133" s="30">
        <f t="shared" si="6"/>
        <v>3278.688525</v>
      </c>
      <c r="AJ133" s="17">
        <v>4000.0</v>
      </c>
      <c r="AK133" s="30">
        <f t="shared" si="7"/>
        <v>6557.377049</v>
      </c>
      <c r="AL133" s="20">
        <f t="shared" si="8"/>
        <v>8000</v>
      </c>
    </row>
    <row r="134">
      <c r="A134" s="16" t="s">
        <v>657</v>
      </c>
      <c r="B134" s="17" t="s">
        <v>17</v>
      </c>
      <c r="C134" s="17" t="s">
        <v>19</v>
      </c>
      <c r="D134" s="17" t="s">
        <v>61</v>
      </c>
      <c r="E134" s="17" t="s">
        <v>316</v>
      </c>
      <c r="F134" s="17" t="s">
        <v>63</v>
      </c>
      <c r="G134" s="19">
        <v>46183.0</v>
      </c>
      <c r="H134" s="17" t="s">
        <v>118</v>
      </c>
      <c r="I134" s="20" t="s">
        <v>658</v>
      </c>
      <c r="J134" s="21" t="s">
        <v>662</v>
      </c>
      <c r="K134" s="22" t="s">
        <v>663</v>
      </c>
      <c r="L134" s="22" t="s">
        <v>664</v>
      </c>
      <c r="M134" s="17">
        <v>2013.0</v>
      </c>
      <c r="N134" s="17">
        <v>14.0</v>
      </c>
      <c r="O134" s="23">
        <v>154.0</v>
      </c>
      <c r="P134" s="24">
        <f t="shared" si="1"/>
        <v>431.2</v>
      </c>
      <c r="Q134" s="25">
        <v>3.0</v>
      </c>
      <c r="R134" s="17">
        <v>0.0</v>
      </c>
      <c r="S134" s="26">
        <v>3.0</v>
      </c>
      <c r="T134" s="17">
        <v>3.0</v>
      </c>
      <c r="U134" s="17">
        <v>6.0</v>
      </c>
      <c r="V134" s="17" t="s">
        <v>130</v>
      </c>
      <c r="W134" s="28" t="s">
        <v>76</v>
      </c>
      <c r="X134" s="28" t="s">
        <v>78</v>
      </c>
      <c r="Y134" s="24">
        <v>10.0</v>
      </c>
      <c r="Z134" s="17">
        <v>150.0</v>
      </c>
      <c r="AA134" s="17">
        <v>576.0</v>
      </c>
      <c r="AB134" s="17">
        <v>31.0</v>
      </c>
      <c r="AC134" s="20">
        <f t="shared" si="2"/>
        <v>53568</v>
      </c>
      <c r="AD134" s="30">
        <f t="shared" si="3"/>
        <v>7.522666667</v>
      </c>
      <c r="AE134" s="30">
        <f t="shared" si="4"/>
        <v>3243.773867</v>
      </c>
      <c r="AF134" s="30">
        <f t="shared" si="5"/>
        <v>3699.394746</v>
      </c>
      <c r="AG134" s="34">
        <v>1.0</v>
      </c>
      <c r="AH134" s="36"/>
      <c r="AI134" s="30">
        <f t="shared" si="6"/>
        <v>3278.688525</v>
      </c>
      <c r="AJ134" s="17">
        <v>4000.0</v>
      </c>
      <c r="AK134" s="30">
        <f t="shared" si="7"/>
        <v>9836.065574</v>
      </c>
      <c r="AL134" s="20">
        <f t="shared" si="8"/>
        <v>12000</v>
      </c>
    </row>
    <row r="135">
      <c r="A135" s="16" t="s">
        <v>665</v>
      </c>
      <c r="B135" s="17" t="s">
        <v>17</v>
      </c>
      <c r="C135" s="17" t="s">
        <v>19</v>
      </c>
      <c r="D135" s="17" t="s">
        <v>123</v>
      </c>
      <c r="E135" s="17" t="s">
        <v>117</v>
      </c>
      <c r="F135" s="17" t="s">
        <v>63</v>
      </c>
      <c r="G135" s="19">
        <v>46168.0</v>
      </c>
      <c r="H135" s="17" t="s">
        <v>104</v>
      </c>
      <c r="I135" s="20" t="s">
        <v>666</v>
      </c>
      <c r="J135" s="21" t="s">
        <v>667</v>
      </c>
      <c r="K135" s="22" t="s">
        <v>668</v>
      </c>
      <c r="L135" s="22" t="s">
        <v>669</v>
      </c>
      <c r="M135" s="17">
        <v>2002.0</v>
      </c>
      <c r="N135" s="17">
        <v>10.0</v>
      </c>
      <c r="O135" s="23">
        <v>150.0</v>
      </c>
      <c r="P135" s="24">
        <f t="shared" si="1"/>
        <v>420</v>
      </c>
      <c r="Q135" s="25">
        <v>3.0</v>
      </c>
      <c r="R135" s="17">
        <v>0.0</v>
      </c>
      <c r="S135" s="26">
        <v>3.0</v>
      </c>
      <c r="T135" s="17">
        <v>3.0</v>
      </c>
      <c r="U135" s="17">
        <v>3.0</v>
      </c>
      <c r="V135" s="17" t="s">
        <v>130</v>
      </c>
      <c r="W135" s="28" t="s">
        <v>76</v>
      </c>
      <c r="X135" s="28" t="s">
        <v>78</v>
      </c>
      <c r="Y135" s="24">
        <v>10.0</v>
      </c>
      <c r="Z135" s="17">
        <v>150.0</v>
      </c>
      <c r="AA135" s="17">
        <v>576.0</v>
      </c>
      <c r="AB135" s="17">
        <v>31.0</v>
      </c>
      <c r="AC135" s="20">
        <f t="shared" si="2"/>
        <v>53568</v>
      </c>
      <c r="AD135" s="30">
        <f t="shared" si="3"/>
        <v>10.74666667</v>
      </c>
      <c r="AE135" s="30">
        <f t="shared" si="4"/>
        <v>4513.6</v>
      </c>
      <c r="AF135" s="30">
        <f t="shared" si="5"/>
        <v>2658.631691</v>
      </c>
      <c r="AG135" s="34">
        <v>1.0</v>
      </c>
      <c r="AH135" s="36"/>
      <c r="AI135" s="30">
        <f t="shared" si="6"/>
        <v>3278.688525</v>
      </c>
      <c r="AJ135" s="17">
        <v>4000.0</v>
      </c>
      <c r="AK135" s="30">
        <f t="shared" si="7"/>
        <v>9836.065574</v>
      </c>
      <c r="AL135" s="20">
        <f t="shared" si="8"/>
        <v>12000</v>
      </c>
    </row>
    <row r="136">
      <c r="A136" s="16" t="s">
        <v>670</v>
      </c>
      <c r="B136" s="17" t="s">
        <v>17</v>
      </c>
      <c r="C136" s="17" t="s">
        <v>19</v>
      </c>
      <c r="D136" s="17" t="s">
        <v>123</v>
      </c>
      <c r="E136" s="17" t="s">
        <v>117</v>
      </c>
      <c r="F136" s="17" t="s">
        <v>63</v>
      </c>
      <c r="G136" s="19">
        <v>46196.0</v>
      </c>
      <c r="H136" s="17" t="s">
        <v>104</v>
      </c>
      <c r="I136" s="20" t="s">
        <v>671</v>
      </c>
      <c r="J136" s="21" t="s">
        <v>672</v>
      </c>
      <c r="K136" s="22" t="s">
        <v>673</v>
      </c>
      <c r="L136" s="22" t="s">
        <v>674</v>
      </c>
      <c r="M136" s="17">
        <v>1995.0</v>
      </c>
      <c r="N136" s="17">
        <v>10.0</v>
      </c>
      <c r="O136" s="23">
        <v>290.0</v>
      </c>
      <c r="P136" s="24">
        <f t="shared" si="1"/>
        <v>812</v>
      </c>
      <c r="Q136" s="25">
        <v>8.0</v>
      </c>
      <c r="R136" s="17">
        <v>0.0</v>
      </c>
      <c r="S136" s="26">
        <v>8.0</v>
      </c>
      <c r="T136" s="17">
        <v>8.0</v>
      </c>
      <c r="U136" s="17">
        <v>8.0</v>
      </c>
      <c r="V136" s="17" t="s">
        <v>130</v>
      </c>
      <c r="W136" s="28" t="s">
        <v>76</v>
      </c>
      <c r="X136" s="28" t="s">
        <v>78</v>
      </c>
      <c r="Y136" s="24">
        <v>10.0</v>
      </c>
      <c r="Z136" s="17">
        <v>150.0</v>
      </c>
      <c r="AA136" s="17">
        <v>576.0</v>
      </c>
      <c r="AB136" s="17">
        <v>31.0</v>
      </c>
      <c r="AC136" s="20">
        <f t="shared" si="2"/>
        <v>142848</v>
      </c>
      <c r="AD136" s="30">
        <f t="shared" si="3"/>
        <v>10.74666667</v>
      </c>
      <c r="AE136" s="30">
        <f t="shared" si="4"/>
        <v>8726.293333</v>
      </c>
      <c r="AF136" s="30">
        <f t="shared" si="5"/>
        <v>3667.078194</v>
      </c>
      <c r="AG136" s="34">
        <v>1.0</v>
      </c>
      <c r="AH136" s="36"/>
      <c r="AI136" s="30">
        <f t="shared" si="6"/>
        <v>3278.688525</v>
      </c>
      <c r="AJ136" s="17">
        <v>4000.0</v>
      </c>
      <c r="AK136" s="30">
        <f t="shared" si="7"/>
        <v>26229.5082</v>
      </c>
      <c r="AL136" s="20">
        <f t="shared" si="8"/>
        <v>32000</v>
      </c>
    </row>
    <row r="137">
      <c r="A137" s="16" t="s">
        <v>675</v>
      </c>
      <c r="B137" s="17" t="s">
        <v>17</v>
      </c>
      <c r="C137" s="17" t="s">
        <v>19</v>
      </c>
      <c r="D137" s="17" t="s">
        <v>123</v>
      </c>
      <c r="E137" s="17" t="s">
        <v>117</v>
      </c>
      <c r="F137" s="17" t="s">
        <v>63</v>
      </c>
      <c r="G137" s="19">
        <v>46186.0</v>
      </c>
      <c r="H137" s="17" t="s">
        <v>104</v>
      </c>
      <c r="I137" s="20" t="s">
        <v>676</v>
      </c>
      <c r="J137" s="21" t="s">
        <v>677</v>
      </c>
      <c r="K137" s="28" t="s">
        <v>678</v>
      </c>
      <c r="L137" s="28" t="s">
        <v>679</v>
      </c>
      <c r="M137" s="17">
        <v>2001.0</v>
      </c>
      <c r="N137" s="17">
        <v>9.0</v>
      </c>
      <c r="O137" s="23">
        <v>207.0</v>
      </c>
      <c r="P137" s="24">
        <f t="shared" si="1"/>
        <v>579.6</v>
      </c>
      <c r="Q137" s="25">
        <v>7.0</v>
      </c>
      <c r="R137" s="17">
        <v>0.0</v>
      </c>
      <c r="S137" s="26">
        <v>7.0</v>
      </c>
      <c r="T137" s="17">
        <v>7.0</v>
      </c>
      <c r="U137" s="17">
        <v>7.0</v>
      </c>
      <c r="V137" s="17" t="s">
        <v>130</v>
      </c>
      <c r="W137" s="28" t="s">
        <v>76</v>
      </c>
      <c r="X137" s="28" t="s">
        <v>78</v>
      </c>
      <c r="Y137" s="24">
        <v>10.0</v>
      </c>
      <c r="Z137" s="17">
        <v>150.0</v>
      </c>
      <c r="AA137" s="17">
        <v>576.0</v>
      </c>
      <c r="AB137" s="17">
        <v>31.0</v>
      </c>
      <c r="AC137" s="20">
        <f t="shared" si="2"/>
        <v>124992</v>
      </c>
      <c r="AD137" s="30">
        <f t="shared" si="3"/>
        <v>9.672</v>
      </c>
      <c r="AE137" s="30">
        <f t="shared" si="4"/>
        <v>5605.8912</v>
      </c>
      <c r="AF137" s="30">
        <f t="shared" si="5"/>
        <v>4994.745528</v>
      </c>
      <c r="AG137" s="34">
        <v>1.0</v>
      </c>
      <c r="AH137" s="36"/>
      <c r="AI137" s="30">
        <f t="shared" si="6"/>
        <v>3278.688525</v>
      </c>
      <c r="AJ137" s="17">
        <v>4000.0</v>
      </c>
      <c r="AK137" s="30">
        <f t="shared" si="7"/>
        <v>22950.81967</v>
      </c>
      <c r="AL137" s="20">
        <f t="shared" si="8"/>
        <v>28000</v>
      </c>
    </row>
    <row r="138">
      <c r="A138" s="16" t="s">
        <v>680</v>
      </c>
      <c r="B138" s="17" t="s">
        <v>17</v>
      </c>
      <c r="C138" s="17" t="s">
        <v>19</v>
      </c>
      <c r="D138" s="17" t="s">
        <v>123</v>
      </c>
      <c r="E138" s="17" t="s">
        <v>117</v>
      </c>
      <c r="F138" s="17" t="s">
        <v>103</v>
      </c>
      <c r="G138" s="19">
        <v>46188.0</v>
      </c>
      <c r="H138" s="17" t="s">
        <v>104</v>
      </c>
      <c r="I138" s="20" t="s">
        <v>681</v>
      </c>
      <c r="J138" s="21" t="s">
        <v>682</v>
      </c>
      <c r="K138" s="22" t="s">
        <v>683</v>
      </c>
      <c r="L138" s="22" t="s">
        <v>684</v>
      </c>
      <c r="M138" s="17">
        <v>2007.0</v>
      </c>
      <c r="N138" s="17">
        <v>18.0</v>
      </c>
      <c r="O138" s="23">
        <v>80.0</v>
      </c>
      <c r="P138" s="24">
        <f t="shared" si="1"/>
        <v>224</v>
      </c>
      <c r="Q138" s="25">
        <v>2.0</v>
      </c>
      <c r="R138" s="17">
        <v>0.0</v>
      </c>
      <c r="S138" s="26">
        <v>1.0</v>
      </c>
      <c r="T138" s="17">
        <v>2.0</v>
      </c>
      <c r="U138" s="17">
        <v>2.0</v>
      </c>
      <c r="V138" s="17" t="s">
        <v>130</v>
      </c>
      <c r="W138" s="28" t="s">
        <v>76</v>
      </c>
      <c r="X138" s="28" t="s">
        <v>78</v>
      </c>
      <c r="Y138" s="24">
        <v>10.0</v>
      </c>
      <c r="Z138" s="17">
        <v>150.0</v>
      </c>
      <c r="AA138" s="17">
        <v>576.0</v>
      </c>
      <c r="AB138" s="17">
        <v>31.0</v>
      </c>
      <c r="AC138" s="20">
        <f t="shared" si="2"/>
        <v>35712</v>
      </c>
      <c r="AD138" s="30">
        <f t="shared" si="3"/>
        <v>19.344</v>
      </c>
      <c r="AE138" s="30">
        <f t="shared" si="4"/>
        <v>4333.056</v>
      </c>
      <c r="AF138" s="30">
        <f t="shared" si="5"/>
        <v>1846.272008</v>
      </c>
      <c r="AG138" s="34">
        <v>1.0</v>
      </c>
      <c r="AH138" s="36"/>
      <c r="AI138" s="30">
        <f t="shared" si="6"/>
        <v>3278.688525</v>
      </c>
      <c r="AJ138" s="17">
        <v>4000.0</v>
      </c>
      <c r="AK138" s="30">
        <f t="shared" si="7"/>
        <v>6557.377049</v>
      </c>
      <c r="AL138" s="20">
        <f t="shared" si="8"/>
        <v>8000</v>
      </c>
    </row>
    <row r="139">
      <c r="A139" s="16" t="s">
        <v>685</v>
      </c>
      <c r="B139" s="17" t="s">
        <v>17</v>
      </c>
      <c r="C139" s="17" t="s">
        <v>19</v>
      </c>
      <c r="D139" s="17" t="s">
        <v>101</v>
      </c>
      <c r="E139" s="17" t="s">
        <v>102</v>
      </c>
      <c r="F139" s="17" t="s">
        <v>103</v>
      </c>
      <c r="G139" s="19">
        <v>46191.0</v>
      </c>
      <c r="H139" s="17" t="s">
        <v>104</v>
      </c>
      <c r="I139" s="20" t="s">
        <v>686</v>
      </c>
      <c r="J139" s="21" t="s">
        <v>687</v>
      </c>
      <c r="K139" s="22" t="s">
        <v>688</v>
      </c>
      <c r="L139" s="22" t="s">
        <v>689</v>
      </c>
      <c r="M139" s="17">
        <v>2009.0</v>
      </c>
      <c r="N139" s="17">
        <v>9.0</v>
      </c>
      <c r="O139" s="23">
        <v>71.0</v>
      </c>
      <c r="P139" s="24">
        <f t="shared" si="1"/>
        <v>198.8</v>
      </c>
      <c r="Q139" s="25">
        <v>2.0</v>
      </c>
      <c r="R139" s="17">
        <v>0.0</v>
      </c>
      <c r="S139" s="26">
        <v>2.0</v>
      </c>
      <c r="T139" s="17">
        <v>2.0</v>
      </c>
      <c r="U139" s="17">
        <v>2.0</v>
      </c>
      <c r="V139" s="17" t="s">
        <v>130</v>
      </c>
      <c r="W139" s="28" t="s">
        <v>76</v>
      </c>
      <c r="X139" s="28" t="s">
        <v>78</v>
      </c>
      <c r="Y139" s="24">
        <v>10.0</v>
      </c>
      <c r="Z139" s="17">
        <v>150.0</v>
      </c>
      <c r="AA139" s="17">
        <v>576.0</v>
      </c>
      <c r="AB139" s="17">
        <v>31.0</v>
      </c>
      <c r="AC139" s="20">
        <f t="shared" si="2"/>
        <v>35712</v>
      </c>
      <c r="AD139" s="30">
        <f t="shared" si="3"/>
        <v>9.672</v>
      </c>
      <c r="AE139" s="30">
        <f t="shared" si="4"/>
        <v>1922.7936</v>
      </c>
      <c r="AF139" s="30">
        <f t="shared" si="5"/>
        <v>4160.612975</v>
      </c>
      <c r="AG139" s="34">
        <v>1.0</v>
      </c>
      <c r="AH139" s="36"/>
      <c r="AI139" s="30">
        <f t="shared" si="6"/>
        <v>3278.688525</v>
      </c>
      <c r="AJ139" s="17">
        <v>4000.0</v>
      </c>
      <c r="AK139" s="30">
        <f t="shared" si="7"/>
        <v>6557.377049</v>
      </c>
      <c r="AL139" s="20">
        <f t="shared" si="8"/>
        <v>8000</v>
      </c>
    </row>
    <row r="140">
      <c r="A140" s="16" t="s">
        <v>685</v>
      </c>
      <c r="B140" s="17" t="s">
        <v>17</v>
      </c>
      <c r="C140" s="17" t="s">
        <v>19</v>
      </c>
      <c r="D140" s="17" t="s">
        <v>101</v>
      </c>
      <c r="E140" s="17" t="s">
        <v>102</v>
      </c>
      <c r="F140" s="17" t="s">
        <v>103</v>
      </c>
      <c r="G140" s="19">
        <v>46191.0</v>
      </c>
      <c r="H140" s="17" t="s">
        <v>104</v>
      </c>
      <c r="I140" s="20" t="s">
        <v>686</v>
      </c>
      <c r="J140" s="21" t="s">
        <v>690</v>
      </c>
      <c r="K140" s="22" t="s">
        <v>691</v>
      </c>
      <c r="L140" s="22" t="s">
        <v>692</v>
      </c>
      <c r="M140" s="17">
        <v>2012.0</v>
      </c>
      <c r="N140" s="17">
        <v>13.0</v>
      </c>
      <c r="O140" s="23">
        <v>148.0</v>
      </c>
      <c r="P140" s="24">
        <f t="shared" si="1"/>
        <v>414.4</v>
      </c>
      <c r="Q140" s="25">
        <v>2.0</v>
      </c>
      <c r="R140" s="17">
        <v>0.0</v>
      </c>
      <c r="S140" s="26">
        <v>2.0</v>
      </c>
      <c r="T140" s="17">
        <v>2.0</v>
      </c>
      <c r="U140" s="17">
        <v>4.0</v>
      </c>
      <c r="V140" s="17" t="s">
        <v>130</v>
      </c>
      <c r="W140" s="28" t="s">
        <v>76</v>
      </c>
      <c r="X140" s="28" t="s">
        <v>78</v>
      </c>
      <c r="Y140" s="24">
        <v>10.0</v>
      </c>
      <c r="Z140" s="17">
        <v>150.0</v>
      </c>
      <c r="AA140" s="17">
        <v>576.0</v>
      </c>
      <c r="AB140" s="17">
        <v>31.0</v>
      </c>
      <c r="AC140" s="20">
        <f t="shared" si="2"/>
        <v>35712</v>
      </c>
      <c r="AD140" s="30">
        <f t="shared" si="3"/>
        <v>6.985333333</v>
      </c>
      <c r="AE140" s="30">
        <f t="shared" si="4"/>
        <v>2894.722133</v>
      </c>
      <c r="AF140" s="30">
        <f t="shared" si="5"/>
        <v>2763.650406</v>
      </c>
      <c r="AG140" s="34">
        <v>1.0</v>
      </c>
      <c r="AH140" s="36"/>
      <c r="AI140" s="30">
        <f t="shared" si="6"/>
        <v>3278.688525</v>
      </c>
      <c r="AJ140" s="17">
        <v>4000.0</v>
      </c>
      <c r="AK140" s="30">
        <f t="shared" si="7"/>
        <v>6557.377049</v>
      </c>
      <c r="AL140" s="20">
        <f t="shared" si="8"/>
        <v>8000</v>
      </c>
    </row>
    <row r="141">
      <c r="A141" s="16" t="s">
        <v>693</v>
      </c>
      <c r="B141" s="17" t="s">
        <v>17</v>
      </c>
      <c r="C141" s="17" t="s">
        <v>19</v>
      </c>
      <c r="D141" s="17" t="s">
        <v>360</v>
      </c>
      <c r="E141" s="17" t="s">
        <v>361</v>
      </c>
      <c r="F141" s="17" t="s">
        <v>63</v>
      </c>
      <c r="G141" s="19">
        <v>46191.0</v>
      </c>
      <c r="H141" s="17" t="s">
        <v>104</v>
      </c>
      <c r="I141" s="17" t="s">
        <v>694</v>
      </c>
      <c r="J141" s="21" t="s">
        <v>695</v>
      </c>
      <c r="K141" s="22" t="s">
        <v>696</v>
      </c>
      <c r="L141" s="22" t="s">
        <v>697</v>
      </c>
      <c r="M141" s="17">
        <v>2022.0</v>
      </c>
      <c r="N141" s="17">
        <v>19.0</v>
      </c>
      <c r="O141" s="23">
        <v>204.0</v>
      </c>
      <c r="P141" s="24">
        <f t="shared" si="1"/>
        <v>571.2</v>
      </c>
      <c r="Q141" s="25">
        <v>3.0</v>
      </c>
      <c r="R141" s="17">
        <v>0.0</v>
      </c>
      <c r="S141" s="26">
        <v>1.0</v>
      </c>
      <c r="T141" s="17">
        <v>3.0</v>
      </c>
      <c r="U141" s="17">
        <v>3.0</v>
      </c>
      <c r="V141" s="17" t="s">
        <v>130</v>
      </c>
      <c r="W141" s="28" t="s">
        <v>76</v>
      </c>
      <c r="X141" s="28" t="s">
        <v>78</v>
      </c>
      <c r="Y141" s="24">
        <v>10.0</v>
      </c>
      <c r="Z141" s="17">
        <v>150.0</v>
      </c>
      <c r="AA141" s="17">
        <v>576.0</v>
      </c>
      <c r="AB141" s="17">
        <v>31.0</v>
      </c>
      <c r="AC141" s="20">
        <f t="shared" si="2"/>
        <v>53568</v>
      </c>
      <c r="AD141" s="30">
        <f t="shared" si="3"/>
        <v>20.41866667</v>
      </c>
      <c r="AE141" s="30">
        <f t="shared" si="4"/>
        <v>11663.1424</v>
      </c>
      <c r="AF141" s="30">
        <f t="shared" si="5"/>
        <v>1028.882233</v>
      </c>
      <c r="AG141" s="34">
        <v>1.0</v>
      </c>
      <c r="AH141" s="36"/>
      <c r="AI141" s="30">
        <f t="shared" si="6"/>
        <v>3278.688525</v>
      </c>
      <c r="AJ141" s="17">
        <v>4000.0</v>
      </c>
      <c r="AK141" s="30">
        <f t="shared" si="7"/>
        <v>9836.065574</v>
      </c>
      <c r="AL141" s="20">
        <f t="shared" si="8"/>
        <v>12000</v>
      </c>
    </row>
    <row r="142">
      <c r="A142" s="16" t="s">
        <v>698</v>
      </c>
      <c r="B142" s="17" t="s">
        <v>17</v>
      </c>
      <c r="C142" s="17" t="s">
        <v>19</v>
      </c>
      <c r="D142" s="17" t="s">
        <v>360</v>
      </c>
      <c r="E142" s="17" t="s">
        <v>361</v>
      </c>
      <c r="F142" s="17" t="s">
        <v>63</v>
      </c>
      <c r="G142" s="19">
        <v>46217.0</v>
      </c>
      <c r="H142" s="17" t="s">
        <v>104</v>
      </c>
      <c r="I142" s="17" t="s">
        <v>699</v>
      </c>
      <c r="J142" s="21" t="s">
        <v>700</v>
      </c>
      <c r="K142" s="28" t="s">
        <v>701</v>
      </c>
      <c r="L142" s="28" t="s">
        <v>702</v>
      </c>
      <c r="M142" s="17">
        <v>2025.0</v>
      </c>
      <c r="N142" s="17">
        <v>26.0</v>
      </c>
      <c r="O142" s="23">
        <v>288.0</v>
      </c>
      <c r="P142" s="24">
        <f t="shared" si="1"/>
        <v>806.4</v>
      </c>
      <c r="Q142" s="25">
        <v>3.0</v>
      </c>
      <c r="R142" s="17">
        <v>0.0</v>
      </c>
      <c r="S142" s="26">
        <v>1.0</v>
      </c>
      <c r="T142" s="17">
        <v>3.0</v>
      </c>
      <c r="U142" s="17">
        <v>4.0</v>
      </c>
      <c r="V142" s="17" t="s">
        <v>130</v>
      </c>
      <c r="W142" s="28" t="s">
        <v>76</v>
      </c>
      <c r="X142" s="28" t="s">
        <v>78</v>
      </c>
      <c r="Y142" s="24">
        <v>10.0</v>
      </c>
      <c r="Z142" s="17">
        <v>150.0</v>
      </c>
      <c r="AA142" s="17">
        <v>576.0</v>
      </c>
      <c r="AB142" s="17">
        <v>31.0</v>
      </c>
      <c r="AC142" s="20">
        <f t="shared" si="2"/>
        <v>53568</v>
      </c>
      <c r="AD142" s="30">
        <f t="shared" si="3"/>
        <v>20.956</v>
      </c>
      <c r="AE142" s="30">
        <f t="shared" si="4"/>
        <v>16898.9184</v>
      </c>
      <c r="AF142" s="30">
        <f t="shared" si="5"/>
        <v>710.1046183</v>
      </c>
      <c r="AG142" s="34">
        <v>1.0</v>
      </c>
      <c r="AH142" s="36"/>
      <c r="AI142" s="30">
        <f t="shared" si="6"/>
        <v>3278.688525</v>
      </c>
      <c r="AJ142" s="17">
        <v>4000.0</v>
      </c>
      <c r="AK142" s="30">
        <f t="shared" si="7"/>
        <v>9836.065574</v>
      </c>
      <c r="AL142" s="20">
        <f t="shared" si="8"/>
        <v>12000</v>
      </c>
    </row>
    <row r="143">
      <c r="A143" s="16" t="s">
        <v>703</v>
      </c>
      <c r="B143" s="17" t="s">
        <v>17</v>
      </c>
      <c r="C143" s="17" t="s">
        <v>19</v>
      </c>
      <c r="D143" s="17" t="s">
        <v>360</v>
      </c>
      <c r="E143" s="17" t="s">
        <v>361</v>
      </c>
      <c r="F143" s="17" t="s">
        <v>63</v>
      </c>
      <c r="G143" s="19">
        <v>46217.0</v>
      </c>
      <c r="H143" s="17" t="s">
        <v>104</v>
      </c>
      <c r="I143" s="17" t="s">
        <v>704</v>
      </c>
      <c r="J143" s="21" t="s">
        <v>705</v>
      </c>
      <c r="K143" s="28" t="s">
        <v>706</v>
      </c>
      <c r="L143" s="28" t="s">
        <v>707</v>
      </c>
      <c r="M143" s="17">
        <v>2025.0</v>
      </c>
      <c r="N143" s="17">
        <v>26.0</v>
      </c>
      <c r="O143" s="23">
        <v>288.0</v>
      </c>
      <c r="P143" s="24">
        <f t="shared" si="1"/>
        <v>806.4</v>
      </c>
      <c r="Q143" s="25">
        <v>3.0</v>
      </c>
      <c r="R143" s="17">
        <v>0.0</v>
      </c>
      <c r="S143" s="26">
        <v>1.0</v>
      </c>
      <c r="T143" s="17">
        <v>3.0</v>
      </c>
      <c r="U143" s="17">
        <v>4.0</v>
      </c>
      <c r="V143" s="17" t="s">
        <v>130</v>
      </c>
      <c r="W143" s="28" t="s">
        <v>76</v>
      </c>
      <c r="X143" s="28" t="s">
        <v>78</v>
      </c>
      <c r="Y143" s="24">
        <v>10.0</v>
      </c>
      <c r="Z143" s="17">
        <v>150.0</v>
      </c>
      <c r="AA143" s="17">
        <v>576.0</v>
      </c>
      <c r="AB143" s="17">
        <v>31.0</v>
      </c>
      <c r="AC143" s="20">
        <f t="shared" si="2"/>
        <v>53568</v>
      </c>
      <c r="AD143" s="30">
        <f t="shared" si="3"/>
        <v>20.956</v>
      </c>
      <c r="AE143" s="30">
        <f t="shared" si="4"/>
        <v>16898.9184</v>
      </c>
      <c r="AF143" s="30">
        <f t="shared" si="5"/>
        <v>710.1046183</v>
      </c>
      <c r="AG143" s="34">
        <v>1.0</v>
      </c>
      <c r="AH143" s="36"/>
      <c r="AI143" s="30">
        <f t="shared" si="6"/>
        <v>3278.688525</v>
      </c>
      <c r="AJ143" s="17">
        <v>4000.0</v>
      </c>
      <c r="AK143" s="30">
        <f t="shared" si="7"/>
        <v>9836.065574</v>
      </c>
      <c r="AL143" s="20">
        <f t="shared" si="8"/>
        <v>12000</v>
      </c>
    </row>
    <row r="144">
      <c r="A144" s="16" t="s">
        <v>708</v>
      </c>
      <c r="B144" s="17" t="s">
        <v>17</v>
      </c>
      <c r="C144" s="17" t="s">
        <v>19</v>
      </c>
      <c r="D144" s="17" t="s">
        <v>360</v>
      </c>
      <c r="E144" s="17" t="s">
        <v>361</v>
      </c>
      <c r="F144" s="17" t="s">
        <v>63</v>
      </c>
      <c r="G144" s="19">
        <v>46202.0</v>
      </c>
      <c r="H144" s="17" t="s">
        <v>118</v>
      </c>
      <c r="I144" s="20" t="s">
        <v>709</v>
      </c>
      <c r="J144" s="21" t="s">
        <v>710</v>
      </c>
      <c r="K144" s="22" t="s">
        <v>711</v>
      </c>
      <c r="L144" s="22" t="s">
        <v>712</v>
      </c>
      <c r="M144" s="17">
        <v>2025.0</v>
      </c>
      <c r="N144" s="17">
        <v>19.0</v>
      </c>
      <c r="O144" s="23">
        <v>808.0</v>
      </c>
      <c r="P144" s="24">
        <f t="shared" si="1"/>
        <v>2262.4</v>
      </c>
      <c r="Q144" s="25">
        <v>8.0</v>
      </c>
      <c r="R144" s="17">
        <v>0.0</v>
      </c>
      <c r="S144" s="26">
        <v>8.0</v>
      </c>
      <c r="T144" s="17">
        <v>8.0</v>
      </c>
      <c r="U144" s="17">
        <v>16.0</v>
      </c>
      <c r="V144" s="17" t="s">
        <v>130</v>
      </c>
      <c r="W144" s="28" t="s">
        <v>76</v>
      </c>
      <c r="X144" s="28" t="s">
        <v>78</v>
      </c>
      <c r="Y144" s="24">
        <v>10.0</v>
      </c>
      <c r="Z144" s="17">
        <v>150.0</v>
      </c>
      <c r="AA144" s="17">
        <v>576.0</v>
      </c>
      <c r="AB144" s="17">
        <v>31.0</v>
      </c>
      <c r="AC144" s="20">
        <f t="shared" si="2"/>
        <v>142848</v>
      </c>
      <c r="AD144" s="30">
        <f t="shared" si="3"/>
        <v>10.20933333</v>
      </c>
      <c r="AE144" s="30">
        <f t="shared" si="4"/>
        <v>23097.59573</v>
      </c>
      <c r="AF144" s="30">
        <f t="shared" si="5"/>
        <v>1385.425581</v>
      </c>
      <c r="AG144" s="34">
        <v>1.0</v>
      </c>
      <c r="AH144" s="36"/>
      <c r="AI144" s="30">
        <f t="shared" si="6"/>
        <v>3278.688525</v>
      </c>
      <c r="AJ144" s="17">
        <v>4000.0</v>
      </c>
      <c r="AK144" s="30">
        <f t="shared" si="7"/>
        <v>26229.5082</v>
      </c>
      <c r="AL144" s="20">
        <f t="shared" si="8"/>
        <v>32000</v>
      </c>
    </row>
    <row r="145">
      <c r="A145" s="16" t="s">
        <v>713</v>
      </c>
      <c r="B145" s="17" t="s">
        <v>17</v>
      </c>
      <c r="C145" s="17" t="s">
        <v>19</v>
      </c>
      <c r="D145" s="17" t="s">
        <v>101</v>
      </c>
      <c r="E145" s="17" t="s">
        <v>102</v>
      </c>
      <c r="F145" s="17" t="s">
        <v>103</v>
      </c>
      <c r="G145" s="19">
        <v>46202.0</v>
      </c>
      <c r="H145" s="17" t="s">
        <v>104</v>
      </c>
      <c r="I145" s="20" t="s">
        <v>714</v>
      </c>
      <c r="J145" s="21" t="s">
        <v>715</v>
      </c>
      <c r="K145" s="22" t="s">
        <v>716</v>
      </c>
      <c r="L145" s="22" t="s">
        <v>717</v>
      </c>
      <c r="M145" s="17">
        <v>2002.0</v>
      </c>
      <c r="N145" s="17">
        <v>15.0</v>
      </c>
      <c r="O145" s="23">
        <v>70.0</v>
      </c>
      <c r="P145" s="24">
        <f t="shared" si="1"/>
        <v>196</v>
      </c>
      <c r="Q145" s="25">
        <v>2.0</v>
      </c>
      <c r="R145" s="17">
        <v>0.0</v>
      </c>
      <c r="S145" s="26">
        <v>1.0</v>
      </c>
      <c r="T145" s="17">
        <v>2.0</v>
      </c>
      <c r="U145" s="17">
        <v>2.0</v>
      </c>
      <c r="V145" s="17" t="s">
        <v>130</v>
      </c>
      <c r="W145" s="28" t="s">
        <v>76</v>
      </c>
      <c r="X145" s="28" t="s">
        <v>78</v>
      </c>
      <c r="Y145" s="24">
        <v>10.0</v>
      </c>
      <c r="Z145" s="17">
        <v>150.0</v>
      </c>
      <c r="AA145" s="17">
        <v>576.0</v>
      </c>
      <c r="AB145" s="17">
        <v>31.0</v>
      </c>
      <c r="AC145" s="20">
        <f t="shared" si="2"/>
        <v>35712</v>
      </c>
      <c r="AD145" s="30">
        <f t="shared" si="3"/>
        <v>16.12</v>
      </c>
      <c r="AE145" s="30">
        <f t="shared" si="4"/>
        <v>3159.52</v>
      </c>
      <c r="AF145" s="30">
        <f t="shared" si="5"/>
        <v>2532.030182</v>
      </c>
      <c r="AG145" s="34">
        <v>1.0</v>
      </c>
      <c r="AH145" s="36"/>
      <c r="AI145" s="30">
        <f t="shared" si="6"/>
        <v>3278.688525</v>
      </c>
      <c r="AJ145" s="17">
        <v>4000.0</v>
      </c>
      <c r="AK145" s="30">
        <f t="shared" si="7"/>
        <v>6557.377049</v>
      </c>
      <c r="AL145" s="20">
        <f t="shared" si="8"/>
        <v>8000</v>
      </c>
    </row>
    <row r="146">
      <c r="A146" s="16" t="s">
        <v>713</v>
      </c>
      <c r="B146" s="17" t="s">
        <v>17</v>
      </c>
      <c r="C146" s="17" t="s">
        <v>19</v>
      </c>
      <c r="D146" s="17" t="s">
        <v>101</v>
      </c>
      <c r="E146" s="17" t="s">
        <v>102</v>
      </c>
      <c r="F146" s="17" t="s">
        <v>103</v>
      </c>
      <c r="G146" s="19">
        <v>46202.0</v>
      </c>
      <c r="H146" s="17" t="s">
        <v>104</v>
      </c>
      <c r="I146" s="20" t="s">
        <v>714</v>
      </c>
      <c r="J146" s="21" t="s">
        <v>718</v>
      </c>
      <c r="K146" s="22" t="s">
        <v>719</v>
      </c>
      <c r="L146" s="22" t="s">
        <v>720</v>
      </c>
      <c r="M146" s="17">
        <v>2003.0</v>
      </c>
      <c r="N146" s="17">
        <v>17.0</v>
      </c>
      <c r="O146" s="23">
        <v>71.0</v>
      </c>
      <c r="P146" s="24">
        <f t="shared" si="1"/>
        <v>198.8</v>
      </c>
      <c r="Q146" s="25">
        <v>2.0</v>
      </c>
      <c r="R146" s="17">
        <v>0.0</v>
      </c>
      <c r="S146" s="26">
        <v>1.0</v>
      </c>
      <c r="T146" s="17">
        <v>2.0</v>
      </c>
      <c r="U146" s="17">
        <v>2.0</v>
      </c>
      <c r="V146" s="17" t="s">
        <v>130</v>
      </c>
      <c r="W146" s="28" t="s">
        <v>76</v>
      </c>
      <c r="X146" s="28" t="s">
        <v>78</v>
      </c>
      <c r="Y146" s="24">
        <v>10.0</v>
      </c>
      <c r="Z146" s="17">
        <v>150.0</v>
      </c>
      <c r="AA146" s="17">
        <v>576.0</v>
      </c>
      <c r="AB146" s="17">
        <v>31.0</v>
      </c>
      <c r="AC146" s="20">
        <f t="shared" si="2"/>
        <v>35712</v>
      </c>
      <c r="AD146" s="30">
        <f t="shared" si="3"/>
        <v>18.26933333</v>
      </c>
      <c r="AE146" s="30">
        <f t="shared" si="4"/>
        <v>3631.943467</v>
      </c>
      <c r="AF146" s="30">
        <f t="shared" si="5"/>
        <v>2202.677457</v>
      </c>
      <c r="AG146" s="34">
        <v>1.0</v>
      </c>
      <c r="AH146" s="36"/>
      <c r="AI146" s="30">
        <f t="shared" si="6"/>
        <v>3278.688525</v>
      </c>
      <c r="AJ146" s="17">
        <v>4000.0</v>
      </c>
      <c r="AK146" s="30">
        <f t="shared" si="7"/>
        <v>6557.377049</v>
      </c>
      <c r="AL146" s="20">
        <f t="shared" si="8"/>
        <v>8000</v>
      </c>
    </row>
    <row r="147">
      <c r="A147" s="16" t="s">
        <v>713</v>
      </c>
      <c r="B147" s="17" t="s">
        <v>17</v>
      </c>
      <c r="C147" s="17" t="s">
        <v>19</v>
      </c>
      <c r="D147" s="17" t="s">
        <v>101</v>
      </c>
      <c r="E147" s="17" t="s">
        <v>102</v>
      </c>
      <c r="F147" s="17" t="s">
        <v>103</v>
      </c>
      <c r="G147" s="19">
        <v>46202.0</v>
      </c>
      <c r="H147" s="17" t="s">
        <v>104</v>
      </c>
      <c r="I147" s="20" t="s">
        <v>714</v>
      </c>
      <c r="J147" s="21" t="s">
        <v>721</v>
      </c>
      <c r="K147" s="22" t="s">
        <v>722</v>
      </c>
      <c r="L147" s="22" t="s">
        <v>723</v>
      </c>
      <c r="M147" s="17">
        <v>2003.0</v>
      </c>
      <c r="N147" s="17">
        <v>14.0</v>
      </c>
      <c r="O147" s="23">
        <v>70.0</v>
      </c>
      <c r="P147" s="24">
        <f t="shared" si="1"/>
        <v>196</v>
      </c>
      <c r="Q147" s="25">
        <v>2.0</v>
      </c>
      <c r="R147" s="17">
        <v>0.0</v>
      </c>
      <c r="S147" s="26">
        <v>1.0</v>
      </c>
      <c r="T147" s="17">
        <v>2.0</v>
      </c>
      <c r="U147" s="17">
        <v>2.0</v>
      </c>
      <c r="V147" s="17" t="s">
        <v>130</v>
      </c>
      <c r="W147" s="28" t="s">
        <v>76</v>
      </c>
      <c r="X147" s="28" t="s">
        <v>78</v>
      </c>
      <c r="Y147" s="24">
        <v>10.0</v>
      </c>
      <c r="Z147" s="17">
        <v>150.0</v>
      </c>
      <c r="AA147" s="17">
        <v>576.0</v>
      </c>
      <c r="AB147" s="17">
        <v>31.0</v>
      </c>
      <c r="AC147" s="20">
        <f t="shared" si="2"/>
        <v>35712</v>
      </c>
      <c r="AD147" s="30">
        <f t="shared" si="3"/>
        <v>15.04533333</v>
      </c>
      <c r="AE147" s="30">
        <f t="shared" si="4"/>
        <v>2948.885333</v>
      </c>
      <c r="AF147" s="30">
        <f t="shared" si="5"/>
        <v>2712.88948</v>
      </c>
      <c r="AG147" s="34">
        <v>1.0</v>
      </c>
      <c r="AH147" s="36"/>
      <c r="AI147" s="30">
        <f t="shared" si="6"/>
        <v>3278.688525</v>
      </c>
      <c r="AJ147" s="17">
        <v>4000.0</v>
      </c>
      <c r="AK147" s="30">
        <f t="shared" si="7"/>
        <v>6557.377049</v>
      </c>
      <c r="AL147" s="20">
        <f t="shared" si="8"/>
        <v>8000</v>
      </c>
    </row>
    <row r="148">
      <c r="A148" s="16" t="s">
        <v>724</v>
      </c>
      <c r="B148" s="17" t="s">
        <v>17</v>
      </c>
      <c r="C148" s="17" t="s">
        <v>19</v>
      </c>
      <c r="D148" s="17" t="s">
        <v>61</v>
      </c>
      <c r="E148" s="17" t="s">
        <v>110</v>
      </c>
      <c r="F148" s="17" t="s">
        <v>63</v>
      </c>
      <c r="G148" s="19">
        <v>46202.0</v>
      </c>
      <c r="H148" s="17" t="s">
        <v>104</v>
      </c>
      <c r="I148" s="20" t="s">
        <v>725</v>
      </c>
      <c r="J148" s="21" t="s">
        <v>726</v>
      </c>
      <c r="K148" s="22" t="s">
        <v>727</v>
      </c>
      <c r="L148" s="22" t="s">
        <v>728</v>
      </c>
      <c r="M148" s="17">
        <v>2012.0</v>
      </c>
      <c r="N148" s="17">
        <v>13.0</v>
      </c>
      <c r="O148" s="23">
        <v>133.0</v>
      </c>
      <c r="P148" s="24">
        <f t="shared" si="1"/>
        <v>372.4</v>
      </c>
      <c r="Q148" s="25">
        <v>3.0</v>
      </c>
      <c r="R148" s="17">
        <v>0.0</v>
      </c>
      <c r="S148" s="26">
        <v>3.0</v>
      </c>
      <c r="T148" s="17">
        <v>3.0</v>
      </c>
      <c r="U148" s="17">
        <v>2.0</v>
      </c>
      <c r="V148" s="17" t="s">
        <v>130</v>
      </c>
      <c r="W148" s="28" t="s">
        <v>76</v>
      </c>
      <c r="X148" s="28" t="s">
        <v>78</v>
      </c>
      <c r="Y148" s="24">
        <v>10.0</v>
      </c>
      <c r="Z148" s="17">
        <v>150.0</v>
      </c>
      <c r="AA148" s="17">
        <v>576.0</v>
      </c>
      <c r="AB148" s="17">
        <v>31.0</v>
      </c>
      <c r="AC148" s="20">
        <f t="shared" si="2"/>
        <v>53568</v>
      </c>
      <c r="AD148" s="30">
        <f t="shared" si="3"/>
        <v>20.956</v>
      </c>
      <c r="AE148" s="30">
        <f t="shared" si="4"/>
        <v>7804.0144</v>
      </c>
      <c r="AF148" s="30">
        <f t="shared" si="5"/>
        <v>1537.670151</v>
      </c>
      <c r="AG148" s="34">
        <v>1.0</v>
      </c>
      <c r="AH148" s="36"/>
      <c r="AI148" s="30">
        <f t="shared" si="6"/>
        <v>3278.688525</v>
      </c>
      <c r="AJ148" s="17">
        <v>4000.0</v>
      </c>
      <c r="AK148" s="30">
        <f t="shared" si="7"/>
        <v>9836.065574</v>
      </c>
      <c r="AL148" s="20">
        <f t="shared" si="8"/>
        <v>12000</v>
      </c>
    </row>
    <row r="149">
      <c r="A149" s="16" t="s">
        <v>724</v>
      </c>
      <c r="B149" s="17" t="s">
        <v>17</v>
      </c>
      <c r="C149" s="17" t="s">
        <v>19</v>
      </c>
      <c r="D149" s="17" t="s">
        <v>61</v>
      </c>
      <c r="E149" s="17" t="s">
        <v>110</v>
      </c>
      <c r="F149" s="17" t="s">
        <v>63</v>
      </c>
      <c r="G149" s="19">
        <v>46202.0</v>
      </c>
      <c r="H149" s="17" t="s">
        <v>104</v>
      </c>
      <c r="I149" s="20" t="s">
        <v>725</v>
      </c>
      <c r="J149" s="21" t="s">
        <v>729</v>
      </c>
      <c r="K149" s="22" t="s">
        <v>730</v>
      </c>
      <c r="L149" s="22" t="s">
        <v>731</v>
      </c>
      <c r="M149" s="17">
        <v>2011.0</v>
      </c>
      <c r="N149" s="17">
        <v>9.0</v>
      </c>
      <c r="O149" s="23">
        <v>64.0</v>
      </c>
      <c r="P149" s="24">
        <f t="shared" si="1"/>
        <v>179.2</v>
      </c>
      <c r="Q149" s="25">
        <v>2.0</v>
      </c>
      <c r="R149" s="17">
        <v>0.0</v>
      </c>
      <c r="S149" s="26">
        <v>2.0</v>
      </c>
      <c r="T149" s="17">
        <v>2.0</v>
      </c>
      <c r="U149" s="17">
        <v>2.0</v>
      </c>
      <c r="V149" s="17" t="s">
        <v>130</v>
      </c>
      <c r="W149" s="28" t="s">
        <v>76</v>
      </c>
      <c r="X149" s="28" t="s">
        <v>78</v>
      </c>
      <c r="Y149" s="24">
        <v>10.0</v>
      </c>
      <c r="Z149" s="17">
        <v>150.0</v>
      </c>
      <c r="AA149" s="17">
        <v>576.0</v>
      </c>
      <c r="AB149" s="17">
        <v>31.0</v>
      </c>
      <c r="AC149" s="20">
        <f t="shared" si="2"/>
        <v>35712</v>
      </c>
      <c r="AD149" s="30">
        <f t="shared" si="3"/>
        <v>9.672</v>
      </c>
      <c r="AE149" s="30">
        <f t="shared" si="4"/>
        <v>1733.2224</v>
      </c>
      <c r="AF149" s="30">
        <f t="shared" si="5"/>
        <v>4615.680019</v>
      </c>
      <c r="AG149" s="34">
        <v>1.0</v>
      </c>
      <c r="AH149" s="36"/>
      <c r="AI149" s="30">
        <f t="shared" si="6"/>
        <v>3278.688525</v>
      </c>
      <c r="AJ149" s="17">
        <v>4000.0</v>
      </c>
      <c r="AK149" s="30">
        <f t="shared" si="7"/>
        <v>6557.377049</v>
      </c>
      <c r="AL149" s="20">
        <f t="shared" si="8"/>
        <v>8000</v>
      </c>
    </row>
    <row r="150">
      <c r="A150" s="16" t="s">
        <v>732</v>
      </c>
      <c r="B150" s="17" t="s">
        <v>17</v>
      </c>
      <c r="C150" s="17" t="s">
        <v>19</v>
      </c>
      <c r="D150" s="17" t="s">
        <v>101</v>
      </c>
      <c r="E150" s="17" t="s">
        <v>102</v>
      </c>
      <c r="F150" s="17" t="s">
        <v>63</v>
      </c>
      <c r="G150" s="19">
        <v>46202.0</v>
      </c>
      <c r="H150" s="17" t="s">
        <v>104</v>
      </c>
      <c r="I150" s="20" t="s">
        <v>733</v>
      </c>
      <c r="J150" s="21" t="s">
        <v>734</v>
      </c>
      <c r="K150" s="22" t="s">
        <v>735</v>
      </c>
      <c r="L150" s="22" t="s">
        <v>736</v>
      </c>
      <c r="M150" s="17">
        <v>2024.0</v>
      </c>
      <c r="N150" s="17">
        <v>26.0</v>
      </c>
      <c r="O150" s="23">
        <v>554.0</v>
      </c>
      <c r="P150" s="24">
        <f t="shared" si="1"/>
        <v>1551.2</v>
      </c>
      <c r="Q150" s="25">
        <v>8.0</v>
      </c>
      <c r="R150" s="17">
        <v>0.0</v>
      </c>
      <c r="S150" s="26">
        <v>3.0</v>
      </c>
      <c r="T150" s="17">
        <v>8.0</v>
      </c>
      <c r="U150" s="17">
        <v>8.0</v>
      </c>
      <c r="V150" s="17" t="s">
        <v>130</v>
      </c>
      <c r="W150" s="28" t="s">
        <v>76</v>
      </c>
      <c r="X150" s="28" t="s">
        <v>78</v>
      </c>
      <c r="Y150" s="24">
        <v>10.0</v>
      </c>
      <c r="Z150" s="17">
        <v>150.0</v>
      </c>
      <c r="AA150" s="17">
        <v>576.0</v>
      </c>
      <c r="AB150" s="17">
        <v>31.0</v>
      </c>
      <c r="AC150" s="20">
        <f t="shared" si="2"/>
        <v>142848</v>
      </c>
      <c r="AD150" s="30">
        <f t="shared" si="3"/>
        <v>27.94133333</v>
      </c>
      <c r="AE150" s="30">
        <f t="shared" si="4"/>
        <v>43342.59627</v>
      </c>
      <c r="AF150" s="30">
        <f t="shared" si="5"/>
        <v>738.3037187</v>
      </c>
      <c r="AG150" s="34">
        <v>1.0</v>
      </c>
      <c r="AH150" s="36"/>
      <c r="AI150" s="30">
        <f t="shared" si="6"/>
        <v>3278.688525</v>
      </c>
      <c r="AJ150" s="17">
        <v>4000.0</v>
      </c>
      <c r="AK150" s="30">
        <f t="shared" si="7"/>
        <v>26229.5082</v>
      </c>
      <c r="AL150" s="20">
        <f t="shared" si="8"/>
        <v>32000</v>
      </c>
    </row>
    <row r="151">
      <c r="A151" s="16" t="s">
        <v>737</v>
      </c>
      <c r="B151" s="17" t="s">
        <v>17</v>
      </c>
      <c r="C151" s="17" t="s">
        <v>19</v>
      </c>
      <c r="D151" s="17" t="s">
        <v>101</v>
      </c>
      <c r="E151" s="17" t="s">
        <v>102</v>
      </c>
      <c r="F151" s="17" t="s">
        <v>63</v>
      </c>
      <c r="G151" s="19">
        <v>46202.0</v>
      </c>
      <c r="H151" s="17" t="s">
        <v>104</v>
      </c>
      <c r="I151" s="20" t="s">
        <v>738</v>
      </c>
      <c r="J151" s="21" t="s">
        <v>739</v>
      </c>
      <c r="K151" s="22" t="s">
        <v>740</v>
      </c>
      <c r="L151" s="22" t="s">
        <v>741</v>
      </c>
      <c r="M151" s="17">
        <v>2024.0</v>
      </c>
      <c r="N151" s="17">
        <v>27.0</v>
      </c>
      <c r="O151" s="23">
        <v>537.0</v>
      </c>
      <c r="P151" s="24">
        <f t="shared" si="1"/>
        <v>1503.6</v>
      </c>
      <c r="Q151" s="25">
        <v>12.0</v>
      </c>
      <c r="R151" s="17">
        <v>0.0</v>
      </c>
      <c r="S151" s="26">
        <v>3.0</v>
      </c>
      <c r="T151" s="17">
        <v>12.0</v>
      </c>
      <c r="U151" s="17">
        <v>8.0</v>
      </c>
      <c r="V151" s="17" t="s">
        <v>130</v>
      </c>
      <c r="W151" s="28" t="s">
        <v>76</v>
      </c>
      <c r="X151" s="28" t="s">
        <v>78</v>
      </c>
      <c r="Y151" s="24">
        <v>10.0</v>
      </c>
      <c r="Z151" s="17">
        <v>150.0</v>
      </c>
      <c r="AA151" s="17">
        <v>576.0</v>
      </c>
      <c r="AB151" s="17">
        <v>31.0</v>
      </c>
      <c r="AC151" s="20">
        <f t="shared" si="2"/>
        <v>214272</v>
      </c>
      <c r="AD151" s="30">
        <f t="shared" si="3"/>
        <v>43.524</v>
      </c>
      <c r="AE151" s="30">
        <f t="shared" si="4"/>
        <v>65442.6864</v>
      </c>
      <c r="AF151" s="30">
        <f t="shared" si="5"/>
        <v>733.4662227</v>
      </c>
      <c r="AG151" s="34">
        <v>1.0</v>
      </c>
      <c r="AH151" s="36"/>
      <c r="AI151" s="30">
        <f t="shared" si="6"/>
        <v>3278.688525</v>
      </c>
      <c r="AJ151" s="17">
        <v>4000.0</v>
      </c>
      <c r="AK151" s="30">
        <f t="shared" si="7"/>
        <v>39344.2623</v>
      </c>
      <c r="AL151" s="20">
        <f t="shared" si="8"/>
        <v>48000</v>
      </c>
    </row>
    <row r="152">
      <c r="A152" s="16" t="s">
        <v>742</v>
      </c>
      <c r="B152" s="17" t="s">
        <v>17</v>
      </c>
      <c r="C152" s="17" t="s">
        <v>19</v>
      </c>
      <c r="D152" s="17" t="s">
        <v>61</v>
      </c>
      <c r="E152" s="17" t="s">
        <v>110</v>
      </c>
      <c r="F152" s="17" t="s">
        <v>63</v>
      </c>
      <c r="G152" s="19">
        <v>46202.0</v>
      </c>
      <c r="H152" s="17" t="s">
        <v>104</v>
      </c>
      <c r="I152" s="20" t="s">
        <v>743</v>
      </c>
      <c r="J152" s="21" t="s">
        <v>744</v>
      </c>
      <c r="K152" s="22" t="s">
        <v>745</v>
      </c>
      <c r="L152" s="22" t="s">
        <v>746</v>
      </c>
      <c r="M152" s="17">
        <v>2002.0</v>
      </c>
      <c r="N152" s="17">
        <v>15.0</v>
      </c>
      <c r="O152" s="23">
        <v>76.0</v>
      </c>
      <c r="P152" s="24">
        <f t="shared" si="1"/>
        <v>212.8</v>
      </c>
      <c r="Q152" s="25">
        <v>4.0</v>
      </c>
      <c r="R152" s="17">
        <v>0.0</v>
      </c>
      <c r="S152" s="26">
        <v>2.0</v>
      </c>
      <c r="T152" s="17">
        <v>4.0</v>
      </c>
      <c r="U152" s="17">
        <v>4.0</v>
      </c>
      <c r="V152" s="17" t="s">
        <v>130</v>
      </c>
      <c r="W152" s="28" t="s">
        <v>76</v>
      </c>
      <c r="X152" s="28" t="s">
        <v>78</v>
      </c>
      <c r="Y152" s="24">
        <v>10.0</v>
      </c>
      <c r="Z152" s="17">
        <v>150.0</v>
      </c>
      <c r="AA152" s="17">
        <v>576.0</v>
      </c>
      <c r="AB152" s="17">
        <v>31.0</v>
      </c>
      <c r="AC152" s="20">
        <f t="shared" si="2"/>
        <v>71424</v>
      </c>
      <c r="AD152" s="30">
        <f t="shared" si="3"/>
        <v>16.12</v>
      </c>
      <c r="AE152" s="30">
        <f t="shared" si="4"/>
        <v>3430.336</v>
      </c>
      <c r="AF152" s="30">
        <f t="shared" si="5"/>
        <v>4664.266124</v>
      </c>
      <c r="AG152" s="34">
        <v>1.0</v>
      </c>
      <c r="AH152" s="36"/>
      <c r="AI152" s="30">
        <f t="shared" si="6"/>
        <v>3278.688525</v>
      </c>
      <c r="AJ152" s="17">
        <v>4000.0</v>
      </c>
      <c r="AK152" s="30">
        <f t="shared" si="7"/>
        <v>13114.7541</v>
      </c>
      <c r="AL152" s="20">
        <f t="shared" si="8"/>
        <v>16000</v>
      </c>
    </row>
    <row r="153">
      <c r="A153" s="16" t="s">
        <v>747</v>
      </c>
      <c r="B153" s="17" t="s">
        <v>17</v>
      </c>
      <c r="C153" s="17" t="s">
        <v>19</v>
      </c>
      <c r="D153" s="17" t="s">
        <v>101</v>
      </c>
      <c r="E153" s="17" t="s">
        <v>102</v>
      </c>
      <c r="F153" s="17" t="s">
        <v>103</v>
      </c>
      <c r="G153" s="19">
        <v>46203.0</v>
      </c>
      <c r="H153" s="17" t="s">
        <v>104</v>
      </c>
      <c r="I153" s="20" t="s">
        <v>748</v>
      </c>
      <c r="J153" s="21" t="s">
        <v>749</v>
      </c>
      <c r="K153" s="22" t="s">
        <v>750</v>
      </c>
      <c r="L153" s="22" t="s">
        <v>751</v>
      </c>
      <c r="M153" s="17">
        <v>2009.0</v>
      </c>
      <c r="N153" s="17">
        <v>16.0</v>
      </c>
      <c r="O153" s="23">
        <v>315.0</v>
      </c>
      <c r="P153" s="24">
        <f t="shared" si="1"/>
        <v>882</v>
      </c>
      <c r="Q153" s="25">
        <v>6.0</v>
      </c>
      <c r="R153" s="17">
        <v>0.0</v>
      </c>
      <c r="S153" s="26">
        <v>6.0</v>
      </c>
      <c r="T153" s="17">
        <v>6.0</v>
      </c>
      <c r="U153" s="17">
        <v>9.0</v>
      </c>
      <c r="V153" s="17" t="s">
        <v>130</v>
      </c>
      <c r="W153" s="28" t="s">
        <v>76</v>
      </c>
      <c r="X153" s="28" t="s">
        <v>78</v>
      </c>
      <c r="Y153" s="24">
        <v>10.0</v>
      </c>
      <c r="Z153" s="17">
        <v>150.0</v>
      </c>
      <c r="AA153" s="17">
        <v>576.0</v>
      </c>
      <c r="AB153" s="17">
        <v>31.0</v>
      </c>
      <c r="AC153" s="20">
        <f t="shared" si="2"/>
        <v>107136</v>
      </c>
      <c r="AD153" s="30">
        <f t="shared" si="3"/>
        <v>11.46311111</v>
      </c>
      <c r="AE153" s="30">
        <f t="shared" si="4"/>
        <v>10110.464</v>
      </c>
      <c r="AF153" s="30">
        <f t="shared" si="5"/>
        <v>2373.778295</v>
      </c>
      <c r="AG153" s="34">
        <v>1.0</v>
      </c>
      <c r="AH153" s="36"/>
      <c r="AI153" s="30">
        <f t="shared" si="6"/>
        <v>3278.688525</v>
      </c>
      <c r="AJ153" s="17">
        <v>4000.0</v>
      </c>
      <c r="AK153" s="30">
        <f t="shared" si="7"/>
        <v>19672.13115</v>
      </c>
      <c r="AL153" s="20">
        <f t="shared" si="8"/>
        <v>24000</v>
      </c>
    </row>
    <row r="154">
      <c r="A154" s="16" t="s">
        <v>752</v>
      </c>
      <c r="B154" s="17" t="s">
        <v>17</v>
      </c>
      <c r="C154" s="17" t="s">
        <v>19</v>
      </c>
      <c r="D154" s="17" t="s">
        <v>123</v>
      </c>
      <c r="E154" s="17" t="s">
        <v>117</v>
      </c>
      <c r="F154" s="17" t="s">
        <v>103</v>
      </c>
      <c r="G154" s="19">
        <v>46202.0</v>
      </c>
      <c r="H154" s="17" t="s">
        <v>118</v>
      </c>
      <c r="I154" s="20" t="s">
        <v>753</v>
      </c>
      <c r="J154" s="21" t="s">
        <v>754</v>
      </c>
      <c r="K154" s="22" t="s">
        <v>755</v>
      </c>
      <c r="L154" s="22" t="s">
        <v>756</v>
      </c>
      <c r="M154" s="17">
        <v>2007.0</v>
      </c>
      <c r="N154" s="17">
        <v>18.0</v>
      </c>
      <c r="O154" s="23">
        <v>80.0</v>
      </c>
      <c r="P154" s="24">
        <f t="shared" si="1"/>
        <v>224</v>
      </c>
      <c r="Q154" s="25">
        <v>2.0</v>
      </c>
      <c r="R154" s="17">
        <v>0.0</v>
      </c>
      <c r="S154" s="26">
        <v>1.0</v>
      </c>
      <c r="T154" s="17">
        <v>2.0</v>
      </c>
      <c r="U154" s="17">
        <v>2.0</v>
      </c>
      <c r="V154" s="17" t="s">
        <v>130</v>
      </c>
      <c r="W154" s="28" t="s">
        <v>76</v>
      </c>
      <c r="X154" s="28" t="s">
        <v>78</v>
      </c>
      <c r="Y154" s="24">
        <v>10.0</v>
      </c>
      <c r="Z154" s="17">
        <v>150.0</v>
      </c>
      <c r="AA154" s="17">
        <v>576.0</v>
      </c>
      <c r="AB154" s="17">
        <v>31.0</v>
      </c>
      <c r="AC154" s="20">
        <f t="shared" si="2"/>
        <v>35712</v>
      </c>
      <c r="AD154" s="30">
        <f t="shared" si="3"/>
        <v>19.344</v>
      </c>
      <c r="AE154" s="30">
        <f t="shared" si="4"/>
        <v>4333.056</v>
      </c>
      <c r="AF154" s="30">
        <f t="shared" si="5"/>
        <v>1846.272008</v>
      </c>
      <c r="AG154" s="34">
        <v>1.0</v>
      </c>
      <c r="AH154" s="36"/>
      <c r="AI154" s="30">
        <f t="shared" si="6"/>
        <v>3278.688525</v>
      </c>
      <c r="AJ154" s="17">
        <v>4000.0</v>
      </c>
      <c r="AK154" s="30">
        <f t="shared" si="7"/>
        <v>6557.377049</v>
      </c>
      <c r="AL154" s="20">
        <f t="shared" si="8"/>
        <v>8000</v>
      </c>
    </row>
    <row r="155">
      <c r="A155" s="16" t="s">
        <v>757</v>
      </c>
      <c r="B155" s="17" t="s">
        <v>17</v>
      </c>
      <c r="C155" s="17" t="s">
        <v>19</v>
      </c>
      <c r="D155" s="17" t="s">
        <v>101</v>
      </c>
      <c r="E155" s="17" t="s">
        <v>102</v>
      </c>
      <c r="F155" s="17" t="s">
        <v>63</v>
      </c>
      <c r="G155" s="19">
        <v>46216.0</v>
      </c>
      <c r="H155" s="17" t="s">
        <v>104</v>
      </c>
      <c r="I155" s="17" t="s">
        <v>758</v>
      </c>
      <c r="J155" s="21" t="s">
        <v>759</v>
      </c>
      <c r="K155" s="28" t="s">
        <v>760</v>
      </c>
      <c r="L155" s="28" t="s">
        <v>761</v>
      </c>
      <c r="M155" s="17">
        <v>2005.0</v>
      </c>
      <c r="N155" s="17">
        <v>17.0</v>
      </c>
      <c r="O155" s="23">
        <v>115.0</v>
      </c>
      <c r="P155" s="24">
        <f t="shared" si="1"/>
        <v>322</v>
      </c>
      <c r="Q155" s="25">
        <v>2.0</v>
      </c>
      <c r="R155" s="17">
        <v>0.0</v>
      </c>
      <c r="S155" s="26">
        <v>1.0</v>
      </c>
      <c r="T155" s="17">
        <v>2.0</v>
      </c>
      <c r="U155" s="17">
        <v>2.0</v>
      </c>
      <c r="V155" s="17" t="s">
        <v>130</v>
      </c>
      <c r="W155" s="28" t="s">
        <v>76</v>
      </c>
      <c r="X155" s="28" t="s">
        <v>78</v>
      </c>
      <c r="Y155" s="24">
        <v>10.0</v>
      </c>
      <c r="Z155" s="17">
        <v>150.0</v>
      </c>
      <c r="AA155" s="17">
        <v>576.0</v>
      </c>
      <c r="AB155" s="17">
        <v>31.0</v>
      </c>
      <c r="AC155" s="20">
        <f t="shared" si="2"/>
        <v>35712</v>
      </c>
      <c r="AD155" s="30">
        <f t="shared" si="3"/>
        <v>18.26933333</v>
      </c>
      <c r="AE155" s="30">
        <f t="shared" si="4"/>
        <v>5882.725333</v>
      </c>
      <c r="AF155" s="30">
        <f t="shared" si="5"/>
        <v>1359.913908</v>
      </c>
      <c r="AG155" s="34">
        <v>1.0</v>
      </c>
      <c r="AH155" s="36"/>
      <c r="AI155" s="30">
        <f t="shared" si="6"/>
        <v>3278.688525</v>
      </c>
      <c r="AJ155" s="17">
        <v>4000.0</v>
      </c>
      <c r="AK155" s="30">
        <f t="shared" si="7"/>
        <v>6557.377049</v>
      </c>
      <c r="AL155" s="20">
        <f t="shared" si="8"/>
        <v>8000</v>
      </c>
    </row>
    <row r="156">
      <c r="A156" s="16" t="s">
        <v>762</v>
      </c>
      <c r="B156" s="17" t="s">
        <v>17</v>
      </c>
      <c r="C156" s="17" t="s">
        <v>19</v>
      </c>
      <c r="D156" s="17" t="s">
        <v>101</v>
      </c>
      <c r="E156" s="17" t="s">
        <v>110</v>
      </c>
      <c r="F156" s="17" t="s">
        <v>103</v>
      </c>
      <c r="G156" s="19">
        <v>46216.0</v>
      </c>
      <c r="H156" s="17" t="s">
        <v>104</v>
      </c>
      <c r="I156" s="17" t="s">
        <v>763</v>
      </c>
      <c r="J156" s="21" t="s">
        <v>764</v>
      </c>
      <c r="K156" s="28" t="s">
        <v>765</v>
      </c>
      <c r="L156" s="28" t="s">
        <v>766</v>
      </c>
      <c r="M156" s="17">
        <v>2014.0</v>
      </c>
      <c r="N156" s="17">
        <v>11.0</v>
      </c>
      <c r="O156" s="23">
        <v>122.0</v>
      </c>
      <c r="P156" s="24">
        <f t="shared" si="1"/>
        <v>341.6</v>
      </c>
      <c r="Q156" s="25">
        <v>2.0</v>
      </c>
      <c r="R156" s="17">
        <v>0.0</v>
      </c>
      <c r="S156" s="26">
        <v>2.0</v>
      </c>
      <c r="T156" s="17">
        <v>2.0</v>
      </c>
      <c r="U156" s="17">
        <v>2.0</v>
      </c>
      <c r="V156" s="17" t="s">
        <v>130</v>
      </c>
      <c r="W156" s="28" t="s">
        <v>76</v>
      </c>
      <c r="X156" s="28" t="s">
        <v>78</v>
      </c>
      <c r="Y156" s="24">
        <v>10.0</v>
      </c>
      <c r="Z156" s="17">
        <v>150.0</v>
      </c>
      <c r="AA156" s="17">
        <v>576.0</v>
      </c>
      <c r="AB156" s="17">
        <v>31.0</v>
      </c>
      <c r="AC156" s="20">
        <f t="shared" si="2"/>
        <v>35712</v>
      </c>
      <c r="AD156" s="30">
        <f t="shared" si="3"/>
        <v>11.82133333</v>
      </c>
      <c r="AE156" s="30">
        <f t="shared" si="4"/>
        <v>4038.167467</v>
      </c>
      <c r="AF156" s="30">
        <f t="shared" si="5"/>
        <v>1981.09664</v>
      </c>
      <c r="AG156" s="34">
        <v>1.0</v>
      </c>
      <c r="AH156" s="36"/>
      <c r="AI156" s="30">
        <f t="shared" si="6"/>
        <v>3278.688525</v>
      </c>
      <c r="AJ156" s="17">
        <v>4000.0</v>
      </c>
      <c r="AK156" s="30">
        <f t="shared" si="7"/>
        <v>6557.377049</v>
      </c>
      <c r="AL156" s="20">
        <f t="shared" si="8"/>
        <v>8000</v>
      </c>
    </row>
    <row r="157">
      <c r="A157" s="16" t="s">
        <v>762</v>
      </c>
      <c r="B157" s="17" t="s">
        <v>17</v>
      </c>
      <c r="C157" s="17" t="s">
        <v>19</v>
      </c>
      <c r="D157" s="17" t="s">
        <v>101</v>
      </c>
      <c r="E157" s="17" t="s">
        <v>110</v>
      </c>
      <c r="F157" s="17" t="s">
        <v>103</v>
      </c>
      <c r="G157" s="19">
        <v>46216.0</v>
      </c>
      <c r="H157" s="17" t="s">
        <v>104</v>
      </c>
      <c r="I157" s="17" t="s">
        <v>763</v>
      </c>
      <c r="J157" s="21" t="s">
        <v>767</v>
      </c>
      <c r="K157" s="28" t="s">
        <v>768</v>
      </c>
      <c r="L157" s="28" t="s">
        <v>769</v>
      </c>
      <c r="M157" s="17">
        <v>2023.0</v>
      </c>
      <c r="N157" s="17">
        <v>18.0</v>
      </c>
      <c r="O157" s="23">
        <v>120.0</v>
      </c>
      <c r="P157" s="24">
        <f t="shared" si="1"/>
        <v>336</v>
      </c>
      <c r="Q157" s="25">
        <v>3.0</v>
      </c>
      <c r="R157" s="17">
        <v>0.0</v>
      </c>
      <c r="S157" s="26">
        <v>2.0</v>
      </c>
      <c r="T157" s="17">
        <v>3.0</v>
      </c>
      <c r="U157" s="17">
        <v>4.0</v>
      </c>
      <c r="V157" s="17" t="s">
        <v>130</v>
      </c>
      <c r="W157" s="28" t="s">
        <v>76</v>
      </c>
      <c r="X157" s="28" t="s">
        <v>78</v>
      </c>
      <c r="Y157" s="24">
        <v>10.0</v>
      </c>
      <c r="Z157" s="17">
        <v>150.0</v>
      </c>
      <c r="AA157" s="17">
        <v>576.0</v>
      </c>
      <c r="AB157" s="17">
        <v>31.0</v>
      </c>
      <c r="AC157" s="20">
        <f t="shared" si="2"/>
        <v>53568</v>
      </c>
      <c r="AD157" s="30">
        <f t="shared" si="3"/>
        <v>14.508</v>
      </c>
      <c r="AE157" s="30">
        <f t="shared" si="4"/>
        <v>4874.688</v>
      </c>
      <c r="AF157" s="30">
        <f t="shared" si="5"/>
        <v>2461.69601</v>
      </c>
      <c r="AG157" s="34">
        <v>1.0</v>
      </c>
      <c r="AH157" s="36"/>
      <c r="AI157" s="30">
        <f t="shared" si="6"/>
        <v>3278.688525</v>
      </c>
      <c r="AJ157" s="17">
        <v>4000.0</v>
      </c>
      <c r="AK157" s="30">
        <f t="shared" si="7"/>
        <v>9836.065574</v>
      </c>
      <c r="AL157" s="20">
        <f t="shared" si="8"/>
        <v>12000</v>
      </c>
    </row>
    <row r="158">
      <c r="A158" s="16" t="s">
        <v>770</v>
      </c>
      <c r="B158" s="17" t="s">
        <v>17</v>
      </c>
      <c r="C158" s="17" t="s">
        <v>19</v>
      </c>
      <c r="D158" s="17" t="s">
        <v>61</v>
      </c>
      <c r="E158" s="17" t="s">
        <v>110</v>
      </c>
      <c r="F158" s="17" t="s">
        <v>63</v>
      </c>
      <c r="G158" s="19">
        <v>46216.0</v>
      </c>
      <c r="H158" s="17" t="s">
        <v>104</v>
      </c>
      <c r="I158" s="17" t="s">
        <v>771</v>
      </c>
      <c r="J158" s="21" t="s">
        <v>772</v>
      </c>
      <c r="K158" s="28" t="s">
        <v>773</v>
      </c>
      <c r="L158" s="28" t="s">
        <v>774</v>
      </c>
      <c r="M158" s="17">
        <v>2000.0</v>
      </c>
      <c r="N158" s="17">
        <v>7.0</v>
      </c>
      <c r="O158" s="23">
        <v>41.0</v>
      </c>
      <c r="P158" s="24">
        <f t="shared" si="1"/>
        <v>114.8</v>
      </c>
      <c r="Q158" s="25">
        <v>1.0</v>
      </c>
      <c r="R158" s="17">
        <v>0.0</v>
      </c>
      <c r="S158" s="26">
        <v>2.0</v>
      </c>
      <c r="T158" s="17">
        <v>1.0</v>
      </c>
      <c r="U158" s="17">
        <v>2.0</v>
      </c>
      <c r="V158" s="17" t="s">
        <v>130</v>
      </c>
      <c r="W158" s="28" t="s">
        <v>76</v>
      </c>
      <c r="X158" s="28" t="s">
        <v>78</v>
      </c>
      <c r="Y158" s="24">
        <v>10.0</v>
      </c>
      <c r="Z158" s="17">
        <v>150.0</v>
      </c>
      <c r="AA158" s="17">
        <v>576.0</v>
      </c>
      <c r="AB158" s="17">
        <v>31.0</v>
      </c>
      <c r="AC158" s="20">
        <f t="shared" si="2"/>
        <v>17856</v>
      </c>
      <c r="AD158" s="30">
        <f t="shared" si="3"/>
        <v>3.761333333</v>
      </c>
      <c r="AE158" s="30">
        <f t="shared" si="4"/>
        <v>431.8010667</v>
      </c>
      <c r="AF158" s="30">
        <f t="shared" si="5"/>
        <v>9263.525055</v>
      </c>
      <c r="AG158" s="34">
        <v>1.0</v>
      </c>
      <c r="AH158" s="36"/>
      <c r="AI158" s="30">
        <f t="shared" si="6"/>
        <v>3278.688525</v>
      </c>
      <c r="AJ158" s="17">
        <v>4000.0</v>
      </c>
      <c r="AK158" s="30">
        <f t="shared" si="7"/>
        <v>3278.688525</v>
      </c>
      <c r="AL158" s="20">
        <f t="shared" si="8"/>
        <v>4000</v>
      </c>
    </row>
    <row r="159">
      <c r="A159" s="16" t="s">
        <v>775</v>
      </c>
      <c r="B159" s="17" t="s">
        <v>17</v>
      </c>
      <c r="C159" s="17" t="s">
        <v>19</v>
      </c>
      <c r="D159" s="17" t="s">
        <v>101</v>
      </c>
      <c r="E159" s="17" t="s">
        <v>110</v>
      </c>
      <c r="F159" s="17" t="s">
        <v>63</v>
      </c>
      <c r="G159" s="19">
        <v>46216.0</v>
      </c>
      <c r="H159" s="17" t="s">
        <v>104</v>
      </c>
      <c r="I159" s="17" t="s">
        <v>776</v>
      </c>
      <c r="J159" s="21" t="s">
        <v>777</v>
      </c>
      <c r="K159" s="28" t="s">
        <v>778</v>
      </c>
      <c r="L159" s="28" t="s">
        <v>779</v>
      </c>
      <c r="M159" s="17">
        <v>1970.0</v>
      </c>
      <c r="N159" s="17">
        <v>12.0</v>
      </c>
      <c r="O159" s="23">
        <v>96.0</v>
      </c>
      <c r="P159" s="24">
        <f t="shared" si="1"/>
        <v>268.8</v>
      </c>
      <c r="Q159" s="25">
        <v>2.0</v>
      </c>
      <c r="R159" s="17">
        <v>0.0</v>
      </c>
      <c r="S159" s="26">
        <v>4.0</v>
      </c>
      <c r="T159" s="17">
        <v>2.0</v>
      </c>
      <c r="U159" s="17">
        <v>4.0</v>
      </c>
      <c r="V159" s="17" t="s">
        <v>130</v>
      </c>
      <c r="W159" s="28" t="s">
        <v>76</v>
      </c>
      <c r="X159" s="28" t="s">
        <v>78</v>
      </c>
      <c r="Y159" s="24">
        <v>10.0</v>
      </c>
      <c r="Z159" s="17">
        <v>150.0</v>
      </c>
      <c r="AA159" s="17">
        <v>576.0</v>
      </c>
      <c r="AB159" s="17">
        <v>31.0</v>
      </c>
      <c r="AC159" s="20">
        <f t="shared" si="2"/>
        <v>35712</v>
      </c>
      <c r="AD159" s="30">
        <f t="shared" si="3"/>
        <v>6.448</v>
      </c>
      <c r="AE159" s="30">
        <f t="shared" si="4"/>
        <v>1733.2224</v>
      </c>
      <c r="AF159" s="30">
        <f t="shared" si="5"/>
        <v>4615.680019</v>
      </c>
      <c r="AG159" s="34">
        <v>1.0</v>
      </c>
      <c r="AH159" s="36"/>
      <c r="AI159" s="30">
        <f t="shared" si="6"/>
        <v>3278.688525</v>
      </c>
      <c r="AJ159" s="17">
        <v>4000.0</v>
      </c>
      <c r="AK159" s="30">
        <f t="shared" si="7"/>
        <v>6557.377049</v>
      </c>
      <c r="AL159" s="20">
        <f t="shared" si="8"/>
        <v>8000</v>
      </c>
    </row>
    <row r="160">
      <c r="A160" s="16" t="s">
        <v>780</v>
      </c>
      <c r="B160" s="17" t="s">
        <v>17</v>
      </c>
      <c r="C160" s="17" t="s">
        <v>19</v>
      </c>
      <c r="D160" s="17" t="s">
        <v>101</v>
      </c>
      <c r="E160" s="17" t="s">
        <v>102</v>
      </c>
      <c r="F160" s="17" t="s">
        <v>63</v>
      </c>
      <c r="G160" s="19">
        <v>46216.0</v>
      </c>
      <c r="H160" s="17" t="s">
        <v>104</v>
      </c>
      <c r="I160" s="17" t="s">
        <v>781</v>
      </c>
      <c r="J160" s="21" t="s">
        <v>782</v>
      </c>
      <c r="K160" s="28" t="s">
        <v>783</v>
      </c>
      <c r="L160" s="28" t="s">
        <v>784</v>
      </c>
      <c r="M160" s="17">
        <v>2002.0</v>
      </c>
      <c r="N160" s="17">
        <v>12.0</v>
      </c>
      <c r="O160" s="23">
        <v>114.0</v>
      </c>
      <c r="P160" s="24">
        <f t="shared" si="1"/>
        <v>319.2</v>
      </c>
      <c r="Q160" s="25">
        <v>2.0</v>
      </c>
      <c r="R160" s="17">
        <v>0.0</v>
      </c>
      <c r="S160" s="26">
        <v>1.0</v>
      </c>
      <c r="T160" s="17">
        <v>2.0</v>
      </c>
      <c r="U160" s="17">
        <v>2.0</v>
      </c>
      <c r="V160" s="17" t="s">
        <v>130</v>
      </c>
      <c r="W160" s="28" t="s">
        <v>76</v>
      </c>
      <c r="X160" s="28" t="s">
        <v>78</v>
      </c>
      <c r="Y160" s="24">
        <v>10.0</v>
      </c>
      <c r="Z160" s="17">
        <v>150.0</v>
      </c>
      <c r="AA160" s="17">
        <v>576.0</v>
      </c>
      <c r="AB160" s="17">
        <v>31.0</v>
      </c>
      <c r="AC160" s="20">
        <f t="shared" si="2"/>
        <v>35712</v>
      </c>
      <c r="AD160" s="30">
        <f t="shared" si="3"/>
        <v>12.896</v>
      </c>
      <c r="AE160" s="30">
        <f t="shared" si="4"/>
        <v>4116.4032</v>
      </c>
      <c r="AF160" s="30">
        <f t="shared" si="5"/>
        <v>1943.444218</v>
      </c>
      <c r="AG160" s="34">
        <v>1.0</v>
      </c>
      <c r="AH160" s="36"/>
      <c r="AI160" s="30">
        <f t="shared" si="6"/>
        <v>3278.688525</v>
      </c>
      <c r="AJ160" s="17">
        <v>4000.0</v>
      </c>
      <c r="AK160" s="30">
        <f t="shared" si="7"/>
        <v>6557.377049</v>
      </c>
      <c r="AL160" s="20">
        <f t="shared" si="8"/>
        <v>8000</v>
      </c>
    </row>
    <row r="161">
      <c r="A161" s="16" t="s">
        <v>785</v>
      </c>
      <c r="B161" s="17" t="s">
        <v>17</v>
      </c>
      <c r="C161" s="17" t="s">
        <v>19</v>
      </c>
      <c r="D161" s="17" t="s">
        <v>123</v>
      </c>
      <c r="E161" s="17" t="s">
        <v>117</v>
      </c>
      <c r="F161" s="17" t="s">
        <v>103</v>
      </c>
      <c r="G161" s="19">
        <v>46216.0</v>
      </c>
      <c r="H161" s="17" t="s">
        <v>104</v>
      </c>
      <c r="I161" s="17" t="s">
        <v>786</v>
      </c>
      <c r="J161" s="21" t="s">
        <v>787</v>
      </c>
      <c r="K161" s="28" t="s">
        <v>788</v>
      </c>
      <c r="L161" s="28" t="s">
        <v>789</v>
      </c>
      <c r="M161" s="17">
        <v>2001.0</v>
      </c>
      <c r="N161" s="17">
        <v>9.0</v>
      </c>
      <c r="O161" s="23">
        <v>161.0</v>
      </c>
      <c r="P161" s="24">
        <f t="shared" si="1"/>
        <v>450.8</v>
      </c>
      <c r="Q161" s="25">
        <v>6.0</v>
      </c>
      <c r="R161" s="17">
        <v>0.0</v>
      </c>
      <c r="S161" s="26">
        <v>6.0</v>
      </c>
      <c r="T161" s="17">
        <v>6.0</v>
      </c>
      <c r="U161" s="17">
        <v>6.0</v>
      </c>
      <c r="V161" s="17" t="s">
        <v>130</v>
      </c>
      <c r="W161" s="28" t="s">
        <v>76</v>
      </c>
      <c r="X161" s="28" t="s">
        <v>78</v>
      </c>
      <c r="Y161" s="24">
        <v>10.0</v>
      </c>
      <c r="Z161" s="17">
        <v>150.0</v>
      </c>
      <c r="AA161" s="17">
        <v>576.0</v>
      </c>
      <c r="AB161" s="17">
        <v>31.0</v>
      </c>
      <c r="AC161" s="20">
        <f t="shared" si="2"/>
        <v>107136</v>
      </c>
      <c r="AD161" s="30">
        <f t="shared" si="3"/>
        <v>9.672</v>
      </c>
      <c r="AE161" s="30">
        <f t="shared" si="4"/>
        <v>4360.1376</v>
      </c>
      <c r="AF161" s="30">
        <f t="shared" si="5"/>
        <v>5504.413439</v>
      </c>
      <c r="AG161" s="34">
        <v>1.0</v>
      </c>
      <c r="AH161" s="36"/>
      <c r="AI161" s="30">
        <f t="shared" si="6"/>
        <v>3278.688525</v>
      </c>
      <c r="AJ161" s="17">
        <v>4000.0</v>
      </c>
      <c r="AK161" s="30">
        <f t="shared" si="7"/>
        <v>19672.13115</v>
      </c>
      <c r="AL161" s="20">
        <f t="shared" si="8"/>
        <v>24000</v>
      </c>
    </row>
    <row r="162">
      <c r="A162" s="16" t="s">
        <v>790</v>
      </c>
      <c r="B162" s="17" t="s">
        <v>17</v>
      </c>
      <c r="C162" s="17" t="s">
        <v>19</v>
      </c>
      <c r="D162" s="17" t="s">
        <v>101</v>
      </c>
      <c r="E162" s="17" t="s">
        <v>102</v>
      </c>
      <c r="F162" s="17" t="s">
        <v>103</v>
      </c>
      <c r="G162" s="19">
        <v>46219.0</v>
      </c>
      <c r="H162" s="17" t="s">
        <v>104</v>
      </c>
      <c r="I162" s="17" t="s">
        <v>791</v>
      </c>
      <c r="J162" s="21" t="s">
        <v>792</v>
      </c>
      <c r="K162" s="28" t="s">
        <v>793</v>
      </c>
      <c r="L162" s="28" t="s">
        <v>794</v>
      </c>
      <c r="M162" s="17">
        <v>2001.0</v>
      </c>
      <c r="N162" s="17">
        <v>12.0</v>
      </c>
      <c r="O162" s="23">
        <v>108.0</v>
      </c>
      <c r="P162" s="24">
        <f t="shared" si="1"/>
        <v>302.4</v>
      </c>
      <c r="Q162" s="25">
        <v>4.0</v>
      </c>
      <c r="R162" s="17">
        <v>0.0</v>
      </c>
      <c r="S162" s="26">
        <v>2.0</v>
      </c>
      <c r="T162" s="17">
        <v>4.0</v>
      </c>
      <c r="U162" s="17">
        <v>2.0</v>
      </c>
      <c r="V162" s="17" t="s">
        <v>130</v>
      </c>
      <c r="W162" s="28" t="s">
        <v>76</v>
      </c>
      <c r="X162" s="28" t="s">
        <v>78</v>
      </c>
      <c r="Y162" s="24">
        <v>10.0</v>
      </c>
      <c r="Z162" s="17">
        <v>150.0</v>
      </c>
      <c r="AA162" s="17">
        <v>576.0</v>
      </c>
      <c r="AB162" s="17">
        <v>31.0</v>
      </c>
      <c r="AC162" s="20">
        <f t="shared" si="2"/>
        <v>71424</v>
      </c>
      <c r="AD162" s="30">
        <f t="shared" si="3"/>
        <v>25.792</v>
      </c>
      <c r="AE162" s="30">
        <f t="shared" si="4"/>
        <v>7799.5008</v>
      </c>
      <c r="AF162" s="30">
        <f t="shared" si="5"/>
        <v>2051.413342</v>
      </c>
      <c r="AG162" s="34">
        <v>1.0</v>
      </c>
      <c r="AH162" s="36"/>
      <c r="AI162" s="30">
        <f t="shared" si="6"/>
        <v>3278.688525</v>
      </c>
      <c r="AJ162" s="17">
        <v>4000.0</v>
      </c>
      <c r="AK162" s="30">
        <f t="shared" si="7"/>
        <v>13114.7541</v>
      </c>
      <c r="AL162" s="20">
        <f t="shared" si="8"/>
        <v>16000</v>
      </c>
    </row>
    <row r="163">
      <c r="A163" s="41" t="s">
        <v>790</v>
      </c>
      <c r="B163" s="42" t="s">
        <v>17</v>
      </c>
      <c r="C163" s="42" t="s">
        <v>19</v>
      </c>
      <c r="D163" s="42" t="s">
        <v>101</v>
      </c>
      <c r="E163" s="42" t="s">
        <v>102</v>
      </c>
      <c r="F163" s="17" t="s">
        <v>103</v>
      </c>
      <c r="G163" s="19">
        <v>46219.0</v>
      </c>
      <c r="H163" s="17" t="s">
        <v>104</v>
      </c>
      <c r="I163" s="42" t="s">
        <v>791</v>
      </c>
      <c r="J163" s="44" t="s">
        <v>795</v>
      </c>
      <c r="K163" s="45" t="s">
        <v>796</v>
      </c>
      <c r="L163" s="45" t="s">
        <v>797</v>
      </c>
      <c r="M163" s="42">
        <v>2002.0</v>
      </c>
      <c r="N163" s="42">
        <v>16.0</v>
      </c>
      <c r="O163" s="47">
        <v>57.0</v>
      </c>
      <c r="P163" s="48">
        <f t="shared" si="1"/>
        <v>159.6</v>
      </c>
      <c r="Q163" s="41">
        <v>2.0</v>
      </c>
      <c r="R163" s="42">
        <v>0.0</v>
      </c>
      <c r="S163" s="49">
        <v>1.0</v>
      </c>
      <c r="T163" s="42">
        <v>2.0</v>
      </c>
      <c r="U163" s="42">
        <v>1.0</v>
      </c>
      <c r="V163" s="42" t="s">
        <v>130</v>
      </c>
      <c r="W163" s="45" t="s">
        <v>76</v>
      </c>
      <c r="X163" s="45" t="s">
        <v>78</v>
      </c>
      <c r="Y163" s="48">
        <v>10.0</v>
      </c>
      <c r="Z163" s="42">
        <v>150.0</v>
      </c>
      <c r="AA163" s="42">
        <v>576.0</v>
      </c>
      <c r="AB163" s="42">
        <v>31.0</v>
      </c>
      <c r="AC163" s="43">
        <f t="shared" si="2"/>
        <v>35712</v>
      </c>
      <c r="AD163" s="50">
        <f t="shared" si="3"/>
        <v>34.38933333</v>
      </c>
      <c r="AE163" s="50">
        <f t="shared" si="4"/>
        <v>5488.5376</v>
      </c>
      <c r="AF163" s="50">
        <f t="shared" si="5"/>
        <v>1457.583164</v>
      </c>
      <c r="AG163" s="51">
        <v>1.0</v>
      </c>
      <c r="AH163" s="52"/>
      <c r="AI163" s="50">
        <f t="shared" si="6"/>
        <v>3278.688525</v>
      </c>
      <c r="AJ163" s="42">
        <v>4000.0</v>
      </c>
      <c r="AK163" s="50">
        <f t="shared" si="7"/>
        <v>6557.377049</v>
      </c>
      <c r="AL163" s="43">
        <f t="shared" si="8"/>
        <v>8000</v>
      </c>
    </row>
    <row r="164">
      <c r="A164" s="16" t="s">
        <v>798</v>
      </c>
      <c r="B164" s="17" t="s">
        <v>17</v>
      </c>
      <c r="C164" s="17" t="s">
        <v>19</v>
      </c>
      <c r="D164" s="17" t="s">
        <v>101</v>
      </c>
      <c r="E164" s="17" t="s">
        <v>110</v>
      </c>
      <c r="F164" s="17" t="s">
        <v>63</v>
      </c>
      <c r="G164" s="19">
        <v>46224.0</v>
      </c>
      <c r="H164" s="17" t="s">
        <v>104</v>
      </c>
      <c r="I164" s="17" t="s">
        <v>799</v>
      </c>
      <c r="J164" s="21" t="s">
        <v>800</v>
      </c>
      <c r="K164" s="28" t="s">
        <v>801</v>
      </c>
      <c r="L164" s="28" t="s">
        <v>802</v>
      </c>
      <c r="M164" s="17">
        <v>2016.0</v>
      </c>
      <c r="N164" s="17">
        <v>13.0</v>
      </c>
      <c r="O164" s="23">
        <v>160.0</v>
      </c>
      <c r="P164" s="24">
        <f t="shared" si="1"/>
        <v>448</v>
      </c>
      <c r="Q164" s="25">
        <v>6.0</v>
      </c>
      <c r="R164" s="17">
        <v>0.0</v>
      </c>
      <c r="S164" s="26">
        <v>3.0</v>
      </c>
      <c r="T164" s="17">
        <v>6.0</v>
      </c>
      <c r="U164" s="17">
        <v>6.0</v>
      </c>
      <c r="V164" s="17" t="s">
        <v>130</v>
      </c>
      <c r="W164" s="28" t="s">
        <v>76</v>
      </c>
      <c r="X164" s="28" t="s">
        <v>78</v>
      </c>
      <c r="Y164" s="24">
        <v>10.0</v>
      </c>
      <c r="Z164" s="17">
        <v>150.0</v>
      </c>
      <c r="AA164" s="17">
        <v>576.0</v>
      </c>
      <c r="AB164" s="17">
        <v>31.0</v>
      </c>
      <c r="AC164" s="20">
        <f t="shared" si="2"/>
        <v>107136</v>
      </c>
      <c r="AD164" s="30">
        <f t="shared" si="3"/>
        <v>13.97066667</v>
      </c>
      <c r="AE164" s="30">
        <f t="shared" si="4"/>
        <v>6258.858667</v>
      </c>
      <c r="AF164" s="30">
        <f t="shared" si="5"/>
        <v>3834.564939</v>
      </c>
      <c r="AG164" s="34">
        <v>1.0</v>
      </c>
      <c r="AH164" s="36"/>
      <c r="AI164" s="30">
        <f t="shared" si="6"/>
        <v>3278.688525</v>
      </c>
      <c r="AJ164" s="17">
        <v>4000.0</v>
      </c>
      <c r="AK164" s="30">
        <f t="shared" si="7"/>
        <v>19672.13115</v>
      </c>
      <c r="AL164" s="20">
        <f t="shared" si="8"/>
        <v>24000</v>
      </c>
    </row>
    <row r="165">
      <c r="A165" s="16" t="s">
        <v>803</v>
      </c>
      <c r="B165" s="17" t="s">
        <v>17</v>
      </c>
      <c r="C165" s="17" t="s">
        <v>19</v>
      </c>
      <c r="D165" s="17" t="s">
        <v>804</v>
      </c>
      <c r="E165" s="17" t="s">
        <v>110</v>
      </c>
      <c r="F165" s="17" t="s">
        <v>103</v>
      </c>
      <c r="G165" s="19">
        <v>46216.0</v>
      </c>
      <c r="H165" s="17" t="s">
        <v>104</v>
      </c>
      <c r="I165" s="17" t="s">
        <v>805</v>
      </c>
      <c r="J165" s="21" t="s">
        <v>806</v>
      </c>
      <c r="K165" s="28" t="s">
        <v>807</v>
      </c>
      <c r="L165" s="28" t="s">
        <v>808</v>
      </c>
      <c r="M165" s="17">
        <v>2004.0</v>
      </c>
      <c r="N165" s="17">
        <v>12.0</v>
      </c>
      <c r="O165" s="23">
        <v>42.0</v>
      </c>
      <c r="P165" s="24">
        <f t="shared" si="1"/>
        <v>117.6</v>
      </c>
      <c r="Q165" s="25">
        <v>2.0</v>
      </c>
      <c r="R165" s="17">
        <v>0.0</v>
      </c>
      <c r="S165" s="26">
        <v>1.0</v>
      </c>
      <c r="T165" s="17">
        <v>2.0</v>
      </c>
      <c r="U165" s="17">
        <v>2.0</v>
      </c>
      <c r="V165" s="17" t="s">
        <v>130</v>
      </c>
      <c r="W165" s="28" t="s">
        <v>76</v>
      </c>
      <c r="X165" s="28" t="s">
        <v>78</v>
      </c>
      <c r="Y165" s="24">
        <v>10.0</v>
      </c>
      <c r="Z165" s="17">
        <v>150.0</v>
      </c>
      <c r="AA165" s="17">
        <v>576.0</v>
      </c>
      <c r="AB165" s="17">
        <v>31.0</v>
      </c>
      <c r="AC165" s="20">
        <f t="shared" si="2"/>
        <v>35712</v>
      </c>
      <c r="AD165" s="30">
        <f t="shared" si="3"/>
        <v>12.896</v>
      </c>
      <c r="AE165" s="30">
        <f t="shared" si="4"/>
        <v>1516.5696</v>
      </c>
      <c r="AF165" s="30">
        <f t="shared" si="5"/>
        <v>5275.062879</v>
      </c>
      <c r="AG165" s="34">
        <v>1.0</v>
      </c>
      <c r="AH165" s="36"/>
      <c r="AI165" s="30">
        <f t="shared" si="6"/>
        <v>3278.688525</v>
      </c>
      <c r="AJ165" s="17">
        <v>4000.0</v>
      </c>
      <c r="AK165" s="30">
        <f t="shared" si="7"/>
        <v>6557.377049</v>
      </c>
      <c r="AL165" s="20">
        <f t="shared" si="8"/>
        <v>8000</v>
      </c>
    </row>
    <row r="166">
      <c r="A166" s="16" t="s">
        <v>809</v>
      </c>
      <c r="B166" s="17" t="s">
        <v>17</v>
      </c>
      <c r="C166" s="17" t="s">
        <v>19</v>
      </c>
      <c r="D166" s="17" t="s">
        <v>810</v>
      </c>
      <c r="E166" s="17" t="s">
        <v>361</v>
      </c>
      <c r="F166" s="17" t="s">
        <v>103</v>
      </c>
      <c r="G166" s="19">
        <v>46230.0</v>
      </c>
      <c r="H166" s="17" t="s">
        <v>118</v>
      </c>
      <c r="I166" s="17" t="s">
        <v>811</v>
      </c>
      <c r="J166" s="21" t="s">
        <v>812</v>
      </c>
      <c r="K166" s="28" t="s">
        <v>813</v>
      </c>
      <c r="L166" s="28" t="s">
        <v>814</v>
      </c>
      <c r="M166" s="17">
        <v>2019.0</v>
      </c>
      <c r="N166" s="17">
        <v>16.0</v>
      </c>
      <c r="O166" s="23">
        <v>250.0</v>
      </c>
      <c r="P166" s="24">
        <f t="shared" si="1"/>
        <v>700</v>
      </c>
      <c r="Q166" s="25">
        <v>4.0</v>
      </c>
      <c r="R166" s="17">
        <v>0.0</v>
      </c>
      <c r="S166" s="26">
        <v>2.0</v>
      </c>
      <c r="T166" s="17">
        <v>4.0</v>
      </c>
      <c r="U166" s="17">
        <v>4.0</v>
      </c>
      <c r="V166" s="17" t="s">
        <v>130</v>
      </c>
      <c r="W166" s="28" t="s">
        <v>76</v>
      </c>
      <c r="X166" s="28" t="s">
        <v>78</v>
      </c>
      <c r="Y166" s="24">
        <v>10.0</v>
      </c>
      <c r="Z166" s="17">
        <v>150.0</v>
      </c>
      <c r="AA166" s="17">
        <v>576.0</v>
      </c>
      <c r="AB166" s="17">
        <v>31.0</v>
      </c>
      <c r="AC166" s="20">
        <f t="shared" si="2"/>
        <v>71424</v>
      </c>
      <c r="AD166" s="30">
        <f t="shared" si="3"/>
        <v>17.19466667</v>
      </c>
      <c r="AE166" s="30">
        <f t="shared" si="4"/>
        <v>12036.26667</v>
      </c>
      <c r="AF166" s="30">
        <f t="shared" si="5"/>
        <v>1329.315845</v>
      </c>
      <c r="AG166" s="34">
        <v>1.0</v>
      </c>
      <c r="AH166" s="36"/>
      <c r="AI166" s="30">
        <f t="shared" si="6"/>
        <v>3278.688525</v>
      </c>
      <c r="AJ166" s="17">
        <v>4000.0</v>
      </c>
      <c r="AK166" s="30">
        <f t="shared" si="7"/>
        <v>13114.7541</v>
      </c>
      <c r="AL166" s="20">
        <f t="shared" si="8"/>
        <v>16000</v>
      </c>
    </row>
    <row r="167">
      <c r="A167" s="16" t="s">
        <v>815</v>
      </c>
      <c r="B167" s="17" t="s">
        <v>17</v>
      </c>
      <c r="C167" s="17" t="s">
        <v>19</v>
      </c>
      <c r="D167" s="17" t="s">
        <v>123</v>
      </c>
      <c r="E167" s="17" t="s">
        <v>117</v>
      </c>
      <c r="F167" s="17" t="s">
        <v>103</v>
      </c>
      <c r="G167" s="19">
        <v>46229.0</v>
      </c>
      <c r="H167" s="17" t="s">
        <v>104</v>
      </c>
      <c r="I167" s="17" t="s">
        <v>816</v>
      </c>
      <c r="J167" s="21" t="s">
        <v>817</v>
      </c>
      <c r="K167" s="28" t="s">
        <v>818</v>
      </c>
      <c r="L167" s="28" t="s">
        <v>819</v>
      </c>
      <c r="M167" s="17">
        <v>2003.0</v>
      </c>
      <c r="N167" s="17">
        <v>10.0</v>
      </c>
      <c r="O167" s="23">
        <v>329.0</v>
      </c>
      <c r="P167" s="24">
        <f t="shared" si="1"/>
        <v>921.2</v>
      </c>
      <c r="Q167" s="25">
        <v>7.0</v>
      </c>
      <c r="R167" s="17">
        <v>0.0</v>
      </c>
      <c r="S167" s="26">
        <v>7.0</v>
      </c>
      <c r="T167" s="17">
        <v>7.0</v>
      </c>
      <c r="U167" s="17">
        <v>7.0</v>
      </c>
      <c r="V167" s="17" t="s">
        <v>130</v>
      </c>
      <c r="W167" s="28" t="s">
        <v>76</v>
      </c>
      <c r="X167" s="28" t="s">
        <v>78</v>
      </c>
      <c r="Y167" s="24">
        <v>10.0</v>
      </c>
      <c r="Z167" s="17">
        <v>150.0</v>
      </c>
      <c r="AA167" s="17">
        <v>576.0</v>
      </c>
      <c r="AB167" s="17">
        <v>31.0</v>
      </c>
      <c r="AC167" s="20">
        <f t="shared" si="2"/>
        <v>124992</v>
      </c>
      <c r="AD167" s="30">
        <f t="shared" si="3"/>
        <v>10.74666667</v>
      </c>
      <c r="AE167" s="30">
        <f t="shared" si="4"/>
        <v>9899.829333</v>
      </c>
      <c r="AF167" s="30">
        <f t="shared" si="5"/>
        <v>2828.331586</v>
      </c>
      <c r="AG167" s="34">
        <v>1.0</v>
      </c>
      <c r="AH167" s="36"/>
      <c r="AI167" s="30">
        <f t="shared" si="6"/>
        <v>3278.688525</v>
      </c>
      <c r="AJ167" s="17">
        <v>4000.0</v>
      </c>
      <c r="AK167" s="30">
        <f t="shared" si="7"/>
        <v>22950.81967</v>
      </c>
      <c r="AL167" s="20">
        <f t="shared" si="8"/>
        <v>28000</v>
      </c>
    </row>
    <row r="168">
      <c r="A168" s="16" t="s">
        <v>820</v>
      </c>
      <c r="B168" s="17" t="s">
        <v>17</v>
      </c>
      <c r="C168" s="17" t="s">
        <v>19</v>
      </c>
      <c r="D168" s="17" t="s">
        <v>101</v>
      </c>
      <c r="E168" s="17" t="s">
        <v>102</v>
      </c>
      <c r="F168" s="17" t="s">
        <v>103</v>
      </c>
      <c r="G168" s="19">
        <v>46227.0</v>
      </c>
      <c r="H168" s="17" t="s">
        <v>104</v>
      </c>
      <c r="I168" s="17" t="s">
        <v>821</v>
      </c>
      <c r="J168" s="21" t="s">
        <v>822</v>
      </c>
      <c r="K168" s="28" t="s">
        <v>823</v>
      </c>
      <c r="L168" s="28" t="s">
        <v>824</v>
      </c>
      <c r="M168" s="17">
        <v>2012.0</v>
      </c>
      <c r="N168" s="17">
        <v>14.0</v>
      </c>
      <c r="O168" s="23">
        <v>141.0</v>
      </c>
      <c r="P168" s="24">
        <f t="shared" si="1"/>
        <v>394.8</v>
      </c>
      <c r="Q168" s="25">
        <v>2.0</v>
      </c>
      <c r="R168" s="17">
        <v>0.0</v>
      </c>
      <c r="S168" s="26">
        <v>2.0</v>
      </c>
      <c r="T168" s="17">
        <v>2.0</v>
      </c>
      <c r="U168" s="17">
        <v>4.0</v>
      </c>
      <c r="V168" s="17" t="s">
        <v>130</v>
      </c>
      <c r="W168" s="28" t="s">
        <v>76</v>
      </c>
      <c r="X168" s="28" t="s">
        <v>78</v>
      </c>
      <c r="Y168" s="24">
        <v>10.0</v>
      </c>
      <c r="Z168" s="17">
        <v>150.0</v>
      </c>
      <c r="AA168" s="17">
        <v>576.0</v>
      </c>
      <c r="AB168" s="17">
        <v>31.0</v>
      </c>
      <c r="AC168" s="20">
        <f t="shared" si="2"/>
        <v>35712</v>
      </c>
      <c r="AD168" s="30">
        <f t="shared" si="3"/>
        <v>7.522666667</v>
      </c>
      <c r="AE168" s="30">
        <f t="shared" si="4"/>
        <v>2969.9488</v>
      </c>
      <c r="AF168" s="30">
        <f t="shared" si="5"/>
        <v>2693.64913</v>
      </c>
      <c r="AG168" s="34">
        <v>1.0</v>
      </c>
      <c r="AH168" s="36"/>
      <c r="AI168" s="30">
        <f t="shared" si="6"/>
        <v>3278.688525</v>
      </c>
      <c r="AJ168" s="17">
        <v>4000.0</v>
      </c>
      <c r="AK168" s="30">
        <f t="shared" si="7"/>
        <v>6557.377049</v>
      </c>
      <c r="AL168" s="20">
        <f t="shared" si="8"/>
        <v>8000</v>
      </c>
    </row>
    <row r="169">
      <c r="A169" s="16" t="s">
        <v>820</v>
      </c>
      <c r="B169" s="17" t="s">
        <v>17</v>
      </c>
      <c r="C169" s="17" t="s">
        <v>19</v>
      </c>
      <c r="D169" s="17" t="s">
        <v>101</v>
      </c>
      <c r="E169" s="17" t="s">
        <v>102</v>
      </c>
      <c r="F169" s="17" t="s">
        <v>103</v>
      </c>
      <c r="G169" s="19">
        <v>46227.0</v>
      </c>
      <c r="H169" s="17" t="s">
        <v>104</v>
      </c>
      <c r="I169" s="17" t="s">
        <v>821</v>
      </c>
      <c r="J169" s="21" t="s">
        <v>825</v>
      </c>
      <c r="K169" s="28" t="s">
        <v>826</v>
      </c>
      <c r="L169" s="28" t="s">
        <v>827</v>
      </c>
      <c r="M169" s="17">
        <v>2013.0</v>
      </c>
      <c r="N169" s="17">
        <v>15.0</v>
      </c>
      <c r="O169" s="23">
        <v>203.0</v>
      </c>
      <c r="P169" s="24">
        <f t="shared" si="1"/>
        <v>568.4</v>
      </c>
      <c r="Q169" s="25">
        <v>4.0</v>
      </c>
      <c r="R169" s="17">
        <v>0.0</v>
      </c>
      <c r="S169" s="26">
        <v>4.0</v>
      </c>
      <c r="T169" s="17">
        <v>4.0</v>
      </c>
      <c r="U169" s="17">
        <v>6.0</v>
      </c>
      <c r="V169" s="17" t="s">
        <v>130</v>
      </c>
      <c r="W169" s="28" t="s">
        <v>76</v>
      </c>
      <c r="X169" s="28" t="s">
        <v>78</v>
      </c>
      <c r="Y169" s="24">
        <v>10.0</v>
      </c>
      <c r="Z169" s="17">
        <v>150.0</v>
      </c>
      <c r="AA169" s="17">
        <v>576.0</v>
      </c>
      <c r="AB169" s="17">
        <v>31.0</v>
      </c>
      <c r="AC169" s="20">
        <f t="shared" si="2"/>
        <v>71424</v>
      </c>
      <c r="AD169" s="30">
        <f t="shared" si="3"/>
        <v>10.74666667</v>
      </c>
      <c r="AE169" s="30">
        <f t="shared" si="4"/>
        <v>6108.405333</v>
      </c>
      <c r="AF169" s="30">
        <f t="shared" si="5"/>
        <v>2619.341567</v>
      </c>
      <c r="AG169" s="34">
        <v>1.0</v>
      </c>
      <c r="AH169" s="36"/>
      <c r="AI169" s="30">
        <f t="shared" si="6"/>
        <v>3278.688525</v>
      </c>
      <c r="AJ169" s="17">
        <v>4000.0</v>
      </c>
      <c r="AK169" s="30">
        <f t="shared" si="7"/>
        <v>13114.7541</v>
      </c>
      <c r="AL169" s="20">
        <f t="shared" si="8"/>
        <v>16000</v>
      </c>
    </row>
    <row r="170">
      <c r="A170" s="16" t="s">
        <v>828</v>
      </c>
      <c r="B170" s="17" t="s">
        <v>17</v>
      </c>
      <c r="C170" s="17" t="s">
        <v>19</v>
      </c>
      <c r="D170" s="17" t="s">
        <v>61</v>
      </c>
      <c r="E170" s="17" t="s">
        <v>316</v>
      </c>
      <c r="F170" s="17" t="s">
        <v>103</v>
      </c>
      <c r="G170" s="19">
        <v>46234.0</v>
      </c>
      <c r="H170" s="17" t="s">
        <v>104</v>
      </c>
      <c r="I170" s="17" t="s">
        <v>829</v>
      </c>
      <c r="J170" s="21" t="s">
        <v>830</v>
      </c>
      <c r="K170" s="28" t="s">
        <v>831</v>
      </c>
      <c r="L170" s="28" t="s">
        <v>832</v>
      </c>
      <c r="M170" s="17">
        <v>2025.0</v>
      </c>
      <c r="N170" s="17">
        <v>25.0</v>
      </c>
      <c r="O170" s="23">
        <v>612.0</v>
      </c>
      <c r="P170" s="24">
        <f t="shared" si="1"/>
        <v>1713.6</v>
      </c>
      <c r="Q170" s="25">
        <v>7.0</v>
      </c>
      <c r="R170" s="17">
        <v>0.0</v>
      </c>
      <c r="S170" s="26">
        <v>1.0</v>
      </c>
      <c r="T170" s="17">
        <v>7.0</v>
      </c>
      <c r="U170" s="17">
        <v>2.0</v>
      </c>
      <c r="V170" s="17" t="s">
        <v>130</v>
      </c>
      <c r="W170" s="28" t="s">
        <v>76</v>
      </c>
      <c r="X170" s="28" t="s">
        <v>78</v>
      </c>
      <c r="Y170" s="24">
        <v>10.0</v>
      </c>
      <c r="Z170" s="17">
        <v>150.0</v>
      </c>
      <c r="AA170" s="17">
        <v>576.0</v>
      </c>
      <c r="AB170" s="17">
        <v>31.0</v>
      </c>
      <c r="AC170" s="20">
        <f t="shared" si="2"/>
        <v>124992</v>
      </c>
      <c r="AD170" s="30">
        <f t="shared" si="3"/>
        <v>94.03333333</v>
      </c>
      <c r="AE170" s="30">
        <f t="shared" si="4"/>
        <v>161135.52</v>
      </c>
      <c r="AF170" s="30">
        <f t="shared" si="5"/>
        <v>173.7667772</v>
      </c>
      <c r="AG170" s="34">
        <v>1.0</v>
      </c>
      <c r="AH170" s="36"/>
      <c r="AI170" s="30">
        <f t="shared" si="6"/>
        <v>3278.688525</v>
      </c>
      <c r="AJ170" s="17">
        <v>4000.0</v>
      </c>
      <c r="AK170" s="30">
        <f t="shared" si="7"/>
        <v>22950.81967</v>
      </c>
      <c r="AL170" s="20">
        <f t="shared" si="8"/>
        <v>28000</v>
      </c>
    </row>
    <row r="171">
      <c r="A171" s="16" t="s">
        <v>833</v>
      </c>
      <c r="B171" s="17" t="s">
        <v>17</v>
      </c>
      <c r="C171" s="17" t="s">
        <v>19</v>
      </c>
      <c r="D171" s="17" t="s">
        <v>61</v>
      </c>
      <c r="E171" s="17" t="s">
        <v>110</v>
      </c>
      <c r="F171" s="17" t="s">
        <v>103</v>
      </c>
      <c r="G171" s="19">
        <v>46234.0</v>
      </c>
      <c r="H171" s="17" t="s">
        <v>104</v>
      </c>
      <c r="I171" s="17" t="s">
        <v>834</v>
      </c>
      <c r="J171" s="21" t="s">
        <v>835</v>
      </c>
      <c r="K171" s="28" t="s">
        <v>836</v>
      </c>
      <c r="L171" s="28" t="s">
        <v>837</v>
      </c>
      <c r="M171" s="17">
        <v>1999.0</v>
      </c>
      <c r="N171" s="17">
        <v>16.0</v>
      </c>
      <c r="O171" s="23">
        <v>201.0</v>
      </c>
      <c r="P171" s="24">
        <f t="shared" si="1"/>
        <v>562.8</v>
      </c>
      <c r="Q171" s="25">
        <v>9.0</v>
      </c>
      <c r="R171" s="17">
        <v>0.0</v>
      </c>
      <c r="S171" s="26">
        <v>6.0</v>
      </c>
      <c r="T171" s="17">
        <v>9.0</v>
      </c>
      <c r="U171" s="17">
        <v>7.0</v>
      </c>
      <c r="V171" s="17" t="s">
        <v>130</v>
      </c>
      <c r="W171" s="28" t="s">
        <v>76</v>
      </c>
      <c r="X171" s="28" t="s">
        <v>78</v>
      </c>
      <c r="Y171" s="24">
        <v>10.0</v>
      </c>
      <c r="Z171" s="17">
        <v>150.0</v>
      </c>
      <c r="AA171" s="17">
        <v>576.0</v>
      </c>
      <c r="AB171" s="17">
        <v>31.0</v>
      </c>
      <c r="AC171" s="20">
        <f t="shared" si="2"/>
        <v>160704</v>
      </c>
      <c r="AD171" s="30">
        <f t="shared" si="3"/>
        <v>22.10742857</v>
      </c>
      <c r="AE171" s="30">
        <f t="shared" si="4"/>
        <v>12442.0608</v>
      </c>
      <c r="AF171" s="30">
        <f t="shared" si="5"/>
        <v>2893.411355</v>
      </c>
      <c r="AG171" s="34">
        <v>1.0</v>
      </c>
      <c r="AH171" s="36"/>
      <c r="AI171" s="30">
        <f t="shared" si="6"/>
        <v>3278.688525</v>
      </c>
      <c r="AJ171" s="17">
        <v>4000.0</v>
      </c>
      <c r="AK171" s="30">
        <f t="shared" si="7"/>
        <v>29508.19672</v>
      </c>
      <c r="AL171" s="20">
        <f t="shared" si="8"/>
        <v>36000</v>
      </c>
    </row>
    <row r="172">
      <c r="A172" s="41" t="s">
        <v>838</v>
      </c>
      <c r="B172" s="42" t="s">
        <v>17</v>
      </c>
      <c r="C172" s="42" t="s">
        <v>19</v>
      </c>
      <c r="D172" s="42" t="s">
        <v>162</v>
      </c>
      <c r="E172" s="42" t="s">
        <v>110</v>
      </c>
      <c r="F172" s="17" t="s">
        <v>103</v>
      </c>
      <c r="G172" s="19">
        <v>46234.0</v>
      </c>
      <c r="H172" s="17" t="s">
        <v>104</v>
      </c>
      <c r="I172" s="42" t="s">
        <v>839</v>
      </c>
      <c r="J172" s="44" t="s">
        <v>840</v>
      </c>
      <c r="K172" s="45" t="s">
        <v>841</v>
      </c>
      <c r="L172" s="45" t="s">
        <v>842</v>
      </c>
      <c r="M172" s="42">
        <v>2000.0</v>
      </c>
      <c r="N172" s="42">
        <v>16.0</v>
      </c>
      <c r="O172" s="47">
        <v>279.0</v>
      </c>
      <c r="P172" s="48">
        <f t="shared" si="1"/>
        <v>781.2</v>
      </c>
      <c r="Q172" s="41">
        <v>2.0</v>
      </c>
      <c r="R172" s="42">
        <v>0.0</v>
      </c>
      <c r="S172" s="49">
        <v>2.0</v>
      </c>
      <c r="T172" s="42">
        <v>2.0</v>
      </c>
      <c r="U172" s="42">
        <v>2.0</v>
      </c>
      <c r="V172" s="42" t="s">
        <v>130</v>
      </c>
      <c r="W172" s="45" t="s">
        <v>76</v>
      </c>
      <c r="X172" s="45" t="s">
        <v>78</v>
      </c>
      <c r="Y172" s="48">
        <v>10.0</v>
      </c>
      <c r="Z172" s="42">
        <v>150.0</v>
      </c>
      <c r="AA172" s="42">
        <v>576.0</v>
      </c>
      <c r="AB172" s="42">
        <v>31.0</v>
      </c>
      <c r="AC172" s="43">
        <f t="shared" si="2"/>
        <v>35712</v>
      </c>
      <c r="AD172" s="50">
        <f t="shared" si="3"/>
        <v>17.19466667</v>
      </c>
      <c r="AE172" s="50">
        <f t="shared" si="4"/>
        <v>13432.4736</v>
      </c>
      <c r="AF172" s="50">
        <f t="shared" si="5"/>
        <v>595.5716153</v>
      </c>
      <c r="AG172" s="51">
        <v>1.0</v>
      </c>
      <c r="AH172" s="52"/>
      <c r="AI172" s="50">
        <f t="shared" si="6"/>
        <v>3278.688525</v>
      </c>
      <c r="AJ172" s="42">
        <v>4000.0</v>
      </c>
      <c r="AK172" s="50">
        <f t="shared" si="7"/>
        <v>6557.377049</v>
      </c>
      <c r="AL172" s="43">
        <f t="shared" si="8"/>
        <v>8000</v>
      </c>
    </row>
    <row r="173">
      <c r="A173" s="41" t="s">
        <v>843</v>
      </c>
      <c r="B173" s="42" t="s">
        <v>17</v>
      </c>
      <c r="C173" s="42" t="s">
        <v>19</v>
      </c>
      <c r="D173" s="42" t="s">
        <v>162</v>
      </c>
      <c r="E173" s="42" t="s">
        <v>110</v>
      </c>
      <c r="F173" s="17" t="s">
        <v>103</v>
      </c>
      <c r="G173" s="19">
        <v>46234.0</v>
      </c>
      <c r="H173" s="17" t="s">
        <v>104</v>
      </c>
      <c r="I173" s="42" t="s">
        <v>844</v>
      </c>
      <c r="J173" s="44" t="s">
        <v>845</v>
      </c>
      <c r="K173" s="45" t="s">
        <v>846</v>
      </c>
      <c r="L173" s="45" t="s">
        <v>847</v>
      </c>
      <c r="M173" s="42">
        <v>2024.0</v>
      </c>
      <c r="N173" s="42">
        <v>10.0</v>
      </c>
      <c r="O173" s="47">
        <v>519.0</v>
      </c>
      <c r="P173" s="48">
        <f t="shared" si="1"/>
        <v>1453.2</v>
      </c>
      <c r="Q173" s="41">
        <v>7.0</v>
      </c>
      <c r="R173" s="42">
        <v>0.0</v>
      </c>
      <c r="S173" s="49">
        <v>1.0</v>
      </c>
      <c r="T173" s="42">
        <v>7.0</v>
      </c>
      <c r="U173" s="42">
        <v>7.0</v>
      </c>
      <c r="V173" s="42" t="s">
        <v>75</v>
      </c>
      <c r="W173" s="45" t="s">
        <v>76</v>
      </c>
      <c r="X173" s="45" t="s">
        <v>78</v>
      </c>
      <c r="Y173" s="48">
        <v>10.0</v>
      </c>
      <c r="Z173" s="42">
        <v>150.0</v>
      </c>
      <c r="AA173" s="42">
        <v>576.0</v>
      </c>
      <c r="AB173" s="42">
        <v>31.0</v>
      </c>
      <c r="AC173" s="43">
        <f t="shared" si="2"/>
        <v>124992</v>
      </c>
      <c r="AD173" s="50">
        <f t="shared" si="3"/>
        <v>10.74666667</v>
      </c>
      <c r="AE173" s="50">
        <f t="shared" si="4"/>
        <v>15617.056</v>
      </c>
      <c r="AF173" s="50">
        <f t="shared" si="5"/>
        <v>1792.911545</v>
      </c>
      <c r="AG173" s="51">
        <v>1.0</v>
      </c>
      <c r="AH173" s="52"/>
      <c r="AI173" s="50">
        <f t="shared" si="6"/>
        <v>3278.688525</v>
      </c>
      <c r="AJ173" s="42">
        <v>4000.0</v>
      </c>
      <c r="AK173" s="50">
        <f t="shared" si="7"/>
        <v>22950.81967</v>
      </c>
      <c r="AL173" s="43">
        <f t="shared" si="8"/>
        <v>28000</v>
      </c>
    </row>
    <row r="174">
      <c r="A174" s="41" t="s">
        <v>848</v>
      </c>
      <c r="B174" s="42" t="s">
        <v>17</v>
      </c>
      <c r="C174" s="42" t="s">
        <v>19</v>
      </c>
      <c r="D174" s="42" t="s">
        <v>101</v>
      </c>
      <c r="E174" s="42" t="s">
        <v>102</v>
      </c>
      <c r="F174" s="17" t="s">
        <v>103</v>
      </c>
      <c r="G174" s="19">
        <v>46240.0</v>
      </c>
      <c r="H174" s="17" t="s">
        <v>104</v>
      </c>
      <c r="I174" s="42" t="s">
        <v>849</v>
      </c>
      <c r="J174" s="44" t="s">
        <v>850</v>
      </c>
      <c r="K174" s="45" t="s">
        <v>851</v>
      </c>
      <c r="L174" s="45" t="s">
        <v>852</v>
      </c>
      <c r="M174" s="42">
        <v>2001.0</v>
      </c>
      <c r="N174" s="42">
        <v>14.0</v>
      </c>
      <c r="O174" s="47">
        <v>39.0</v>
      </c>
      <c r="P174" s="48">
        <f t="shared" si="1"/>
        <v>109.2</v>
      </c>
      <c r="Q174" s="41">
        <v>2.0</v>
      </c>
      <c r="R174" s="42">
        <v>0.0</v>
      </c>
      <c r="S174" s="49">
        <v>1.0</v>
      </c>
      <c r="T174" s="42">
        <v>2.0</v>
      </c>
      <c r="U174" s="42">
        <v>2.0</v>
      </c>
      <c r="V174" s="42" t="s">
        <v>130</v>
      </c>
      <c r="W174" s="45" t="s">
        <v>76</v>
      </c>
      <c r="X174" s="45" t="s">
        <v>78</v>
      </c>
      <c r="Y174" s="48">
        <v>10.0</v>
      </c>
      <c r="Z174" s="42">
        <v>150.0</v>
      </c>
      <c r="AA174" s="42">
        <v>576.0</v>
      </c>
      <c r="AB174" s="42">
        <v>31.0</v>
      </c>
      <c r="AC174" s="43">
        <f t="shared" si="2"/>
        <v>35712</v>
      </c>
      <c r="AD174" s="50">
        <f t="shared" si="3"/>
        <v>15.04533333</v>
      </c>
      <c r="AE174" s="50">
        <f t="shared" si="4"/>
        <v>1642.9504</v>
      </c>
      <c r="AF174" s="50">
        <f t="shared" si="5"/>
        <v>4869.288811</v>
      </c>
      <c r="AG174" s="51">
        <v>1.0</v>
      </c>
      <c r="AH174" s="52"/>
      <c r="AI174" s="50">
        <f t="shared" si="6"/>
        <v>3278.688525</v>
      </c>
      <c r="AJ174" s="42">
        <v>4000.0</v>
      </c>
      <c r="AK174" s="50">
        <f t="shared" si="7"/>
        <v>6557.377049</v>
      </c>
      <c r="AL174" s="43">
        <f t="shared" si="8"/>
        <v>8000</v>
      </c>
    </row>
    <row r="175">
      <c r="A175" s="41" t="s">
        <v>853</v>
      </c>
      <c r="B175" s="42" t="s">
        <v>17</v>
      </c>
      <c r="C175" s="42" t="s">
        <v>19</v>
      </c>
      <c r="D175" s="42" t="s">
        <v>101</v>
      </c>
      <c r="E175" s="42" t="s">
        <v>110</v>
      </c>
      <c r="F175" s="17" t="s">
        <v>103</v>
      </c>
      <c r="G175" s="19">
        <v>46246.0</v>
      </c>
      <c r="H175" s="17" t="s">
        <v>104</v>
      </c>
      <c r="I175" s="42" t="s">
        <v>854</v>
      </c>
      <c r="J175" s="44" t="s">
        <v>855</v>
      </c>
      <c r="K175" s="45" t="s">
        <v>856</v>
      </c>
      <c r="L175" s="45" t="s">
        <v>857</v>
      </c>
      <c r="M175" s="42">
        <v>1998.0</v>
      </c>
      <c r="N175" s="42">
        <v>12.0</v>
      </c>
      <c r="O175" s="47">
        <v>48.0</v>
      </c>
      <c r="P175" s="48">
        <f t="shared" si="1"/>
        <v>134.4</v>
      </c>
      <c r="Q175" s="41">
        <v>2.0</v>
      </c>
      <c r="R175" s="42">
        <v>0.0</v>
      </c>
      <c r="S175" s="49">
        <v>1.0</v>
      </c>
      <c r="T175" s="42">
        <v>2.0</v>
      </c>
      <c r="U175" s="42">
        <v>2.0</v>
      </c>
      <c r="V175" s="42" t="s">
        <v>130</v>
      </c>
      <c r="W175" s="45" t="s">
        <v>76</v>
      </c>
      <c r="X175" s="45" t="s">
        <v>78</v>
      </c>
      <c r="Y175" s="48">
        <v>10.0</v>
      </c>
      <c r="Z175" s="42">
        <v>150.0</v>
      </c>
      <c r="AA175" s="42">
        <v>576.0</v>
      </c>
      <c r="AB175" s="42">
        <v>31.0</v>
      </c>
      <c r="AC175" s="43">
        <f t="shared" si="2"/>
        <v>35712</v>
      </c>
      <c r="AD175" s="50">
        <f t="shared" si="3"/>
        <v>12.896</v>
      </c>
      <c r="AE175" s="50">
        <f t="shared" si="4"/>
        <v>1733.2224</v>
      </c>
      <c r="AF175" s="50">
        <f t="shared" si="5"/>
        <v>4615.680019</v>
      </c>
      <c r="AG175" s="51">
        <v>1.0</v>
      </c>
      <c r="AH175" s="52"/>
      <c r="AI175" s="50">
        <f t="shared" si="6"/>
        <v>3278.688525</v>
      </c>
      <c r="AJ175" s="42">
        <v>4000.0</v>
      </c>
      <c r="AK175" s="50">
        <f t="shared" si="7"/>
        <v>6557.377049</v>
      </c>
      <c r="AL175" s="43">
        <f t="shared" si="8"/>
        <v>8000</v>
      </c>
    </row>
    <row r="176">
      <c r="A176" s="41" t="s">
        <v>858</v>
      </c>
      <c r="B176" s="42" t="s">
        <v>17</v>
      </c>
      <c r="C176" s="42" t="s">
        <v>19</v>
      </c>
      <c r="D176" s="42" t="s">
        <v>101</v>
      </c>
      <c r="E176" s="42" t="s">
        <v>110</v>
      </c>
      <c r="F176" s="17" t="s">
        <v>103</v>
      </c>
      <c r="G176" s="19">
        <v>46240.0</v>
      </c>
      <c r="H176" s="17" t="s">
        <v>104</v>
      </c>
      <c r="I176" s="42" t="s">
        <v>859</v>
      </c>
      <c r="J176" s="44" t="s">
        <v>860</v>
      </c>
      <c r="K176" s="45" t="s">
        <v>861</v>
      </c>
      <c r="L176" s="45" t="s">
        <v>862</v>
      </c>
      <c r="M176" s="42">
        <v>2011.0</v>
      </c>
      <c r="N176" s="42">
        <v>13.0</v>
      </c>
      <c r="O176" s="47">
        <v>97.0</v>
      </c>
      <c r="P176" s="48">
        <f t="shared" si="1"/>
        <v>271.6</v>
      </c>
      <c r="Q176" s="41">
        <v>5.0</v>
      </c>
      <c r="R176" s="42">
        <v>0.0</v>
      </c>
      <c r="S176" s="49">
        <v>3.0</v>
      </c>
      <c r="T176" s="42">
        <v>5.0</v>
      </c>
      <c r="U176" s="42">
        <v>5.0</v>
      </c>
      <c r="V176" s="42" t="s">
        <v>130</v>
      </c>
      <c r="W176" s="45" t="s">
        <v>76</v>
      </c>
      <c r="X176" s="45" t="s">
        <v>78</v>
      </c>
      <c r="Y176" s="48">
        <v>10.0</v>
      </c>
      <c r="Z176" s="42">
        <v>150.0</v>
      </c>
      <c r="AA176" s="42">
        <v>576.0</v>
      </c>
      <c r="AB176" s="42">
        <v>31.0</v>
      </c>
      <c r="AC176" s="43">
        <f t="shared" si="2"/>
        <v>89280</v>
      </c>
      <c r="AD176" s="50">
        <f t="shared" si="3"/>
        <v>13.97066667</v>
      </c>
      <c r="AE176" s="50">
        <f t="shared" si="4"/>
        <v>3794.433067</v>
      </c>
      <c r="AF176" s="50">
        <f t="shared" si="5"/>
        <v>5270.879641</v>
      </c>
      <c r="AG176" s="51">
        <v>1.0</v>
      </c>
      <c r="AH176" s="52"/>
      <c r="AI176" s="50">
        <f t="shared" si="6"/>
        <v>3278.688525</v>
      </c>
      <c r="AJ176" s="42">
        <v>4000.0</v>
      </c>
      <c r="AK176" s="50">
        <f t="shared" si="7"/>
        <v>16393.44262</v>
      </c>
      <c r="AL176" s="43">
        <f t="shared" si="8"/>
        <v>20000</v>
      </c>
    </row>
    <row r="177">
      <c r="A177" s="41" t="s">
        <v>863</v>
      </c>
      <c r="B177" s="42" t="s">
        <v>17</v>
      </c>
      <c r="C177" s="42" t="s">
        <v>19</v>
      </c>
      <c r="D177" s="42" t="s">
        <v>804</v>
      </c>
      <c r="E177" s="42" t="s">
        <v>62</v>
      </c>
      <c r="F177" s="17" t="s">
        <v>103</v>
      </c>
      <c r="G177" s="19">
        <v>46240.0</v>
      </c>
      <c r="H177" s="17" t="s">
        <v>104</v>
      </c>
      <c r="I177" s="42" t="s">
        <v>864</v>
      </c>
      <c r="J177" s="44" t="s">
        <v>865</v>
      </c>
      <c r="K177" s="45" t="s">
        <v>866</v>
      </c>
      <c r="L177" s="45" t="s">
        <v>867</v>
      </c>
      <c r="M177" s="42">
        <v>2025.0</v>
      </c>
      <c r="N177" s="42">
        <v>27.0</v>
      </c>
      <c r="O177" s="47">
        <v>587.0</v>
      </c>
      <c r="P177" s="48">
        <f t="shared" si="1"/>
        <v>1643.6</v>
      </c>
      <c r="Q177" s="41">
        <v>6.0</v>
      </c>
      <c r="R177" s="42">
        <v>0.0</v>
      </c>
      <c r="S177" s="49">
        <v>2.0</v>
      </c>
      <c r="T177" s="42">
        <v>6.0</v>
      </c>
      <c r="U177" s="42">
        <v>4.0</v>
      </c>
      <c r="V177" s="42" t="s">
        <v>130</v>
      </c>
      <c r="W177" s="45" t="s">
        <v>76</v>
      </c>
      <c r="X177" s="45" t="s">
        <v>78</v>
      </c>
      <c r="Y177" s="48">
        <v>10.0</v>
      </c>
      <c r="Z177" s="42">
        <v>150.0</v>
      </c>
      <c r="AA177" s="42">
        <v>576.0</v>
      </c>
      <c r="AB177" s="42">
        <v>31.0</v>
      </c>
      <c r="AC177" s="43">
        <f t="shared" si="2"/>
        <v>107136</v>
      </c>
      <c r="AD177" s="50">
        <f t="shared" si="3"/>
        <v>43.524</v>
      </c>
      <c r="AE177" s="50">
        <f t="shared" si="4"/>
        <v>71536.0464</v>
      </c>
      <c r="AF177" s="50">
        <f t="shared" si="5"/>
        <v>335.4951973</v>
      </c>
      <c r="AG177" s="51">
        <v>1.0</v>
      </c>
      <c r="AH177" s="52"/>
      <c r="AI177" s="50">
        <f t="shared" si="6"/>
        <v>3278.688525</v>
      </c>
      <c r="AJ177" s="42">
        <v>4000.0</v>
      </c>
      <c r="AK177" s="50">
        <f t="shared" si="7"/>
        <v>19672.13115</v>
      </c>
      <c r="AL177" s="43">
        <f t="shared" si="8"/>
        <v>24000</v>
      </c>
    </row>
    <row r="178">
      <c r="A178" s="41" t="s">
        <v>868</v>
      </c>
      <c r="B178" s="42" t="s">
        <v>17</v>
      </c>
      <c r="C178" s="42" t="s">
        <v>19</v>
      </c>
      <c r="D178" s="42" t="s">
        <v>101</v>
      </c>
      <c r="E178" s="42" t="s">
        <v>102</v>
      </c>
      <c r="F178" s="17" t="s">
        <v>103</v>
      </c>
      <c r="G178" s="19">
        <v>46248.0</v>
      </c>
      <c r="H178" s="17" t="s">
        <v>104</v>
      </c>
      <c r="I178" s="42" t="s">
        <v>869</v>
      </c>
      <c r="J178" s="44" t="s">
        <v>870</v>
      </c>
      <c r="K178" s="45" t="s">
        <v>871</v>
      </c>
      <c r="L178" s="45" t="s">
        <v>872</v>
      </c>
      <c r="M178" s="42">
        <v>2010.0</v>
      </c>
      <c r="N178" s="42">
        <v>18.0</v>
      </c>
      <c r="O178" s="47">
        <v>321.0</v>
      </c>
      <c r="P178" s="48">
        <f t="shared" si="1"/>
        <v>898.8</v>
      </c>
      <c r="Q178" s="41">
        <v>5.0</v>
      </c>
      <c r="R178" s="42">
        <v>0.0</v>
      </c>
      <c r="S178" s="49">
        <v>5.0</v>
      </c>
      <c r="T178" s="42">
        <v>5.0</v>
      </c>
      <c r="U178" s="42">
        <v>10.0</v>
      </c>
      <c r="V178" s="42" t="s">
        <v>130</v>
      </c>
      <c r="W178" s="45" t="s">
        <v>76</v>
      </c>
      <c r="X178" s="45" t="s">
        <v>78</v>
      </c>
      <c r="Y178" s="48">
        <v>10.0</v>
      </c>
      <c r="Z178" s="42">
        <v>150.0</v>
      </c>
      <c r="AA178" s="42">
        <v>576.0</v>
      </c>
      <c r="AB178" s="42">
        <v>31.0</v>
      </c>
      <c r="AC178" s="43">
        <f t="shared" si="2"/>
        <v>89280</v>
      </c>
      <c r="AD178" s="50">
        <f t="shared" si="3"/>
        <v>9.672</v>
      </c>
      <c r="AE178" s="50">
        <f t="shared" si="4"/>
        <v>8693.1936</v>
      </c>
      <c r="AF178" s="50">
        <f t="shared" si="5"/>
        <v>2300.650477</v>
      </c>
      <c r="AG178" s="51">
        <v>1.0</v>
      </c>
      <c r="AH178" s="52"/>
      <c r="AI178" s="50">
        <f t="shared" si="6"/>
        <v>3278.688525</v>
      </c>
      <c r="AJ178" s="42">
        <v>4000.0</v>
      </c>
      <c r="AK178" s="50">
        <f t="shared" si="7"/>
        <v>16393.44262</v>
      </c>
      <c r="AL178" s="43">
        <f t="shared" si="8"/>
        <v>20000</v>
      </c>
    </row>
    <row r="179">
      <c r="A179" s="41" t="s">
        <v>873</v>
      </c>
      <c r="B179" s="42" t="s">
        <v>17</v>
      </c>
      <c r="C179" s="42" t="s">
        <v>19</v>
      </c>
      <c r="D179" s="42" t="s">
        <v>101</v>
      </c>
      <c r="E179" s="42" t="s">
        <v>102</v>
      </c>
      <c r="F179" s="17" t="s">
        <v>103</v>
      </c>
      <c r="G179" s="19">
        <v>46244.0</v>
      </c>
      <c r="H179" s="17" t="s">
        <v>104</v>
      </c>
      <c r="I179" s="42" t="s">
        <v>874</v>
      </c>
      <c r="J179" s="44" t="s">
        <v>875</v>
      </c>
      <c r="K179" s="45" t="s">
        <v>876</v>
      </c>
      <c r="L179" s="45" t="s">
        <v>877</v>
      </c>
      <c r="M179" s="42">
        <v>2011.0</v>
      </c>
      <c r="N179" s="42">
        <v>14.0</v>
      </c>
      <c r="O179" s="47">
        <v>158.0</v>
      </c>
      <c r="P179" s="48">
        <f t="shared" si="1"/>
        <v>442.4</v>
      </c>
      <c r="Q179" s="41">
        <v>5.0</v>
      </c>
      <c r="R179" s="42">
        <v>0.0</v>
      </c>
      <c r="S179" s="49">
        <v>3.0</v>
      </c>
      <c r="T179" s="42">
        <v>5.0</v>
      </c>
      <c r="U179" s="42">
        <v>5.0</v>
      </c>
      <c r="V179" s="42" t="s">
        <v>130</v>
      </c>
      <c r="W179" s="45" t="s">
        <v>76</v>
      </c>
      <c r="X179" s="45" t="s">
        <v>78</v>
      </c>
      <c r="Y179" s="48">
        <v>10.0</v>
      </c>
      <c r="Z179" s="42">
        <v>150.0</v>
      </c>
      <c r="AA179" s="42">
        <v>576.0</v>
      </c>
      <c r="AB179" s="42">
        <v>31.0</v>
      </c>
      <c r="AC179" s="43">
        <f t="shared" si="2"/>
        <v>89280</v>
      </c>
      <c r="AD179" s="50">
        <f t="shared" si="3"/>
        <v>15.04533333</v>
      </c>
      <c r="AE179" s="50">
        <f t="shared" si="4"/>
        <v>6656.055467</v>
      </c>
      <c r="AF179" s="50">
        <f t="shared" si="5"/>
        <v>3004.782652</v>
      </c>
      <c r="AG179" s="51">
        <v>1.0</v>
      </c>
      <c r="AH179" s="52"/>
      <c r="AI179" s="50">
        <f t="shared" si="6"/>
        <v>3278.688525</v>
      </c>
      <c r="AJ179" s="42">
        <v>4000.0</v>
      </c>
      <c r="AK179" s="50">
        <f t="shared" si="7"/>
        <v>16393.44262</v>
      </c>
      <c r="AL179" s="43">
        <f t="shared" si="8"/>
        <v>20000</v>
      </c>
    </row>
    <row r="180">
      <c r="A180" s="41" t="s">
        <v>878</v>
      </c>
      <c r="B180" s="42" t="s">
        <v>17</v>
      </c>
      <c r="C180" s="42" t="s">
        <v>19</v>
      </c>
      <c r="D180" s="42" t="s">
        <v>452</v>
      </c>
      <c r="E180" s="42" t="s">
        <v>102</v>
      </c>
      <c r="F180" s="17" t="s">
        <v>103</v>
      </c>
      <c r="G180" s="19">
        <v>46251.0</v>
      </c>
      <c r="H180" s="17" t="s">
        <v>104</v>
      </c>
      <c r="I180" s="42" t="s">
        <v>879</v>
      </c>
      <c r="J180" s="44" t="s">
        <v>880</v>
      </c>
      <c r="K180" s="45" t="s">
        <v>881</v>
      </c>
      <c r="L180" s="45" t="s">
        <v>882</v>
      </c>
      <c r="M180" s="42">
        <v>2002.0</v>
      </c>
      <c r="N180" s="42">
        <v>13.0</v>
      </c>
      <c r="O180" s="47">
        <v>52.0</v>
      </c>
      <c r="P180" s="48">
        <f t="shared" si="1"/>
        <v>145.6</v>
      </c>
      <c r="Q180" s="41">
        <v>2.0</v>
      </c>
      <c r="R180" s="42">
        <v>0.0</v>
      </c>
      <c r="S180" s="49">
        <v>1.0</v>
      </c>
      <c r="T180" s="42">
        <v>2.0</v>
      </c>
      <c r="U180" s="42">
        <v>2.0</v>
      </c>
      <c r="V180" s="42" t="s">
        <v>130</v>
      </c>
      <c r="W180" s="45" t="s">
        <v>76</v>
      </c>
      <c r="X180" s="45" t="s">
        <v>78</v>
      </c>
      <c r="Y180" s="48">
        <v>10.0</v>
      </c>
      <c r="Z180" s="42">
        <v>150.0</v>
      </c>
      <c r="AA180" s="42">
        <v>576.0</v>
      </c>
      <c r="AB180" s="42">
        <v>31.0</v>
      </c>
      <c r="AC180" s="43">
        <f t="shared" si="2"/>
        <v>35712</v>
      </c>
      <c r="AD180" s="50">
        <f t="shared" si="3"/>
        <v>13.97066667</v>
      </c>
      <c r="AE180" s="50">
        <f t="shared" si="4"/>
        <v>2034.129067</v>
      </c>
      <c r="AF180" s="50">
        <f t="shared" si="5"/>
        <v>3932.887117</v>
      </c>
      <c r="AG180" s="51">
        <v>1.0</v>
      </c>
      <c r="AH180" s="52"/>
      <c r="AI180" s="50">
        <f t="shared" si="6"/>
        <v>3278.688525</v>
      </c>
      <c r="AJ180" s="42">
        <v>4000.0</v>
      </c>
      <c r="AK180" s="50">
        <f t="shared" si="7"/>
        <v>6557.377049</v>
      </c>
      <c r="AL180" s="43">
        <f t="shared" si="8"/>
        <v>8000</v>
      </c>
    </row>
    <row r="181">
      <c r="A181" s="41" t="s">
        <v>883</v>
      </c>
      <c r="B181" s="42" t="s">
        <v>17</v>
      </c>
      <c r="C181" s="42" t="s">
        <v>19</v>
      </c>
      <c r="D181" s="42" t="s">
        <v>101</v>
      </c>
      <c r="E181" s="42" t="s">
        <v>102</v>
      </c>
      <c r="F181" s="17" t="s">
        <v>103</v>
      </c>
      <c r="G181" s="19">
        <v>46248.0</v>
      </c>
      <c r="H181" s="17" t="s">
        <v>104</v>
      </c>
      <c r="I181" s="42" t="s">
        <v>869</v>
      </c>
      <c r="J181" s="44" t="s">
        <v>870</v>
      </c>
      <c r="K181" s="45" t="s">
        <v>871</v>
      </c>
      <c r="L181" s="45" t="s">
        <v>872</v>
      </c>
      <c r="M181" s="42">
        <v>2010.0</v>
      </c>
      <c r="N181" s="42">
        <v>18.0</v>
      </c>
      <c r="O181" s="47">
        <v>321.0</v>
      </c>
      <c r="P181" s="48">
        <f t="shared" si="1"/>
        <v>898.8</v>
      </c>
      <c r="Q181" s="41">
        <v>5.0</v>
      </c>
      <c r="R181" s="42">
        <v>0.0</v>
      </c>
      <c r="S181" s="49">
        <v>5.0</v>
      </c>
      <c r="T181" s="42">
        <v>5.0</v>
      </c>
      <c r="U181" s="42">
        <v>10.0</v>
      </c>
      <c r="V181" s="42" t="s">
        <v>130</v>
      </c>
      <c r="W181" s="45" t="s">
        <v>76</v>
      </c>
      <c r="X181" s="45" t="s">
        <v>78</v>
      </c>
      <c r="Y181" s="48">
        <v>10.0</v>
      </c>
      <c r="Z181" s="42">
        <v>150.0</v>
      </c>
      <c r="AA181" s="42">
        <v>576.0</v>
      </c>
      <c r="AB181" s="42">
        <v>31.0</v>
      </c>
      <c r="AC181" s="43">
        <f t="shared" si="2"/>
        <v>89280</v>
      </c>
      <c r="AD181" s="50">
        <f t="shared" si="3"/>
        <v>9.672</v>
      </c>
      <c r="AE181" s="50">
        <f t="shared" si="4"/>
        <v>8693.1936</v>
      </c>
      <c r="AF181" s="50">
        <f t="shared" si="5"/>
        <v>2300.650477</v>
      </c>
      <c r="AG181" s="51">
        <v>1.0</v>
      </c>
      <c r="AH181" s="52"/>
      <c r="AI181" s="50">
        <f t="shared" si="6"/>
        <v>3278.688525</v>
      </c>
      <c r="AJ181" s="42">
        <v>4000.0</v>
      </c>
      <c r="AK181" s="50">
        <f t="shared" si="7"/>
        <v>16393.44262</v>
      </c>
      <c r="AL181" s="43">
        <f t="shared" si="8"/>
        <v>20000</v>
      </c>
    </row>
    <row r="182">
      <c r="A182" s="41" t="s">
        <v>884</v>
      </c>
      <c r="B182" s="42" t="s">
        <v>17</v>
      </c>
      <c r="C182" s="42" t="s">
        <v>19</v>
      </c>
      <c r="D182" s="42" t="s">
        <v>123</v>
      </c>
      <c r="E182" s="42"/>
      <c r="F182" s="17" t="s">
        <v>103</v>
      </c>
      <c r="G182" s="19">
        <v>46254.0</v>
      </c>
      <c r="H182" s="17" t="s">
        <v>104</v>
      </c>
      <c r="I182" s="42" t="s">
        <v>885</v>
      </c>
      <c r="J182" s="44" t="s">
        <v>886</v>
      </c>
      <c r="K182" s="45" t="s">
        <v>887</v>
      </c>
      <c r="L182" s="45" t="s">
        <v>888</v>
      </c>
      <c r="M182" s="42">
        <v>2000.0</v>
      </c>
      <c r="N182" s="42">
        <v>10.0</v>
      </c>
      <c r="O182" s="47">
        <v>86.0</v>
      </c>
      <c r="P182" s="48">
        <f t="shared" si="1"/>
        <v>240.8</v>
      </c>
      <c r="Q182" s="41">
        <v>2.0</v>
      </c>
      <c r="R182" s="42">
        <v>0.0</v>
      </c>
      <c r="S182" s="49">
        <v>2.0</v>
      </c>
      <c r="T182" s="42">
        <v>2.0</v>
      </c>
      <c r="U182" s="42">
        <v>2.0</v>
      </c>
      <c r="V182" s="42" t="s">
        <v>130</v>
      </c>
      <c r="W182" s="45" t="s">
        <v>76</v>
      </c>
      <c r="X182" s="45" t="s">
        <v>78</v>
      </c>
      <c r="Y182" s="48">
        <v>10.0</v>
      </c>
      <c r="Z182" s="42">
        <v>150.0</v>
      </c>
      <c r="AA182" s="42">
        <v>576.0</v>
      </c>
      <c r="AB182" s="42">
        <v>31.0</v>
      </c>
      <c r="AC182" s="43">
        <f t="shared" si="2"/>
        <v>35712</v>
      </c>
      <c r="AD182" s="50">
        <f t="shared" si="3"/>
        <v>10.74666667</v>
      </c>
      <c r="AE182" s="50">
        <f t="shared" si="4"/>
        <v>2587.797333</v>
      </c>
      <c r="AF182" s="50">
        <f t="shared" si="5"/>
        <v>3091.432199</v>
      </c>
      <c r="AG182" s="51">
        <v>1.0</v>
      </c>
      <c r="AH182" s="52"/>
      <c r="AI182" s="50">
        <f t="shared" si="6"/>
        <v>3278.688525</v>
      </c>
      <c r="AJ182" s="42">
        <v>4000.0</v>
      </c>
      <c r="AK182" s="50">
        <f t="shared" si="7"/>
        <v>6557.377049</v>
      </c>
      <c r="AL182" s="43">
        <f t="shared" si="8"/>
        <v>8000</v>
      </c>
    </row>
    <row r="183">
      <c r="A183" s="41" t="s">
        <v>889</v>
      </c>
      <c r="B183" s="42" t="s">
        <v>17</v>
      </c>
      <c r="C183" s="42" t="s">
        <v>19</v>
      </c>
      <c r="D183" s="42" t="s">
        <v>890</v>
      </c>
      <c r="E183" s="42"/>
      <c r="F183" s="17" t="s">
        <v>103</v>
      </c>
      <c r="G183" s="19">
        <v>46254.0</v>
      </c>
      <c r="H183" s="17" t="s">
        <v>118</v>
      </c>
      <c r="I183" s="42" t="s">
        <v>891</v>
      </c>
      <c r="J183" s="44" t="s">
        <v>892</v>
      </c>
      <c r="K183" s="53" t="s">
        <v>893</v>
      </c>
      <c r="L183" s="45" t="s">
        <v>894</v>
      </c>
      <c r="M183" s="42">
        <v>2025.0</v>
      </c>
      <c r="N183" s="42">
        <v>12.0</v>
      </c>
      <c r="O183" s="47">
        <v>289.0</v>
      </c>
      <c r="P183" s="48">
        <f t="shared" si="1"/>
        <v>809.2</v>
      </c>
      <c r="Q183" s="41">
        <v>5.0</v>
      </c>
      <c r="R183" s="42">
        <v>0.0</v>
      </c>
      <c r="S183" s="49">
        <v>5.0</v>
      </c>
      <c r="T183" s="42">
        <v>5.0</v>
      </c>
      <c r="U183" s="42">
        <v>4.0</v>
      </c>
      <c r="V183" s="42" t="s">
        <v>130</v>
      </c>
      <c r="W183" s="45" t="s">
        <v>76</v>
      </c>
      <c r="X183" s="45" t="s">
        <v>78</v>
      </c>
      <c r="Y183" s="48">
        <v>10.0</v>
      </c>
      <c r="Z183" s="42">
        <v>150.0</v>
      </c>
      <c r="AA183" s="42">
        <v>576.0</v>
      </c>
      <c r="AB183" s="42">
        <v>31.0</v>
      </c>
      <c r="AC183" s="43">
        <f t="shared" si="2"/>
        <v>89280</v>
      </c>
      <c r="AD183" s="50">
        <f t="shared" si="3"/>
        <v>16.12</v>
      </c>
      <c r="AE183" s="50">
        <f t="shared" si="4"/>
        <v>13044.304</v>
      </c>
      <c r="AF183" s="50">
        <f t="shared" si="5"/>
        <v>1533.236269</v>
      </c>
      <c r="AG183" s="51">
        <v>1.0</v>
      </c>
      <c r="AH183" s="52"/>
      <c r="AI183" s="50">
        <f t="shared" si="6"/>
        <v>3278.688525</v>
      </c>
      <c r="AJ183" s="42">
        <v>4000.0</v>
      </c>
      <c r="AK183" s="50">
        <f t="shared" si="7"/>
        <v>16393.44262</v>
      </c>
      <c r="AL183" s="43">
        <f t="shared" si="8"/>
        <v>20000</v>
      </c>
    </row>
    <row r="184">
      <c r="A184" s="16" t="s">
        <v>895</v>
      </c>
      <c r="B184" s="17" t="s">
        <v>17</v>
      </c>
      <c r="C184" s="17" t="s">
        <v>82</v>
      </c>
      <c r="D184" s="17" t="s">
        <v>896</v>
      </c>
      <c r="E184" s="17" t="s">
        <v>897</v>
      </c>
      <c r="F184" s="17" t="s">
        <v>63</v>
      </c>
      <c r="G184" s="19">
        <v>45972.0</v>
      </c>
      <c r="H184" s="17" t="s">
        <v>104</v>
      </c>
      <c r="I184" s="20" t="s">
        <v>898</v>
      </c>
      <c r="J184" s="21" t="s">
        <v>899</v>
      </c>
      <c r="K184" s="22" t="s">
        <v>900</v>
      </c>
      <c r="L184" s="22" t="s">
        <v>901</v>
      </c>
      <c r="M184" s="17">
        <v>2024.0</v>
      </c>
      <c r="N184" s="17">
        <v>10.0</v>
      </c>
      <c r="O184" s="23">
        <v>519.0</v>
      </c>
      <c r="P184" s="24">
        <f t="shared" si="1"/>
        <v>1453.2</v>
      </c>
      <c r="Q184" s="25">
        <v>10.0</v>
      </c>
      <c r="R184" s="17">
        <v>5.0</v>
      </c>
      <c r="S184" s="26">
        <v>1.0</v>
      </c>
      <c r="T184" s="17">
        <v>5.0</v>
      </c>
      <c r="U184" s="17">
        <v>7.0</v>
      </c>
      <c r="V184" s="17" t="s">
        <v>75</v>
      </c>
      <c r="W184" s="28" t="s">
        <v>76</v>
      </c>
      <c r="X184" s="28" t="s">
        <v>78</v>
      </c>
      <c r="Y184" s="24">
        <v>10.0</v>
      </c>
      <c r="Z184" s="17">
        <v>150.0</v>
      </c>
      <c r="AA184" s="17">
        <v>576.0</v>
      </c>
      <c r="AB184" s="17">
        <v>31.0</v>
      </c>
      <c r="AC184" s="20">
        <f t="shared" si="2"/>
        <v>178560</v>
      </c>
      <c r="AD184" s="30">
        <f t="shared" si="3"/>
        <v>47.97619048</v>
      </c>
      <c r="AE184" s="30">
        <f t="shared" si="4"/>
        <v>69719</v>
      </c>
      <c r="AF184" s="30">
        <f t="shared" si="5"/>
        <v>573.7316944</v>
      </c>
      <c r="AG184" s="34">
        <v>1.0</v>
      </c>
      <c r="AH184" s="36"/>
      <c r="AI184" s="30">
        <f t="shared" si="6"/>
        <v>3278.688525</v>
      </c>
      <c r="AJ184" s="17">
        <v>4000.0</v>
      </c>
      <c r="AK184" s="30">
        <f t="shared" si="7"/>
        <v>32786.88525</v>
      </c>
      <c r="AL184" s="20">
        <f t="shared" si="8"/>
        <v>40000</v>
      </c>
    </row>
    <row r="185">
      <c r="A185" s="16" t="s">
        <v>902</v>
      </c>
      <c r="B185" s="17" t="s">
        <v>17</v>
      </c>
      <c r="C185" s="17" t="s">
        <v>82</v>
      </c>
      <c r="D185" s="17" t="s">
        <v>896</v>
      </c>
      <c r="E185" s="17" t="s">
        <v>897</v>
      </c>
      <c r="F185" s="17" t="s">
        <v>63</v>
      </c>
      <c r="G185" s="19">
        <v>46219.0</v>
      </c>
      <c r="H185" s="17" t="s">
        <v>104</v>
      </c>
      <c r="I185" s="17" t="s">
        <v>903</v>
      </c>
      <c r="J185" s="21" t="s">
        <v>904</v>
      </c>
      <c r="K185" s="28" t="s">
        <v>905</v>
      </c>
      <c r="L185" s="28" t="s">
        <v>906</v>
      </c>
      <c r="M185" s="17">
        <v>2025.0</v>
      </c>
      <c r="N185" s="17">
        <v>17.0</v>
      </c>
      <c r="O185" s="23">
        <v>363.0</v>
      </c>
      <c r="P185" s="24">
        <f>363*2.8</f>
        <v>1016.4</v>
      </c>
      <c r="Q185" s="25">
        <v>10.0</v>
      </c>
      <c r="R185" s="17">
        <v>5.0</v>
      </c>
      <c r="S185" s="26">
        <v>5.0</v>
      </c>
      <c r="T185" s="17">
        <v>5.0</v>
      </c>
      <c r="U185" s="17">
        <v>10.0</v>
      </c>
      <c r="V185" s="17" t="s">
        <v>75</v>
      </c>
      <c r="W185" s="28" t="s">
        <v>76</v>
      </c>
      <c r="X185" s="28" t="s">
        <v>78</v>
      </c>
      <c r="Y185" s="24">
        <v>10.0</v>
      </c>
      <c r="Z185" s="17">
        <v>150.0</v>
      </c>
      <c r="AA185" s="17">
        <v>576.0</v>
      </c>
      <c r="AB185" s="17">
        <v>31.0</v>
      </c>
      <c r="AC185" s="20">
        <f t="shared" si="2"/>
        <v>178560</v>
      </c>
      <c r="AD185" s="30">
        <f t="shared" si="3"/>
        <v>17.19466667</v>
      </c>
      <c r="AE185" s="30">
        <f t="shared" si="4"/>
        <v>17476.6592</v>
      </c>
      <c r="AF185" s="30">
        <f t="shared" si="5"/>
        <v>2288.766952</v>
      </c>
      <c r="AG185" s="34">
        <v>1.0</v>
      </c>
      <c r="AH185" s="36"/>
      <c r="AI185" s="30">
        <f t="shared" si="6"/>
        <v>3278.688525</v>
      </c>
      <c r="AJ185" s="17">
        <v>4000.0</v>
      </c>
      <c r="AK185" s="30">
        <f t="shared" si="7"/>
        <v>32786.88525</v>
      </c>
      <c r="AL185" s="20">
        <f t="shared" si="8"/>
        <v>40000</v>
      </c>
    </row>
    <row r="186">
      <c r="A186" s="16" t="s">
        <v>907</v>
      </c>
      <c r="B186" s="17" t="s">
        <v>17</v>
      </c>
      <c r="C186" s="17" t="s">
        <v>82</v>
      </c>
      <c r="D186" s="17" t="s">
        <v>908</v>
      </c>
      <c r="E186" s="17" t="s">
        <v>897</v>
      </c>
      <c r="F186" s="17" t="s">
        <v>63</v>
      </c>
      <c r="G186" s="19">
        <v>45951.0</v>
      </c>
      <c r="H186" s="17" t="s">
        <v>104</v>
      </c>
      <c r="I186" s="20" t="s">
        <v>909</v>
      </c>
      <c r="J186" s="21" t="s">
        <v>910</v>
      </c>
      <c r="K186" s="22" t="s">
        <v>911</v>
      </c>
      <c r="L186" s="22" t="s">
        <v>912</v>
      </c>
      <c r="M186" s="17">
        <v>2023.0</v>
      </c>
      <c r="N186" s="17">
        <v>20.0</v>
      </c>
      <c r="O186" s="23">
        <v>439.0</v>
      </c>
      <c r="P186" s="24">
        <f t="shared" ref="P186:P363" si="9">O186*2.8</f>
        <v>1229.2</v>
      </c>
      <c r="Q186" s="25">
        <v>6.0</v>
      </c>
      <c r="R186" s="17">
        <v>3.0</v>
      </c>
      <c r="S186" s="26">
        <v>1.0</v>
      </c>
      <c r="T186" s="17">
        <v>3.0</v>
      </c>
      <c r="U186" s="17">
        <v>6.0</v>
      </c>
      <c r="V186" s="17" t="s">
        <v>75</v>
      </c>
      <c r="W186" s="28" t="s">
        <v>76</v>
      </c>
      <c r="X186" s="28" t="s">
        <v>78</v>
      </c>
      <c r="Y186" s="24">
        <v>10.0</v>
      </c>
      <c r="Z186" s="17">
        <v>150.0</v>
      </c>
      <c r="AA186" s="17">
        <v>576.0</v>
      </c>
      <c r="AB186" s="17">
        <v>31.0</v>
      </c>
      <c r="AC186" s="20">
        <f t="shared" si="2"/>
        <v>107136</v>
      </c>
      <c r="AD186" s="30">
        <f t="shared" si="3"/>
        <v>34.92666667</v>
      </c>
      <c r="AE186" s="30">
        <f t="shared" si="4"/>
        <v>42931.85867</v>
      </c>
      <c r="AF186" s="30">
        <f t="shared" si="5"/>
        <v>559.0254125</v>
      </c>
      <c r="AG186" s="34">
        <v>1.0</v>
      </c>
      <c r="AH186" s="36"/>
      <c r="AI186" s="30">
        <f t="shared" si="6"/>
        <v>3278.688525</v>
      </c>
      <c r="AJ186" s="17">
        <v>4000.0</v>
      </c>
      <c r="AK186" s="30">
        <f t="shared" si="7"/>
        <v>19672.13115</v>
      </c>
      <c r="AL186" s="20">
        <f t="shared" si="8"/>
        <v>24000</v>
      </c>
    </row>
    <row r="187">
      <c r="A187" s="16" t="s">
        <v>913</v>
      </c>
      <c r="B187" s="17" t="s">
        <v>17</v>
      </c>
      <c r="C187" s="17" t="s">
        <v>82</v>
      </c>
      <c r="D187" s="17" t="s">
        <v>914</v>
      </c>
      <c r="E187" s="17" t="s">
        <v>897</v>
      </c>
      <c r="F187" s="17" t="s">
        <v>63</v>
      </c>
      <c r="G187" s="19">
        <v>46122.0</v>
      </c>
      <c r="H187" s="17" t="s">
        <v>104</v>
      </c>
      <c r="I187" s="20" t="s">
        <v>915</v>
      </c>
      <c r="J187" s="21" t="s">
        <v>916</v>
      </c>
      <c r="K187" s="22" t="s">
        <v>917</v>
      </c>
      <c r="L187" s="22" t="s">
        <v>918</v>
      </c>
      <c r="M187" s="17">
        <v>2024.0</v>
      </c>
      <c r="N187" s="17">
        <v>11.0</v>
      </c>
      <c r="O187" s="23">
        <v>124.0</v>
      </c>
      <c r="P187" s="24">
        <f t="shared" si="9"/>
        <v>347.2</v>
      </c>
      <c r="Q187" s="25">
        <v>4.0</v>
      </c>
      <c r="R187" s="17">
        <v>2.0</v>
      </c>
      <c r="S187" s="26">
        <v>1.0</v>
      </c>
      <c r="T187" s="17">
        <v>2.0</v>
      </c>
      <c r="U187" s="17">
        <v>3.0</v>
      </c>
      <c r="V187" s="17" t="s">
        <v>75</v>
      </c>
      <c r="W187" s="28" t="s">
        <v>76</v>
      </c>
      <c r="X187" s="28" t="s">
        <v>78</v>
      </c>
      <c r="Y187" s="24">
        <v>10.0</v>
      </c>
      <c r="Z187" s="17">
        <v>150.0</v>
      </c>
      <c r="AA187" s="17">
        <v>576.0</v>
      </c>
      <c r="AB187" s="17">
        <v>31.0</v>
      </c>
      <c r="AC187" s="20">
        <f t="shared" si="2"/>
        <v>71424</v>
      </c>
      <c r="AD187" s="30">
        <f t="shared" si="3"/>
        <v>24.00088889</v>
      </c>
      <c r="AE187" s="30">
        <f t="shared" si="4"/>
        <v>8333.108622</v>
      </c>
      <c r="AF187" s="30">
        <f t="shared" si="5"/>
        <v>1920.051775</v>
      </c>
      <c r="AG187" s="34">
        <v>1.0</v>
      </c>
      <c r="AH187" s="36"/>
      <c r="AI187" s="30">
        <f t="shared" si="6"/>
        <v>3278.688525</v>
      </c>
      <c r="AJ187" s="17">
        <v>4000.0</v>
      </c>
      <c r="AK187" s="30">
        <f t="shared" si="7"/>
        <v>13114.7541</v>
      </c>
      <c r="AL187" s="20">
        <f t="shared" si="8"/>
        <v>16000</v>
      </c>
    </row>
    <row r="188">
      <c r="A188" s="16" t="s">
        <v>919</v>
      </c>
      <c r="B188" s="17" t="s">
        <v>17</v>
      </c>
      <c r="C188" s="17" t="s">
        <v>82</v>
      </c>
      <c r="D188" s="17" t="s">
        <v>896</v>
      </c>
      <c r="E188" s="17" t="s">
        <v>897</v>
      </c>
      <c r="F188" s="17" t="s">
        <v>63</v>
      </c>
      <c r="G188" s="19">
        <v>46010.0</v>
      </c>
      <c r="H188" s="17" t="s">
        <v>104</v>
      </c>
      <c r="I188" s="20" t="s">
        <v>920</v>
      </c>
      <c r="J188" s="21" t="s">
        <v>921</v>
      </c>
      <c r="K188" s="22" t="s">
        <v>922</v>
      </c>
      <c r="L188" s="22" t="s">
        <v>923</v>
      </c>
      <c r="M188" s="17">
        <v>2019.0</v>
      </c>
      <c r="N188" s="17">
        <v>18.0</v>
      </c>
      <c r="O188" s="23">
        <v>230.0</v>
      </c>
      <c r="P188" s="24">
        <f t="shared" si="9"/>
        <v>644</v>
      </c>
      <c r="Q188" s="25">
        <v>4.0</v>
      </c>
      <c r="R188" s="17">
        <v>2.0</v>
      </c>
      <c r="S188" s="26">
        <v>2.0</v>
      </c>
      <c r="T188" s="17">
        <v>2.0</v>
      </c>
      <c r="U188" s="17">
        <v>4.0</v>
      </c>
      <c r="V188" s="17" t="s">
        <v>75</v>
      </c>
      <c r="W188" s="28" t="s">
        <v>76</v>
      </c>
      <c r="X188" s="28" t="s">
        <v>78</v>
      </c>
      <c r="Y188" s="24">
        <v>10.0</v>
      </c>
      <c r="Z188" s="17">
        <v>150.0</v>
      </c>
      <c r="AA188" s="17">
        <v>576.0</v>
      </c>
      <c r="AB188" s="17">
        <v>31.0</v>
      </c>
      <c r="AC188" s="20">
        <f t="shared" si="2"/>
        <v>71424</v>
      </c>
      <c r="AD188" s="30">
        <f t="shared" si="3"/>
        <v>17.732</v>
      </c>
      <c r="AE188" s="30">
        <f t="shared" si="4"/>
        <v>11419.408</v>
      </c>
      <c r="AF188" s="30">
        <f t="shared" si="5"/>
        <v>1401.123421</v>
      </c>
      <c r="AG188" s="34">
        <v>1.0</v>
      </c>
      <c r="AH188" s="36"/>
      <c r="AI188" s="30">
        <f t="shared" si="6"/>
        <v>3278.688525</v>
      </c>
      <c r="AJ188" s="17">
        <v>4000.0</v>
      </c>
      <c r="AK188" s="30">
        <f t="shared" si="7"/>
        <v>13114.7541</v>
      </c>
      <c r="AL188" s="20">
        <f t="shared" si="8"/>
        <v>16000</v>
      </c>
    </row>
    <row r="189">
      <c r="A189" s="16" t="s">
        <v>924</v>
      </c>
      <c r="B189" s="17" t="s">
        <v>17</v>
      </c>
      <c r="C189" s="17" t="s">
        <v>93</v>
      </c>
      <c r="D189" s="17" t="s">
        <v>925</v>
      </c>
      <c r="E189" s="17" t="s">
        <v>897</v>
      </c>
      <c r="F189" s="17" t="s">
        <v>103</v>
      </c>
      <c r="G189" s="19">
        <v>46230.0</v>
      </c>
      <c r="H189" s="17" t="s">
        <v>104</v>
      </c>
      <c r="I189" s="17" t="s">
        <v>926</v>
      </c>
      <c r="J189" s="21" t="s">
        <v>927</v>
      </c>
      <c r="K189" s="28" t="s">
        <v>928</v>
      </c>
      <c r="L189" s="28" t="s">
        <v>929</v>
      </c>
      <c r="M189" s="17">
        <v>2024.0</v>
      </c>
      <c r="N189" s="17">
        <v>16.0</v>
      </c>
      <c r="O189" s="23">
        <v>283.0</v>
      </c>
      <c r="P189" s="24">
        <f t="shared" si="9"/>
        <v>792.4</v>
      </c>
      <c r="Q189" s="25">
        <v>4.0</v>
      </c>
      <c r="R189" s="17">
        <v>0.0</v>
      </c>
      <c r="S189" s="26">
        <v>2.0</v>
      </c>
      <c r="T189" s="17">
        <v>4.0</v>
      </c>
      <c r="U189" s="17">
        <v>4.0</v>
      </c>
      <c r="V189" s="17" t="s">
        <v>130</v>
      </c>
      <c r="W189" s="28" t="s">
        <v>76</v>
      </c>
      <c r="X189" s="28" t="s">
        <v>78</v>
      </c>
      <c r="Y189" s="24">
        <v>10.0</v>
      </c>
      <c r="Z189" s="17">
        <v>150.0</v>
      </c>
      <c r="AA189" s="17">
        <v>576.0</v>
      </c>
      <c r="AB189" s="17">
        <v>31.0</v>
      </c>
      <c r="AC189" s="20">
        <f t="shared" si="2"/>
        <v>71424</v>
      </c>
      <c r="AD189" s="30">
        <f t="shared" si="3"/>
        <v>17.19466667</v>
      </c>
      <c r="AE189" s="30">
        <f t="shared" si="4"/>
        <v>13625.05387</v>
      </c>
      <c r="AF189" s="30">
        <f t="shared" si="5"/>
        <v>1174.307284</v>
      </c>
      <c r="AG189" s="34">
        <v>1.0</v>
      </c>
      <c r="AH189" s="36"/>
      <c r="AI189" s="30">
        <f t="shared" si="6"/>
        <v>3278.688525</v>
      </c>
      <c r="AJ189" s="17">
        <v>4000.0</v>
      </c>
      <c r="AK189" s="30">
        <f t="shared" si="7"/>
        <v>13114.7541</v>
      </c>
      <c r="AL189" s="20">
        <f t="shared" si="8"/>
        <v>16000</v>
      </c>
    </row>
    <row r="190">
      <c r="A190" s="16" t="s">
        <v>930</v>
      </c>
      <c r="B190" s="17" t="s">
        <v>17</v>
      </c>
      <c r="C190" s="17" t="s">
        <v>93</v>
      </c>
      <c r="D190" s="17" t="s">
        <v>931</v>
      </c>
      <c r="E190" s="17" t="s">
        <v>897</v>
      </c>
      <c r="F190" s="17" t="s">
        <v>103</v>
      </c>
      <c r="G190" s="19">
        <v>46237.0</v>
      </c>
      <c r="H190" s="17" t="s">
        <v>104</v>
      </c>
      <c r="I190" s="17" t="s">
        <v>932</v>
      </c>
      <c r="J190" s="21" t="s">
        <v>933</v>
      </c>
      <c r="K190" s="28" t="s">
        <v>934</v>
      </c>
      <c r="L190" s="28" t="s">
        <v>935</v>
      </c>
      <c r="M190" s="17">
        <v>2025.0</v>
      </c>
      <c r="N190" s="17">
        <v>10.0</v>
      </c>
      <c r="O190" s="23">
        <v>210.0</v>
      </c>
      <c r="P190" s="24">
        <f t="shared" si="9"/>
        <v>588</v>
      </c>
      <c r="Q190" s="25">
        <v>2.0</v>
      </c>
      <c r="R190" s="17">
        <v>0.0</v>
      </c>
      <c r="S190" s="26">
        <v>2.0</v>
      </c>
      <c r="T190" s="17">
        <v>2.0</v>
      </c>
      <c r="U190" s="17">
        <v>2.0</v>
      </c>
      <c r="V190" s="17" t="s">
        <v>130</v>
      </c>
      <c r="W190" s="28" t="s">
        <v>76</v>
      </c>
      <c r="X190" s="28" t="s">
        <v>78</v>
      </c>
      <c r="Y190" s="24">
        <v>10.0</v>
      </c>
      <c r="Z190" s="17">
        <v>150.0</v>
      </c>
      <c r="AA190" s="17">
        <v>576.0</v>
      </c>
      <c r="AB190" s="17">
        <v>31.0</v>
      </c>
      <c r="AC190" s="20">
        <f t="shared" si="2"/>
        <v>35712</v>
      </c>
      <c r="AD190" s="30">
        <f t="shared" si="3"/>
        <v>10.74666667</v>
      </c>
      <c r="AE190" s="30">
        <f t="shared" si="4"/>
        <v>6319.04</v>
      </c>
      <c r="AF190" s="30">
        <f t="shared" si="5"/>
        <v>1266.015091</v>
      </c>
      <c r="AG190" s="34">
        <v>1.0</v>
      </c>
      <c r="AH190" s="36"/>
      <c r="AI190" s="30">
        <f t="shared" si="6"/>
        <v>3278.688525</v>
      </c>
      <c r="AJ190" s="17">
        <v>4000.0</v>
      </c>
      <c r="AK190" s="30">
        <f t="shared" si="7"/>
        <v>6557.377049</v>
      </c>
      <c r="AL190" s="20">
        <f t="shared" si="8"/>
        <v>8000</v>
      </c>
    </row>
    <row r="191">
      <c r="A191" s="16" t="s">
        <v>930</v>
      </c>
      <c r="B191" s="17" t="s">
        <v>17</v>
      </c>
      <c r="C191" s="17" t="s">
        <v>93</v>
      </c>
      <c r="D191" s="17" t="s">
        <v>931</v>
      </c>
      <c r="E191" s="17" t="s">
        <v>897</v>
      </c>
      <c r="F191" s="17" t="s">
        <v>103</v>
      </c>
      <c r="G191" s="19">
        <v>46237.0</v>
      </c>
      <c r="H191" s="17" t="s">
        <v>104</v>
      </c>
      <c r="I191" s="17" t="s">
        <v>932</v>
      </c>
      <c r="J191" s="21" t="s">
        <v>936</v>
      </c>
      <c r="K191" s="28" t="s">
        <v>937</v>
      </c>
      <c r="L191" s="28" t="s">
        <v>938</v>
      </c>
      <c r="M191" s="17">
        <v>2025.0</v>
      </c>
      <c r="N191" s="17">
        <v>10.0</v>
      </c>
      <c r="O191" s="23">
        <v>210.0</v>
      </c>
      <c r="P191" s="24">
        <f t="shared" si="9"/>
        <v>588</v>
      </c>
      <c r="Q191" s="25">
        <v>4.0</v>
      </c>
      <c r="R191" s="17">
        <v>0.0</v>
      </c>
      <c r="S191" s="26">
        <v>4.0</v>
      </c>
      <c r="T191" s="17">
        <v>4.0</v>
      </c>
      <c r="U191" s="17">
        <v>4.0</v>
      </c>
      <c r="V191" s="17" t="s">
        <v>130</v>
      </c>
      <c r="W191" s="28" t="s">
        <v>76</v>
      </c>
      <c r="X191" s="28" t="s">
        <v>78</v>
      </c>
      <c r="Y191" s="24">
        <v>10.0</v>
      </c>
      <c r="Z191" s="17">
        <v>150.0</v>
      </c>
      <c r="AA191" s="17">
        <v>576.0</v>
      </c>
      <c r="AB191" s="17">
        <v>31.0</v>
      </c>
      <c r="AC191" s="20">
        <f t="shared" si="2"/>
        <v>71424</v>
      </c>
      <c r="AD191" s="30">
        <f t="shared" si="3"/>
        <v>10.74666667</v>
      </c>
      <c r="AE191" s="30">
        <f t="shared" si="4"/>
        <v>6319.04</v>
      </c>
      <c r="AF191" s="30">
        <f t="shared" si="5"/>
        <v>2532.030182</v>
      </c>
      <c r="AG191" s="34">
        <v>1.0</v>
      </c>
      <c r="AH191" s="36"/>
      <c r="AI191" s="30">
        <f t="shared" si="6"/>
        <v>3278.688525</v>
      </c>
      <c r="AJ191" s="17">
        <v>4000.0</v>
      </c>
      <c r="AK191" s="30">
        <f t="shared" si="7"/>
        <v>13114.7541</v>
      </c>
      <c r="AL191" s="20">
        <f t="shared" si="8"/>
        <v>16000</v>
      </c>
    </row>
    <row r="192">
      <c r="A192" s="41" t="s">
        <v>939</v>
      </c>
      <c r="B192" s="42" t="s">
        <v>17</v>
      </c>
      <c r="C192" s="42" t="s">
        <v>123</v>
      </c>
      <c r="D192" s="42" t="s">
        <v>940</v>
      </c>
      <c r="E192" s="42" t="s">
        <v>897</v>
      </c>
      <c r="F192" s="17" t="s">
        <v>103</v>
      </c>
      <c r="G192" s="19">
        <v>46247.0</v>
      </c>
      <c r="H192" s="17" t="s">
        <v>104</v>
      </c>
      <c r="I192" s="42" t="s">
        <v>941</v>
      </c>
      <c r="J192" s="44" t="s">
        <v>942</v>
      </c>
      <c r="K192" s="45" t="s">
        <v>943</v>
      </c>
      <c r="L192" s="45" t="s">
        <v>944</v>
      </c>
      <c r="M192" s="42">
        <v>2024.0</v>
      </c>
      <c r="N192" s="42">
        <v>10.0</v>
      </c>
      <c r="O192" s="47">
        <v>235.0</v>
      </c>
      <c r="P192" s="48">
        <f t="shared" si="9"/>
        <v>658</v>
      </c>
      <c r="Q192" s="41">
        <v>5.0</v>
      </c>
      <c r="R192" s="42">
        <v>5.0</v>
      </c>
      <c r="S192" s="49">
        <v>5.0</v>
      </c>
      <c r="T192" s="42">
        <v>0.0</v>
      </c>
      <c r="U192" s="42">
        <v>5.0</v>
      </c>
      <c r="V192" s="42" t="s">
        <v>130</v>
      </c>
      <c r="W192" s="45" t="s">
        <v>76</v>
      </c>
      <c r="X192" s="45" t="s">
        <v>78</v>
      </c>
      <c r="Y192" s="48">
        <v>10.0</v>
      </c>
      <c r="Z192" s="42">
        <v>150.0</v>
      </c>
      <c r="AA192" s="42">
        <v>576.0</v>
      </c>
      <c r="AB192" s="42">
        <v>31.0</v>
      </c>
      <c r="AC192" s="43">
        <f t="shared" si="2"/>
        <v>89280</v>
      </c>
      <c r="AD192" s="50">
        <f t="shared" si="3"/>
        <v>8.06</v>
      </c>
      <c r="AE192" s="50">
        <f t="shared" si="4"/>
        <v>5303.48</v>
      </c>
      <c r="AF192" s="50">
        <f t="shared" si="5"/>
        <v>3771.108781</v>
      </c>
      <c r="AG192" s="51">
        <v>1.0</v>
      </c>
      <c r="AH192" s="52"/>
      <c r="AI192" s="50">
        <f t="shared" si="6"/>
        <v>3278.688525</v>
      </c>
      <c r="AJ192" s="42">
        <v>4000.0</v>
      </c>
      <c r="AK192" s="50">
        <f t="shared" si="7"/>
        <v>16393.44262</v>
      </c>
      <c r="AL192" s="43">
        <f t="shared" si="8"/>
        <v>20000</v>
      </c>
    </row>
    <row r="193">
      <c r="A193" s="16" t="s">
        <v>945</v>
      </c>
      <c r="B193" s="17" t="s">
        <v>142</v>
      </c>
      <c r="C193" s="17" t="s">
        <v>143</v>
      </c>
      <c r="D193" s="17" t="s">
        <v>946</v>
      </c>
      <c r="E193" s="17" t="s">
        <v>947</v>
      </c>
      <c r="F193" s="17" t="s">
        <v>63</v>
      </c>
      <c r="G193" s="19">
        <v>45952.0</v>
      </c>
      <c r="H193" s="17" t="s">
        <v>104</v>
      </c>
      <c r="I193" s="20" t="s">
        <v>948</v>
      </c>
      <c r="J193" s="21" t="s">
        <v>949</v>
      </c>
      <c r="K193" s="22" t="s">
        <v>950</v>
      </c>
      <c r="L193" s="22" t="s">
        <v>951</v>
      </c>
      <c r="M193" s="17">
        <v>2023.0</v>
      </c>
      <c r="N193" s="17">
        <v>19.0</v>
      </c>
      <c r="O193" s="23">
        <v>762.0</v>
      </c>
      <c r="P193" s="24">
        <f t="shared" si="9"/>
        <v>2133.6</v>
      </c>
      <c r="Q193" s="25">
        <v>5.0</v>
      </c>
      <c r="R193" s="17">
        <v>5.0</v>
      </c>
      <c r="S193" s="26">
        <v>6.0</v>
      </c>
      <c r="T193" s="17">
        <v>0.0</v>
      </c>
      <c r="U193" s="17">
        <v>12.0</v>
      </c>
      <c r="V193" s="17" t="s">
        <v>75</v>
      </c>
      <c r="W193" s="28" t="s">
        <v>76</v>
      </c>
      <c r="X193" s="28" t="s">
        <v>78</v>
      </c>
      <c r="Y193" s="24">
        <v>10.0</v>
      </c>
      <c r="Z193" s="17">
        <v>150.0</v>
      </c>
      <c r="AA193" s="17">
        <v>576.0</v>
      </c>
      <c r="AB193" s="17">
        <v>31.0</v>
      </c>
      <c r="AC193" s="20">
        <f t="shared" si="2"/>
        <v>89280</v>
      </c>
      <c r="AD193" s="30">
        <f t="shared" si="3"/>
        <v>6.716666667</v>
      </c>
      <c r="AE193" s="30">
        <f t="shared" si="4"/>
        <v>14330.68</v>
      </c>
      <c r="AF193" s="30">
        <f t="shared" si="5"/>
        <v>1395.607187</v>
      </c>
      <c r="AG193" s="34">
        <v>1.0</v>
      </c>
      <c r="AH193" s="36"/>
      <c r="AI193" s="30">
        <f t="shared" si="6"/>
        <v>3278.688525</v>
      </c>
      <c r="AJ193" s="17">
        <v>4000.0</v>
      </c>
      <c r="AK193" s="30">
        <f t="shared" si="7"/>
        <v>16393.44262</v>
      </c>
      <c r="AL193" s="20">
        <f t="shared" si="8"/>
        <v>20000</v>
      </c>
    </row>
    <row r="194">
      <c r="A194" s="16" t="s">
        <v>945</v>
      </c>
      <c r="B194" s="17" t="s">
        <v>142</v>
      </c>
      <c r="C194" s="17" t="s">
        <v>143</v>
      </c>
      <c r="D194" s="17" t="s">
        <v>946</v>
      </c>
      <c r="E194" s="17" t="s">
        <v>947</v>
      </c>
      <c r="F194" s="17" t="s">
        <v>63</v>
      </c>
      <c r="G194" s="19">
        <v>45952.0</v>
      </c>
      <c r="H194" s="17" t="s">
        <v>104</v>
      </c>
      <c r="I194" s="20" t="s">
        <v>948</v>
      </c>
      <c r="J194" s="21" t="s">
        <v>949</v>
      </c>
      <c r="K194" s="22" t="s">
        <v>950</v>
      </c>
      <c r="L194" s="22" t="s">
        <v>951</v>
      </c>
      <c r="M194" s="17">
        <v>2023.0</v>
      </c>
      <c r="N194" s="17">
        <v>19.0</v>
      </c>
      <c r="O194" s="23">
        <v>762.0</v>
      </c>
      <c r="P194" s="24">
        <f t="shared" si="9"/>
        <v>2133.6</v>
      </c>
      <c r="Q194" s="25">
        <v>5.0</v>
      </c>
      <c r="R194" s="17">
        <v>0.0</v>
      </c>
      <c r="S194" s="26">
        <v>6.0</v>
      </c>
      <c r="T194" s="17">
        <v>5.0</v>
      </c>
      <c r="U194" s="17">
        <v>12.0</v>
      </c>
      <c r="V194" s="17" t="s">
        <v>952</v>
      </c>
      <c r="W194" s="28" t="s">
        <v>76</v>
      </c>
      <c r="X194" s="28" t="s">
        <v>78</v>
      </c>
      <c r="Y194" s="24">
        <v>10.0</v>
      </c>
      <c r="Z194" s="17">
        <v>150.0</v>
      </c>
      <c r="AA194" s="17">
        <v>576.0</v>
      </c>
      <c r="AB194" s="17">
        <v>31.0</v>
      </c>
      <c r="AC194" s="20">
        <f t="shared" si="2"/>
        <v>89280</v>
      </c>
      <c r="AD194" s="30">
        <f t="shared" si="3"/>
        <v>8.507777778</v>
      </c>
      <c r="AE194" s="30">
        <f t="shared" si="4"/>
        <v>18152.19467</v>
      </c>
      <c r="AF194" s="30">
        <f t="shared" si="5"/>
        <v>1101.795147</v>
      </c>
      <c r="AG194" s="34">
        <v>1.0</v>
      </c>
      <c r="AH194" s="36"/>
      <c r="AI194" s="30">
        <f t="shared" si="6"/>
        <v>3278.688525</v>
      </c>
      <c r="AJ194" s="17">
        <v>4000.0</v>
      </c>
      <c r="AK194" s="30">
        <f t="shared" si="7"/>
        <v>16393.44262</v>
      </c>
      <c r="AL194" s="20">
        <f t="shared" si="8"/>
        <v>20000</v>
      </c>
    </row>
    <row r="195">
      <c r="A195" s="16" t="s">
        <v>945</v>
      </c>
      <c r="B195" s="17" t="s">
        <v>142</v>
      </c>
      <c r="C195" s="17" t="s">
        <v>143</v>
      </c>
      <c r="D195" s="17" t="s">
        <v>946</v>
      </c>
      <c r="E195" s="17" t="s">
        <v>947</v>
      </c>
      <c r="F195" s="17" t="s">
        <v>63</v>
      </c>
      <c r="G195" s="19">
        <v>45952.0</v>
      </c>
      <c r="H195" s="17" t="s">
        <v>104</v>
      </c>
      <c r="I195" s="20" t="s">
        <v>948</v>
      </c>
      <c r="J195" s="21" t="s">
        <v>953</v>
      </c>
      <c r="K195" s="22" t="s">
        <v>954</v>
      </c>
      <c r="L195" s="22" t="s">
        <v>955</v>
      </c>
      <c r="M195" s="17">
        <v>2024.0</v>
      </c>
      <c r="N195" s="17">
        <v>17.0</v>
      </c>
      <c r="O195" s="23">
        <v>162.0</v>
      </c>
      <c r="P195" s="24">
        <f t="shared" si="9"/>
        <v>453.6</v>
      </c>
      <c r="Q195" s="25">
        <v>6.0</v>
      </c>
      <c r="R195" s="17">
        <v>3.0</v>
      </c>
      <c r="S195" s="26">
        <v>3.0</v>
      </c>
      <c r="T195" s="17">
        <v>3.0</v>
      </c>
      <c r="U195" s="17">
        <v>4.0</v>
      </c>
      <c r="V195" s="17" t="s">
        <v>75</v>
      </c>
      <c r="W195" s="28" t="s">
        <v>76</v>
      </c>
      <c r="X195" s="28" t="s">
        <v>78</v>
      </c>
      <c r="Y195" s="24">
        <v>10.0</v>
      </c>
      <c r="Z195" s="17">
        <v>150.0</v>
      </c>
      <c r="AA195" s="17">
        <v>576.0</v>
      </c>
      <c r="AB195" s="17">
        <v>31.0</v>
      </c>
      <c r="AC195" s="20">
        <f t="shared" si="2"/>
        <v>107136</v>
      </c>
      <c r="AD195" s="30">
        <f t="shared" si="3"/>
        <v>21.762</v>
      </c>
      <c r="AE195" s="30">
        <f t="shared" si="4"/>
        <v>9871.2432</v>
      </c>
      <c r="AF195" s="30">
        <f t="shared" si="5"/>
        <v>2431.304701</v>
      </c>
      <c r="AG195" s="34">
        <v>1.0</v>
      </c>
      <c r="AH195" s="36"/>
      <c r="AI195" s="30">
        <f t="shared" si="6"/>
        <v>3278.688525</v>
      </c>
      <c r="AJ195" s="17">
        <v>4000.0</v>
      </c>
      <c r="AK195" s="30">
        <f t="shared" si="7"/>
        <v>19672.13115</v>
      </c>
      <c r="AL195" s="20">
        <f t="shared" si="8"/>
        <v>24000</v>
      </c>
    </row>
    <row r="196">
      <c r="A196" s="16" t="s">
        <v>956</v>
      </c>
      <c r="B196" s="17" t="s">
        <v>142</v>
      </c>
      <c r="C196" s="17" t="s">
        <v>143</v>
      </c>
      <c r="D196" s="17" t="s">
        <v>61</v>
      </c>
      <c r="E196" s="54" t="s">
        <v>957</v>
      </c>
      <c r="F196" s="17" t="s">
        <v>63</v>
      </c>
      <c r="G196" s="19">
        <v>45952.0</v>
      </c>
      <c r="H196" s="17" t="s">
        <v>104</v>
      </c>
      <c r="I196" s="20" t="s">
        <v>958</v>
      </c>
      <c r="J196" s="21" t="s">
        <v>959</v>
      </c>
      <c r="K196" s="22" t="s">
        <v>960</v>
      </c>
      <c r="L196" s="22" t="s">
        <v>961</v>
      </c>
      <c r="M196" s="17">
        <v>2012.0</v>
      </c>
      <c r="N196" s="17">
        <v>14.0</v>
      </c>
      <c r="O196" s="23">
        <v>201.0</v>
      </c>
      <c r="P196" s="24">
        <f t="shared" si="9"/>
        <v>562.8</v>
      </c>
      <c r="Q196" s="25">
        <v>4.0</v>
      </c>
      <c r="R196" s="17">
        <v>4.0</v>
      </c>
      <c r="S196" s="17">
        <v>4.0</v>
      </c>
      <c r="T196" s="17">
        <v>0.0</v>
      </c>
      <c r="U196" s="17">
        <v>8.0</v>
      </c>
      <c r="V196" s="17" t="s">
        <v>75</v>
      </c>
      <c r="W196" s="28" t="s">
        <v>76</v>
      </c>
      <c r="X196" s="28" t="s">
        <v>78</v>
      </c>
      <c r="Y196" s="24">
        <v>10.0</v>
      </c>
      <c r="Z196" s="17">
        <v>150.0</v>
      </c>
      <c r="AA196" s="17">
        <v>576.0</v>
      </c>
      <c r="AB196" s="17">
        <v>31.0</v>
      </c>
      <c r="AC196" s="20">
        <f t="shared" si="2"/>
        <v>71424</v>
      </c>
      <c r="AD196" s="30" t="str">
        <f t="shared" si="3"/>
        <v>#REF!</v>
      </c>
      <c r="AE196" s="30" t="str">
        <f>((P196*2.6*S196/#REF!/2)*30/Z196+(P196*2.6*T196/U196)*N196*2/Z196)*AB196</f>
        <v>#REF!</v>
      </c>
      <c r="AF196" s="30" t="str">
        <f t="shared" si="5"/>
        <v>#REF!</v>
      </c>
      <c r="AG196" s="34">
        <v>1.0</v>
      </c>
      <c r="AH196" s="36"/>
      <c r="AI196" s="30">
        <f t="shared" si="6"/>
        <v>3278.688525</v>
      </c>
      <c r="AJ196" s="17">
        <v>4000.0</v>
      </c>
      <c r="AK196" s="30">
        <f t="shared" si="7"/>
        <v>13114.7541</v>
      </c>
      <c r="AL196" s="20">
        <f t="shared" si="8"/>
        <v>16000</v>
      </c>
    </row>
    <row r="197">
      <c r="A197" s="16" t="s">
        <v>956</v>
      </c>
      <c r="B197" s="17" t="s">
        <v>142</v>
      </c>
      <c r="C197" s="17" t="s">
        <v>143</v>
      </c>
      <c r="D197" s="17" t="s">
        <v>61</v>
      </c>
      <c r="E197" s="54" t="s">
        <v>957</v>
      </c>
      <c r="F197" s="17" t="s">
        <v>63</v>
      </c>
      <c r="G197" s="19">
        <v>45952.0</v>
      </c>
      <c r="H197" s="17" t="s">
        <v>104</v>
      </c>
      <c r="I197" s="20" t="s">
        <v>958</v>
      </c>
      <c r="J197" s="21" t="s">
        <v>962</v>
      </c>
      <c r="K197" s="22" t="s">
        <v>963</v>
      </c>
      <c r="L197" s="22" t="s">
        <v>964</v>
      </c>
      <c r="M197" s="17">
        <v>2017.0</v>
      </c>
      <c r="N197" s="17">
        <v>20.0</v>
      </c>
      <c r="O197" s="23">
        <v>568.0</v>
      </c>
      <c r="P197" s="24">
        <f t="shared" si="9"/>
        <v>1590.4</v>
      </c>
      <c r="Q197" s="25">
        <v>4.0</v>
      </c>
      <c r="R197" s="17">
        <v>4.0</v>
      </c>
      <c r="S197" s="26">
        <v>4.0</v>
      </c>
      <c r="T197" s="17">
        <v>0.0</v>
      </c>
      <c r="U197" s="17">
        <v>8.0</v>
      </c>
      <c r="V197" s="17" t="s">
        <v>75</v>
      </c>
      <c r="W197" s="28" t="s">
        <v>76</v>
      </c>
      <c r="X197" s="28" t="s">
        <v>78</v>
      </c>
      <c r="Y197" s="24">
        <v>10.0</v>
      </c>
      <c r="Z197" s="17">
        <v>150.0</v>
      </c>
      <c r="AA197" s="17">
        <v>576.0</v>
      </c>
      <c r="AB197" s="17">
        <v>31.0</v>
      </c>
      <c r="AC197" s="20">
        <f t="shared" si="2"/>
        <v>71424</v>
      </c>
      <c r="AD197" s="30">
        <f t="shared" si="3"/>
        <v>8.06</v>
      </c>
      <c r="AE197" s="30">
        <f t="shared" ref="AE197:AE681" si="10">((P197*2.6*R197/S197/2)*30/Z197+(P197*2.6*T197/U197)*N197*2/Z197)*AB197</f>
        <v>12818.624</v>
      </c>
      <c r="AF197" s="30">
        <f t="shared" si="5"/>
        <v>1248.183892</v>
      </c>
      <c r="AG197" s="34">
        <v>1.0</v>
      </c>
      <c r="AH197" s="36"/>
      <c r="AI197" s="30">
        <f t="shared" si="6"/>
        <v>3278.688525</v>
      </c>
      <c r="AJ197" s="17">
        <v>4000.0</v>
      </c>
      <c r="AK197" s="30">
        <f t="shared" si="7"/>
        <v>13114.7541</v>
      </c>
      <c r="AL197" s="20">
        <f t="shared" si="8"/>
        <v>16000</v>
      </c>
    </row>
    <row r="198">
      <c r="A198" s="16" t="s">
        <v>956</v>
      </c>
      <c r="B198" s="17" t="s">
        <v>142</v>
      </c>
      <c r="C198" s="17" t="s">
        <v>143</v>
      </c>
      <c r="D198" s="17" t="s">
        <v>61</v>
      </c>
      <c r="E198" s="54" t="s">
        <v>957</v>
      </c>
      <c r="F198" s="17" t="s">
        <v>63</v>
      </c>
      <c r="G198" s="19">
        <v>45952.0</v>
      </c>
      <c r="H198" s="17" t="s">
        <v>104</v>
      </c>
      <c r="I198" s="20" t="s">
        <v>958</v>
      </c>
      <c r="J198" s="21" t="s">
        <v>965</v>
      </c>
      <c r="K198" s="22" t="s">
        <v>966</v>
      </c>
      <c r="L198" s="22" t="s">
        <v>967</v>
      </c>
      <c r="M198" s="17">
        <v>2025.0</v>
      </c>
      <c r="N198" s="17">
        <v>17.0</v>
      </c>
      <c r="O198" s="23">
        <v>230.0</v>
      </c>
      <c r="P198" s="24">
        <f t="shared" si="9"/>
        <v>644</v>
      </c>
      <c r="Q198" s="25">
        <v>2.0</v>
      </c>
      <c r="R198" s="17">
        <v>2.0</v>
      </c>
      <c r="S198" s="26">
        <v>6.0</v>
      </c>
      <c r="T198" s="17">
        <v>0.0</v>
      </c>
      <c r="U198" s="17">
        <v>12.0</v>
      </c>
      <c r="V198" s="17" t="s">
        <v>75</v>
      </c>
      <c r="W198" s="28" t="s">
        <v>76</v>
      </c>
      <c r="X198" s="28" t="s">
        <v>78</v>
      </c>
      <c r="Y198" s="24">
        <v>10.0</v>
      </c>
      <c r="Z198" s="17">
        <v>150.0</v>
      </c>
      <c r="AA198" s="17">
        <v>576.0</v>
      </c>
      <c r="AB198" s="17">
        <v>31.0</v>
      </c>
      <c r="AC198" s="20">
        <f t="shared" si="2"/>
        <v>35712</v>
      </c>
      <c r="AD198" s="30">
        <f t="shared" si="3"/>
        <v>2.686666667</v>
      </c>
      <c r="AE198" s="30">
        <f t="shared" si="10"/>
        <v>1730.213333</v>
      </c>
      <c r="AF198" s="30">
        <f t="shared" si="5"/>
        <v>4623.707289</v>
      </c>
      <c r="AG198" s="34">
        <v>1.0</v>
      </c>
      <c r="AH198" s="36"/>
      <c r="AI198" s="30">
        <f t="shared" si="6"/>
        <v>3278.688525</v>
      </c>
      <c r="AJ198" s="17">
        <v>4000.0</v>
      </c>
      <c r="AK198" s="30">
        <f t="shared" si="7"/>
        <v>6557.377049</v>
      </c>
      <c r="AL198" s="20">
        <f t="shared" si="8"/>
        <v>8000</v>
      </c>
    </row>
    <row r="199">
      <c r="A199" s="16" t="s">
        <v>956</v>
      </c>
      <c r="B199" s="17" t="s">
        <v>142</v>
      </c>
      <c r="C199" s="17" t="s">
        <v>143</v>
      </c>
      <c r="D199" s="17" t="s">
        <v>61</v>
      </c>
      <c r="E199" s="54" t="s">
        <v>957</v>
      </c>
      <c r="F199" s="17" t="s">
        <v>63</v>
      </c>
      <c r="G199" s="19">
        <v>45952.0</v>
      </c>
      <c r="H199" s="17" t="s">
        <v>104</v>
      </c>
      <c r="I199" s="20" t="s">
        <v>958</v>
      </c>
      <c r="J199" s="21" t="s">
        <v>965</v>
      </c>
      <c r="K199" s="22" t="s">
        <v>966</v>
      </c>
      <c r="L199" s="22" t="s">
        <v>967</v>
      </c>
      <c r="M199" s="17">
        <v>2025.0</v>
      </c>
      <c r="N199" s="17">
        <v>17.0</v>
      </c>
      <c r="O199" s="23">
        <v>230.0</v>
      </c>
      <c r="P199" s="24">
        <f t="shared" si="9"/>
        <v>644</v>
      </c>
      <c r="Q199" s="25">
        <v>2.0</v>
      </c>
      <c r="R199" s="17">
        <v>0.0</v>
      </c>
      <c r="S199" s="26">
        <v>6.0</v>
      </c>
      <c r="T199" s="17">
        <v>2.0</v>
      </c>
      <c r="U199" s="17">
        <v>12.0</v>
      </c>
      <c r="V199" s="17" t="s">
        <v>130</v>
      </c>
      <c r="W199" s="28" t="s">
        <v>76</v>
      </c>
      <c r="X199" s="28" t="s">
        <v>78</v>
      </c>
      <c r="Y199" s="24">
        <v>10.0</v>
      </c>
      <c r="Z199" s="17">
        <v>150.0</v>
      </c>
      <c r="AA199" s="17">
        <v>576.0</v>
      </c>
      <c r="AB199" s="17">
        <v>31.0</v>
      </c>
      <c r="AC199" s="20">
        <f t="shared" si="2"/>
        <v>35712</v>
      </c>
      <c r="AD199" s="30">
        <f t="shared" si="3"/>
        <v>3.044888889</v>
      </c>
      <c r="AE199" s="30">
        <f t="shared" si="10"/>
        <v>1960.908444</v>
      </c>
      <c r="AF199" s="30">
        <f t="shared" si="5"/>
        <v>4079.741725</v>
      </c>
      <c r="AG199" s="34">
        <v>1.0</v>
      </c>
      <c r="AH199" s="36"/>
      <c r="AI199" s="30">
        <f t="shared" si="6"/>
        <v>3278.688525</v>
      </c>
      <c r="AJ199" s="17">
        <v>4000.0</v>
      </c>
      <c r="AK199" s="30">
        <f t="shared" si="7"/>
        <v>6557.377049</v>
      </c>
      <c r="AL199" s="20">
        <f t="shared" si="8"/>
        <v>8000</v>
      </c>
    </row>
    <row r="200">
      <c r="A200" s="16" t="s">
        <v>956</v>
      </c>
      <c r="B200" s="17" t="s">
        <v>142</v>
      </c>
      <c r="C200" s="17" t="s">
        <v>143</v>
      </c>
      <c r="D200" s="17" t="s">
        <v>61</v>
      </c>
      <c r="E200" s="54" t="s">
        <v>957</v>
      </c>
      <c r="F200" s="17" t="s">
        <v>63</v>
      </c>
      <c r="G200" s="19">
        <v>45952.0</v>
      </c>
      <c r="H200" s="17" t="s">
        <v>104</v>
      </c>
      <c r="I200" s="20" t="s">
        <v>958</v>
      </c>
      <c r="J200" s="21" t="s">
        <v>968</v>
      </c>
      <c r="K200" s="22" t="s">
        <v>969</v>
      </c>
      <c r="L200" s="22" t="s">
        <v>970</v>
      </c>
      <c r="M200" s="17">
        <v>2014.0</v>
      </c>
      <c r="N200" s="17">
        <v>13.0</v>
      </c>
      <c r="O200" s="23">
        <v>99.0</v>
      </c>
      <c r="P200" s="24">
        <f t="shared" si="9"/>
        <v>277.2</v>
      </c>
      <c r="Q200" s="25">
        <v>4.0</v>
      </c>
      <c r="R200" s="17">
        <v>2.0</v>
      </c>
      <c r="S200" s="26">
        <v>2.0</v>
      </c>
      <c r="T200" s="17">
        <v>2.0</v>
      </c>
      <c r="U200" s="17">
        <v>4.0</v>
      </c>
      <c r="V200" s="17" t="s">
        <v>130</v>
      </c>
      <c r="W200" s="28" t="s">
        <v>76</v>
      </c>
      <c r="X200" s="28" t="s">
        <v>78</v>
      </c>
      <c r="Y200" s="24">
        <v>10.0</v>
      </c>
      <c r="Z200" s="17">
        <v>150.0</v>
      </c>
      <c r="AA200" s="17">
        <v>576.0</v>
      </c>
      <c r="AB200" s="17">
        <v>31.0</v>
      </c>
      <c r="AC200" s="20">
        <f t="shared" si="2"/>
        <v>71424</v>
      </c>
      <c r="AD200" s="30">
        <f t="shared" si="3"/>
        <v>15.04533333</v>
      </c>
      <c r="AE200" s="30">
        <f t="shared" si="10"/>
        <v>4170.5664</v>
      </c>
      <c r="AF200" s="30">
        <f t="shared" si="5"/>
        <v>3836.409366</v>
      </c>
      <c r="AG200" s="34">
        <v>1.0</v>
      </c>
      <c r="AH200" s="36"/>
      <c r="AI200" s="30">
        <f t="shared" si="6"/>
        <v>3278.688525</v>
      </c>
      <c r="AJ200" s="17">
        <v>4000.0</v>
      </c>
      <c r="AK200" s="30">
        <f t="shared" si="7"/>
        <v>13114.7541</v>
      </c>
      <c r="AL200" s="20">
        <f t="shared" si="8"/>
        <v>16000</v>
      </c>
    </row>
    <row r="201">
      <c r="A201" s="16" t="s">
        <v>971</v>
      </c>
      <c r="B201" s="17" t="s">
        <v>142</v>
      </c>
      <c r="C201" s="17" t="s">
        <v>143</v>
      </c>
      <c r="D201" s="17" t="s">
        <v>61</v>
      </c>
      <c r="E201" s="54" t="s">
        <v>957</v>
      </c>
      <c r="F201" s="17" t="s">
        <v>63</v>
      </c>
      <c r="G201" s="19">
        <v>45952.0</v>
      </c>
      <c r="H201" s="17" t="s">
        <v>104</v>
      </c>
      <c r="I201" s="20" t="s">
        <v>972</v>
      </c>
      <c r="J201" s="21" t="s">
        <v>973</v>
      </c>
      <c r="K201" s="22" t="s">
        <v>974</v>
      </c>
      <c r="L201" s="22" t="s">
        <v>975</v>
      </c>
      <c r="M201" s="17">
        <v>2016.0</v>
      </c>
      <c r="N201" s="17">
        <v>14.0</v>
      </c>
      <c r="O201" s="23">
        <v>241.0</v>
      </c>
      <c r="P201" s="24">
        <f t="shared" si="9"/>
        <v>674.8</v>
      </c>
      <c r="Q201" s="25">
        <v>8.0</v>
      </c>
      <c r="R201" s="17">
        <v>4.0</v>
      </c>
      <c r="S201" s="26">
        <v>4.0</v>
      </c>
      <c r="T201" s="17">
        <v>4.0</v>
      </c>
      <c r="U201" s="17">
        <v>8.0</v>
      </c>
      <c r="V201" s="17" t="s">
        <v>75</v>
      </c>
      <c r="W201" s="28" t="s">
        <v>76</v>
      </c>
      <c r="X201" s="28" t="s">
        <v>78</v>
      </c>
      <c r="Y201" s="24">
        <v>10.0</v>
      </c>
      <c r="Z201" s="17">
        <v>150.0</v>
      </c>
      <c r="AA201" s="17">
        <v>576.0</v>
      </c>
      <c r="AB201" s="17">
        <v>31.0</v>
      </c>
      <c r="AC201" s="20">
        <f t="shared" si="2"/>
        <v>142848</v>
      </c>
      <c r="AD201" s="30">
        <f t="shared" si="3"/>
        <v>15.58266667</v>
      </c>
      <c r="AE201" s="30">
        <f t="shared" si="10"/>
        <v>10515.18347</v>
      </c>
      <c r="AF201" s="30">
        <f t="shared" si="5"/>
        <v>3043.218419</v>
      </c>
      <c r="AG201" s="34">
        <v>1.0</v>
      </c>
      <c r="AH201" s="36"/>
      <c r="AI201" s="30">
        <f t="shared" si="6"/>
        <v>3278.688525</v>
      </c>
      <c r="AJ201" s="17">
        <v>4000.0</v>
      </c>
      <c r="AK201" s="30">
        <f t="shared" si="7"/>
        <v>26229.5082</v>
      </c>
      <c r="AL201" s="20">
        <f t="shared" si="8"/>
        <v>32000</v>
      </c>
    </row>
    <row r="202">
      <c r="A202" s="16" t="s">
        <v>971</v>
      </c>
      <c r="B202" s="17" t="s">
        <v>142</v>
      </c>
      <c r="C202" s="17" t="s">
        <v>143</v>
      </c>
      <c r="D202" s="17" t="s">
        <v>61</v>
      </c>
      <c r="E202" s="54" t="s">
        <v>957</v>
      </c>
      <c r="F202" s="17" t="s">
        <v>63</v>
      </c>
      <c r="G202" s="19">
        <v>45952.0</v>
      </c>
      <c r="H202" s="17" t="s">
        <v>104</v>
      </c>
      <c r="I202" s="20" t="s">
        <v>972</v>
      </c>
      <c r="J202" s="21" t="s">
        <v>976</v>
      </c>
      <c r="K202" s="22" t="s">
        <v>977</v>
      </c>
      <c r="L202" s="22" t="s">
        <v>978</v>
      </c>
      <c r="M202" s="17">
        <v>2011.0</v>
      </c>
      <c r="N202" s="17">
        <v>14.0</v>
      </c>
      <c r="O202" s="23">
        <v>117.0</v>
      </c>
      <c r="P202" s="24">
        <f t="shared" si="9"/>
        <v>327.6</v>
      </c>
      <c r="Q202" s="25">
        <v>2.0</v>
      </c>
      <c r="R202" s="17">
        <v>2.0</v>
      </c>
      <c r="S202" s="26">
        <v>2.0</v>
      </c>
      <c r="T202" s="17">
        <v>0.0</v>
      </c>
      <c r="U202" s="17">
        <v>4.0</v>
      </c>
      <c r="V202" s="17" t="s">
        <v>75</v>
      </c>
      <c r="W202" s="28" t="s">
        <v>76</v>
      </c>
      <c r="X202" s="28" t="s">
        <v>78</v>
      </c>
      <c r="Y202" s="24">
        <v>10.0</v>
      </c>
      <c r="Z202" s="17">
        <v>150.0</v>
      </c>
      <c r="AA202" s="17">
        <v>576.0</v>
      </c>
      <c r="AB202" s="17">
        <v>31.0</v>
      </c>
      <c r="AC202" s="20">
        <f t="shared" si="2"/>
        <v>35712</v>
      </c>
      <c r="AD202" s="30">
        <f t="shared" si="3"/>
        <v>8.06</v>
      </c>
      <c r="AE202" s="30">
        <f t="shared" si="10"/>
        <v>2640.456</v>
      </c>
      <c r="AF202" s="30">
        <f t="shared" si="5"/>
        <v>3029.779705</v>
      </c>
      <c r="AG202" s="34">
        <v>1.0</v>
      </c>
      <c r="AH202" s="36"/>
      <c r="AI202" s="30">
        <f t="shared" si="6"/>
        <v>3278.688525</v>
      </c>
      <c r="AJ202" s="17">
        <v>4000.0</v>
      </c>
      <c r="AK202" s="30">
        <f t="shared" si="7"/>
        <v>6557.377049</v>
      </c>
      <c r="AL202" s="20">
        <f t="shared" si="8"/>
        <v>8000</v>
      </c>
    </row>
    <row r="203">
      <c r="A203" s="16" t="s">
        <v>979</v>
      </c>
      <c r="B203" s="17" t="s">
        <v>142</v>
      </c>
      <c r="C203" s="17" t="s">
        <v>143</v>
      </c>
      <c r="D203" s="17" t="s">
        <v>61</v>
      </c>
      <c r="E203" s="17" t="s">
        <v>947</v>
      </c>
      <c r="F203" s="17" t="s">
        <v>103</v>
      </c>
      <c r="G203" s="19">
        <v>45952.0</v>
      </c>
      <c r="H203" s="17" t="s">
        <v>104</v>
      </c>
      <c r="I203" s="20" t="s">
        <v>119</v>
      </c>
      <c r="J203" s="21" t="s">
        <v>980</v>
      </c>
      <c r="K203" s="22" t="s">
        <v>981</v>
      </c>
      <c r="L203" s="22" t="s">
        <v>982</v>
      </c>
      <c r="M203" s="17">
        <v>2020.0</v>
      </c>
      <c r="N203" s="17">
        <v>14.0</v>
      </c>
      <c r="O203" s="23">
        <v>240.0</v>
      </c>
      <c r="P203" s="24">
        <f t="shared" si="9"/>
        <v>672</v>
      </c>
      <c r="Q203" s="25">
        <v>3.0</v>
      </c>
      <c r="R203" s="17">
        <v>3.0</v>
      </c>
      <c r="S203" s="26">
        <v>3.0</v>
      </c>
      <c r="T203" s="17">
        <v>0.0</v>
      </c>
      <c r="U203" s="17">
        <v>6.0</v>
      </c>
      <c r="V203" s="17" t="s">
        <v>130</v>
      </c>
      <c r="W203" s="28" t="s">
        <v>76</v>
      </c>
      <c r="X203" s="28" t="s">
        <v>78</v>
      </c>
      <c r="Y203" s="24">
        <v>10.0</v>
      </c>
      <c r="Z203" s="17">
        <v>150.0</v>
      </c>
      <c r="AA203" s="17">
        <v>576.0</v>
      </c>
      <c r="AB203" s="17">
        <v>31.0</v>
      </c>
      <c r="AC203" s="20">
        <f t="shared" si="2"/>
        <v>53568</v>
      </c>
      <c r="AD203" s="30">
        <f t="shared" si="3"/>
        <v>8.06</v>
      </c>
      <c r="AE203" s="30">
        <f t="shared" si="10"/>
        <v>5416.32</v>
      </c>
      <c r="AF203" s="30">
        <f t="shared" si="5"/>
        <v>2215.526409</v>
      </c>
      <c r="AG203" s="34">
        <v>1.0</v>
      </c>
      <c r="AH203" s="36"/>
      <c r="AI203" s="30">
        <f t="shared" si="6"/>
        <v>3278.688525</v>
      </c>
      <c r="AJ203" s="17">
        <v>4000.0</v>
      </c>
      <c r="AK203" s="30">
        <f t="shared" si="7"/>
        <v>9836.065574</v>
      </c>
      <c r="AL203" s="20">
        <f t="shared" si="8"/>
        <v>12000</v>
      </c>
    </row>
    <row r="204">
      <c r="A204" s="16" t="s">
        <v>979</v>
      </c>
      <c r="B204" s="17" t="s">
        <v>142</v>
      </c>
      <c r="C204" s="17" t="s">
        <v>143</v>
      </c>
      <c r="D204" s="17" t="s">
        <v>61</v>
      </c>
      <c r="E204" s="17" t="s">
        <v>947</v>
      </c>
      <c r="F204" s="17" t="s">
        <v>103</v>
      </c>
      <c r="G204" s="19">
        <v>45952.0</v>
      </c>
      <c r="H204" s="17" t="s">
        <v>104</v>
      </c>
      <c r="I204" s="20" t="s">
        <v>119</v>
      </c>
      <c r="J204" s="21" t="s">
        <v>983</v>
      </c>
      <c r="K204" s="22" t="s">
        <v>984</v>
      </c>
      <c r="L204" s="22" t="s">
        <v>985</v>
      </c>
      <c r="M204" s="17">
        <v>2021.0</v>
      </c>
      <c r="N204" s="17">
        <v>19.0</v>
      </c>
      <c r="O204" s="23">
        <v>448.0</v>
      </c>
      <c r="P204" s="24">
        <f t="shared" si="9"/>
        <v>1254.4</v>
      </c>
      <c r="Q204" s="25">
        <v>6.0</v>
      </c>
      <c r="R204" s="17">
        <v>6.0</v>
      </c>
      <c r="S204" s="26">
        <v>6.0</v>
      </c>
      <c r="T204" s="17">
        <v>0.0</v>
      </c>
      <c r="U204" s="17">
        <v>12.0</v>
      </c>
      <c r="V204" s="17" t="s">
        <v>75</v>
      </c>
      <c r="W204" s="28" t="s">
        <v>76</v>
      </c>
      <c r="X204" s="28" t="s">
        <v>78</v>
      </c>
      <c r="Y204" s="24">
        <v>10.0</v>
      </c>
      <c r="Z204" s="17">
        <v>150.0</v>
      </c>
      <c r="AA204" s="17">
        <v>576.0</v>
      </c>
      <c r="AB204" s="17">
        <v>31.0</v>
      </c>
      <c r="AC204" s="20">
        <f t="shared" si="2"/>
        <v>107136</v>
      </c>
      <c r="AD204" s="30">
        <f t="shared" si="3"/>
        <v>8.06</v>
      </c>
      <c r="AE204" s="30">
        <f t="shared" si="10"/>
        <v>10110.464</v>
      </c>
      <c r="AF204" s="30">
        <f t="shared" si="5"/>
        <v>2373.778295</v>
      </c>
      <c r="AG204" s="34">
        <v>1.0</v>
      </c>
      <c r="AH204" s="36"/>
      <c r="AI204" s="30">
        <f t="shared" si="6"/>
        <v>3278.688525</v>
      </c>
      <c r="AJ204" s="17">
        <v>4000.0</v>
      </c>
      <c r="AK204" s="30">
        <f t="shared" si="7"/>
        <v>19672.13115</v>
      </c>
      <c r="AL204" s="20">
        <f t="shared" si="8"/>
        <v>24000</v>
      </c>
    </row>
    <row r="205">
      <c r="A205" s="16" t="s">
        <v>979</v>
      </c>
      <c r="B205" s="17" t="s">
        <v>142</v>
      </c>
      <c r="C205" s="17" t="s">
        <v>143</v>
      </c>
      <c r="D205" s="17" t="s">
        <v>61</v>
      </c>
      <c r="E205" s="17" t="s">
        <v>947</v>
      </c>
      <c r="F205" s="17" t="s">
        <v>103</v>
      </c>
      <c r="G205" s="19">
        <v>45952.0</v>
      </c>
      <c r="H205" s="17" t="s">
        <v>104</v>
      </c>
      <c r="I205" s="20" t="s">
        <v>119</v>
      </c>
      <c r="J205" s="21" t="s">
        <v>986</v>
      </c>
      <c r="K205" s="22" t="s">
        <v>987</v>
      </c>
      <c r="L205" s="22" t="s">
        <v>988</v>
      </c>
      <c r="M205" s="17">
        <v>2019.0</v>
      </c>
      <c r="N205" s="17">
        <v>14.0</v>
      </c>
      <c r="O205" s="23">
        <v>182.0</v>
      </c>
      <c r="P205" s="24">
        <f t="shared" si="9"/>
        <v>509.6</v>
      </c>
      <c r="Q205" s="25">
        <v>4.0</v>
      </c>
      <c r="R205" s="17">
        <v>2.0</v>
      </c>
      <c r="S205" s="26">
        <v>2.0</v>
      </c>
      <c r="T205" s="17">
        <v>2.0</v>
      </c>
      <c r="U205" s="17">
        <v>4.0</v>
      </c>
      <c r="V205" s="17" t="s">
        <v>130</v>
      </c>
      <c r="W205" s="28" t="s">
        <v>76</v>
      </c>
      <c r="X205" s="28" t="s">
        <v>78</v>
      </c>
      <c r="Y205" s="24">
        <v>10.0</v>
      </c>
      <c r="Z205" s="17">
        <v>150.0</v>
      </c>
      <c r="AA205" s="17">
        <v>576.0</v>
      </c>
      <c r="AB205" s="17">
        <v>31.0</v>
      </c>
      <c r="AC205" s="20">
        <f t="shared" si="2"/>
        <v>71424</v>
      </c>
      <c r="AD205" s="30">
        <f t="shared" si="3"/>
        <v>15.58266667</v>
      </c>
      <c r="AE205" s="30">
        <f t="shared" si="10"/>
        <v>7940.926933</v>
      </c>
      <c r="AF205" s="30">
        <f t="shared" si="5"/>
        <v>2014.878129</v>
      </c>
      <c r="AG205" s="34">
        <v>1.0</v>
      </c>
      <c r="AH205" s="36"/>
      <c r="AI205" s="30">
        <f t="shared" si="6"/>
        <v>3278.688525</v>
      </c>
      <c r="AJ205" s="17">
        <v>4000.0</v>
      </c>
      <c r="AK205" s="30">
        <f t="shared" si="7"/>
        <v>13114.7541</v>
      </c>
      <c r="AL205" s="20">
        <f t="shared" si="8"/>
        <v>16000</v>
      </c>
    </row>
    <row r="206">
      <c r="A206" s="16" t="s">
        <v>989</v>
      </c>
      <c r="B206" s="17" t="s">
        <v>142</v>
      </c>
      <c r="C206" s="17" t="s">
        <v>143</v>
      </c>
      <c r="D206" s="17" t="s">
        <v>61</v>
      </c>
      <c r="E206" s="17" t="s">
        <v>947</v>
      </c>
      <c r="F206" s="17" t="s">
        <v>63</v>
      </c>
      <c r="G206" s="19">
        <v>45803.0</v>
      </c>
      <c r="H206" s="17" t="s">
        <v>104</v>
      </c>
      <c r="I206" s="20" t="s">
        <v>990</v>
      </c>
      <c r="J206" s="21" t="s">
        <v>991</v>
      </c>
      <c r="K206" s="22" t="s">
        <v>992</v>
      </c>
      <c r="L206" s="22" t="s">
        <v>993</v>
      </c>
      <c r="M206" s="17">
        <v>2010.0</v>
      </c>
      <c r="N206" s="17">
        <v>15.0</v>
      </c>
      <c r="O206" s="23">
        <v>104.0</v>
      </c>
      <c r="P206" s="24">
        <f t="shared" si="9"/>
        <v>291.2</v>
      </c>
      <c r="Q206" s="25">
        <v>4.0</v>
      </c>
      <c r="R206" s="17">
        <v>2.0</v>
      </c>
      <c r="S206" s="26">
        <v>2.0</v>
      </c>
      <c r="T206" s="17">
        <v>2.0</v>
      </c>
      <c r="U206" s="17">
        <v>4.0</v>
      </c>
      <c r="V206" s="17" t="s">
        <v>130</v>
      </c>
      <c r="W206" s="28" t="s">
        <v>76</v>
      </c>
      <c r="X206" s="28" t="s">
        <v>78</v>
      </c>
      <c r="Y206" s="24">
        <v>10.0</v>
      </c>
      <c r="Z206" s="17">
        <v>150.0</v>
      </c>
      <c r="AA206" s="17">
        <v>576.0</v>
      </c>
      <c r="AB206" s="17">
        <v>31.0</v>
      </c>
      <c r="AC206" s="20">
        <f t="shared" si="2"/>
        <v>71424</v>
      </c>
      <c r="AD206" s="30">
        <f t="shared" si="3"/>
        <v>16.12</v>
      </c>
      <c r="AE206" s="30">
        <f t="shared" si="10"/>
        <v>4694.144</v>
      </c>
      <c r="AF206" s="30">
        <f t="shared" si="5"/>
        <v>3408.502168</v>
      </c>
      <c r="AG206" s="34">
        <v>1.0</v>
      </c>
      <c r="AH206" s="36"/>
      <c r="AI206" s="30">
        <f t="shared" si="6"/>
        <v>3278.688525</v>
      </c>
      <c r="AJ206" s="17">
        <v>4000.0</v>
      </c>
      <c r="AK206" s="30">
        <f t="shared" si="7"/>
        <v>13114.7541</v>
      </c>
      <c r="AL206" s="20">
        <f t="shared" si="8"/>
        <v>16000</v>
      </c>
    </row>
    <row r="207">
      <c r="A207" s="16" t="s">
        <v>989</v>
      </c>
      <c r="B207" s="17" t="s">
        <v>142</v>
      </c>
      <c r="C207" s="17" t="s">
        <v>143</v>
      </c>
      <c r="D207" s="17" t="s">
        <v>61</v>
      </c>
      <c r="E207" s="17" t="s">
        <v>947</v>
      </c>
      <c r="F207" s="17" t="s">
        <v>63</v>
      </c>
      <c r="G207" s="19">
        <v>45803.0</v>
      </c>
      <c r="H207" s="17" t="s">
        <v>104</v>
      </c>
      <c r="I207" s="20" t="s">
        <v>990</v>
      </c>
      <c r="J207" s="21" t="s">
        <v>994</v>
      </c>
      <c r="K207" s="22" t="s">
        <v>995</v>
      </c>
      <c r="L207" s="22" t="s">
        <v>996</v>
      </c>
      <c r="M207" s="17">
        <v>2020.0</v>
      </c>
      <c r="N207" s="17">
        <v>15.0</v>
      </c>
      <c r="O207" s="23">
        <v>196.0</v>
      </c>
      <c r="P207" s="24">
        <f t="shared" si="9"/>
        <v>548.8</v>
      </c>
      <c r="Q207" s="25">
        <v>4.0</v>
      </c>
      <c r="R207" s="17">
        <v>2.0</v>
      </c>
      <c r="S207" s="26">
        <v>2.0</v>
      </c>
      <c r="T207" s="17">
        <v>2.0</v>
      </c>
      <c r="U207" s="17">
        <v>4.0</v>
      </c>
      <c r="V207" s="17" t="s">
        <v>130</v>
      </c>
      <c r="W207" s="28" t="s">
        <v>76</v>
      </c>
      <c r="X207" s="28" t="s">
        <v>78</v>
      </c>
      <c r="Y207" s="24">
        <v>10.0</v>
      </c>
      <c r="Z207" s="17">
        <v>150.0</v>
      </c>
      <c r="AA207" s="17">
        <v>576.0</v>
      </c>
      <c r="AB207" s="17">
        <v>31.0</v>
      </c>
      <c r="AC207" s="20">
        <f t="shared" si="2"/>
        <v>71424</v>
      </c>
      <c r="AD207" s="30">
        <f t="shared" si="3"/>
        <v>16.12</v>
      </c>
      <c r="AE207" s="30">
        <f t="shared" si="10"/>
        <v>8846.656</v>
      </c>
      <c r="AF207" s="30">
        <f t="shared" si="5"/>
        <v>1808.592987</v>
      </c>
      <c r="AG207" s="34">
        <v>1.0</v>
      </c>
      <c r="AH207" s="36"/>
      <c r="AI207" s="30">
        <f t="shared" si="6"/>
        <v>3278.688525</v>
      </c>
      <c r="AJ207" s="17">
        <v>4000.0</v>
      </c>
      <c r="AK207" s="30">
        <f t="shared" si="7"/>
        <v>13114.7541</v>
      </c>
      <c r="AL207" s="20">
        <f t="shared" si="8"/>
        <v>16000</v>
      </c>
    </row>
    <row r="208">
      <c r="A208" s="16" t="s">
        <v>989</v>
      </c>
      <c r="B208" s="17" t="s">
        <v>142</v>
      </c>
      <c r="C208" s="17" t="s">
        <v>143</v>
      </c>
      <c r="D208" s="17" t="s">
        <v>61</v>
      </c>
      <c r="E208" s="17" t="s">
        <v>947</v>
      </c>
      <c r="F208" s="17" t="s">
        <v>63</v>
      </c>
      <c r="G208" s="19">
        <v>45803.0</v>
      </c>
      <c r="H208" s="17" t="s">
        <v>104</v>
      </c>
      <c r="I208" s="20" t="s">
        <v>990</v>
      </c>
      <c r="J208" s="21" t="s">
        <v>997</v>
      </c>
      <c r="K208" s="22" t="s">
        <v>998</v>
      </c>
      <c r="L208" s="22" t="s">
        <v>999</v>
      </c>
      <c r="M208" s="17">
        <v>2016.0</v>
      </c>
      <c r="N208" s="17">
        <v>17.0</v>
      </c>
      <c r="O208" s="23">
        <v>159.0</v>
      </c>
      <c r="P208" s="24">
        <f t="shared" si="9"/>
        <v>445.2</v>
      </c>
      <c r="Q208" s="25">
        <v>2.0</v>
      </c>
      <c r="R208" s="17">
        <v>1.0</v>
      </c>
      <c r="S208" s="26">
        <v>1.0</v>
      </c>
      <c r="T208" s="17">
        <v>1.0</v>
      </c>
      <c r="U208" s="17">
        <v>2.0</v>
      </c>
      <c r="V208" s="17" t="s">
        <v>130</v>
      </c>
      <c r="W208" s="28" t="s">
        <v>76</v>
      </c>
      <c r="X208" s="28" t="s">
        <v>78</v>
      </c>
      <c r="Y208" s="24">
        <v>10.0</v>
      </c>
      <c r="Z208" s="17">
        <v>150.0</v>
      </c>
      <c r="AA208" s="17">
        <v>576.0</v>
      </c>
      <c r="AB208" s="17">
        <v>31.0</v>
      </c>
      <c r="AC208" s="20">
        <f t="shared" si="2"/>
        <v>35712</v>
      </c>
      <c r="AD208" s="30">
        <f t="shared" si="3"/>
        <v>17.19466667</v>
      </c>
      <c r="AE208" s="30">
        <f t="shared" si="10"/>
        <v>7655.0656</v>
      </c>
      <c r="AF208" s="30">
        <f t="shared" si="5"/>
        <v>1045.059627</v>
      </c>
      <c r="AG208" s="34">
        <v>1.0</v>
      </c>
      <c r="AH208" s="36"/>
      <c r="AI208" s="30">
        <f t="shared" si="6"/>
        <v>3278.688525</v>
      </c>
      <c r="AJ208" s="17">
        <v>4000.0</v>
      </c>
      <c r="AK208" s="30">
        <f t="shared" si="7"/>
        <v>6557.377049</v>
      </c>
      <c r="AL208" s="20">
        <f t="shared" si="8"/>
        <v>8000</v>
      </c>
    </row>
    <row r="209">
      <c r="A209" s="16" t="s">
        <v>989</v>
      </c>
      <c r="B209" s="17" t="s">
        <v>142</v>
      </c>
      <c r="C209" s="17" t="s">
        <v>143</v>
      </c>
      <c r="D209" s="17" t="s">
        <v>61</v>
      </c>
      <c r="E209" s="17" t="s">
        <v>947</v>
      </c>
      <c r="F209" s="17" t="s">
        <v>63</v>
      </c>
      <c r="G209" s="19">
        <v>45803.0</v>
      </c>
      <c r="H209" s="17" t="s">
        <v>104</v>
      </c>
      <c r="I209" s="20" t="s">
        <v>990</v>
      </c>
      <c r="J209" s="21" t="s">
        <v>1000</v>
      </c>
      <c r="K209" s="22" t="s">
        <v>1001</v>
      </c>
      <c r="L209" s="22" t="s">
        <v>1002</v>
      </c>
      <c r="M209" s="17">
        <v>2021.0</v>
      </c>
      <c r="N209" s="17">
        <v>17.0</v>
      </c>
      <c r="O209" s="23">
        <v>315.0</v>
      </c>
      <c r="P209" s="24">
        <f t="shared" si="9"/>
        <v>882</v>
      </c>
      <c r="Q209" s="25">
        <v>6.0</v>
      </c>
      <c r="R209" s="17">
        <v>3.0</v>
      </c>
      <c r="S209" s="26">
        <v>3.0</v>
      </c>
      <c r="T209" s="17">
        <v>3.0</v>
      </c>
      <c r="U209" s="17">
        <v>6.0</v>
      </c>
      <c r="V209" s="17" t="s">
        <v>130</v>
      </c>
      <c r="W209" s="28" t="s">
        <v>76</v>
      </c>
      <c r="X209" s="28" t="s">
        <v>78</v>
      </c>
      <c r="Y209" s="24">
        <v>10.0</v>
      </c>
      <c r="Z209" s="17">
        <v>150.0</v>
      </c>
      <c r="AA209" s="17">
        <v>576.0</v>
      </c>
      <c r="AB209" s="17">
        <v>31.0</v>
      </c>
      <c r="AC209" s="20">
        <f t="shared" si="2"/>
        <v>107136</v>
      </c>
      <c r="AD209" s="30">
        <f t="shared" si="3"/>
        <v>17.19466667</v>
      </c>
      <c r="AE209" s="30">
        <f t="shared" si="10"/>
        <v>15165.696</v>
      </c>
      <c r="AF209" s="30">
        <f t="shared" si="5"/>
        <v>1582.518864</v>
      </c>
      <c r="AG209" s="34">
        <v>1.0</v>
      </c>
      <c r="AH209" s="36"/>
      <c r="AI209" s="30">
        <f t="shared" si="6"/>
        <v>3278.688525</v>
      </c>
      <c r="AJ209" s="17">
        <v>4000.0</v>
      </c>
      <c r="AK209" s="30">
        <f t="shared" si="7"/>
        <v>19672.13115</v>
      </c>
      <c r="AL209" s="20">
        <f t="shared" si="8"/>
        <v>24000</v>
      </c>
    </row>
    <row r="210">
      <c r="A210" s="16" t="s">
        <v>1003</v>
      </c>
      <c r="B210" s="17" t="s">
        <v>142</v>
      </c>
      <c r="C210" s="17" t="s">
        <v>143</v>
      </c>
      <c r="D210" s="17" t="s">
        <v>61</v>
      </c>
      <c r="E210" s="17" t="s">
        <v>1004</v>
      </c>
      <c r="F210" s="17" t="s">
        <v>63</v>
      </c>
      <c r="G210" s="19">
        <v>45975.0</v>
      </c>
      <c r="H210" s="17" t="s">
        <v>118</v>
      </c>
      <c r="I210" s="20" t="s">
        <v>1005</v>
      </c>
      <c r="J210" s="21" t="s">
        <v>1006</v>
      </c>
      <c r="K210" s="22" t="s">
        <v>1007</v>
      </c>
      <c r="L210" s="22" t="s">
        <v>1008</v>
      </c>
      <c r="M210" s="17">
        <v>2021.0</v>
      </c>
      <c r="N210" s="17">
        <v>19.0</v>
      </c>
      <c r="O210" s="23">
        <v>332.0</v>
      </c>
      <c r="P210" s="24">
        <f t="shared" si="9"/>
        <v>929.6</v>
      </c>
      <c r="Q210" s="25">
        <v>3.0</v>
      </c>
      <c r="R210" s="17">
        <v>3.0</v>
      </c>
      <c r="S210" s="26">
        <v>3.0</v>
      </c>
      <c r="T210" s="17">
        <v>0.0</v>
      </c>
      <c r="U210" s="17">
        <v>6.0</v>
      </c>
      <c r="V210" s="17" t="s">
        <v>75</v>
      </c>
      <c r="W210" s="28" t="s">
        <v>76</v>
      </c>
      <c r="X210" s="28" t="s">
        <v>78</v>
      </c>
      <c r="Y210" s="24">
        <v>10.0</v>
      </c>
      <c r="Z210" s="17">
        <v>150.0</v>
      </c>
      <c r="AA210" s="17">
        <v>576.0</v>
      </c>
      <c r="AB210" s="17">
        <v>31.0</v>
      </c>
      <c r="AC210" s="20">
        <f t="shared" si="2"/>
        <v>53568</v>
      </c>
      <c r="AD210" s="30">
        <f t="shared" si="3"/>
        <v>8.06</v>
      </c>
      <c r="AE210" s="30">
        <f t="shared" si="10"/>
        <v>7492.576</v>
      </c>
      <c r="AF210" s="30">
        <f t="shared" si="5"/>
        <v>1601.585356</v>
      </c>
      <c r="AG210" s="34">
        <v>1.0</v>
      </c>
      <c r="AH210" s="36"/>
      <c r="AI210" s="30">
        <f t="shared" si="6"/>
        <v>3278.688525</v>
      </c>
      <c r="AJ210" s="17">
        <v>4000.0</v>
      </c>
      <c r="AK210" s="30">
        <f t="shared" si="7"/>
        <v>9836.065574</v>
      </c>
      <c r="AL210" s="20">
        <f t="shared" si="8"/>
        <v>12000</v>
      </c>
    </row>
    <row r="211">
      <c r="A211" s="16" t="s">
        <v>1003</v>
      </c>
      <c r="B211" s="17" t="s">
        <v>142</v>
      </c>
      <c r="C211" s="17" t="s">
        <v>143</v>
      </c>
      <c r="D211" s="17" t="s">
        <v>61</v>
      </c>
      <c r="E211" s="17" t="s">
        <v>1004</v>
      </c>
      <c r="F211" s="17" t="s">
        <v>63</v>
      </c>
      <c r="G211" s="19">
        <v>45975.0</v>
      </c>
      <c r="H211" s="17" t="s">
        <v>118</v>
      </c>
      <c r="I211" s="20" t="s">
        <v>1005</v>
      </c>
      <c r="J211" s="21" t="s">
        <v>1009</v>
      </c>
      <c r="K211" s="22" t="s">
        <v>1010</v>
      </c>
      <c r="L211" s="22" t="s">
        <v>1011</v>
      </c>
      <c r="M211" s="17">
        <v>2021.0</v>
      </c>
      <c r="N211" s="17">
        <v>15.0</v>
      </c>
      <c r="O211" s="23">
        <v>391.0</v>
      </c>
      <c r="P211" s="24">
        <f t="shared" si="9"/>
        <v>1094.8</v>
      </c>
      <c r="Q211" s="25">
        <v>3.0</v>
      </c>
      <c r="R211" s="17">
        <v>3.0</v>
      </c>
      <c r="S211" s="26">
        <v>3.0</v>
      </c>
      <c r="T211" s="17">
        <v>0.0</v>
      </c>
      <c r="U211" s="17">
        <v>6.0</v>
      </c>
      <c r="V211" s="17" t="s">
        <v>75</v>
      </c>
      <c r="W211" s="28" t="s">
        <v>76</v>
      </c>
      <c r="X211" s="28" t="s">
        <v>78</v>
      </c>
      <c r="Y211" s="24">
        <v>10.0</v>
      </c>
      <c r="Z211" s="17">
        <v>150.0</v>
      </c>
      <c r="AA211" s="17">
        <v>576.0</v>
      </c>
      <c r="AB211" s="17">
        <v>31.0</v>
      </c>
      <c r="AC211" s="20">
        <f t="shared" si="2"/>
        <v>53568</v>
      </c>
      <c r="AD211" s="30">
        <f t="shared" si="3"/>
        <v>8.06</v>
      </c>
      <c r="AE211" s="30">
        <f t="shared" si="10"/>
        <v>8824.088</v>
      </c>
      <c r="AF211" s="30">
        <f t="shared" si="5"/>
        <v>1359.913908</v>
      </c>
      <c r="AG211" s="34">
        <v>1.0</v>
      </c>
      <c r="AH211" s="36"/>
      <c r="AI211" s="30">
        <f t="shared" si="6"/>
        <v>3278.688525</v>
      </c>
      <c r="AJ211" s="17">
        <v>4000.0</v>
      </c>
      <c r="AK211" s="30">
        <f t="shared" si="7"/>
        <v>9836.065574</v>
      </c>
      <c r="AL211" s="20">
        <f t="shared" si="8"/>
        <v>12000</v>
      </c>
    </row>
    <row r="212">
      <c r="A212" s="16" t="s">
        <v>1003</v>
      </c>
      <c r="B212" s="17" t="s">
        <v>142</v>
      </c>
      <c r="C212" s="17" t="s">
        <v>143</v>
      </c>
      <c r="D212" s="17" t="s">
        <v>61</v>
      </c>
      <c r="E212" s="17" t="s">
        <v>1004</v>
      </c>
      <c r="F212" s="17" t="s">
        <v>63</v>
      </c>
      <c r="G212" s="19">
        <v>45975.0</v>
      </c>
      <c r="H212" s="17" t="s">
        <v>118</v>
      </c>
      <c r="I212" s="20" t="s">
        <v>1005</v>
      </c>
      <c r="J212" s="21" t="s">
        <v>1013</v>
      </c>
      <c r="K212" s="22" t="s">
        <v>1014</v>
      </c>
      <c r="L212" s="22" t="s">
        <v>1015</v>
      </c>
      <c r="M212" s="17">
        <v>2020.0</v>
      </c>
      <c r="N212" s="17">
        <v>19.0</v>
      </c>
      <c r="O212" s="23">
        <v>419.0</v>
      </c>
      <c r="P212" s="24">
        <f t="shared" si="9"/>
        <v>1173.2</v>
      </c>
      <c r="Q212" s="25">
        <v>4.0</v>
      </c>
      <c r="R212" s="17">
        <v>4.0</v>
      </c>
      <c r="S212" s="26">
        <v>3.0</v>
      </c>
      <c r="T212" s="17">
        <v>0.0</v>
      </c>
      <c r="U212" s="17">
        <v>8.0</v>
      </c>
      <c r="V212" s="17" t="s">
        <v>75</v>
      </c>
      <c r="W212" s="28" t="s">
        <v>76</v>
      </c>
      <c r="X212" s="28" t="s">
        <v>78</v>
      </c>
      <c r="Y212" s="24">
        <v>10.0</v>
      </c>
      <c r="Z212" s="17">
        <v>150.0</v>
      </c>
      <c r="AA212" s="17">
        <v>576.0</v>
      </c>
      <c r="AB212" s="17">
        <v>31.0</v>
      </c>
      <c r="AC212" s="20">
        <f t="shared" si="2"/>
        <v>71424</v>
      </c>
      <c r="AD212" s="30">
        <f t="shared" si="3"/>
        <v>10.74666667</v>
      </c>
      <c r="AE212" s="30">
        <f t="shared" si="10"/>
        <v>12607.98933</v>
      </c>
      <c r="AF212" s="30">
        <f t="shared" si="5"/>
        <v>1269.036607</v>
      </c>
      <c r="AG212" s="34">
        <v>1.0</v>
      </c>
      <c r="AH212" s="36"/>
      <c r="AI212" s="30">
        <f t="shared" si="6"/>
        <v>3278.688525</v>
      </c>
      <c r="AJ212" s="17">
        <v>4000.0</v>
      </c>
      <c r="AK212" s="30">
        <f t="shared" si="7"/>
        <v>13114.7541</v>
      </c>
      <c r="AL212" s="20">
        <f t="shared" si="8"/>
        <v>16000</v>
      </c>
    </row>
    <row r="213">
      <c r="A213" s="16" t="s">
        <v>1016</v>
      </c>
      <c r="B213" s="17" t="s">
        <v>142</v>
      </c>
      <c r="C213" s="17" t="s">
        <v>143</v>
      </c>
      <c r="D213" s="17" t="s">
        <v>61</v>
      </c>
      <c r="E213" s="17" t="s">
        <v>1004</v>
      </c>
      <c r="F213" s="17" t="s">
        <v>103</v>
      </c>
      <c r="G213" s="19">
        <v>45975.0</v>
      </c>
      <c r="H213" s="17" t="s">
        <v>118</v>
      </c>
      <c r="I213" s="20" t="s">
        <v>1017</v>
      </c>
      <c r="J213" s="21" t="s">
        <v>1018</v>
      </c>
      <c r="K213" s="22" t="s">
        <v>1019</v>
      </c>
      <c r="L213" s="22" t="s">
        <v>1020</v>
      </c>
      <c r="M213" s="17">
        <v>2019.0</v>
      </c>
      <c r="N213" s="17">
        <v>19.0</v>
      </c>
      <c r="O213" s="23">
        <v>426.0</v>
      </c>
      <c r="P213" s="24">
        <f t="shared" si="9"/>
        <v>1192.8</v>
      </c>
      <c r="Q213" s="25">
        <v>5.0</v>
      </c>
      <c r="R213" s="17">
        <v>5.0</v>
      </c>
      <c r="S213" s="26">
        <v>5.0</v>
      </c>
      <c r="T213" s="17">
        <v>0.0</v>
      </c>
      <c r="U213" s="17">
        <v>10.0</v>
      </c>
      <c r="V213" s="17" t="s">
        <v>75</v>
      </c>
      <c r="W213" s="28" t="s">
        <v>76</v>
      </c>
      <c r="X213" s="28" t="s">
        <v>78</v>
      </c>
      <c r="Y213" s="24">
        <v>10.0</v>
      </c>
      <c r="Z213" s="17">
        <v>150.0</v>
      </c>
      <c r="AA213" s="17">
        <v>576.0</v>
      </c>
      <c r="AB213" s="17">
        <v>31.0</v>
      </c>
      <c r="AC213" s="20">
        <f t="shared" si="2"/>
        <v>89280</v>
      </c>
      <c r="AD213" s="30">
        <f t="shared" si="3"/>
        <v>8.06</v>
      </c>
      <c r="AE213" s="30">
        <f t="shared" si="10"/>
        <v>9613.968</v>
      </c>
      <c r="AF213" s="30">
        <f t="shared" si="5"/>
        <v>2080.306487</v>
      </c>
      <c r="AG213" s="34">
        <v>1.0</v>
      </c>
      <c r="AH213" s="36"/>
      <c r="AI213" s="30">
        <f t="shared" si="6"/>
        <v>3278.688525</v>
      </c>
      <c r="AJ213" s="17">
        <v>4000.0</v>
      </c>
      <c r="AK213" s="30">
        <f t="shared" si="7"/>
        <v>16393.44262</v>
      </c>
      <c r="AL213" s="20">
        <f t="shared" si="8"/>
        <v>20000</v>
      </c>
    </row>
    <row r="214">
      <c r="A214" s="16" t="s">
        <v>1016</v>
      </c>
      <c r="B214" s="17" t="s">
        <v>142</v>
      </c>
      <c r="C214" s="17" t="s">
        <v>143</v>
      </c>
      <c r="D214" s="17" t="s">
        <v>61</v>
      </c>
      <c r="E214" s="17" t="s">
        <v>1004</v>
      </c>
      <c r="F214" s="17" t="s">
        <v>103</v>
      </c>
      <c r="G214" s="19">
        <v>45975.0</v>
      </c>
      <c r="H214" s="17" t="s">
        <v>118</v>
      </c>
      <c r="I214" s="20" t="s">
        <v>1017</v>
      </c>
      <c r="J214" s="21" t="s">
        <v>1021</v>
      </c>
      <c r="K214" s="22" t="s">
        <v>1022</v>
      </c>
      <c r="L214" s="22" t="s">
        <v>1023</v>
      </c>
      <c r="M214" s="17">
        <v>2024.0</v>
      </c>
      <c r="N214" s="17">
        <v>19.0</v>
      </c>
      <c r="O214" s="23">
        <v>416.0</v>
      </c>
      <c r="P214" s="24">
        <f t="shared" si="9"/>
        <v>1164.8</v>
      </c>
      <c r="Q214" s="25">
        <v>5.0</v>
      </c>
      <c r="R214" s="17">
        <v>5.0</v>
      </c>
      <c r="S214" s="26">
        <v>5.0</v>
      </c>
      <c r="T214" s="17">
        <v>0.0</v>
      </c>
      <c r="U214" s="17">
        <v>10.0</v>
      </c>
      <c r="V214" s="17" t="s">
        <v>75</v>
      </c>
      <c r="W214" s="28" t="s">
        <v>76</v>
      </c>
      <c r="X214" s="28" t="s">
        <v>78</v>
      </c>
      <c r="Y214" s="24">
        <v>10.0</v>
      </c>
      <c r="Z214" s="17">
        <v>150.0</v>
      </c>
      <c r="AA214" s="17">
        <v>576.0</v>
      </c>
      <c r="AB214" s="17">
        <v>31.0</v>
      </c>
      <c r="AC214" s="20">
        <f t="shared" si="2"/>
        <v>89280</v>
      </c>
      <c r="AD214" s="30">
        <f t="shared" si="3"/>
        <v>8.06</v>
      </c>
      <c r="AE214" s="30">
        <f t="shared" si="10"/>
        <v>9388.288</v>
      </c>
      <c r="AF214" s="30">
        <f t="shared" si="5"/>
        <v>2130.313855</v>
      </c>
      <c r="AG214" s="34">
        <v>1.0</v>
      </c>
      <c r="AH214" s="36"/>
      <c r="AI214" s="30">
        <f t="shared" si="6"/>
        <v>3278.688525</v>
      </c>
      <c r="AJ214" s="17">
        <v>4000.0</v>
      </c>
      <c r="AK214" s="30">
        <f t="shared" si="7"/>
        <v>16393.44262</v>
      </c>
      <c r="AL214" s="20">
        <f t="shared" si="8"/>
        <v>20000</v>
      </c>
    </row>
    <row r="215">
      <c r="A215" s="16" t="s">
        <v>1025</v>
      </c>
      <c r="B215" s="17" t="s">
        <v>142</v>
      </c>
      <c r="C215" s="17" t="s">
        <v>143</v>
      </c>
      <c r="D215" s="17" t="s">
        <v>61</v>
      </c>
      <c r="E215" s="17" t="s">
        <v>1004</v>
      </c>
      <c r="F215" s="17" t="s">
        <v>63</v>
      </c>
      <c r="G215" s="19">
        <v>45975.0</v>
      </c>
      <c r="H215" s="17" t="s">
        <v>118</v>
      </c>
      <c r="I215" s="20" t="s">
        <v>1026</v>
      </c>
      <c r="J215" s="21" t="s">
        <v>1027</v>
      </c>
      <c r="K215" s="22" t="s">
        <v>1028</v>
      </c>
      <c r="L215" s="22" t="s">
        <v>1029</v>
      </c>
      <c r="M215" s="17">
        <v>2024.0</v>
      </c>
      <c r="N215" s="17">
        <v>19.0</v>
      </c>
      <c r="O215" s="23">
        <v>433.0</v>
      </c>
      <c r="P215" s="24">
        <f t="shared" si="9"/>
        <v>1212.4</v>
      </c>
      <c r="Q215" s="25">
        <v>5.0</v>
      </c>
      <c r="R215" s="17">
        <v>5.0</v>
      </c>
      <c r="S215" s="26">
        <v>4.0</v>
      </c>
      <c r="T215" s="17">
        <v>0.0</v>
      </c>
      <c r="U215" s="17">
        <v>10.0</v>
      </c>
      <c r="V215" s="17" t="s">
        <v>75</v>
      </c>
      <c r="W215" s="28" t="s">
        <v>76</v>
      </c>
      <c r="X215" s="28" t="s">
        <v>78</v>
      </c>
      <c r="Y215" s="24">
        <v>10.0</v>
      </c>
      <c r="Z215" s="17">
        <v>150.0</v>
      </c>
      <c r="AA215" s="17">
        <v>576.0</v>
      </c>
      <c r="AB215" s="17">
        <v>31.0</v>
      </c>
      <c r="AC215" s="20">
        <f t="shared" si="2"/>
        <v>89280</v>
      </c>
      <c r="AD215" s="30">
        <f t="shared" si="3"/>
        <v>10.075</v>
      </c>
      <c r="AE215" s="30">
        <f t="shared" si="10"/>
        <v>12214.93</v>
      </c>
      <c r="AF215" s="30">
        <f t="shared" si="5"/>
        <v>1637.340533</v>
      </c>
      <c r="AG215" s="34">
        <v>1.0</v>
      </c>
      <c r="AH215" s="36"/>
      <c r="AI215" s="30">
        <f t="shared" si="6"/>
        <v>3278.688525</v>
      </c>
      <c r="AJ215" s="17">
        <v>4000.0</v>
      </c>
      <c r="AK215" s="30">
        <f t="shared" si="7"/>
        <v>16393.44262</v>
      </c>
      <c r="AL215" s="20">
        <f t="shared" si="8"/>
        <v>20000</v>
      </c>
    </row>
    <row r="216">
      <c r="A216" s="16" t="s">
        <v>1025</v>
      </c>
      <c r="B216" s="17" t="s">
        <v>142</v>
      </c>
      <c r="C216" s="17" t="s">
        <v>143</v>
      </c>
      <c r="D216" s="17" t="s">
        <v>61</v>
      </c>
      <c r="E216" s="17" t="s">
        <v>1004</v>
      </c>
      <c r="F216" s="17" t="s">
        <v>63</v>
      </c>
      <c r="G216" s="19">
        <v>45975.0</v>
      </c>
      <c r="H216" s="17" t="s">
        <v>118</v>
      </c>
      <c r="I216" s="20" t="s">
        <v>1026</v>
      </c>
      <c r="J216" s="21" t="s">
        <v>1030</v>
      </c>
      <c r="K216" s="22" t="s">
        <v>1031</v>
      </c>
      <c r="L216" s="22" t="s">
        <v>1032</v>
      </c>
      <c r="M216" s="17">
        <v>2020.0</v>
      </c>
      <c r="N216" s="17">
        <v>19.0</v>
      </c>
      <c r="O216" s="23">
        <v>419.0</v>
      </c>
      <c r="P216" s="24">
        <f t="shared" si="9"/>
        <v>1173.2</v>
      </c>
      <c r="Q216" s="25">
        <v>4.0</v>
      </c>
      <c r="R216" s="17">
        <v>4.0</v>
      </c>
      <c r="S216" s="26">
        <v>4.0</v>
      </c>
      <c r="T216" s="17">
        <v>0.0</v>
      </c>
      <c r="U216" s="17">
        <v>8.0</v>
      </c>
      <c r="V216" s="17" t="s">
        <v>75</v>
      </c>
      <c r="W216" s="28" t="s">
        <v>76</v>
      </c>
      <c r="X216" s="28" t="s">
        <v>78</v>
      </c>
      <c r="Y216" s="24">
        <v>10.0</v>
      </c>
      <c r="Z216" s="17">
        <v>150.0</v>
      </c>
      <c r="AA216" s="17">
        <v>576.0</v>
      </c>
      <c r="AB216" s="17">
        <v>31.0</v>
      </c>
      <c r="AC216" s="20">
        <f t="shared" si="2"/>
        <v>71424</v>
      </c>
      <c r="AD216" s="30">
        <f t="shared" si="3"/>
        <v>8.06</v>
      </c>
      <c r="AE216" s="30">
        <f t="shared" si="10"/>
        <v>9455.992</v>
      </c>
      <c r="AF216" s="30">
        <f t="shared" si="5"/>
        <v>1692.048809</v>
      </c>
      <c r="AG216" s="34">
        <v>1.0</v>
      </c>
      <c r="AH216" s="36"/>
      <c r="AI216" s="30">
        <f t="shared" si="6"/>
        <v>3278.688525</v>
      </c>
      <c r="AJ216" s="17">
        <v>4000.0</v>
      </c>
      <c r="AK216" s="30">
        <f t="shared" si="7"/>
        <v>13114.7541</v>
      </c>
      <c r="AL216" s="20">
        <f t="shared" si="8"/>
        <v>16000</v>
      </c>
    </row>
    <row r="217">
      <c r="A217" s="16" t="s">
        <v>1025</v>
      </c>
      <c r="B217" s="17" t="s">
        <v>142</v>
      </c>
      <c r="C217" s="17" t="s">
        <v>143</v>
      </c>
      <c r="D217" s="17" t="s">
        <v>61</v>
      </c>
      <c r="E217" s="17" t="s">
        <v>1004</v>
      </c>
      <c r="F217" s="17" t="s">
        <v>63</v>
      </c>
      <c r="G217" s="19">
        <v>45975.0</v>
      </c>
      <c r="H217" s="17" t="s">
        <v>118</v>
      </c>
      <c r="I217" s="20" t="s">
        <v>1026</v>
      </c>
      <c r="J217" s="21" t="s">
        <v>1034</v>
      </c>
      <c r="K217" s="22" t="s">
        <v>1035</v>
      </c>
      <c r="L217" s="22" t="s">
        <v>1036</v>
      </c>
      <c r="M217" s="17">
        <v>2023.0</v>
      </c>
      <c r="N217" s="17">
        <v>17.0</v>
      </c>
      <c r="O217" s="23">
        <v>371.0</v>
      </c>
      <c r="P217" s="24">
        <f t="shared" si="9"/>
        <v>1038.8</v>
      </c>
      <c r="Q217" s="25">
        <v>5.0</v>
      </c>
      <c r="R217" s="17">
        <v>5.0</v>
      </c>
      <c r="S217" s="26">
        <v>5.0</v>
      </c>
      <c r="T217" s="17">
        <v>0.0</v>
      </c>
      <c r="U217" s="17">
        <v>10.0</v>
      </c>
      <c r="V217" s="17" t="s">
        <v>75</v>
      </c>
      <c r="W217" s="28" t="s">
        <v>76</v>
      </c>
      <c r="X217" s="28" t="s">
        <v>78</v>
      </c>
      <c r="Y217" s="24">
        <v>10.0</v>
      </c>
      <c r="Z217" s="17">
        <v>150.0</v>
      </c>
      <c r="AA217" s="17">
        <v>576.0</v>
      </c>
      <c r="AB217" s="17">
        <v>31.0</v>
      </c>
      <c r="AC217" s="20">
        <f t="shared" si="2"/>
        <v>89280</v>
      </c>
      <c r="AD217" s="30">
        <f t="shared" si="3"/>
        <v>8.06</v>
      </c>
      <c r="AE217" s="30">
        <f t="shared" si="10"/>
        <v>8372.728</v>
      </c>
      <c r="AF217" s="30">
        <f t="shared" si="5"/>
        <v>2388.707719</v>
      </c>
      <c r="AG217" s="34">
        <v>1.0</v>
      </c>
      <c r="AH217" s="36"/>
      <c r="AI217" s="30">
        <f t="shared" si="6"/>
        <v>3278.688525</v>
      </c>
      <c r="AJ217" s="17">
        <v>4000.0</v>
      </c>
      <c r="AK217" s="30">
        <f t="shared" si="7"/>
        <v>16393.44262</v>
      </c>
      <c r="AL217" s="20">
        <f t="shared" si="8"/>
        <v>20000</v>
      </c>
    </row>
    <row r="218">
      <c r="A218" s="16" t="s">
        <v>1037</v>
      </c>
      <c r="B218" s="17" t="s">
        <v>142</v>
      </c>
      <c r="C218" s="17" t="s">
        <v>143</v>
      </c>
      <c r="D218" s="17" t="s">
        <v>61</v>
      </c>
      <c r="E218" s="17" t="s">
        <v>1004</v>
      </c>
      <c r="F218" s="17" t="s">
        <v>63</v>
      </c>
      <c r="G218" s="19">
        <v>45975.0</v>
      </c>
      <c r="H218" s="17" t="s">
        <v>118</v>
      </c>
      <c r="I218" s="20" t="s">
        <v>1038</v>
      </c>
      <c r="J218" s="21" t="s">
        <v>1039</v>
      </c>
      <c r="K218" s="22" t="s">
        <v>1040</v>
      </c>
      <c r="L218" s="22" t="s">
        <v>1041</v>
      </c>
      <c r="M218" s="17">
        <v>2019.0</v>
      </c>
      <c r="N218" s="17">
        <v>17.0</v>
      </c>
      <c r="O218" s="23">
        <v>290.0</v>
      </c>
      <c r="P218" s="24">
        <f t="shared" si="9"/>
        <v>812</v>
      </c>
      <c r="Q218" s="25">
        <v>3.0</v>
      </c>
      <c r="R218" s="17">
        <v>3.0</v>
      </c>
      <c r="S218" s="26">
        <v>3.0</v>
      </c>
      <c r="T218" s="17">
        <v>0.0</v>
      </c>
      <c r="U218" s="17">
        <v>6.0</v>
      </c>
      <c r="V218" s="17" t="s">
        <v>75</v>
      </c>
      <c r="W218" s="28" t="s">
        <v>76</v>
      </c>
      <c r="X218" s="28" t="s">
        <v>78</v>
      </c>
      <c r="Y218" s="24">
        <v>10.0</v>
      </c>
      <c r="Z218" s="17">
        <v>150.0</v>
      </c>
      <c r="AA218" s="17">
        <v>576.0</v>
      </c>
      <c r="AB218" s="17">
        <v>31.0</v>
      </c>
      <c r="AC218" s="20">
        <f t="shared" si="2"/>
        <v>53568</v>
      </c>
      <c r="AD218" s="30">
        <f t="shared" si="3"/>
        <v>8.06</v>
      </c>
      <c r="AE218" s="30">
        <f t="shared" si="10"/>
        <v>6544.72</v>
      </c>
      <c r="AF218" s="30">
        <f t="shared" si="5"/>
        <v>1833.539097</v>
      </c>
      <c r="AG218" s="34">
        <v>1.0</v>
      </c>
      <c r="AH218" s="36"/>
      <c r="AI218" s="30">
        <f t="shared" si="6"/>
        <v>3278.688525</v>
      </c>
      <c r="AJ218" s="17">
        <v>4000.0</v>
      </c>
      <c r="AK218" s="30">
        <f t="shared" si="7"/>
        <v>9836.065574</v>
      </c>
      <c r="AL218" s="20">
        <f t="shared" si="8"/>
        <v>12000</v>
      </c>
    </row>
    <row r="219">
      <c r="A219" s="16" t="s">
        <v>1037</v>
      </c>
      <c r="B219" s="17" t="s">
        <v>142</v>
      </c>
      <c r="C219" s="17" t="s">
        <v>143</v>
      </c>
      <c r="D219" s="17" t="s">
        <v>61</v>
      </c>
      <c r="E219" s="17" t="s">
        <v>1004</v>
      </c>
      <c r="F219" s="17" t="s">
        <v>63</v>
      </c>
      <c r="G219" s="19">
        <v>45975.0</v>
      </c>
      <c r="H219" s="17" t="s">
        <v>118</v>
      </c>
      <c r="I219" s="20" t="s">
        <v>1038</v>
      </c>
      <c r="J219" s="21" t="s">
        <v>1042</v>
      </c>
      <c r="K219" s="22" t="s">
        <v>1043</v>
      </c>
      <c r="L219" s="22" t="s">
        <v>1044</v>
      </c>
      <c r="M219" s="17">
        <v>2019.0</v>
      </c>
      <c r="N219" s="17">
        <v>17.0</v>
      </c>
      <c r="O219" s="23">
        <v>176.0</v>
      </c>
      <c r="P219" s="24">
        <f t="shared" si="9"/>
        <v>492.8</v>
      </c>
      <c r="Q219" s="25">
        <v>3.0</v>
      </c>
      <c r="R219" s="17">
        <v>3.0</v>
      </c>
      <c r="S219" s="26">
        <v>3.0</v>
      </c>
      <c r="T219" s="17">
        <v>0.0</v>
      </c>
      <c r="U219" s="17">
        <v>6.0</v>
      </c>
      <c r="V219" s="17" t="s">
        <v>75</v>
      </c>
      <c r="W219" s="28" t="s">
        <v>76</v>
      </c>
      <c r="X219" s="28" t="s">
        <v>78</v>
      </c>
      <c r="Y219" s="24">
        <v>10.0</v>
      </c>
      <c r="Z219" s="17">
        <v>150.0</v>
      </c>
      <c r="AA219" s="17">
        <v>576.0</v>
      </c>
      <c r="AB219" s="17">
        <v>31.0</v>
      </c>
      <c r="AC219" s="20">
        <f t="shared" si="2"/>
        <v>53568</v>
      </c>
      <c r="AD219" s="30">
        <f t="shared" si="3"/>
        <v>8.06</v>
      </c>
      <c r="AE219" s="30">
        <f t="shared" si="10"/>
        <v>3971.968</v>
      </c>
      <c r="AF219" s="30">
        <f t="shared" si="5"/>
        <v>3021.172376</v>
      </c>
      <c r="AG219" s="34">
        <v>1.0</v>
      </c>
      <c r="AH219" s="36"/>
      <c r="AI219" s="30">
        <f t="shared" si="6"/>
        <v>3278.688525</v>
      </c>
      <c r="AJ219" s="17">
        <v>4000.0</v>
      </c>
      <c r="AK219" s="30">
        <f t="shared" si="7"/>
        <v>9836.065574</v>
      </c>
      <c r="AL219" s="20">
        <f t="shared" si="8"/>
        <v>12000</v>
      </c>
    </row>
    <row r="220">
      <c r="A220" s="16" t="s">
        <v>1037</v>
      </c>
      <c r="B220" s="17" t="s">
        <v>142</v>
      </c>
      <c r="C220" s="17" t="s">
        <v>143</v>
      </c>
      <c r="D220" s="17" t="s">
        <v>61</v>
      </c>
      <c r="E220" s="17" t="s">
        <v>1004</v>
      </c>
      <c r="F220" s="17" t="s">
        <v>63</v>
      </c>
      <c r="G220" s="19">
        <v>45975.0</v>
      </c>
      <c r="H220" s="17" t="s">
        <v>118</v>
      </c>
      <c r="I220" s="20" t="s">
        <v>1038</v>
      </c>
      <c r="J220" s="21" t="s">
        <v>1045</v>
      </c>
      <c r="K220" s="22" t="s">
        <v>1043</v>
      </c>
      <c r="L220" s="22" t="s">
        <v>1044</v>
      </c>
      <c r="M220" s="17">
        <v>2022.0</v>
      </c>
      <c r="N220" s="17">
        <v>15.0</v>
      </c>
      <c r="O220" s="23">
        <v>332.0</v>
      </c>
      <c r="P220" s="24">
        <f t="shared" si="9"/>
        <v>929.6</v>
      </c>
      <c r="Q220" s="25">
        <v>4.0</v>
      </c>
      <c r="R220" s="17">
        <v>4.0</v>
      </c>
      <c r="S220" s="26">
        <v>4.0</v>
      </c>
      <c r="T220" s="17">
        <v>0.0</v>
      </c>
      <c r="U220" s="17">
        <v>8.0</v>
      </c>
      <c r="V220" s="17" t="s">
        <v>75</v>
      </c>
      <c r="W220" s="28" t="s">
        <v>76</v>
      </c>
      <c r="X220" s="28" t="s">
        <v>78</v>
      </c>
      <c r="Y220" s="24">
        <v>10.0</v>
      </c>
      <c r="Z220" s="17">
        <v>150.0</v>
      </c>
      <c r="AA220" s="17">
        <v>576.0</v>
      </c>
      <c r="AB220" s="17">
        <v>31.0</v>
      </c>
      <c r="AC220" s="20">
        <f t="shared" si="2"/>
        <v>71424</v>
      </c>
      <c r="AD220" s="30">
        <f t="shared" si="3"/>
        <v>8.06</v>
      </c>
      <c r="AE220" s="30">
        <f t="shared" si="10"/>
        <v>7492.576</v>
      </c>
      <c r="AF220" s="30">
        <f t="shared" si="5"/>
        <v>2135.447141</v>
      </c>
      <c r="AG220" s="34">
        <v>1.0</v>
      </c>
      <c r="AH220" s="36"/>
      <c r="AI220" s="30">
        <f t="shared" si="6"/>
        <v>3278.688525</v>
      </c>
      <c r="AJ220" s="17">
        <v>4000.0</v>
      </c>
      <c r="AK220" s="30">
        <f t="shared" si="7"/>
        <v>13114.7541</v>
      </c>
      <c r="AL220" s="20">
        <f t="shared" si="8"/>
        <v>16000</v>
      </c>
    </row>
    <row r="221">
      <c r="A221" s="16" t="s">
        <v>1046</v>
      </c>
      <c r="B221" s="17" t="s">
        <v>142</v>
      </c>
      <c r="C221" s="17" t="s">
        <v>143</v>
      </c>
      <c r="D221" s="17" t="s">
        <v>61</v>
      </c>
      <c r="E221" s="17" t="s">
        <v>1004</v>
      </c>
      <c r="F221" s="17" t="s">
        <v>63</v>
      </c>
      <c r="G221" s="19">
        <v>45975.0</v>
      </c>
      <c r="H221" s="17" t="s">
        <v>118</v>
      </c>
      <c r="I221" s="20" t="s">
        <v>1047</v>
      </c>
      <c r="J221" s="21" t="s">
        <v>1048</v>
      </c>
      <c r="K221" s="22" t="s">
        <v>1049</v>
      </c>
      <c r="L221" s="22" t="s">
        <v>1050</v>
      </c>
      <c r="M221" s="17">
        <v>2024.0</v>
      </c>
      <c r="N221" s="17">
        <v>19.0</v>
      </c>
      <c r="O221" s="23">
        <v>250.0</v>
      </c>
      <c r="P221" s="24">
        <f t="shared" si="9"/>
        <v>700</v>
      </c>
      <c r="Q221" s="25">
        <v>2.0</v>
      </c>
      <c r="R221" s="17">
        <v>2.0</v>
      </c>
      <c r="S221" s="26">
        <v>2.0</v>
      </c>
      <c r="T221" s="17">
        <v>0.0</v>
      </c>
      <c r="U221" s="17">
        <v>4.0</v>
      </c>
      <c r="V221" s="17" t="s">
        <v>75</v>
      </c>
      <c r="W221" s="28" t="s">
        <v>76</v>
      </c>
      <c r="X221" s="28" t="s">
        <v>78</v>
      </c>
      <c r="Y221" s="24">
        <v>10.0</v>
      </c>
      <c r="Z221" s="17">
        <v>150.0</v>
      </c>
      <c r="AA221" s="17">
        <v>576.0</v>
      </c>
      <c r="AB221" s="17">
        <v>31.0</v>
      </c>
      <c r="AC221" s="20">
        <f t="shared" si="2"/>
        <v>35712</v>
      </c>
      <c r="AD221" s="30">
        <f t="shared" si="3"/>
        <v>8.06</v>
      </c>
      <c r="AE221" s="30">
        <f t="shared" si="10"/>
        <v>5642</v>
      </c>
      <c r="AF221" s="30">
        <f t="shared" si="5"/>
        <v>1417.936902</v>
      </c>
      <c r="AG221" s="34">
        <v>1.0</v>
      </c>
      <c r="AH221" s="36"/>
      <c r="AI221" s="30">
        <f t="shared" si="6"/>
        <v>3278.688525</v>
      </c>
      <c r="AJ221" s="17">
        <v>4000.0</v>
      </c>
      <c r="AK221" s="30">
        <f t="shared" si="7"/>
        <v>6557.377049</v>
      </c>
      <c r="AL221" s="20">
        <f t="shared" si="8"/>
        <v>8000</v>
      </c>
    </row>
    <row r="222">
      <c r="A222" s="16" t="s">
        <v>1046</v>
      </c>
      <c r="B222" s="17" t="s">
        <v>142</v>
      </c>
      <c r="C222" s="17" t="s">
        <v>143</v>
      </c>
      <c r="D222" s="17" t="s">
        <v>61</v>
      </c>
      <c r="E222" s="17" t="s">
        <v>1004</v>
      </c>
      <c r="F222" s="17" t="s">
        <v>63</v>
      </c>
      <c r="G222" s="19">
        <v>45975.0</v>
      </c>
      <c r="H222" s="17" t="s">
        <v>118</v>
      </c>
      <c r="I222" s="20" t="s">
        <v>1047</v>
      </c>
      <c r="J222" s="21" t="s">
        <v>1051</v>
      </c>
      <c r="K222" s="22" t="s">
        <v>1052</v>
      </c>
      <c r="L222" s="22" t="s">
        <v>1053</v>
      </c>
      <c r="M222" s="17">
        <v>2025.0</v>
      </c>
      <c r="N222" s="17">
        <v>19.0</v>
      </c>
      <c r="O222" s="23">
        <v>250.0</v>
      </c>
      <c r="P222" s="24">
        <f t="shared" si="9"/>
        <v>700</v>
      </c>
      <c r="Q222" s="25">
        <v>2.0</v>
      </c>
      <c r="R222" s="17">
        <v>2.0</v>
      </c>
      <c r="S222" s="26">
        <v>2.0</v>
      </c>
      <c r="T222" s="17">
        <v>0.0</v>
      </c>
      <c r="U222" s="17">
        <v>4.0</v>
      </c>
      <c r="V222" s="17" t="s">
        <v>75</v>
      </c>
      <c r="W222" s="28" t="s">
        <v>76</v>
      </c>
      <c r="X222" s="28" t="s">
        <v>78</v>
      </c>
      <c r="Y222" s="24">
        <v>10.0</v>
      </c>
      <c r="Z222" s="17">
        <v>150.0</v>
      </c>
      <c r="AA222" s="17">
        <v>576.0</v>
      </c>
      <c r="AB222" s="17">
        <v>31.0</v>
      </c>
      <c r="AC222" s="20">
        <f t="shared" si="2"/>
        <v>35712</v>
      </c>
      <c r="AD222" s="30">
        <f t="shared" si="3"/>
        <v>8.06</v>
      </c>
      <c r="AE222" s="30">
        <f t="shared" si="10"/>
        <v>5642</v>
      </c>
      <c r="AF222" s="30">
        <f t="shared" si="5"/>
        <v>1417.936902</v>
      </c>
      <c r="AG222" s="34">
        <v>1.0</v>
      </c>
      <c r="AH222" s="36"/>
      <c r="AI222" s="30">
        <f t="shared" si="6"/>
        <v>3278.688525</v>
      </c>
      <c r="AJ222" s="17">
        <v>4000.0</v>
      </c>
      <c r="AK222" s="30">
        <f t="shared" si="7"/>
        <v>6557.377049</v>
      </c>
      <c r="AL222" s="20">
        <f t="shared" si="8"/>
        <v>8000</v>
      </c>
    </row>
    <row r="223">
      <c r="A223" s="16" t="s">
        <v>1046</v>
      </c>
      <c r="B223" s="17" t="s">
        <v>142</v>
      </c>
      <c r="C223" s="17" t="s">
        <v>143</v>
      </c>
      <c r="D223" s="17" t="s">
        <v>61</v>
      </c>
      <c r="E223" s="17" t="s">
        <v>1004</v>
      </c>
      <c r="F223" s="17" t="s">
        <v>63</v>
      </c>
      <c r="G223" s="19">
        <v>45975.0</v>
      </c>
      <c r="H223" s="17" t="s">
        <v>118</v>
      </c>
      <c r="I223" s="20" t="s">
        <v>1047</v>
      </c>
      <c r="J223" s="21" t="s">
        <v>1054</v>
      </c>
      <c r="K223" s="22" t="s">
        <v>1055</v>
      </c>
      <c r="L223" s="22" t="s">
        <v>1056</v>
      </c>
      <c r="M223" s="17">
        <v>2022.0</v>
      </c>
      <c r="N223" s="17">
        <v>19.0</v>
      </c>
      <c r="O223" s="23">
        <v>368.0</v>
      </c>
      <c r="P223" s="24">
        <f t="shared" si="9"/>
        <v>1030.4</v>
      </c>
      <c r="Q223" s="25">
        <v>5.0</v>
      </c>
      <c r="R223" s="17">
        <v>5.0</v>
      </c>
      <c r="S223" s="26">
        <v>3.0</v>
      </c>
      <c r="T223" s="17">
        <v>0.0</v>
      </c>
      <c r="U223" s="17">
        <v>10.0</v>
      </c>
      <c r="V223" s="17" t="s">
        <v>75</v>
      </c>
      <c r="W223" s="28" t="s">
        <v>76</v>
      </c>
      <c r="X223" s="28" t="s">
        <v>78</v>
      </c>
      <c r="Y223" s="24">
        <v>10.0</v>
      </c>
      <c r="Z223" s="17">
        <v>150.0</v>
      </c>
      <c r="AA223" s="17">
        <v>576.0</v>
      </c>
      <c r="AB223" s="17">
        <v>31.0</v>
      </c>
      <c r="AC223" s="20">
        <f t="shared" si="2"/>
        <v>89280</v>
      </c>
      <c r="AD223" s="30">
        <f t="shared" si="3"/>
        <v>13.43333333</v>
      </c>
      <c r="AE223" s="30">
        <f t="shared" si="10"/>
        <v>13841.70667</v>
      </c>
      <c r="AF223" s="30">
        <f t="shared" si="5"/>
        <v>1444.908528</v>
      </c>
      <c r="AG223" s="34">
        <v>1.0</v>
      </c>
      <c r="AH223" s="36"/>
      <c r="AI223" s="30">
        <f t="shared" si="6"/>
        <v>3278.688525</v>
      </c>
      <c r="AJ223" s="17">
        <v>4000.0</v>
      </c>
      <c r="AK223" s="30">
        <f t="shared" si="7"/>
        <v>16393.44262</v>
      </c>
      <c r="AL223" s="20">
        <f t="shared" si="8"/>
        <v>20000</v>
      </c>
    </row>
    <row r="224">
      <c r="A224" s="16" t="s">
        <v>1057</v>
      </c>
      <c r="B224" s="17" t="s">
        <v>142</v>
      </c>
      <c r="C224" s="17" t="s">
        <v>143</v>
      </c>
      <c r="D224" s="17" t="s">
        <v>61</v>
      </c>
      <c r="E224" s="17" t="s">
        <v>1004</v>
      </c>
      <c r="F224" s="17" t="s">
        <v>103</v>
      </c>
      <c r="G224" s="19">
        <v>45975.0</v>
      </c>
      <c r="H224" s="17" t="s">
        <v>118</v>
      </c>
      <c r="I224" s="20" t="s">
        <v>1058</v>
      </c>
      <c r="J224" s="21" t="s">
        <v>1059</v>
      </c>
      <c r="K224" s="22" t="s">
        <v>1060</v>
      </c>
      <c r="L224" s="22" t="s">
        <v>1061</v>
      </c>
      <c r="M224" s="17">
        <v>2022.0</v>
      </c>
      <c r="N224" s="17">
        <v>17.0</v>
      </c>
      <c r="O224" s="23">
        <v>404.0</v>
      </c>
      <c r="P224" s="24">
        <f t="shared" si="9"/>
        <v>1131.2</v>
      </c>
      <c r="Q224" s="25">
        <v>5.0</v>
      </c>
      <c r="R224" s="17">
        <v>5.0</v>
      </c>
      <c r="S224" s="26">
        <v>5.0</v>
      </c>
      <c r="T224" s="17">
        <v>0.0</v>
      </c>
      <c r="U224" s="17">
        <v>10.0</v>
      </c>
      <c r="V224" s="17" t="s">
        <v>75</v>
      </c>
      <c r="W224" s="28" t="s">
        <v>76</v>
      </c>
      <c r="X224" s="28" t="s">
        <v>78</v>
      </c>
      <c r="Y224" s="24">
        <v>10.0</v>
      </c>
      <c r="Z224" s="17">
        <v>150.0</v>
      </c>
      <c r="AA224" s="17">
        <v>576.0</v>
      </c>
      <c r="AB224" s="17">
        <v>31.0</v>
      </c>
      <c r="AC224" s="20">
        <f t="shared" si="2"/>
        <v>89280</v>
      </c>
      <c r="AD224" s="30">
        <f t="shared" si="3"/>
        <v>8.06</v>
      </c>
      <c r="AE224" s="30">
        <f t="shared" si="10"/>
        <v>9117.472</v>
      </c>
      <c r="AF224" s="30">
        <f t="shared" si="5"/>
        <v>2193.590504</v>
      </c>
      <c r="AG224" s="34">
        <v>1.0</v>
      </c>
      <c r="AH224" s="36"/>
      <c r="AI224" s="30">
        <f t="shared" si="6"/>
        <v>3278.688525</v>
      </c>
      <c r="AJ224" s="17">
        <v>4000.0</v>
      </c>
      <c r="AK224" s="30">
        <f t="shared" si="7"/>
        <v>16393.44262</v>
      </c>
      <c r="AL224" s="20">
        <f t="shared" si="8"/>
        <v>20000</v>
      </c>
    </row>
    <row r="225">
      <c r="A225" s="16" t="s">
        <v>1057</v>
      </c>
      <c r="B225" s="17" t="s">
        <v>142</v>
      </c>
      <c r="C225" s="17" t="s">
        <v>143</v>
      </c>
      <c r="D225" s="17" t="s">
        <v>61</v>
      </c>
      <c r="E225" s="17" t="s">
        <v>1004</v>
      </c>
      <c r="F225" s="17" t="s">
        <v>103</v>
      </c>
      <c r="G225" s="19">
        <v>45975.0</v>
      </c>
      <c r="H225" s="17" t="s">
        <v>118</v>
      </c>
      <c r="I225" s="20" t="s">
        <v>1058</v>
      </c>
      <c r="J225" s="21" t="s">
        <v>1062</v>
      </c>
      <c r="K225" s="22" t="s">
        <v>1063</v>
      </c>
      <c r="L225" s="22" t="s">
        <v>1064</v>
      </c>
      <c r="M225" s="17">
        <v>2023.0</v>
      </c>
      <c r="N225" s="17">
        <v>19.0</v>
      </c>
      <c r="O225" s="23">
        <v>417.0</v>
      </c>
      <c r="P225" s="24">
        <f t="shared" si="9"/>
        <v>1167.6</v>
      </c>
      <c r="Q225" s="25">
        <v>5.0</v>
      </c>
      <c r="R225" s="17">
        <v>5.0</v>
      </c>
      <c r="S225" s="26">
        <v>5.0</v>
      </c>
      <c r="T225" s="17">
        <v>0.0</v>
      </c>
      <c r="U225" s="17">
        <v>10.0</v>
      </c>
      <c r="V225" s="17" t="s">
        <v>75</v>
      </c>
      <c r="W225" s="28" t="s">
        <v>76</v>
      </c>
      <c r="X225" s="28" t="s">
        <v>78</v>
      </c>
      <c r="Y225" s="24">
        <v>10.0</v>
      </c>
      <c r="Z225" s="17">
        <v>150.0</v>
      </c>
      <c r="AA225" s="17">
        <v>576.0</v>
      </c>
      <c r="AB225" s="17">
        <v>31.0</v>
      </c>
      <c r="AC225" s="20">
        <f t="shared" si="2"/>
        <v>89280</v>
      </c>
      <c r="AD225" s="30">
        <f t="shared" si="3"/>
        <v>8.06</v>
      </c>
      <c r="AE225" s="30">
        <f t="shared" si="10"/>
        <v>9410.856</v>
      </c>
      <c r="AF225" s="30">
        <f t="shared" si="5"/>
        <v>2125.205189</v>
      </c>
      <c r="AG225" s="34">
        <v>1.0</v>
      </c>
      <c r="AH225" s="36"/>
      <c r="AI225" s="30">
        <f t="shared" si="6"/>
        <v>3278.688525</v>
      </c>
      <c r="AJ225" s="17">
        <v>4000.0</v>
      </c>
      <c r="AK225" s="30">
        <f t="shared" si="7"/>
        <v>16393.44262</v>
      </c>
      <c r="AL225" s="20">
        <f t="shared" si="8"/>
        <v>20000</v>
      </c>
    </row>
    <row r="226">
      <c r="A226" s="16" t="s">
        <v>1065</v>
      </c>
      <c r="B226" s="17" t="s">
        <v>142</v>
      </c>
      <c r="C226" s="17" t="s">
        <v>143</v>
      </c>
      <c r="D226" s="17" t="s">
        <v>1066</v>
      </c>
      <c r="E226" s="17" t="s">
        <v>1067</v>
      </c>
      <c r="F226" s="17" t="s">
        <v>63</v>
      </c>
      <c r="G226" s="19">
        <v>45982.0</v>
      </c>
      <c r="H226" s="17" t="s">
        <v>118</v>
      </c>
      <c r="I226" s="20" t="s">
        <v>1068</v>
      </c>
      <c r="J226" s="21" t="s">
        <v>1069</v>
      </c>
      <c r="K226" s="22" t="s">
        <v>1070</v>
      </c>
      <c r="L226" s="22" t="s">
        <v>1071</v>
      </c>
      <c r="M226" s="17">
        <v>2019.0</v>
      </c>
      <c r="N226" s="17">
        <v>19.0</v>
      </c>
      <c r="O226" s="23">
        <v>203.0</v>
      </c>
      <c r="P226" s="24">
        <f t="shared" si="9"/>
        <v>568.4</v>
      </c>
      <c r="Q226" s="25">
        <v>2.0</v>
      </c>
      <c r="R226" s="17">
        <v>2.0</v>
      </c>
      <c r="S226" s="26">
        <v>2.0</v>
      </c>
      <c r="T226" s="17">
        <v>0.0</v>
      </c>
      <c r="U226" s="17">
        <v>4.0</v>
      </c>
      <c r="V226" s="17" t="s">
        <v>75</v>
      </c>
      <c r="W226" s="28" t="s">
        <v>76</v>
      </c>
      <c r="X226" s="28" t="s">
        <v>78</v>
      </c>
      <c r="Y226" s="24">
        <v>10.0</v>
      </c>
      <c r="Z226" s="17">
        <v>150.0</v>
      </c>
      <c r="AA226" s="17">
        <v>576.0</v>
      </c>
      <c r="AB226" s="17">
        <v>31.0</v>
      </c>
      <c r="AC226" s="20">
        <f t="shared" si="2"/>
        <v>35712</v>
      </c>
      <c r="AD226" s="30">
        <f t="shared" si="3"/>
        <v>8.06</v>
      </c>
      <c r="AE226" s="30">
        <f t="shared" si="10"/>
        <v>4581.304</v>
      </c>
      <c r="AF226" s="30">
        <f t="shared" si="5"/>
        <v>1746.227712</v>
      </c>
      <c r="AG226" s="34">
        <v>1.0</v>
      </c>
      <c r="AH226" s="36"/>
      <c r="AI226" s="30">
        <f t="shared" si="6"/>
        <v>3278.688525</v>
      </c>
      <c r="AJ226" s="17">
        <v>4000.0</v>
      </c>
      <c r="AK226" s="30">
        <f t="shared" si="7"/>
        <v>6557.377049</v>
      </c>
      <c r="AL226" s="20">
        <f t="shared" si="8"/>
        <v>8000</v>
      </c>
    </row>
    <row r="227">
      <c r="A227" s="16" t="s">
        <v>1065</v>
      </c>
      <c r="B227" s="17" t="s">
        <v>142</v>
      </c>
      <c r="C227" s="17" t="s">
        <v>143</v>
      </c>
      <c r="D227" s="17" t="s">
        <v>1066</v>
      </c>
      <c r="E227" s="17" t="s">
        <v>1067</v>
      </c>
      <c r="F227" s="17" t="s">
        <v>63</v>
      </c>
      <c r="G227" s="19">
        <v>45982.0</v>
      </c>
      <c r="H227" s="17" t="s">
        <v>118</v>
      </c>
      <c r="I227" s="20" t="s">
        <v>1068</v>
      </c>
      <c r="J227" s="21" t="s">
        <v>1069</v>
      </c>
      <c r="K227" s="22" t="s">
        <v>1070</v>
      </c>
      <c r="L227" s="22" t="s">
        <v>1071</v>
      </c>
      <c r="M227" s="17">
        <v>2019.0</v>
      </c>
      <c r="N227" s="17">
        <v>19.0</v>
      </c>
      <c r="O227" s="23">
        <v>203.0</v>
      </c>
      <c r="P227" s="24">
        <f t="shared" si="9"/>
        <v>568.4</v>
      </c>
      <c r="Q227" s="25">
        <v>2.0</v>
      </c>
      <c r="R227" s="17">
        <v>0.0</v>
      </c>
      <c r="S227" s="26">
        <v>2.0</v>
      </c>
      <c r="T227" s="17">
        <v>2.0</v>
      </c>
      <c r="U227" s="17">
        <v>4.0</v>
      </c>
      <c r="V227" s="17" t="s">
        <v>130</v>
      </c>
      <c r="W227" s="28" t="s">
        <v>76</v>
      </c>
      <c r="X227" s="28" t="s">
        <v>78</v>
      </c>
      <c r="Y227" s="24">
        <v>10.0</v>
      </c>
      <c r="Z227" s="17">
        <v>150.0</v>
      </c>
      <c r="AA227" s="17">
        <v>576.0</v>
      </c>
      <c r="AB227" s="17">
        <v>31.0</v>
      </c>
      <c r="AC227" s="20">
        <f t="shared" si="2"/>
        <v>35712</v>
      </c>
      <c r="AD227" s="30">
        <f t="shared" si="3"/>
        <v>10.20933333</v>
      </c>
      <c r="AE227" s="30">
        <f t="shared" si="10"/>
        <v>5802.985067</v>
      </c>
      <c r="AF227" s="30">
        <f t="shared" si="5"/>
        <v>1378.600825</v>
      </c>
      <c r="AG227" s="34">
        <v>1.0</v>
      </c>
      <c r="AH227" s="36"/>
      <c r="AI227" s="30">
        <f t="shared" si="6"/>
        <v>3278.688525</v>
      </c>
      <c r="AJ227" s="17">
        <v>4000.0</v>
      </c>
      <c r="AK227" s="30">
        <f t="shared" si="7"/>
        <v>6557.377049</v>
      </c>
      <c r="AL227" s="20">
        <f t="shared" si="8"/>
        <v>8000</v>
      </c>
    </row>
    <row r="228">
      <c r="A228" s="16" t="s">
        <v>1065</v>
      </c>
      <c r="B228" s="17" t="s">
        <v>142</v>
      </c>
      <c r="C228" s="17" t="s">
        <v>143</v>
      </c>
      <c r="D228" s="17" t="s">
        <v>1066</v>
      </c>
      <c r="E228" s="17" t="s">
        <v>1067</v>
      </c>
      <c r="F228" s="17" t="s">
        <v>63</v>
      </c>
      <c r="G228" s="19">
        <v>45982.0</v>
      </c>
      <c r="H228" s="17" t="s">
        <v>118</v>
      </c>
      <c r="I228" s="20" t="s">
        <v>1068</v>
      </c>
      <c r="J228" s="21" t="s">
        <v>1072</v>
      </c>
      <c r="K228" s="22" t="s">
        <v>1073</v>
      </c>
      <c r="L228" s="22" t="s">
        <v>1074</v>
      </c>
      <c r="M228" s="17">
        <v>2020.0</v>
      </c>
      <c r="N228" s="17">
        <v>17.0</v>
      </c>
      <c r="O228" s="23">
        <v>404.0</v>
      </c>
      <c r="P228" s="24">
        <f t="shared" si="9"/>
        <v>1131.2</v>
      </c>
      <c r="Q228" s="25">
        <v>5.0</v>
      </c>
      <c r="R228" s="17">
        <v>5.0</v>
      </c>
      <c r="S228" s="26">
        <v>5.0</v>
      </c>
      <c r="T228" s="17">
        <v>0.0</v>
      </c>
      <c r="U228" s="17">
        <v>10.0</v>
      </c>
      <c r="V228" s="17" t="s">
        <v>75</v>
      </c>
      <c r="W228" s="28" t="s">
        <v>76</v>
      </c>
      <c r="X228" s="28" t="s">
        <v>78</v>
      </c>
      <c r="Y228" s="24">
        <v>10.0</v>
      </c>
      <c r="Z228" s="17">
        <v>150.0</v>
      </c>
      <c r="AA228" s="17">
        <v>576.0</v>
      </c>
      <c r="AB228" s="17">
        <v>31.0</v>
      </c>
      <c r="AC228" s="20">
        <f t="shared" si="2"/>
        <v>89280</v>
      </c>
      <c r="AD228" s="30">
        <f t="shared" si="3"/>
        <v>8.06</v>
      </c>
      <c r="AE228" s="30">
        <f t="shared" si="10"/>
        <v>9117.472</v>
      </c>
      <c r="AF228" s="30">
        <f t="shared" si="5"/>
        <v>2193.590504</v>
      </c>
      <c r="AG228" s="34">
        <v>1.0</v>
      </c>
      <c r="AH228" s="36"/>
      <c r="AI228" s="30">
        <f t="shared" si="6"/>
        <v>3278.688525</v>
      </c>
      <c r="AJ228" s="17">
        <v>4000.0</v>
      </c>
      <c r="AK228" s="30">
        <f t="shared" si="7"/>
        <v>16393.44262</v>
      </c>
      <c r="AL228" s="20">
        <f t="shared" si="8"/>
        <v>20000</v>
      </c>
    </row>
    <row r="229">
      <c r="A229" s="16" t="s">
        <v>1075</v>
      </c>
      <c r="B229" s="17" t="s">
        <v>142</v>
      </c>
      <c r="C229" s="17" t="s">
        <v>143</v>
      </c>
      <c r="D229" s="17" t="s">
        <v>1066</v>
      </c>
      <c r="E229" s="17" t="s">
        <v>1067</v>
      </c>
      <c r="F229" s="17" t="s">
        <v>103</v>
      </c>
      <c r="G229" s="19">
        <v>46216.0</v>
      </c>
      <c r="H229" s="17" t="s">
        <v>118</v>
      </c>
      <c r="I229" s="17" t="s">
        <v>1076</v>
      </c>
      <c r="J229" s="21" t="s">
        <v>1077</v>
      </c>
      <c r="K229" s="28" t="s">
        <v>1078</v>
      </c>
      <c r="L229" s="28" t="s">
        <v>1079</v>
      </c>
      <c r="M229" s="17">
        <v>2017.0</v>
      </c>
      <c r="N229" s="17">
        <v>19.0</v>
      </c>
      <c r="O229" s="23">
        <v>284.0</v>
      </c>
      <c r="P229" s="24">
        <f t="shared" si="9"/>
        <v>795.2</v>
      </c>
      <c r="Q229" s="25">
        <v>6.0</v>
      </c>
      <c r="R229" s="17">
        <v>3.0</v>
      </c>
      <c r="S229" s="26">
        <v>3.0</v>
      </c>
      <c r="T229" s="17">
        <v>3.0</v>
      </c>
      <c r="U229" s="17">
        <v>6.0</v>
      </c>
      <c r="V229" s="17" t="s">
        <v>130</v>
      </c>
      <c r="W229" s="28" t="s">
        <v>76</v>
      </c>
      <c r="X229" s="28" t="s">
        <v>78</v>
      </c>
      <c r="Y229" s="24">
        <v>10.0</v>
      </c>
      <c r="Z229" s="17">
        <v>150.0</v>
      </c>
      <c r="AA229" s="17">
        <v>576.0</v>
      </c>
      <c r="AB229" s="17">
        <v>31.0</v>
      </c>
      <c r="AC229" s="20">
        <f t="shared" si="2"/>
        <v>107136</v>
      </c>
      <c r="AD229" s="30">
        <f t="shared" si="3"/>
        <v>18.26933333</v>
      </c>
      <c r="AE229" s="30">
        <f t="shared" si="10"/>
        <v>14527.77387</v>
      </c>
      <c r="AF229" s="30">
        <f t="shared" si="5"/>
        <v>1652.008093</v>
      </c>
      <c r="AG229" s="34">
        <v>1.0</v>
      </c>
      <c r="AH229" s="36"/>
      <c r="AI229" s="30">
        <f t="shared" si="6"/>
        <v>3278.688525</v>
      </c>
      <c r="AJ229" s="17">
        <v>4000.0</v>
      </c>
      <c r="AK229" s="30">
        <f t="shared" si="7"/>
        <v>19672.13115</v>
      </c>
      <c r="AL229" s="20">
        <f t="shared" si="8"/>
        <v>24000</v>
      </c>
    </row>
    <row r="230">
      <c r="A230" s="16" t="s">
        <v>1080</v>
      </c>
      <c r="B230" s="17" t="s">
        <v>142</v>
      </c>
      <c r="C230" s="17" t="s">
        <v>143</v>
      </c>
      <c r="D230" s="17" t="s">
        <v>1066</v>
      </c>
      <c r="E230" s="17" t="s">
        <v>1067</v>
      </c>
      <c r="F230" s="17" t="s">
        <v>103</v>
      </c>
      <c r="G230" s="19">
        <v>46255.0</v>
      </c>
      <c r="H230" s="17" t="s">
        <v>118</v>
      </c>
      <c r="I230" s="17" t="s">
        <v>1081</v>
      </c>
      <c r="J230" s="21" t="s">
        <v>1082</v>
      </c>
      <c r="K230" s="22" t="s">
        <v>1083</v>
      </c>
      <c r="L230" s="22" t="s">
        <v>1084</v>
      </c>
      <c r="M230" s="17">
        <v>2020.0</v>
      </c>
      <c r="N230" s="17">
        <v>18.0</v>
      </c>
      <c r="O230" s="23">
        <v>357.0</v>
      </c>
      <c r="P230" s="24">
        <f t="shared" si="9"/>
        <v>999.6</v>
      </c>
      <c r="Q230" s="25">
        <v>4.0</v>
      </c>
      <c r="R230" s="17">
        <v>4.0</v>
      </c>
      <c r="S230" s="26">
        <v>4.0</v>
      </c>
      <c r="T230" s="17">
        <v>0.0</v>
      </c>
      <c r="U230" s="17">
        <v>8.0</v>
      </c>
      <c r="V230" s="17" t="s">
        <v>75</v>
      </c>
      <c r="W230" s="28" t="s">
        <v>76</v>
      </c>
      <c r="X230" s="28" t="s">
        <v>78</v>
      </c>
      <c r="Y230" s="24">
        <v>10.0</v>
      </c>
      <c r="Z230" s="17">
        <v>150.0</v>
      </c>
      <c r="AA230" s="17">
        <v>576.0</v>
      </c>
      <c r="AB230" s="17">
        <v>31.0</v>
      </c>
      <c r="AC230" s="20">
        <f t="shared" si="2"/>
        <v>71424</v>
      </c>
      <c r="AD230" s="30">
        <f t="shared" si="3"/>
        <v>8.06</v>
      </c>
      <c r="AE230" s="30">
        <f t="shared" si="10"/>
        <v>8056.776</v>
      </c>
      <c r="AF230" s="30">
        <f t="shared" si="5"/>
        <v>1985.906025</v>
      </c>
      <c r="AG230" s="34">
        <v>1.0</v>
      </c>
      <c r="AH230" s="36"/>
      <c r="AI230" s="30">
        <f t="shared" si="6"/>
        <v>3278.688525</v>
      </c>
      <c r="AJ230" s="17">
        <v>4000.0</v>
      </c>
      <c r="AK230" s="30">
        <f t="shared" si="7"/>
        <v>13114.7541</v>
      </c>
      <c r="AL230" s="20">
        <f t="shared" si="8"/>
        <v>16000</v>
      </c>
    </row>
    <row r="231">
      <c r="A231" s="41" t="s">
        <v>1080</v>
      </c>
      <c r="B231" s="42" t="s">
        <v>142</v>
      </c>
      <c r="C231" s="42" t="s">
        <v>143</v>
      </c>
      <c r="D231" s="42" t="s">
        <v>1066</v>
      </c>
      <c r="E231" s="42"/>
      <c r="F231" s="17" t="s">
        <v>103</v>
      </c>
      <c r="G231" s="19">
        <v>46255.0</v>
      </c>
      <c r="H231" s="17" t="s">
        <v>104</v>
      </c>
      <c r="I231" s="42" t="s">
        <v>1081</v>
      </c>
      <c r="J231" s="44" t="s">
        <v>1082</v>
      </c>
      <c r="K231" s="45" t="s">
        <v>1085</v>
      </c>
      <c r="L231" s="45" t="s">
        <v>1086</v>
      </c>
      <c r="M231" s="42">
        <v>2020.0</v>
      </c>
      <c r="N231" s="42">
        <v>17.0</v>
      </c>
      <c r="O231" s="47">
        <v>357.0</v>
      </c>
      <c r="P231" s="48">
        <f t="shared" si="9"/>
        <v>999.6</v>
      </c>
      <c r="Q231" s="41">
        <v>4.0</v>
      </c>
      <c r="R231" s="42">
        <v>0.0</v>
      </c>
      <c r="S231" s="49">
        <v>4.0</v>
      </c>
      <c r="T231" s="42">
        <v>4.0</v>
      </c>
      <c r="U231" s="42">
        <v>8.0</v>
      </c>
      <c r="V231" s="17" t="s">
        <v>130</v>
      </c>
      <c r="W231" s="28" t="s">
        <v>76</v>
      </c>
      <c r="X231" s="28" t="s">
        <v>78</v>
      </c>
      <c r="Y231" s="24">
        <v>10.0</v>
      </c>
      <c r="Z231" s="17">
        <v>150.0</v>
      </c>
      <c r="AA231" s="17">
        <v>576.0</v>
      </c>
      <c r="AB231" s="17">
        <v>31.0</v>
      </c>
      <c r="AC231" s="20">
        <f t="shared" si="2"/>
        <v>71424</v>
      </c>
      <c r="AD231" s="30">
        <f t="shared" si="3"/>
        <v>9.134666667</v>
      </c>
      <c r="AE231" s="30">
        <f t="shared" si="10"/>
        <v>9131.0128</v>
      </c>
      <c r="AF231" s="30">
        <f t="shared" si="5"/>
        <v>1752.270022</v>
      </c>
      <c r="AG231" s="34">
        <v>1.0</v>
      </c>
      <c r="AH231" s="36"/>
      <c r="AI231" s="30">
        <f t="shared" si="6"/>
        <v>3278.688525</v>
      </c>
      <c r="AJ231" s="17">
        <v>4000.0</v>
      </c>
      <c r="AK231" s="30">
        <f t="shared" si="7"/>
        <v>13114.7541</v>
      </c>
      <c r="AL231" s="20">
        <f t="shared" si="8"/>
        <v>16000</v>
      </c>
    </row>
    <row r="232">
      <c r="A232" s="41" t="s">
        <v>1080</v>
      </c>
      <c r="B232" s="42" t="s">
        <v>142</v>
      </c>
      <c r="C232" s="42" t="s">
        <v>143</v>
      </c>
      <c r="D232" s="42" t="s">
        <v>1066</v>
      </c>
      <c r="E232" s="42"/>
      <c r="F232" s="17" t="s">
        <v>103</v>
      </c>
      <c r="G232" s="19">
        <v>46255.0</v>
      </c>
      <c r="H232" s="17" t="s">
        <v>104</v>
      </c>
      <c r="I232" s="42" t="s">
        <v>1081</v>
      </c>
      <c r="J232" s="44" t="s">
        <v>1087</v>
      </c>
      <c r="K232" s="45" t="s">
        <v>1088</v>
      </c>
      <c r="L232" s="45" t="s">
        <v>1089</v>
      </c>
      <c r="M232" s="42">
        <v>2019.0</v>
      </c>
      <c r="N232" s="42">
        <v>19.0</v>
      </c>
      <c r="O232" s="47">
        <v>299.0</v>
      </c>
      <c r="P232" s="48">
        <f t="shared" si="9"/>
        <v>837.2</v>
      </c>
      <c r="Q232" s="41">
        <v>8.0</v>
      </c>
      <c r="R232" s="42">
        <v>4.0</v>
      </c>
      <c r="S232" s="49">
        <v>4.0</v>
      </c>
      <c r="T232" s="42">
        <v>4.0</v>
      </c>
      <c r="U232" s="42">
        <v>8.0</v>
      </c>
      <c r="V232" s="17" t="s">
        <v>130</v>
      </c>
      <c r="W232" s="28" t="s">
        <v>76</v>
      </c>
      <c r="X232" s="28" t="s">
        <v>78</v>
      </c>
      <c r="Y232" s="24">
        <v>10.0</v>
      </c>
      <c r="Z232" s="17">
        <v>150.0</v>
      </c>
      <c r="AA232" s="17">
        <v>576.0</v>
      </c>
      <c r="AB232" s="17">
        <v>31.0</v>
      </c>
      <c r="AC232" s="20">
        <f t="shared" si="2"/>
        <v>142848</v>
      </c>
      <c r="AD232" s="30">
        <f t="shared" si="3"/>
        <v>18.26933333</v>
      </c>
      <c r="AE232" s="30">
        <f t="shared" si="10"/>
        <v>15295.08587</v>
      </c>
      <c r="AF232" s="30">
        <f t="shared" si="5"/>
        <v>2092.175244</v>
      </c>
      <c r="AG232" s="34">
        <v>1.0</v>
      </c>
      <c r="AH232" s="36"/>
      <c r="AI232" s="30">
        <f t="shared" si="6"/>
        <v>3278.688525</v>
      </c>
      <c r="AJ232" s="17">
        <v>4000.0</v>
      </c>
      <c r="AK232" s="30">
        <f t="shared" si="7"/>
        <v>26229.5082</v>
      </c>
      <c r="AL232" s="20">
        <f t="shared" si="8"/>
        <v>32000</v>
      </c>
    </row>
    <row r="233">
      <c r="A233" s="16" t="s">
        <v>1090</v>
      </c>
      <c r="B233" s="17" t="s">
        <v>142</v>
      </c>
      <c r="C233" s="17" t="s">
        <v>143</v>
      </c>
      <c r="D233" s="17" t="s">
        <v>61</v>
      </c>
      <c r="E233" s="17" t="s">
        <v>957</v>
      </c>
      <c r="F233" s="17" t="s">
        <v>63</v>
      </c>
      <c r="G233" s="19">
        <v>45989.0</v>
      </c>
      <c r="H233" s="17" t="s">
        <v>118</v>
      </c>
      <c r="I233" s="20" t="s">
        <v>1091</v>
      </c>
      <c r="J233" s="21" t="s">
        <v>1092</v>
      </c>
      <c r="K233" s="22" t="s">
        <v>1093</v>
      </c>
      <c r="L233" s="22" t="s">
        <v>1094</v>
      </c>
      <c r="M233" s="17">
        <v>2016.0</v>
      </c>
      <c r="N233" s="17">
        <v>19.0</v>
      </c>
      <c r="O233" s="23">
        <v>576.0</v>
      </c>
      <c r="P233" s="24">
        <f t="shared" si="9"/>
        <v>1612.8</v>
      </c>
      <c r="Q233" s="25">
        <v>8.0</v>
      </c>
      <c r="R233" s="17">
        <v>8.0</v>
      </c>
      <c r="S233" s="26">
        <v>8.0</v>
      </c>
      <c r="T233" s="17">
        <v>0.0</v>
      </c>
      <c r="U233" s="17">
        <v>16.0</v>
      </c>
      <c r="V233" s="17" t="s">
        <v>75</v>
      </c>
      <c r="W233" s="28" t="s">
        <v>76</v>
      </c>
      <c r="X233" s="28" t="s">
        <v>78</v>
      </c>
      <c r="Y233" s="24">
        <v>10.0</v>
      </c>
      <c r="Z233" s="17">
        <v>150.0</v>
      </c>
      <c r="AA233" s="17">
        <v>576.0</v>
      </c>
      <c r="AB233" s="17">
        <v>31.0</v>
      </c>
      <c r="AC233" s="20">
        <f t="shared" si="2"/>
        <v>142848</v>
      </c>
      <c r="AD233" s="30">
        <f t="shared" si="3"/>
        <v>8.06</v>
      </c>
      <c r="AE233" s="30">
        <f t="shared" si="10"/>
        <v>12999.168</v>
      </c>
      <c r="AF233" s="30">
        <f t="shared" si="5"/>
        <v>2461.69601</v>
      </c>
      <c r="AG233" s="34">
        <v>1.0</v>
      </c>
      <c r="AH233" s="36"/>
      <c r="AI233" s="30">
        <f t="shared" si="6"/>
        <v>3278.688525</v>
      </c>
      <c r="AJ233" s="17">
        <v>4000.0</v>
      </c>
      <c r="AK233" s="30">
        <f t="shared" si="7"/>
        <v>26229.5082</v>
      </c>
      <c r="AL233" s="20">
        <f t="shared" si="8"/>
        <v>32000</v>
      </c>
    </row>
    <row r="234">
      <c r="A234" s="16" t="s">
        <v>1090</v>
      </c>
      <c r="B234" s="17" t="s">
        <v>142</v>
      </c>
      <c r="C234" s="17" t="s">
        <v>143</v>
      </c>
      <c r="D234" s="17" t="s">
        <v>61</v>
      </c>
      <c r="E234" s="17" t="s">
        <v>957</v>
      </c>
      <c r="F234" s="17" t="s">
        <v>63</v>
      </c>
      <c r="G234" s="19">
        <v>45989.0</v>
      </c>
      <c r="H234" s="17" t="s">
        <v>118</v>
      </c>
      <c r="I234" s="20" t="s">
        <v>1091</v>
      </c>
      <c r="J234" s="21" t="s">
        <v>1092</v>
      </c>
      <c r="K234" s="22" t="s">
        <v>1093</v>
      </c>
      <c r="L234" s="22" t="s">
        <v>1094</v>
      </c>
      <c r="M234" s="17">
        <v>2016.0</v>
      </c>
      <c r="N234" s="17">
        <v>19.0</v>
      </c>
      <c r="O234" s="23">
        <v>576.0</v>
      </c>
      <c r="P234" s="24">
        <f t="shared" si="9"/>
        <v>1612.8</v>
      </c>
      <c r="Q234" s="25">
        <v>8.0</v>
      </c>
      <c r="R234" s="17">
        <v>0.0</v>
      </c>
      <c r="S234" s="26">
        <v>8.0</v>
      </c>
      <c r="T234" s="17">
        <v>8.0</v>
      </c>
      <c r="U234" s="17">
        <v>16.0</v>
      </c>
      <c r="V234" s="17" t="s">
        <v>130</v>
      </c>
      <c r="W234" s="28" t="s">
        <v>76</v>
      </c>
      <c r="X234" s="28" t="s">
        <v>78</v>
      </c>
      <c r="Y234" s="24">
        <v>10.0</v>
      </c>
      <c r="Z234" s="17">
        <v>150.0</v>
      </c>
      <c r="AA234" s="17">
        <v>576.0</v>
      </c>
      <c r="AB234" s="17">
        <v>31.0</v>
      </c>
      <c r="AC234" s="20">
        <f t="shared" si="2"/>
        <v>142848</v>
      </c>
      <c r="AD234" s="30">
        <f t="shared" si="3"/>
        <v>10.20933333</v>
      </c>
      <c r="AE234" s="30">
        <f t="shared" si="10"/>
        <v>16465.6128</v>
      </c>
      <c r="AF234" s="30">
        <f t="shared" si="5"/>
        <v>1943.444218</v>
      </c>
      <c r="AG234" s="34">
        <v>1.0</v>
      </c>
      <c r="AH234" s="36"/>
      <c r="AI234" s="30">
        <f t="shared" si="6"/>
        <v>3278.688525</v>
      </c>
      <c r="AJ234" s="17">
        <v>4000.0</v>
      </c>
      <c r="AK234" s="30">
        <f t="shared" si="7"/>
        <v>26229.5082</v>
      </c>
      <c r="AL234" s="20">
        <f t="shared" si="8"/>
        <v>32000</v>
      </c>
    </row>
    <row r="235">
      <c r="A235" s="16" t="s">
        <v>1095</v>
      </c>
      <c r="B235" s="17" t="s">
        <v>142</v>
      </c>
      <c r="C235" s="17" t="s">
        <v>143</v>
      </c>
      <c r="D235" s="17" t="s">
        <v>61</v>
      </c>
      <c r="E235" s="17" t="s">
        <v>947</v>
      </c>
      <c r="F235" s="17" t="s">
        <v>63</v>
      </c>
      <c r="G235" s="19">
        <v>45989.0</v>
      </c>
      <c r="H235" s="17" t="s">
        <v>118</v>
      </c>
      <c r="I235" s="20" t="s">
        <v>1096</v>
      </c>
      <c r="J235" s="21" t="s">
        <v>1097</v>
      </c>
      <c r="K235" s="22" t="s">
        <v>1098</v>
      </c>
      <c r="L235" s="22" t="s">
        <v>1099</v>
      </c>
      <c r="M235" s="17">
        <v>2021.0</v>
      </c>
      <c r="N235" s="17">
        <v>17.0</v>
      </c>
      <c r="O235" s="23">
        <v>297.0</v>
      </c>
      <c r="P235" s="24">
        <f t="shared" si="9"/>
        <v>831.6</v>
      </c>
      <c r="Q235" s="25">
        <v>3.0</v>
      </c>
      <c r="R235" s="17">
        <v>3.0</v>
      </c>
      <c r="S235" s="26">
        <v>3.0</v>
      </c>
      <c r="T235" s="17">
        <v>0.0</v>
      </c>
      <c r="U235" s="17">
        <v>6.0</v>
      </c>
      <c r="V235" s="17" t="s">
        <v>75</v>
      </c>
      <c r="W235" s="28" t="s">
        <v>76</v>
      </c>
      <c r="X235" s="28" t="s">
        <v>78</v>
      </c>
      <c r="Y235" s="24">
        <v>10.0</v>
      </c>
      <c r="Z235" s="17">
        <v>150.0</v>
      </c>
      <c r="AA235" s="17">
        <v>576.0</v>
      </c>
      <c r="AB235" s="17">
        <v>31.0</v>
      </c>
      <c r="AC235" s="20">
        <f t="shared" si="2"/>
        <v>53568</v>
      </c>
      <c r="AD235" s="30">
        <f t="shared" si="3"/>
        <v>8.06</v>
      </c>
      <c r="AE235" s="30">
        <f t="shared" si="10"/>
        <v>6702.696</v>
      </c>
      <c r="AF235" s="30">
        <f t="shared" si="5"/>
        <v>1790.324371</v>
      </c>
      <c r="AG235" s="34">
        <v>1.0</v>
      </c>
      <c r="AH235" s="36"/>
      <c r="AI235" s="30">
        <f t="shared" si="6"/>
        <v>3278.688525</v>
      </c>
      <c r="AJ235" s="17">
        <v>4000.0</v>
      </c>
      <c r="AK235" s="30">
        <f t="shared" si="7"/>
        <v>9836.065574</v>
      </c>
      <c r="AL235" s="20">
        <f t="shared" si="8"/>
        <v>12000</v>
      </c>
    </row>
    <row r="236">
      <c r="A236" s="16" t="s">
        <v>1095</v>
      </c>
      <c r="B236" s="17" t="s">
        <v>142</v>
      </c>
      <c r="C236" s="17" t="s">
        <v>143</v>
      </c>
      <c r="D236" s="17" t="s">
        <v>61</v>
      </c>
      <c r="E236" s="17" t="s">
        <v>947</v>
      </c>
      <c r="F236" s="17" t="s">
        <v>63</v>
      </c>
      <c r="G236" s="19">
        <v>45989.0</v>
      </c>
      <c r="H236" s="17" t="s">
        <v>118</v>
      </c>
      <c r="I236" s="20" t="s">
        <v>1096</v>
      </c>
      <c r="J236" s="21" t="s">
        <v>1097</v>
      </c>
      <c r="K236" s="22" t="s">
        <v>1098</v>
      </c>
      <c r="L236" s="22" t="s">
        <v>1099</v>
      </c>
      <c r="M236" s="17">
        <v>2021.0</v>
      </c>
      <c r="N236" s="17">
        <v>17.0</v>
      </c>
      <c r="O236" s="23">
        <v>297.0</v>
      </c>
      <c r="P236" s="24">
        <f t="shared" si="9"/>
        <v>831.6</v>
      </c>
      <c r="Q236" s="25">
        <v>3.0</v>
      </c>
      <c r="R236" s="17">
        <v>0.0</v>
      </c>
      <c r="S236" s="26">
        <v>3.0</v>
      </c>
      <c r="T236" s="17">
        <v>3.0</v>
      </c>
      <c r="U236" s="17">
        <v>6.0</v>
      </c>
      <c r="V236" s="17" t="s">
        <v>130</v>
      </c>
      <c r="W236" s="28" t="s">
        <v>76</v>
      </c>
      <c r="X236" s="28" t="s">
        <v>78</v>
      </c>
      <c r="Y236" s="24">
        <v>10.0</v>
      </c>
      <c r="Z236" s="17">
        <v>150.0</v>
      </c>
      <c r="AA236" s="17">
        <v>576.0</v>
      </c>
      <c r="AB236" s="17">
        <v>31.0</v>
      </c>
      <c r="AC236" s="20">
        <f t="shared" si="2"/>
        <v>53568</v>
      </c>
      <c r="AD236" s="30">
        <f t="shared" si="3"/>
        <v>9.134666667</v>
      </c>
      <c r="AE236" s="30">
        <f t="shared" si="10"/>
        <v>7596.3888</v>
      </c>
      <c r="AF236" s="30">
        <f t="shared" si="5"/>
        <v>1579.697974</v>
      </c>
      <c r="AG236" s="34">
        <v>1.0</v>
      </c>
      <c r="AH236" s="36"/>
      <c r="AI236" s="30">
        <f t="shared" si="6"/>
        <v>3278.688525</v>
      </c>
      <c r="AJ236" s="17">
        <v>4000.0</v>
      </c>
      <c r="AK236" s="30">
        <f t="shared" si="7"/>
        <v>9836.065574</v>
      </c>
      <c r="AL236" s="20">
        <f t="shared" si="8"/>
        <v>12000</v>
      </c>
    </row>
    <row r="237">
      <c r="A237" s="16" t="s">
        <v>1095</v>
      </c>
      <c r="B237" s="17" t="s">
        <v>142</v>
      </c>
      <c r="C237" s="17" t="s">
        <v>143</v>
      </c>
      <c r="D237" s="17" t="s">
        <v>61</v>
      </c>
      <c r="E237" s="17" t="s">
        <v>947</v>
      </c>
      <c r="F237" s="17" t="s">
        <v>63</v>
      </c>
      <c r="G237" s="19">
        <v>45989.0</v>
      </c>
      <c r="H237" s="17" t="s">
        <v>118</v>
      </c>
      <c r="I237" s="20" t="s">
        <v>1096</v>
      </c>
      <c r="J237" s="21" t="s">
        <v>1100</v>
      </c>
      <c r="K237" s="22" t="s">
        <v>1101</v>
      </c>
      <c r="L237" s="22" t="s">
        <v>1102</v>
      </c>
      <c r="M237" s="17">
        <v>2025.0</v>
      </c>
      <c r="N237" s="17">
        <v>20.0</v>
      </c>
      <c r="O237" s="23">
        <v>594.0</v>
      </c>
      <c r="P237" s="24">
        <f t="shared" si="9"/>
        <v>1663.2</v>
      </c>
      <c r="Q237" s="25">
        <v>5.0</v>
      </c>
      <c r="R237" s="17">
        <v>5.0</v>
      </c>
      <c r="S237" s="26">
        <v>5.0</v>
      </c>
      <c r="T237" s="17">
        <v>0.0</v>
      </c>
      <c r="U237" s="17">
        <v>10.0</v>
      </c>
      <c r="V237" s="17" t="s">
        <v>75</v>
      </c>
      <c r="W237" s="28" t="s">
        <v>76</v>
      </c>
      <c r="X237" s="28" t="s">
        <v>78</v>
      </c>
      <c r="Y237" s="24">
        <v>10.0</v>
      </c>
      <c r="Z237" s="17">
        <v>150.0</v>
      </c>
      <c r="AA237" s="17">
        <v>576.0</v>
      </c>
      <c r="AB237" s="17">
        <v>31.0</v>
      </c>
      <c r="AC237" s="20">
        <f t="shared" si="2"/>
        <v>89280</v>
      </c>
      <c r="AD237" s="30">
        <f t="shared" si="3"/>
        <v>8.06</v>
      </c>
      <c r="AE237" s="30">
        <f t="shared" si="10"/>
        <v>13405.392</v>
      </c>
      <c r="AF237" s="30">
        <f t="shared" si="5"/>
        <v>1491.936976</v>
      </c>
      <c r="AG237" s="34">
        <v>1.0</v>
      </c>
      <c r="AH237" s="36"/>
      <c r="AI237" s="30">
        <f t="shared" si="6"/>
        <v>3278.688525</v>
      </c>
      <c r="AJ237" s="17">
        <v>4000.0</v>
      </c>
      <c r="AK237" s="30">
        <f t="shared" si="7"/>
        <v>16393.44262</v>
      </c>
      <c r="AL237" s="20">
        <f t="shared" si="8"/>
        <v>20000</v>
      </c>
    </row>
    <row r="238">
      <c r="A238" s="16" t="s">
        <v>1095</v>
      </c>
      <c r="B238" s="17" t="s">
        <v>142</v>
      </c>
      <c r="C238" s="17" t="s">
        <v>143</v>
      </c>
      <c r="D238" s="17" t="s">
        <v>61</v>
      </c>
      <c r="E238" s="17" t="s">
        <v>947</v>
      </c>
      <c r="F238" s="17" t="s">
        <v>63</v>
      </c>
      <c r="G238" s="19">
        <v>45989.0</v>
      </c>
      <c r="H238" s="17" t="s">
        <v>118</v>
      </c>
      <c r="I238" s="20" t="s">
        <v>1096</v>
      </c>
      <c r="J238" s="21" t="s">
        <v>1100</v>
      </c>
      <c r="K238" s="22" t="s">
        <v>1101</v>
      </c>
      <c r="L238" s="22" t="s">
        <v>1102</v>
      </c>
      <c r="M238" s="17">
        <v>2025.0</v>
      </c>
      <c r="N238" s="17">
        <v>20.0</v>
      </c>
      <c r="O238" s="23">
        <v>594.0</v>
      </c>
      <c r="P238" s="24">
        <f t="shared" si="9"/>
        <v>1663.2</v>
      </c>
      <c r="Q238" s="25">
        <v>5.0</v>
      </c>
      <c r="R238" s="17">
        <v>0.0</v>
      </c>
      <c r="S238" s="26">
        <v>5.0</v>
      </c>
      <c r="T238" s="17">
        <v>5.0</v>
      </c>
      <c r="U238" s="17">
        <v>10.0</v>
      </c>
      <c r="V238" s="17" t="s">
        <v>130</v>
      </c>
      <c r="W238" s="28" t="s">
        <v>76</v>
      </c>
      <c r="X238" s="28" t="s">
        <v>78</v>
      </c>
      <c r="Y238" s="24">
        <v>10.0</v>
      </c>
      <c r="Z238" s="17">
        <v>150.0</v>
      </c>
      <c r="AA238" s="17">
        <v>576.0</v>
      </c>
      <c r="AB238" s="17">
        <v>31.0</v>
      </c>
      <c r="AC238" s="20">
        <f t="shared" si="2"/>
        <v>89280</v>
      </c>
      <c r="AD238" s="30">
        <f t="shared" si="3"/>
        <v>10.74666667</v>
      </c>
      <c r="AE238" s="30">
        <f t="shared" si="10"/>
        <v>17873.856</v>
      </c>
      <c r="AF238" s="30">
        <f t="shared" si="5"/>
        <v>1118.952732</v>
      </c>
      <c r="AG238" s="34">
        <v>1.0</v>
      </c>
      <c r="AH238" s="36"/>
      <c r="AI238" s="30">
        <f t="shared" si="6"/>
        <v>3278.688525</v>
      </c>
      <c r="AJ238" s="17">
        <v>4000.0</v>
      </c>
      <c r="AK238" s="30">
        <f t="shared" si="7"/>
        <v>16393.44262</v>
      </c>
      <c r="AL238" s="20">
        <f t="shared" si="8"/>
        <v>20000</v>
      </c>
    </row>
    <row r="239">
      <c r="A239" s="16" t="s">
        <v>1103</v>
      </c>
      <c r="B239" s="17" t="s">
        <v>142</v>
      </c>
      <c r="C239" s="17" t="s">
        <v>143</v>
      </c>
      <c r="D239" s="17" t="s">
        <v>61</v>
      </c>
      <c r="E239" s="17" t="s">
        <v>1104</v>
      </c>
      <c r="F239" s="17" t="s">
        <v>103</v>
      </c>
      <c r="G239" s="19">
        <v>45995.0</v>
      </c>
      <c r="H239" s="17" t="s">
        <v>118</v>
      </c>
      <c r="I239" s="20" t="s">
        <v>1105</v>
      </c>
      <c r="J239" s="21" t="s">
        <v>1106</v>
      </c>
      <c r="K239" s="22" t="s">
        <v>1107</v>
      </c>
      <c r="L239" s="22" t="s">
        <v>1108</v>
      </c>
      <c r="M239" s="17">
        <v>2013.0</v>
      </c>
      <c r="N239" s="17">
        <v>14.0</v>
      </c>
      <c r="O239" s="23">
        <v>83.0</v>
      </c>
      <c r="P239" s="24">
        <f t="shared" si="9"/>
        <v>232.4</v>
      </c>
      <c r="Q239" s="25">
        <v>1.0</v>
      </c>
      <c r="R239" s="17">
        <v>1.0</v>
      </c>
      <c r="S239" s="26">
        <v>1.0</v>
      </c>
      <c r="T239" s="17">
        <v>0.0</v>
      </c>
      <c r="U239" s="17">
        <v>2.0</v>
      </c>
      <c r="V239" s="17" t="s">
        <v>75</v>
      </c>
      <c r="W239" s="28" t="s">
        <v>76</v>
      </c>
      <c r="X239" s="28" t="s">
        <v>78</v>
      </c>
      <c r="Y239" s="24">
        <v>10.0</v>
      </c>
      <c r="Z239" s="17">
        <v>150.0</v>
      </c>
      <c r="AA239" s="17">
        <v>576.0</v>
      </c>
      <c r="AB239" s="17">
        <v>31.0</v>
      </c>
      <c r="AC239" s="20">
        <f t="shared" si="2"/>
        <v>17856</v>
      </c>
      <c r="AD239" s="30">
        <f t="shared" si="3"/>
        <v>8.06</v>
      </c>
      <c r="AE239" s="30">
        <f t="shared" si="10"/>
        <v>1873.144</v>
      </c>
      <c r="AF239" s="30">
        <f t="shared" si="5"/>
        <v>2135.447141</v>
      </c>
      <c r="AG239" s="34">
        <v>1.0</v>
      </c>
      <c r="AH239" s="36"/>
      <c r="AI239" s="30">
        <f t="shared" si="6"/>
        <v>3278.688525</v>
      </c>
      <c r="AJ239" s="17">
        <v>4000.0</v>
      </c>
      <c r="AK239" s="30">
        <f t="shared" si="7"/>
        <v>3278.688525</v>
      </c>
      <c r="AL239" s="20">
        <f t="shared" si="8"/>
        <v>4000</v>
      </c>
    </row>
    <row r="240">
      <c r="A240" s="16" t="s">
        <v>1103</v>
      </c>
      <c r="B240" s="17" t="s">
        <v>142</v>
      </c>
      <c r="C240" s="17" t="s">
        <v>143</v>
      </c>
      <c r="D240" s="17" t="s">
        <v>61</v>
      </c>
      <c r="E240" s="17" t="s">
        <v>1104</v>
      </c>
      <c r="F240" s="17" t="s">
        <v>103</v>
      </c>
      <c r="G240" s="19">
        <v>45995.0</v>
      </c>
      <c r="H240" s="17" t="s">
        <v>118</v>
      </c>
      <c r="I240" s="20" t="s">
        <v>1105</v>
      </c>
      <c r="J240" s="21" t="s">
        <v>1109</v>
      </c>
      <c r="K240" s="22" t="s">
        <v>1110</v>
      </c>
      <c r="L240" s="22" t="s">
        <v>1111</v>
      </c>
      <c r="M240" s="17">
        <v>2017.0</v>
      </c>
      <c r="N240" s="17">
        <v>17.0</v>
      </c>
      <c r="O240" s="23">
        <v>175.0</v>
      </c>
      <c r="P240" s="24">
        <f t="shared" si="9"/>
        <v>490</v>
      </c>
      <c r="Q240" s="25">
        <v>2.0</v>
      </c>
      <c r="R240" s="17">
        <v>2.0</v>
      </c>
      <c r="S240" s="26">
        <v>2.0</v>
      </c>
      <c r="T240" s="17">
        <v>0.0</v>
      </c>
      <c r="U240" s="17">
        <v>4.0</v>
      </c>
      <c r="V240" s="17" t="s">
        <v>75</v>
      </c>
      <c r="W240" s="28" t="s">
        <v>76</v>
      </c>
      <c r="X240" s="28" t="s">
        <v>78</v>
      </c>
      <c r="Y240" s="24">
        <v>10.0</v>
      </c>
      <c r="Z240" s="17">
        <v>150.0</v>
      </c>
      <c r="AA240" s="17">
        <v>576.0</v>
      </c>
      <c r="AB240" s="17">
        <v>31.0</v>
      </c>
      <c r="AC240" s="20">
        <f t="shared" si="2"/>
        <v>35712</v>
      </c>
      <c r="AD240" s="30">
        <f t="shared" si="3"/>
        <v>8.06</v>
      </c>
      <c r="AE240" s="30">
        <f t="shared" si="10"/>
        <v>3949.4</v>
      </c>
      <c r="AF240" s="30">
        <f t="shared" si="5"/>
        <v>2025.624145</v>
      </c>
      <c r="AG240" s="34">
        <v>1.0</v>
      </c>
      <c r="AH240" s="36"/>
      <c r="AI240" s="30">
        <f t="shared" si="6"/>
        <v>3278.688525</v>
      </c>
      <c r="AJ240" s="17">
        <v>4000.0</v>
      </c>
      <c r="AK240" s="30">
        <f t="shared" si="7"/>
        <v>6557.377049</v>
      </c>
      <c r="AL240" s="20">
        <f t="shared" si="8"/>
        <v>8000</v>
      </c>
    </row>
    <row r="241">
      <c r="A241" s="16" t="s">
        <v>1103</v>
      </c>
      <c r="B241" s="17" t="s">
        <v>142</v>
      </c>
      <c r="C241" s="17" t="s">
        <v>143</v>
      </c>
      <c r="D241" s="17" t="s">
        <v>61</v>
      </c>
      <c r="E241" s="17" t="s">
        <v>1104</v>
      </c>
      <c r="F241" s="17" t="s">
        <v>103</v>
      </c>
      <c r="G241" s="19">
        <v>45995.0</v>
      </c>
      <c r="H241" s="17" t="s">
        <v>118</v>
      </c>
      <c r="I241" s="20" t="s">
        <v>1105</v>
      </c>
      <c r="J241" s="21" t="s">
        <v>1112</v>
      </c>
      <c r="K241" s="22" t="s">
        <v>1113</v>
      </c>
      <c r="L241" s="22" t="s">
        <v>1114</v>
      </c>
      <c r="M241" s="17">
        <v>2016.0</v>
      </c>
      <c r="N241" s="17">
        <v>15.0</v>
      </c>
      <c r="O241" s="23">
        <v>572.0</v>
      </c>
      <c r="P241" s="24">
        <f t="shared" si="9"/>
        <v>1601.6</v>
      </c>
      <c r="Q241" s="25">
        <v>8.0</v>
      </c>
      <c r="R241" s="17">
        <v>8.0</v>
      </c>
      <c r="S241" s="26">
        <v>8.0</v>
      </c>
      <c r="T241" s="17">
        <v>0.0</v>
      </c>
      <c r="U241" s="17">
        <v>16.0</v>
      </c>
      <c r="V241" s="17" t="s">
        <v>75</v>
      </c>
      <c r="W241" s="28" t="s">
        <v>76</v>
      </c>
      <c r="X241" s="28" t="s">
        <v>78</v>
      </c>
      <c r="Y241" s="24">
        <v>10.0</v>
      </c>
      <c r="Z241" s="17">
        <v>150.0</v>
      </c>
      <c r="AA241" s="17">
        <v>576.0</v>
      </c>
      <c r="AB241" s="17">
        <v>31.0</v>
      </c>
      <c r="AC241" s="20">
        <f t="shared" si="2"/>
        <v>142848</v>
      </c>
      <c r="AD241" s="30">
        <f t="shared" si="3"/>
        <v>8.06</v>
      </c>
      <c r="AE241" s="30">
        <f t="shared" si="10"/>
        <v>12908.896</v>
      </c>
      <c r="AF241" s="30">
        <f t="shared" si="5"/>
        <v>2478.910667</v>
      </c>
      <c r="AG241" s="34">
        <v>1.0</v>
      </c>
      <c r="AH241" s="36"/>
      <c r="AI241" s="30">
        <f t="shared" si="6"/>
        <v>3278.688525</v>
      </c>
      <c r="AJ241" s="17">
        <v>4000.0</v>
      </c>
      <c r="AK241" s="30">
        <f t="shared" si="7"/>
        <v>26229.5082</v>
      </c>
      <c r="AL241" s="20">
        <f t="shared" si="8"/>
        <v>32000</v>
      </c>
    </row>
    <row r="242">
      <c r="A242" s="16" t="s">
        <v>1103</v>
      </c>
      <c r="B242" s="17" t="s">
        <v>142</v>
      </c>
      <c r="C242" s="17" t="s">
        <v>143</v>
      </c>
      <c r="D242" s="17" t="s">
        <v>61</v>
      </c>
      <c r="E242" s="17" t="s">
        <v>1104</v>
      </c>
      <c r="F242" s="17" t="s">
        <v>103</v>
      </c>
      <c r="G242" s="19">
        <v>45995.0</v>
      </c>
      <c r="H242" s="17" t="s">
        <v>118</v>
      </c>
      <c r="I242" s="20" t="s">
        <v>1105</v>
      </c>
      <c r="J242" s="21" t="s">
        <v>1115</v>
      </c>
      <c r="K242" s="22" t="s">
        <v>1116</v>
      </c>
      <c r="L242" s="22" t="s">
        <v>1117</v>
      </c>
      <c r="M242" s="17">
        <v>2023.0</v>
      </c>
      <c r="N242" s="17">
        <v>17.0</v>
      </c>
      <c r="O242" s="23">
        <v>136.0</v>
      </c>
      <c r="P242" s="24">
        <f t="shared" si="9"/>
        <v>380.8</v>
      </c>
      <c r="Q242" s="25">
        <v>1.0</v>
      </c>
      <c r="R242" s="17">
        <v>1.0</v>
      </c>
      <c r="S242" s="26">
        <v>1.0</v>
      </c>
      <c r="T242" s="17">
        <v>0.0</v>
      </c>
      <c r="U242" s="17">
        <v>2.0</v>
      </c>
      <c r="V242" s="17" t="s">
        <v>75</v>
      </c>
      <c r="W242" s="28" t="s">
        <v>76</v>
      </c>
      <c r="X242" s="28" t="s">
        <v>78</v>
      </c>
      <c r="Y242" s="24">
        <v>10.0</v>
      </c>
      <c r="Z242" s="17">
        <v>150.0</v>
      </c>
      <c r="AA242" s="17">
        <v>576.0</v>
      </c>
      <c r="AB242" s="17">
        <v>31.0</v>
      </c>
      <c r="AC242" s="20">
        <f t="shared" si="2"/>
        <v>17856</v>
      </c>
      <c r="AD242" s="30">
        <f t="shared" si="3"/>
        <v>8.06</v>
      </c>
      <c r="AE242" s="30">
        <f t="shared" si="10"/>
        <v>3069.248</v>
      </c>
      <c r="AF242" s="30">
        <f t="shared" si="5"/>
        <v>1303.250829</v>
      </c>
      <c r="AG242" s="34">
        <v>1.0</v>
      </c>
      <c r="AH242" s="36"/>
      <c r="AI242" s="30">
        <f t="shared" si="6"/>
        <v>3278.688525</v>
      </c>
      <c r="AJ242" s="17">
        <v>4000.0</v>
      </c>
      <c r="AK242" s="30">
        <f t="shared" si="7"/>
        <v>3278.688525</v>
      </c>
      <c r="AL242" s="20">
        <f t="shared" si="8"/>
        <v>4000</v>
      </c>
    </row>
    <row r="243">
      <c r="A243" s="16" t="s">
        <v>1118</v>
      </c>
      <c r="B243" s="17" t="s">
        <v>142</v>
      </c>
      <c r="C243" s="17" t="s">
        <v>143</v>
      </c>
      <c r="D243" s="17" t="s">
        <v>61</v>
      </c>
      <c r="E243" s="17" t="s">
        <v>1004</v>
      </c>
      <c r="F243" s="17" t="s">
        <v>63</v>
      </c>
      <c r="G243" s="19">
        <v>45995.0</v>
      </c>
      <c r="H243" s="17" t="s">
        <v>104</v>
      </c>
      <c r="I243" s="20" t="s">
        <v>1119</v>
      </c>
      <c r="J243" s="21" t="s">
        <v>1120</v>
      </c>
      <c r="K243" s="22" t="s">
        <v>1121</v>
      </c>
      <c r="L243" s="22" t="s">
        <v>1122</v>
      </c>
      <c r="M243" s="17">
        <v>2019.0</v>
      </c>
      <c r="N243" s="17">
        <v>19.0</v>
      </c>
      <c r="O243" s="23">
        <v>348.0</v>
      </c>
      <c r="P243" s="24">
        <f t="shared" si="9"/>
        <v>974.4</v>
      </c>
      <c r="Q243" s="25">
        <v>5.0</v>
      </c>
      <c r="R243" s="17">
        <v>5.0</v>
      </c>
      <c r="S243" s="26">
        <v>5.0</v>
      </c>
      <c r="T243" s="17">
        <v>0.0</v>
      </c>
      <c r="U243" s="17">
        <v>10.0</v>
      </c>
      <c r="V243" s="17" t="s">
        <v>75</v>
      </c>
      <c r="W243" s="28" t="s">
        <v>76</v>
      </c>
      <c r="X243" s="28" t="s">
        <v>78</v>
      </c>
      <c r="Y243" s="24">
        <v>10.0</v>
      </c>
      <c r="Z243" s="17">
        <v>150.0</v>
      </c>
      <c r="AA243" s="17">
        <v>576.0</v>
      </c>
      <c r="AB243" s="17">
        <v>31.0</v>
      </c>
      <c r="AC243" s="20">
        <f t="shared" si="2"/>
        <v>89280</v>
      </c>
      <c r="AD243" s="30">
        <f t="shared" si="3"/>
        <v>8.06</v>
      </c>
      <c r="AE243" s="30">
        <f t="shared" si="10"/>
        <v>7853.664</v>
      </c>
      <c r="AF243" s="30">
        <f t="shared" si="5"/>
        <v>2546.582079</v>
      </c>
      <c r="AG243" s="34">
        <v>1.0</v>
      </c>
      <c r="AH243" s="36"/>
      <c r="AI243" s="30">
        <f t="shared" si="6"/>
        <v>3278.688525</v>
      </c>
      <c r="AJ243" s="17">
        <v>4000.0</v>
      </c>
      <c r="AK243" s="30">
        <f t="shared" si="7"/>
        <v>16393.44262</v>
      </c>
      <c r="AL243" s="20">
        <f t="shared" si="8"/>
        <v>20000</v>
      </c>
    </row>
    <row r="244">
      <c r="A244" s="16" t="s">
        <v>1118</v>
      </c>
      <c r="B244" s="17" t="s">
        <v>142</v>
      </c>
      <c r="C244" s="17" t="s">
        <v>143</v>
      </c>
      <c r="D244" s="17" t="s">
        <v>61</v>
      </c>
      <c r="E244" s="17" t="s">
        <v>1004</v>
      </c>
      <c r="F244" s="17" t="s">
        <v>63</v>
      </c>
      <c r="G244" s="19">
        <v>45995.0</v>
      </c>
      <c r="H244" s="17" t="s">
        <v>104</v>
      </c>
      <c r="I244" s="20" t="s">
        <v>1119</v>
      </c>
      <c r="J244" s="21" t="s">
        <v>1123</v>
      </c>
      <c r="K244" s="22" t="s">
        <v>1124</v>
      </c>
      <c r="L244" s="22" t="s">
        <v>1125</v>
      </c>
      <c r="M244" s="17">
        <v>2019.0</v>
      </c>
      <c r="N244" s="17">
        <v>19.0</v>
      </c>
      <c r="O244" s="23">
        <v>197.0</v>
      </c>
      <c r="P244" s="24">
        <f t="shared" si="9"/>
        <v>551.6</v>
      </c>
      <c r="Q244" s="25">
        <v>3.0</v>
      </c>
      <c r="R244" s="17">
        <v>3.0</v>
      </c>
      <c r="S244" s="26">
        <v>3.0</v>
      </c>
      <c r="T244" s="17">
        <v>0.0</v>
      </c>
      <c r="U244" s="17">
        <v>6.0</v>
      </c>
      <c r="V244" s="17" t="s">
        <v>75</v>
      </c>
      <c r="W244" s="28" t="s">
        <v>76</v>
      </c>
      <c r="X244" s="28" t="s">
        <v>78</v>
      </c>
      <c r="Y244" s="24">
        <v>10.0</v>
      </c>
      <c r="Z244" s="17">
        <v>150.0</v>
      </c>
      <c r="AA244" s="17">
        <v>576.0</v>
      </c>
      <c r="AB244" s="17">
        <v>31.0</v>
      </c>
      <c r="AC244" s="20">
        <f t="shared" si="2"/>
        <v>53568</v>
      </c>
      <c r="AD244" s="30">
        <f t="shared" si="3"/>
        <v>8.06</v>
      </c>
      <c r="AE244" s="30">
        <f t="shared" si="10"/>
        <v>4445.896</v>
      </c>
      <c r="AF244" s="30">
        <f t="shared" si="5"/>
        <v>2699.118468</v>
      </c>
      <c r="AG244" s="34">
        <v>1.0</v>
      </c>
      <c r="AH244" s="36"/>
      <c r="AI244" s="30">
        <f t="shared" si="6"/>
        <v>3278.688525</v>
      </c>
      <c r="AJ244" s="17">
        <v>4000.0</v>
      </c>
      <c r="AK244" s="30">
        <f t="shared" si="7"/>
        <v>9836.065574</v>
      </c>
      <c r="AL244" s="20">
        <f t="shared" si="8"/>
        <v>12000</v>
      </c>
    </row>
    <row r="245">
      <c r="A245" s="16" t="s">
        <v>1126</v>
      </c>
      <c r="B245" s="17" t="s">
        <v>142</v>
      </c>
      <c r="C245" s="17" t="s">
        <v>143</v>
      </c>
      <c r="D245" s="17" t="s">
        <v>61</v>
      </c>
      <c r="E245" s="17" t="s">
        <v>957</v>
      </c>
      <c r="F245" s="17" t="s">
        <v>63</v>
      </c>
      <c r="G245" s="19">
        <v>45996.0</v>
      </c>
      <c r="H245" s="17" t="s">
        <v>104</v>
      </c>
      <c r="I245" s="20" t="s">
        <v>1127</v>
      </c>
      <c r="J245" s="21" t="s">
        <v>1128</v>
      </c>
      <c r="K245" s="22" t="s">
        <v>1129</v>
      </c>
      <c r="L245" s="22" t="s">
        <v>1130</v>
      </c>
      <c r="M245" s="17">
        <v>2015.0</v>
      </c>
      <c r="N245" s="17">
        <v>15.0</v>
      </c>
      <c r="O245" s="23">
        <v>302.0</v>
      </c>
      <c r="P245" s="24">
        <f t="shared" si="9"/>
        <v>845.6</v>
      </c>
      <c r="Q245" s="25">
        <v>4.0</v>
      </c>
      <c r="R245" s="17">
        <v>4.0</v>
      </c>
      <c r="S245" s="26">
        <v>4.0</v>
      </c>
      <c r="T245" s="17">
        <v>0.0</v>
      </c>
      <c r="U245" s="17">
        <v>8.0</v>
      </c>
      <c r="V245" s="17" t="s">
        <v>75</v>
      </c>
      <c r="W245" s="28" t="s">
        <v>76</v>
      </c>
      <c r="X245" s="28" t="s">
        <v>78</v>
      </c>
      <c r="Y245" s="24">
        <v>10.0</v>
      </c>
      <c r="Z245" s="17">
        <v>150.0</v>
      </c>
      <c r="AA245" s="17">
        <v>576.0</v>
      </c>
      <c r="AB245" s="17">
        <v>31.0</v>
      </c>
      <c r="AC245" s="20">
        <f t="shared" si="2"/>
        <v>71424</v>
      </c>
      <c r="AD245" s="30">
        <f t="shared" si="3"/>
        <v>8.06</v>
      </c>
      <c r="AE245" s="30">
        <f t="shared" si="10"/>
        <v>6815.536</v>
      </c>
      <c r="AF245" s="30">
        <f t="shared" si="5"/>
        <v>2347.577652</v>
      </c>
      <c r="AG245" s="34">
        <v>1.0</v>
      </c>
      <c r="AH245" s="36"/>
      <c r="AI245" s="30">
        <f t="shared" si="6"/>
        <v>3278.688525</v>
      </c>
      <c r="AJ245" s="17">
        <v>4000.0</v>
      </c>
      <c r="AK245" s="30">
        <f t="shared" si="7"/>
        <v>13114.7541</v>
      </c>
      <c r="AL245" s="20">
        <f t="shared" si="8"/>
        <v>16000</v>
      </c>
    </row>
    <row r="246">
      <c r="A246" s="16" t="s">
        <v>1126</v>
      </c>
      <c r="B246" s="17" t="s">
        <v>142</v>
      </c>
      <c r="C246" s="17" t="s">
        <v>143</v>
      </c>
      <c r="D246" s="17" t="s">
        <v>61</v>
      </c>
      <c r="E246" s="17" t="s">
        <v>957</v>
      </c>
      <c r="F246" s="17" t="s">
        <v>63</v>
      </c>
      <c r="G246" s="19">
        <v>45996.0</v>
      </c>
      <c r="H246" s="17" t="s">
        <v>104</v>
      </c>
      <c r="I246" s="20" t="s">
        <v>1127</v>
      </c>
      <c r="J246" s="21" t="s">
        <v>1131</v>
      </c>
      <c r="K246" s="22" t="s">
        <v>1132</v>
      </c>
      <c r="L246" s="22" t="s">
        <v>1133</v>
      </c>
      <c r="M246" s="17">
        <v>2021.0</v>
      </c>
      <c r="N246" s="17">
        <v>19.0</v>
      </c>
      <c r="O246" s="23">
        <v>105.0</v>
      </c>
      <c r="P246" s="24">
        <f t="shared" si="9"/>
        <v>294</v>
      </c>
      <c r="Q246" s="25">
        <v>1.0</v>
      </c>
      <c r="R246" s="17">
        <v>1.0</v>
      </c>
      <c r="S246" s="26">
        <v>1.0</v>
      </c>
      <c r="T246" s="17">
        <v>0.0</v>
      </c>
      <c r="U246" s="17">
        <v>2.0</v>
      </c>
      <c r="V246" s="17" t="s">
        <v>75</v>
      </c>
      <c r="W246" s="28" t="s">
        <v>76</v>
      </c>
      <c r="X246" s="28" t="s">
        <v>78</v>
      </c>
      <c r="Y246" s="24">
        <v>10.0</v>
      </c>
      <c r="Z246" s="17">
        <v>150.0</v>
      </c>
      <c r="AA246" s="17">
        <v>576.0</v>
      </c>
      <c r="AB246" s="17">
        <v>31.0</v>
      </c>
      <c r="AC246" s="20">
        <f t="shared" si="2"/>
        <v>17856</v>
      </c>
      <c r="AD246" s="30">
        <f t="shared" si="3"/>
        <v>8.06</v>
      </c>
      <c r="AE246" s="30">
        <f t="shared" si="10"/>
        <v>2369.64</v>
      </c>
      <c r="AF246" s="30">
        <f t="shared" si="5"/>
        <v>1688.020121</v>
      </c>
      <c r="AG246" s="34">
        <v>1.0</v>
      </c>
      <c r="AH246" s="36"/>
      <c r="AI246" s="30">
        <f t="shared" si="6"/>
        <v>3278.688525</v>
      </c>
      <c r="AJ246" s="17">
        <v>4000.0</v>
      </c>
      <c r="AK246" s="30">
        <f t="shared" si="7"/>
        <v>3278.688525</v>
      </c>
      <c r="AL246" s="20">
        <f t="shared" si="8"/>
        <v>4000</v>
      </c>
    </row>
    <row r="247">
      <c r="A247" s="16" t="s">
        <v>1126</v>
      </c>
      <c r="B247" s="17" t="s">
        <v>142</v>
      </c>
      <c r="C247" s="17" t="s">
        <v>143</v>
      </c>
      <c r="D247" s="17" t="s">
        <v>61</v>
      </c>
      <c r="E247" s="17" t="s">
        <v>957</v>
      </c>
      <c r="F247" s="17" t="s">
        <v>63</v>
      </c>
      <c r="G247" s="19">
        <v>45996.0</v>
      </c>
      <c r="H247" s="17" t="s">
        <v>104</v>
      </c>
      <c r="I247" s="20" t="s">
        <v>1127</v>
      </c>
      <c r="J247" s="21" t="s">
        <v>1134</v>
      </c>
      <c r="K247" s="22" t="s">
        <v>1135</v>
      </c>
      <c r="L247" s="22" t="s">
        <v>1136</v>
      </c>
      <c r="M247" s="17">
        <v>2014.0</v>
      </c>
      <c r="N247" s="17">
        <v>16.0</v>
      </c>
      <c r="O247" s="23">
        <v>245.0</v>
      </c>
      <c r="P247" s="24">
        <f t="shared" si="9"/>
        <v>686</v>
      </c>
      <c r="Q247" s="25">
        <v>4.0</v>
      </c>
      <c r="R247" s="17">
        <v>4.0</v>
      </c>
      <c r="S247" s="26">
        <v>4.0</v>
      </c>
      <c r="T247" s="17">
        <v>0.0</v>
      </c>
      <c r="U247" s="17">
        <v>8.0</v>
      </c>
      <c r="V247" s="17" t="s">
        <v>75</v>
      </c>
      <c r="W247" s="28" t="s">
        <v>76</v>
      </c>
      <c r="X247" s="28" t="s">
        <v>78</v>
      </c>
      <c r="Y247" s="24">
        <v>10.0</v>
      </c>
      <c r="Z247" s="17">
        <v>150.0</v>
      </c>
      <c r="AA247" s="17">
        <v>576.0</v>
      </c>
      <c r="AB247" s="17">
        <v>31.0</v>
      </c>
      <c r="AC247" s="20">
        <f t="shared" si="2"/>
        <v>71424</v>
      </c>
      <c r="AD247" s="30">
        <f t="shared" si="3"/>
        <v>8.06</v>
      </c>
      <c r="AE247" s="30">
        <f t="shared" si="10"/>
        <v>5529.16</v>
      </c>
      <c r="AF247" s="30">
        <f t="shared" si="5"/>
        <v>2893.748779</v>
      </c>
      <c r="AG247" s="34">
        <v>1.0</v>
      </c>
      <c r="AH247" s="36"/>
      <c r="AI247" s="30">
        <f t="shared" si="6"/>
        <v>3278.688525</v>
      </c>
      <c r="AJ247" s="17">
        <v>4000.0</v>
      </c>
      <c r="AK247" s="30">
        <f t="shared" si="7"/>
        <v>13114.7541</v>
      </c>
      <c r="AL247" s="20">
        <f t="shared" si="8"/>
        <v>16000</v>
      </c>
    </row>
    <row r="248">
      <c r="A248" s="16" t="s">
        <v>1137</v>
      </c>
      <c r="B248" s="17" t="s">
        <v>142</v>
      </c>
      <c r="C248" s="17" t="s">
        <v>143</v>
      </c>
      <c r="D248" s="17" t="s">
        <v>940</v>
      </c>
      <c r="E248" s="17" t="s">
        <v>1067</v>
      </c>
      <c r="F248" s="17" t="s">
        <v>103</v>
      </c>
      <c r="G248" s="19">
        <v>46000.0</v>
      </c>
      <c r="H248" s="17" t="s">
        <v>118</v>
      </c>
      <c r="I248" s="20" t="s">
        <v>1138</v>
      </c>
      <c r="J248" s="21" t="s">
        <v>1139</v>
      </c>
      <c r="K248" s="22" t="s">
        <v>1140</v>
      </c>
      <c r="L248" s="22" t="s">
        <v>1141</v>
      </c>
      <c r="M248" s="17">
        <v>2017.0</v>
      </c>
      <c r="N248" s="17">
        <v>19.0</v>
      </c>
      <c r="O248" s="23">
        <v>192.0</v>
      </c>
      <c r="P248" s="24">
        <f t="shared" si="9"/>
        <v>537.6</v>
      </c>
      <c r="Q248" s="25">
        <v>3.0</v>
      </c>
      <c r="R248" s="17">
        <v>3.0</v>
      </c>
      <c r="S248" s="26">
        <v>3.0</v>
      </c>
      <c r="T248" s="17">
        <v>0.0</v>
      </c>
      <c r="U248" s="17">
        <v>6.0</v>
      </c>
      <c r="V248" s="17" t="s">
        <v>75</v>
      </c>
      <c r="W248" s="28" t="s">
        <v>76</v>
      </c>
      <c r="X248" s="28" t="s">
        <v>78</v>
      </c>
      <c r="Y248" s="24">
        <v>10.0</v>
      </c>
      <c r="Z248" s="17">
        <v>150.0</v>
      </c>
      <c r="AA248" s="17">
        <v>576.0</v>
      </c>
      <c r="AB248" s="17">
        <v>31.0</v>
      </c>
      <c r="AC248" s="20">
        <f t="shared" si="2"/>
        <v>53568</v>
      </c>
      <c r="AD248" s="30">
        <f t="shared" si="3"/>
        <v>8.06</v>
      </c>
      <c r="AE248" s="30">
        <f t="shared" si="10"/>
        <v>4333.056</v>
      </c>
      <c r="AF248" s="30">
        <f t="shared" si="5"/>
        <v>2769.408011</v>
      </c>
      <c r="AG248" s="34">
        <v>1.0</v>
      </c>
      <c r="AH248" s="36"/>
      <c r="AI248" s="30">
        <f t="shared" si="6"/>
        <v>3278.688525</v>
      </c>
      <c r="AJ248" s="17">
        <v>4000.0</v>
      </c>
      <c r="AK248" s="30">
        <f t="shared" si="7"/>
        <v>9836.065574</v>
      </c>
      <c r="AL248" s="20">
        <f t="shared" si="8"/>
        <v>12000</v>
      </c>
    </row>
    <row r="249">
      <c r="A249" s="16" t="s">
        <v>1137</v>
      </c>
      <c r="B249" s="17" t="s">
        <v>142</v>
      </c>
      <c r="C249" s="17" t="s">
        <v>143</v>
      </c>
      <c r="D249" s="17" t="s">
        <v>940</v>
      </c>
      <c r="E249" s="17" t="s">
        <v>1067</v>
      </c>
      <c r="F249" s="17" t="s">
        <v>103</v>
      </c>
      <c r="G249" s="19">
        <v>46000.0</v>
      </c>
      <c r="H249" s="17" t="s">
        <v>118</v>
      </c>
      <c r="I249" s="20" t="s">
        <v>1138</v>
      </c>
      <c r="J249" s="21" t="s">
        <v>1142</v>
      </c>
      <c r="K249" s="22" t="s">
        <v>1143</v>
      </c>
      <c r="L249" s="22" t="s">
        <v>1144</v>
      </c>
      <c r="M249" s="17">
        <v>2015.0</v>
      </c>
      <c r="N249" s="17">
        <v>18.0</v>
      </c>
      <c r="O249" s="23">
        <v>507.0</v>
      </c>
      <c r="P249" s="24">
        <f t="shared" si="9"/>
        <v>1419.6</v>
      </c>
      <c r="Q249" s="25">
        <v>7.0</v>
      </c>
      <c r="R249" s="17">
        <v>7.0</v>
      </c>
      <c r="S249" s="26">
        <v>7.0</v>
      </c>
      <c r="T249" s="17">
        <v>0.0</v>
      </c>
      <c r="U249" s="17">
        <v>14.0</v>
      </c>
      <c r="V249" s="17" t="s">
        <v>75</v>
      </c>
      <c r="W249" s="28" t="s">
        <v>76</v>
      </c>
      <c r="X249" s="28" t="s">
        <v>78</v>
      </c>
      <c r="Y249" s="24">
        <v>10.0</v>
      </c>
      <c r="Z249" s="17">
        <v>150.0</v>
      </c>
      <c r="AA249" s="17">
        <v>576.0</v>
      </c>
      <c r="AB249" s="17">
        <v>31.0</v>
      </c>
      <c r="AC249" s="20">
        <f t="shared" si="2"/>
        <v>124992</v>
      </c>
      <c r="AD249" s="30">
        <f t="shared" si="3"/>
        <v>8.06</v>
      </c>
      <c r="AE249" s="30">
        <f t="shared" si="10"/>
        <v>11441.976</v>
      </c>
      <c r="AF249" s="30">
        <f t="shared" si="5"/>
        <v>2447.129762</v>
      </c>
      <c r="AG249" s="34">
        <v>1.0</v>
      </c>
      <c r="AH249" s="36"/>
      <c r="AI249" s="30">
        <f t="shared" si="6"/>
        <v>3278.688525</v>
      </c>
      <c r="AJ249" s="17">
        <v>4000.0</v>
      </c>
      <c r="AK249" s="30">
        <f t="shared" si="7"/>
        <v>22950.81967</v>
      </c>
      <c r="AL249" s="20">
        <f t="shared" si="8"/>
        <v>28000</v>
      </c>
    </row>
    <row r="250">
      <c r="A250" s="16" t="s">
        <v>1145</v>
      </c>
      <c r="B250" s="17" t="s">
        <v>142</v>
      </c>
      <c r="C250" s="17" t="s">
        <v>143</v>
      </c>
      <c r="D250" s="17" t="s">
        <v>946</v>
      </c>
      <c r="E250" s="54" t="s">
        <v>957</v>
      </c>
      <c r="F250" s="17" t="s">
        <v>63</v>
      </c>
      <c r="G250" s="19">
        <v>46000.0</v>
      </c>
      <c r="H250" s="17" t="s">
        <v>118</v>
      </c>
      <c r="I250" s="20" t="s">
        <v>1146</v>
      </c>
      <c r="J250" s="21" t="s">
        <v>1147</v>
      </c>
      <c r="K250" s="22" t="s">
        <v>1148</v>
      </c>
      <c r="L250" s="22" t="s">
        <v>1149</v>
      </c>
      <c r="M250" s="17">
        <v>2015.0</v>
      </c>
      <c r="N250" s="17">
        <v>19.0</v>
      </c>
      <c r="O250" s="23">
        <v>741.0</v>
      </c>
      <c r="P250" s="24">
        <f t="shared" si="9"/>
        <v>2074.8</v>
      </c>
      <c r="Q250" s="25">
        <v>10.0</v>
      </c>
      <c r="R250" s="17">
        <v>10.0</v>
      </c>
      <c r="S250" s="26">
        <v>10.0</v>
      </c>
      <c r="T250" s="17">
        <v>0.0</v>
      </c>
      <c r="U250" s="17">
        <v>20.0</v>
      </c>
      <c r="V250" s="17" t="s">
        <v>75</v>
      </c>
      <c r="W250" s="28" t="s">
        <v>76</v>
      </c>
      <c r="X250" s="28" t="s">
        <v>78</v>
      </c>
      <c r="Y250" s="24">
        <v>10.0</v>
      </c>
      <c r="Z250" s="17">
        <v>150.0</v>
      </c>
      <c r="AA250" s="17">
        <v>576.0</v>
      </c>
      <c r="AB250" s="17">
        <v>31.0</v>
      </c>
      <c r="AC250" s="20">
        <f t="shared" si="2"/>
        <v>178560</v>
      </c>
      <c r="AD250" s="30">
        <f t="shared" si="3"/>
        <v>8.06</v>
      </c>
      <c r="AE250" s="30">
        <f t="shared" si="10"/>
        <v>16722.888</v>
      </c>
      <c r="AF250" s="30">
        <f t="shared" si="5"/>
        <v>2391.931346</v>
      </c>
      <c r="AG250" s="34">
        <v>1.0</v>
      </c>
      <c r="AH250" s="36"/>
      <c r="AI250" s="30">
        <f t="shared" si="6"/>
        <v>3278.688525</v>
      </c>
      <c r="AJ250" s="17">
        <v>4000.0</v>
      </c>
      <c r="AK250" s="30">
        <f t="shared" si="7"/>
        <v>32786.88525</v>
      </c>
      <c r="AL250" s="20">
        <f t="shared" si="8"/>
        <v>40000</v>
      </c>
    </row>
    <row r="251">
      <c r="A251" s="16" t="s">
        <v>1145</v>
      </c>
      <c r="B251" s="17" t="s">
        <v>142</v>
      </c>
      <c r="C251" s="17" t="s">
        <v>143</v>
      </c>
      <c r="D251" s="17" t="s">
        <v>940</v>
      </c>
      <c r="E251" s="54" t="s">
        <v>957</v>
      </c>
      <c r="F251" s="17" t="s">
        <v>63</v>
      </c>
      <c r="G251" s="19">
        <v>46000.0</v>
      </c>
      <c r="H251" s="17" t="s">
        <v>118</v>
      </c>
      <c r="I251" s="20" t="s">
        <v>1146</v>
      </c>
      <c r="J251" s="21" t="s">
        <v>1150</v>
      </c>
      <c r="K251" s="22" t="s">
        <v>1151</v>
      </c>
      <c r="L251" s="22" t="s">
        <v>1152</v>
      </c>
      <c r="M251" s="17">
        <v>2020.0</v>
      </c>
      <c r="N251" s="17">
        <v>20.0</v>
      </c>
      <c r="O251" s="23">
        <v>311.0</v>
      </c>
      <c r="P251" s="24">
        <f t="shared" si="9"/>
        <v>870.8</v>
      </c>
      <c r="Q251" s="25">
        <v>4.0</v>
      </c>
      <c r="R251" s="17">
        <v>4.0</v>
      </c>
      <c r="S251" s="26">
        <v>4.0</v>
      </c>
      <c r="T251" s="17">
        <v>0.0</v>
      </c>
      <c r="U251" s="17">
        <v>8.0</v>
      </c>
      <c r="V251" s="17" t="s">
        <v>75</v>
      </c>
      <c r="W251" s="28" t="s">
        <v>76</v>
      </c>
      <c r="X251" s="28" t="s">
        <v>78</v>
      </c>
      <c r="Y251" s="24">
        <v>10.0</v>
      </c>
      <c r="Z251" s="17">
        <v>150.0</v>
      </c>
      <c r="AA251" s="17">
        <v>576.0</v>
      </c>
      <c r="AB251" s="17">
        <v>31.0</v>
      </c>
      <c r="AC251" s="20">
        <f t="shared" si="2"/>
        <v>71424</v>
      </c>
      <c r="AD251" s="30">
        <f t="shared" si="3"/>
        <v>8.06</v>
      </c>
      <c r="AE251" s="30">
        <f t="shared" si="10"/>
        <v>7018.648</v>
      </c>
      <c r="AF251" s="30">
        <f t="shared" si="5"/>
        <v>2279.641321</v>
      </c>
      <c r="AG251" s="34">
        <v>1.0</v>
      </c>
      <c r="AH251" s="36"/>
      <c r="AI251" s="30">
        <f t="shared" si="6"/>
        <v>3278.688525</v>
      </c>
      <c r="AJ251" s="17">
        <v>4000.0</v>
      </c>
      <c r="AK251" s="30">
        <f t="shared" si="7"/>
        <v>13114.7541</v>
      </c>
      <c r="AL251" s="20">
        <f t="shared" si="8"/>
        <v>16000</v>
      </c>
    </row>
    <row r="252">
      <c r="A252" s="16" t="s">
        <v>1153</v>
      </c>
      <c r="B252" s="17" t="s">
        <v>142</v>
      </c>
      <c r="C252" s="17" t="s">
        <v>143</v>
      </c>
      <c r="D252" s="17" t="s">
        <v>940</v>
      </c>
      <c r="E252" s="17" t="s">
        <v>1067</v>
      </c>
      <c r="F252" s="17" t="s">
        <v>63</v>
      </c>
      <c r="G252" s="19">
        <v>45989.0</v>
      </c>
      <c r="H252" s="17" t="s">
        <v>118</v>
      </c>
      <c r="I252" s="20" t="s">
        <v>1154</v>
      </c>
      <c r="J252" s="21" t="s">
        <v>1155</v>
      </c>
      <c r="K252" s="22" t="s">
        <v>1156</v>
      </c>
      <c r="L252" s="22" t="s">
        <v>1157</v>
      </c>
      <c r="M252" s="17">
        <v>2024.0</v>
      </c>
      <c r="N252" s="17">
        <v>11.0</v>
      </c>
      <c r="O252" s="23">
        <v>110.0</v>
      </c>
      <c r="P252" s="24">
        <f t="shared" si="9"/>
        <v>308</v>
      </c>
      <c r="Q252" s="25">
        <v>1.0</v>
      </c>
      <c r="R252" s="17">
        <v>1.0</v>
      </c>
      <c r="S252" s="26">
        <v>1.0</v>
      </c>
      <c r="T252" s="17">
        <v>0.0</v>
      </c>
      <c r="U252" s="17">
        <v>2.0</v>
      </c>
      <c r="V252" s="17" t="s">
        <v>75</v>
      </c>
      <c r="W252" s="28" t="s">
        <v>76</v>
      </c>
      <c r="X252" s="28" t="s">
        <v>78</v>
      </c>
      <c r="Y252" s="24">
        <v>10.0</v>
      </c>
      <c r="Z252" s="17">
        <v>150.0</v>
      </c>
      <c r="AA252" s="17">
        <v>576.0</v>
      </c>
      <c r="AB252" s="17">
        <v>31.0</v>
      </c>
      <c r="AC252" s="20">
        <f t="shared" si="2"/>
        <v>17856</v>
      </c>
      <c r="AD252" s="30">
        <f t="shared" si="3"/>
        <v>8.06</v>
      </c>
      <c r="AE252" s="30">
        <f t="shared" si="10"/>
        <v>2482.48</v>
      </c>
      <c r="AF252" s="30">
        <f t="shared" si="5"/>
        <v>1611.291934</v>
      </c>
      <c r="AG252" s="34">
        <v>1.0</v>
      </c>
      <c r="AH252" s="36"/>
      <c r="AI252" s="30">
        <f t="shared" si="6"/>
        <v>3278.688525</v>
      </c>
      <c r="AJ252" s="17">
        <v>4000.0</v>
      </c>
      <c r="AK252" s="30">
        <f t="shared" si="7"/>
        <v>3278.688525</v>
      </c>
      <c r="AL252" s="20">
        <f t="shared" si="8"/>
        <v>4000</v>
      </c>
    </row>
    <row r="253">
      <c r="A253" s="16" t="s">
        <v>1153</v>
      </c>
      <c r="B253" s="17" t="s">
        <v>142</v>
      </c>
      <c r="C253" s="17" t="s">
        <v>143</v>
      </c>
      <c r="D253" s="17" t="s">
        <v>940</v>
      </c>
      <c r="E253" s="17" t="s">
        <v>1067</v>
      </c>
      <c r="F253" s="17" t="s">
        <v>63</v>
      </c>
      <c r="G253" s="19">
        <v>45989.0</v>
      </c>
      <c r="H253" s="17" t="s">
        <v>118</v>
      </c>
      <c r="I253" s="20" t="s">
        <v>1154</v>
      </c>
      <c r="J253" s="21" t="s">
        <v>1158</v>
      </c>
      <c r="K253" s="22" t="s">
        <v>1159</v>
      </c>
      <c r="L253" s="22" t="s">
        <v>1160</v>
      </c>
      <c r="M253" s="17">
        <v>2019.0</v>
      </c>
      <c r="N253" s="17">
        <v>11.0</v>
      </c>
      <c r="O253" s="23">
        <v>99.0</v>
      </c>
      <c r="P253" s="24">
        <f t="shared" si="9"/>
        <v>277.2</v>
      </c>
      <c r="Q253" s="25">
        <v>2.0</v>
      </c>
      <c r="R253" s="17">
        <v>1.0</v>
      </c>
      <c r="S253" s="26">
        <v>1.0</v>
      </c>
      <c r="T253" s="17">
        <v>1.0</v>
      </c>
      <c r="U253" s="17">
        <v>2.0</v>
      </c>
      <c r="V253" s="17" t="s">
        <v>75</v>
      </c>
      <c r="W253" s="28" t="s">
        <v>76</v>
      </c>
      <c r="X253" s="28" t="s">
        <v>78</v>
      </c>
      <c r="Y253" s="24">
        <v>10.0</v>
      </c>
      <c r="Z253" s="17">
        <v>150.0</v>
      </c>
      <c r="AA253" s="17">
        <v>576.0</v>
      </c>
      <c r="AB253" s="17">
        <v>31.0</v>
      </c>
      <c r="AC253" s="20">
        <f t="shared" si="2"/>
        <v>35712</v>
      </c>
      <c r="AD253" s="30">
        <f t="shared" si="3"/>
        <v>13.97066667</v>
      </c>
      <c r="AE253" s="30">
        <f t="shared" si="10"/>
        <v>3872.6688</v>
      </c>
      <c r="AF253" s="30">
        <f t="shared" si="5"/>
        <v>2065.75889</v>
      </c>
      <c r="AG253" s="34">
        <v>1.0</v>
      </c>
      <c r="AH253" s="36"/>
      <c r="AI253" s="30">
        <f t="shared" si="6"/>
        <v>3278.688525</v>
      </c>
      <c r="AJ253" s="17">
        <v>4000.0</v>
      </c>
      <c r="AK253" s="30">
        <f t="shared" si="7"/>
        <v>6557.377049</v>
      </c>
      <c r="AL253" s="20">
        <f t="shared" si="8"/>
        <v>8000</v>
      </c>
    </row>
    <row r="254">
      <c r="A254" s="16" t="s">
        <v>1161</v>
      </c>
      <c r="B254" s="17" t="s">
        <v>142</v>
      </c>
      <c r="C254" s="17" t="s">
        <v>143</v>
      </c>
      <c r="D254" s="17" t="s">
        <v>61</v>
      </c>
      <c r="E254" s="17" t="s">
        <v>1004</v>
      </c>
      <c r="F254" s="17" t="s">
        <v>63</v>
      </c>
      <c r="G254" s="19">
        <v>46087.0</v>
      </c>
      <c r="H254" s="17" t="s">
        <v>104</v>
      </c>
      <c r="I254" s="20" t="s">
        <v>1162</v>
      </c>
      <c r="J254" s="21" t="s">
        <v>1163</v>
      </c>
      <c r="K254" s="22" t="s">
        <v>1164</v>
      </c>
      <c r="L254" s="22" t="s">
        <v>1165</v>
      </c>
      <c r="M254" s="17">
        <v>2025.0</v>
      </c>
      <c r="N254" s="17">
        <v>20.0</v>
      </c>
      <c r="O254" s="23">
        <v>137.0</v>
      </c>
      <c r="P254" s="24">
        <f t="shared" si="9"/>
        <v>383.6</v>
      </c>
      <c r="Q254" s="25">
        <v>2.0</v>
      </c>
      <c r="R254" s="17">
        <v>1.0</v>
      </c>
      <c r="S254" s="26">
        <v>1.0</v>
      </c>
      <c r="T254" s="17">
        <v>1.0</v>
      </c>
      <c r="U254" s="17">
        <v>2.0</v>
      </c>
      <c r="V254" s="17" t="s">
        <v>75</v>
      </c>
      <c r="W254" s="28" t="s">
        <v>76</v>
      </c>
      <c r="X254" s="28" t="s">
        <v>78</v>
      </c>
      <c r="Y254" s="24">
        <v>10.0</v>
      </c>
      <c r="Z254" s="17">
        <v>150.0</v>
      </c>
      <c r="AA254" s="17">
        <v>576.0</v>
      </c>
      <c r="AB254" s="17">
        <v>31.0</v>
      </c>
      <c r="AC254" s="20">
        <f t="shared" si="2"/>
        <v>35712</v>
      </c>
      <c r="AD254" s="30">
        <f t="shared" si="3"/>
        <v>18.80666667</v>
      </c>
      <c r="AE254" s="30">
        <f t="shared" si="10"/>
        <v>7214.237333</v>
      </c>
      <c r="AF254" s="30">
        <f t="shared" si="5"/>
        <v>1108.918328</v>
      </c>
      <c r="AG254" s="34">
        <v>1.0</v>
      </c>
      <c r="AH254" s="36"/>
      <c r="AI254" s="30">
        <f t="shared" si="6"/>
        <v>3278.688525</v>
      </c>
      <c r="AJ254" s="17">
        <v>4000.0</v>
      </c>
      <c r="AK254" s="30">
        <f t="shared" si="7"/>
        <v>6557.377049</v>
      </c>
      <c r="AL254" s="20">
        <f t="shared" si="8"/>
        <v>8000</v>
      </c>
    </row>
    <row r="255">
      <c r="A255" s="16" t="s">
        <v>1161</v>
      </c>
      <c r="B255" s="17" t="s">
        <v>142</v>
      </c>
      <c r="C255" s="17" t="s">
        <v>143</v>
      </c>
      <c r="D255" s="17" t="s">
        <v>61</v>
      </c>
      <c r="E255" s="17" t="s">
        <v>1004</v>
      </c>
      <c r="F255" s="17" t="s">
        <v>63</v>
      </c>
      <c r="G255" s="19">
        <v>46087.0</v>
      </c>
      <c r="H255" s="17" t="s">
        <v>104</v>
      </c>
      <c r="I255" s="20" t="s">
        <v>1162</v>
      </c>
      <c r="J255" s="21" t="s">
        <v>1166</v>
      </c>
      <c r="K255" s="22" t="s">
        <v>1167</v>
      </c>
      <c r="L255" s="22" t="s">
        <v>1168</v>
      </c>
      <c r="M255" s="17">
        <v>2025.0</v>
      </c>
      <c r="N255" s="17">
        <v>20.0</v>
      </c>
      <c r="O255" s="23">
        <v>306.0</v>
      </c>
      <c r="P255" s="24">
        <f t="shared" si="9"/>
        <v>856.8</v>
      </c>
      <c r="Q255" s="25">
        <v>3.0</v>
      </c>
      <c r="R255" s="17">
        <v>0.0</v>
      </c>
      <c r="S255" s="26">
        <v>3.0</v>
      </c>
      <c r="T255" s="17">
        <v>3.0</v>
      </c>
      <c r="U255" s="17">
        <v>6.0</v>
      </c>
      <c r="V255" s="17" t="s">
        <v>130</v>
      </c>
      <c r="W255" s="28" t="s">
        <v>76</v>
      </c>
      <c r="X255" s="28" t="s">
        <v>78</v>
      </c>
      <c r="Y255" s="24">
        <v>10.0</v>
      </c>
      <c r="Z255" s="17">
        <v>150.0</v>
      </c>
      <c r="AA255" s="17">
        <v>576.0</v>
      </c>
      <c r="AB255" s="17">
        <v>31.0</v>
      </c>
      <c r="AC255" s="20">
        <f t="shared" si="2"/>
        <v>53568</v>
      </c>
      <c r="AD255" s="30">
        <f t="shared" si="3"/>
        <v>10.74666667</v>
      </c>
      <c r="AE255" s="30">
        <f t="shared" si="10"/>
        <v>9207.744</v>
      </c>
      <c r="AF255" s="30">
        <f t="shared" si="5"/>
        <v>1303.250829</v>
      </c>
      <c r="AG255" s="34">
        <v>1.0</v>
      </c>
      <c r="AH255" s="36"/>
      <c r="AI255" s="30">
        <f t="shared" si="6"/>
        <v>3278.688525</v>
      </c>
      <c r="AJ255" s="17">
        <v>4000.0</v>
      </c>
      <c r="AK255" s="30">
        <f t="shared" si="7"/>
        <v>9836.065574</v>
      </c>
      <c r="AL255" s="20">
        <f t="shared" si="8"/>
        <v>12000</v>
      </c>
    </row>
    <row r="256">
      <c r="A256" s="16" t="s">
        <v>1161</v>
      </c>
      <c r="B256" s="17" t="s">
        <v>142</v>
      </c>
      <c r="C256" s="17" t="s">
        <v>143</v>
      </c>
      <c r="D256" s="17" t="s">
        <v>61</v>
      </c>
      <c r="E256" s="17" t="s">
        <v>1004</v>
      </c>
      <c r="F256" s="17" t="s">
        <v>63</v>
      </c>
      <c r="G256" s="19">
        <v>46087.0</v>
      </c>
      <c r="H256" s="17" t="s">
        <v>104</v>
      </c>
      <c r="I256" s="20" t="s">
        <v>1162</v>
      </c>
      <c r="J256" s="21" t="s">
        <v>1166</v>
      </c>
      <c r="K256" s="22" t="s">
        <v>1167</v>
      </c>
      <c r="L256" s="22" t="s">
        <v>1168</v>
      </c>
      <c r="M256" s="17">
        <v>2025.0</v>
      </c>
      <c r="N256" s="17">
        <v>20.0</v>
      </c>
      <c r="O256" s="23">
        <v>306.0</v>
      </c>
      <c r="P256" s="24">
        <f t="shared" si="9"/>
        <v>856.8</v>
      </c>
      <c r="Q256" s="25">
        <v>3.0</v>
      </c>
      <c r="R256" s="17">
        <v>3.0</v>
      </c>
      <c r="S256" s="26">
        <v>3.0</v>
      </c>
      <c r="T256" s="17">
        <v>0.0</v>
      </c>
      <c r="U256" s="17">
        <v>6.0</v>
      </c>
      <c r="V256" s="17" t="s">
        <v>75</v>
      </c>
      <c r="W256" s="28" t="s">
        <v>76</v>
      </c>
      <c r="X256" s="28" t="s">
        <v>78</v>
      </c>
      <c r="Y256" s="24">
        <v>10.0</v>
      </c>
      <c r="Z256" s="17">
        <v>150.0</v>
      </c>
      <c r="AA256" s="17">
        <v>576.0</v>
      </c>
      <c r="AB256" s="17">
        <v>31.0</v>
      </c>
      <c r="AC256" s="20">
        <f t="shared" si="2"/>
        <v>53568</v>
      </c>
      <c r="AD256" s="30">
        <f t="shared" si="3"/>
        <v>8.06</v>
      </c>
      <c r="AE256" s="30">
        <f t="shared" si="10"/>
        <v>6905.808</v>
      </c>
      <c r="AF256" s="30">
        <f t="shared" si="5"/>
        <v>1737.667772</v>
      </c>
      <c r="AG256" s="34">
        <v>1.0</v>
      </c>
      <c r="AH256" s="36"/>
      <c r="AI256" s="30">
        <f t="shared" si="6"/>
        <v>3278.688525</v>
      </c>
      <c r="AJ256" s="17">
        <v>4000.0</v>
      </c>
      <c r="AK256" s="30">
        <f t="shared" si="7"/>
        <v>9836.065574</v>
      </c>
      <c r="AL256" s="20">
        <f t="shared" si="8"/>
        <v>12000</v>
      </c>
    </row>
    <row r="257">
      <c r="A257" s="16" t="s">
        <v>1161</v>
      </c>
      <c r="B257" s="17" t="s">
        <v>142</v>
      </c>
      <c r="C257" s="17" t="s">
        <v>143</v>
      </c>
      <c r="D257" s="17" t="s">
        <v>61</v>
      </c>
      <c r="E257" s="17" t="s">
        <v>1004</v>
      </c>
      <c r="F257" s="17" t="s">
        <v>63</v>
      </c>
      <c r="G257" s="19">
        <v>46087.0</v>
      </c>
      <c r="H257" s="17" t="s">
        <v>104</v>
      </c>
      <c r="I257" s="20" t="s">
        <v>1162</v>
      </c>
      <c r="J257" s="21" t="s">
        <v>1169</v>
      </c>
      <c r="K257" s="22" t="s">
        <v>1170</v>
      </c>
      <c r="L257" s="22" t="s">
        <v>1171</v>
      </c>
      <c r="M257" s="17">
        <v>2025.0</v>
      </c>
      <c r="N257" s="17">
        <v>20.0</v>
      </c>
      <c r="O257" s="23">
        <v>221.0</v>
      </c>
      <c r="P257" s="24">
        <f t="shared" si="9"/>
        <v>618.8</v>
      </c>
      <c r="Q257" s="25">
        <v>2.0</v>
      </c>
      <c r="R257" s="17">
        <v>1.0</v>
      </c>
      <c r="S257" s="26">
        <v>1.0</v>
      </c>
      <c r="T257" s="17">
        <v>1.0</v>
      </c>
      <c r="U257" s="17">
        <v>2.0</v>
      </c>
      <c r="V257" s="17" t="s">
        <v>75</v>
      </c>
      <c r="W257" s="28" t="s">
        <v>76</v>
      </c>
      <c r="X257" s="28" t="s">
        <v>78</v>
      </c>
      <c r="Y257" s="24">
        <v>10.0</v>
      </c>
      <c r="Z257" s="17">
        <v>150.0</v>
      </c>
      <c r="AA257" s="17">
        <v>576.0</v>
      </c>
      <c r="AB257" s="17">
        <v>31.0</v>
      </c>
      <c r="AC257" s="20">
        <f t="shared" si="2"/>
        <v>35712</v>
      </c>
      <c r="AD257" s="30">
        <f t="shared" si="3"/>
        <v>18.80666667</v>
      </c>
      <c r="AE257" s="30">
        <f t="shared" si="10"/>
        <v>11637.56533</v>
      </c>
      <c r="AF257" s="30">
        <f t="shared" si="5"/>
        <v>687.4290086</v>
      </c>
      <c r="AG257" s="34">
        <v>1.0</v>
      </c>
      <c r="AH257" s="36"/>
      <c r="AI257" s="30">
        <f t="shared" si="6"/>
        <v>3278.688525</v>
      </c>
      <c r="AJ257" s="17">
        <v>4000.0</v>
      </c>
      <c r="AK257" s="30">
        <f t="shared" si="7"/>
        <v>6557.377049</v>
      </c>
      <c r="AL257" s="20">
        <f t="shared" si="8"/>
        <v>8000</v>
      </c>
    </row>
    <row r="258">
      <c r="A258" s="16" t="s">
        <v>1161</v>
      </c>
      <c r="B258" s="17" t="s">
        <v>142</v>
      </c>
      <c r="C258" s="17" t="s">
        <v>143</v>
      </c>
      <c r="D258" s="17" t="s">
        <v>61</v>
      </c>
      <c r="E258" s="17" t="s">
        <v>1004</v>
      </c>
      <c r="F258" s="17" t="s">
        <v>63</v>
      </c>
      <c r="G258" s="19">
        <v>46087.0</v>
      </c>
      <c r="H258" s="17" t="s">
        <v>104</v>
      </c>
      <c r="I258" s="20" t="s">
        <v>1162</v>
      </c>
      <c r="J258" s="21" t="s">
        <v>1172</v>
      </c>
      <c r="K258" s="22" t="s">
        <v>1173</v>
      </c>
      <c r="L258" s="22" t="s">
        <v>1174</v>
      </c>
      <c r="M258" s="17">
        <v>2025.0</v>
      </c>
      <c r="N258" s="17">
        <v>20.0</v>
      </c>
      <c r="O258" s="23">
        <v>136.0</v>
      </c>
      <c r="P258" s="24">
        <f t="shared" si="9"/>
        <v>380.8</v>
      </c>
      <c r="Q258" s="25">
        <v>2.0</v>
      </c>
      <c r="R258" s="17">
        <v>1.0</v>
      </c>
      <c r="S258" s="26">
        <v>1.0</v>
      </c>
      <c r="T258" s="17">
        <v>1.0</v>
      </c>
      <c r="U258" s="17">
        <v>2.0</v>
      </c>
      <c r="V258" s="17" t="s">
        <v>75</v>
      </c>
      <c r="W258" s="28" t="s">
        <v>76</v>
      </c>
      <c r="X258" s="28" t="s">
        <v>78</v>
      </c>
      <c r="Y258" s="24">
        <v>10.0</v>
      </c>
      <c r="Z258" s="17">
        <v>150.0</v>
      </c>
      <c r="AA258" s="17">
        <v>576.0</v>
      </c>
      <c r="AB258" s="17">
        <v>31.0</v>
      </c>
      <c r="AC258" s="20">
        <f t="shared" si="2"/>
        <v>35712</v>
      </c>
      <c r="AD258" s="30">
        <f t="shared" si="3"/>
        <v>18.80666667</v>
      </c>
      <c r="AE258" s="30">
        <f t="shared" si="10"/>
        <v>7161.578667</v>
      </c>
      <c r="AF258" s="30">
        <f t="shared" si="5"/>
        <v>1117.072139</v>
      </c>
      <c r="AG258" s="34">
        <v>1.0</v>
      </c>
      <c r="AH258" s="36"/>
      <c r="AI258" s="30">
        <f t="shared" si="6"/>
        <v>3278.688525</v>
      </c>
      <c r="AJ258" s="17">
        <v>4000.0</v>
      </c>
      <c r="AK258" s="30">
        <f t="shared" si="7"/>
        <v>6557.377049</v>
      </c>
      <c r="AL258" s="20">
        <f t="shared" si="8"/>
        <v>8000</v>
      </c>
    </row>
    <row r="259">
      <c r="A259" s="16" t="s">
        <v>1175</v>
      </c>
      <c r="B259" s="17" t="s">
        <v>142</v>
      </c>
      <c r="C259" s="17" t="s">
        <v>143</v>
      </c>
      <c r="D259" s="17" t="s">
        <v>940</v>
      </c>
      <c r="E259" s="17" t="s">
        <v>1067</v>
      </c>
      <c r="F259" s="17" t="s">
        <v>63</v>
      </c>
      <c r="G259" s="19">
        <v>46092.0</v>
      </c>
      <c r="H259" s="17" t="s">
        <v>65</v>
      </c>
      <c r="I259" s="20" t="s">
        <v>1176</v>
      </c>
      <c r="J259" s="21" t="s">
        <v>1177</v>
      </c>
      <c r="K259" s="22" t="s">
        <v>1178</v>
      </c>
      <c r="L259" s="22" t="s">
        <v>1179</v>
      </c>
      <c r="M259" s="17">
        <v>2023.0</v>
      </c>
      <c r="N259" s="17">
        <v>15.0</v>
      </c>
      <c r="O259" s="23">
        <v>248.0</v>
      </c>
      <c r="P259" s="24">
        <f t="shared" si="9"/>
        <v>694.4</v>
      </c>
      <c r="Q259" s="25">
        <v>6.0</v>
      </c>
      <c r="R259" s="17">
        <v>3.0</v>
      </c>
      <c r="S259" s="26">
        <v>3.0</v>
      </c>
      <c r="T259" s="17">
        <v>3.0</v>
      </c>
      <c r="U259" s="17">
        <v>5.0</v>
      </c>
      <c r="V259" s="17" t="s">
        <v>75</v>
      </c>
      <c r="W259" s="28" t="s">
        <v>76</v>
      </c>
      <c r="X259" s="28" t="s">
        <v>78</v>
      </c>
      <c r="Y259" s="24">
        <v>10.0</v>
      </c>
      <c r="Z259" s="17">
        <v>150.0</v>
      </c>
      <c r="AA259" s="17">
        <v>576.0</v>
      </c>
      <c r="AB259" s="17">
        <v>31.0</v>
      </c>
      <c r="AC259" s="20">
        <f t="shared" si="2"/>
        <v>107136</v>
      </c>
      <c r="AD259" s="30">
        <f t="shared" si="3"/>
        <v>17.732</v>
      </c>
      <c r="AE259" s="30">
        <f t="shared" si="10"/>
        <v>12313.1008</v>
      </c>
      <c r="AF259" s="30">
        <f t="shared" si="5"/>
        <v>1949.143468</v>
      </c>
      <c r="AG259" s="34">
        <v>1.0</v>
      </c>
      <c r="AH259" s="36"/>
      <c r="AI259" s="30">
        <f t="shared" si="6"/>
        <v>3278.688525</v>
      </c>
      <c r="AJ259" s="17">
        <v>4000.0</v>
      </c>
      <c r="AK259" s="30">
        <f t="shared" si="7"/>
        <v>19672.13115</v>
      </c>
      <c r="AL259" s="20">
        <f t="shared" si="8"/>
        <v>24000</v>
      </c>
    </row>
    <row r="260">
      <c r="A260" s="16" t="s">
        <v>1180</v>
      </c>
      <c r="B260" s="17" t="s">
        <v>142</v>
      </c>
      <c r="C260" s="17" t="s">
        <v>143</v>
      </c>
      <c r="D260" s="17" t="s">
        <v>61</v>
      </c>
      <c r="E260" s="17" t="s">
        <v>1004</v>
      </c>
      <c r="F260" s="17" t="s">
        <v>103</v>
      </c>
      <c r="G260" s="19">
        <v>46101.0</v>
      </c>
      <c r="H260" s="17" t="s">
        <v>104</v>
      </c>
      <c r="I260" s="20" t="s">
        <v>1181</v>
      </c>
      <c r="J260" s="21" t="s">
        <v>1182</v>
      </c>
      <c r="K260" s="22" t="s">
        <v>1183</v>
      </c>
      <c r="L260" s="22" t="s">
        <v>1184</v>
      </c>
      <c r="M260" s="17">
        <v>2014.0</v>
      </c>
      <c r="N260" s="17">
        <v>11.0</v>
      </c>
      <c r="O260" s="23">
        <v>105.0</v>
      </c>
      <c r="P260" s="24">
        <f t="shared" si="9"/>
        <v>294</v>
      </c>
      <c r="Q260" s="25">
        <v>8.0</v>
      </c>
      <c r="R260" s="17">
        <v>4.0</v>
      </c>
      <c r="S260" s="26">
        <v>4.0</v>
      </c>
      <c r="T260" s="17">
        <v>4.0</v>
      </c>
      <c r="U260" s="17">
        <v>4.0</v>
      </c>
      <c r="V260" s="17" t="s">
        <v>75</v>
      </c>
      <c r="W260" s="28" t="s">
        <v>76</v>
      </c>
      <c r="X260" s="28" t="s">
        <v>78</v>
      </c>
      <c r="Y260" s="24">
        <v>10.0</v>
      </c>
      <c r="Z260" s="17">
        <v>150.0</v>
      </c>
      <c r="AA260" s="17">
        <v>576.0</v>
      </c>
      <c r="AB260" s="17">
        <v>31.0</v>
      </c>
      <c r="AC260" s="20">
        <f t="shared" si="2"/>
        <v>142848</v>
      </c>
      <c r="AD260" s="30">
        <f t="shared" si="3"/>
        <v>19.88133333</v>
      </c>
      <c r="AE260" s="30">
        <f t="shared" si="10"/>
        <v>5845.112</v>
      </c>
      <c r="AF260" s="30">
        <f t="shared" si="5"/>
        <v>5474.659853</v>
      </c>
      <c r="AG260" s="34">
        <v>1.0</v>
      </c>
      <c r="AH260" s="36"/>
      <c r="AI260" s="30">
        <f t="shared" si="6"/>
        <v>3278.688525</v>
      </c>
      <c r="AJ260" s="17">
        <v>4000.0</v>
      </c>
      <c r="AK260" s="30">
        <f t="shared" si="7"/>
        <v>26229.5082</v>
      </c>
      <c r="AL260" s="20">
        <f t="shared" si="8"/>
        <v>32000</v>
      </c>
    </row>
    <row r="261">
      <c r="A261" s="16" t="s">
        <v>1180</v>
      </c>
      <c r="B261" s="17" t="s">
        <v>142</v>
      </c>
      <c r="C261" s="17" t="s">
        <v>143</v>
      </c>
      <c r="D261" s="17" t="s">
        <v>61</v>
      </c>
      <c r="E261" s="17" t="s">
        <v>1004</v>
      </c>
      <c r="F261" s="17" t="s">
        <v>103</v>
      </c>
      <c r="G261" s="19">
        <v>46101.0</v>
      </c>
      <c r="H261" s="17" t="s">
        <v>104</v>
      </c>
      <c r="I261" s="20" t="s">
        <v>1181</v>
      </c>
      <c r="J261" s="21" t="s">
        <v>1185</v>
      </c>
      <c r="K261" s="28" t="s">
        <v>1186</v>
      </c>
      <c r="L261" s="22"/>
      <c r="M261" s="17">
        <v>2016.0</v>
      </c>
      <c r="N261" s="17">
        <v>18.0</v>
      </c>
      <c r="O261" s="23">
        <v>256.0</v>
      </c>
      <c r="P261" s="24">
        <f t="shared" si="9"/>
        <v>716.8</v>
      </c>
      <c r="Q261" s="25">
        <v>6.0</v>
      </c>
      <c r="R261" s="17">
        <v>3.0</v>
      </c>
      <c r="S261" s="26">
        <v>1.0</v>
      </c>
      <c r="T261" s="17">
        <v>3.0</v>
      </c>
      <c r="U261" s="17">
        <v>1.0</v>
      </c>
      <c r="V261" s="17" t="s">
        <v>130</v>
      </c>
      <c r="W261" s="28" t="s">
        <v>76</v>
      </c>
      <c r="X261" s="28" t="s">
        <v>78</v>
      </c>
      <c r="Y261" s="24">
        <v>10.0</v>
      </c>
      <c r="Z261" s="17">
        <v>150.0</v>
      </c>
      <c r="AA261" s="17">
        <v>576.0</v>
      </c>
      <c r="AB261" s="17">
        <v>31.0</v>
      </c>
      <c r="AC261" s="20">
        <f t="shared" si="2"/>
        <v>107136</v>
      </c>
      <c r="AD261" s="30">
        <f t="shared" si="3"/>
        <v>82.212</v>
      </c>
      <c r="AE261" s="30">
        <f t="shared" si="10"/>
        <v>58929.5616</v>
      </c>
      <c r="AF261" s="30">
        <f t="shared" si="5"/>
        <v>407.265884</v>
      </c>
      <c r="AG261" s="34">
        <v>1.0</v>
      </c>
      <c r="AH261" s="36"/>
      <c r="AI261" s="30">
        <f t="shared" si="6"/>
        <v>3278.688525</v>
      </c>
      <c r="AJ261" s="17">
        <v>4000.0</v>
      </c>
      <c r="AK261" s="30">
        <f t="shared" si="7"/>
        <v>19672.13115</v>
      </c>
      <c r="AL261" s="20">
        <f t="shared" si="8"/>
        <v>24000</v>
      </c>
    </row>
    <row r="262">
      <c r="A262" s="16" t="s">
        <v>1187</v>
      </c>
      <c r="B262" s="17" t="s">
        <v>142</v>
      </c>
      <c r="C262" s="17" t="s">
        <v>143</v>
      </c>
      <c r="D262" s="17" t="s">
        <v>61</v>
      </c>
      <c r="E262" s="54" t="s">
        <v>1067</v>
      </c>
      <c r="F262" s="17" t="s">
        <v>103</v>
      </c>
      <c r="G262" s="19">
        <v>46107.0</v>
      </c>
      <c r="H262" s="17" t="s">
        <v>104</v>
      </c>
      <c r="I262" s="20" t="s">
        <v>1188</v>
      </c>
      <c r="J262" s="21" t="s">
        <v>1189</v>
      </c>
      <c r="K262" s="22" t="s">
        <v>1190</v>
      </c>
      <c r="L262" s="22" t="s">
        <v>1191</v>
      </c>
      <c r="M262" s="17">
        <v>2011.0</v>
      </c>
      <c r="N262" s="17">
        <v>8.0</v>
      </c>
      <c r="O262" s="23">
        <v>63.0</v>
      </c>
      <c r="P262" s="24">
        <f t="shared" si="9"/>
        <v>176.4</v>
      </c>
      <c r="Q262" s="25">
        <v>3.0</v>
      </c>
      <c r="R262" s="17">
        <v>3.0</v>
      </c>
      <c r="S262" s="26">
        <v>3.0</v>
      </c>
      <c r="T262" s="17">
        <v>0.0</v>
      </c>
      <c r="U262" s="17">
        <v>3.0</v>
      </c>
      <c r="V262" s="17" t="s">
        <v>75</v>
      </c>
      <c r="W262" s="28" t="s">
        <v>76</v>
      </c>
      <c r="X262" s="28" t="s">
        <v>78</v>
      </c>
      <c r="Y262" s="24">
        <v>10.0</v>
      </c>
      <c r="Z262" s="17">
        <v>150.0</v>
      </c>
      <c r="AA262" s="17">
        <v>576.0</v>
      </c>
      <c r="AB262" s="17">
        <v>31.0</v>
      </c>
      <c r="AC262" s="20">
        <f t="shared" si="2"/>
        <v>53568</v>
      </c>
      <c r="AD262" s="30">
        <f t="shared" si="3"/>
        <v>8.06</v>
      </c>
      <c r="AE262" s="30">
        <f t="shared" si="10"/>
        <v>1421.784</v>
      </c>
      <c r="AF262" s="30">
        <f t="shared" si="5"/>
        <v>8440.100606</v>
      </c>
      <c r="AG262" s="34">
        <v>1.0</v>
      </c>
      <c r="AH262" s="36"/>
      <c r="AI262" s="30">
        <f t="shared" si="6"/>
        <v>3278.688525</v>
      </c>
      <c r="AJ262" s="17">
        <v>4000.0</v>
      </c>
      <c r="AK262" s="30">
        <f t="shared" si="7"/>
        <v>9836.065574</v>
      </c>
      <c r="AL262" s="20">
        <f t="shared" si="8"/>
        <v>12000</v>
      </c>
    </row>
    <row r="263">
      <c r="A263" s="16" t="s">
        <v>1187</v>
      </c>
      <c r="B263" s="17" t="s">
        <v>142</v>
      </c>
      <c r="C263" s="17" t="s">
        <v>143</v>
      </c>
      <c r="D263" s="17" t="s">
        <v>940</v>
      </c>
      <c r="E263" s="54" t="s">
        <v>1067</v>
      </c>
      <c r="F263" s="17" t="s">
        <v>103</v>
      </c>
      <c r="G263" s="19">
        <v>46107.0</v>
      </c>
      <c r="H263" s="17" t="s">
        <v>104</v>
      </c>
      <c r="I263" s="20" t="s">
        <v>1188</v>
      </c>
      <c r="J263" s="21" t="s">
        <v>1192</v>
      </c>
      <c r="K263" s="22" t="s">
        <v>1193</v>
      </c>
      <c r="L263" s="22" t="s">
        <v>1194</v>
      </c>
      <c r="M263" s="17">
        <v>2007.0</v>
      </c>
      <c r="N263" s="17">
        <v>14.0</v>
      </c>
      <c r="O263" s="23">
        <v>72.0</v>
      </c>
      <c r="P263" s="24">
        <f t="shared" si="9"/>
        <v>201.6</v>
      </c>
      <c r="Q263" s="25">
        <v>4.0</v>
      </c>
      <c r="R263" s="17">
        <v>0.0</v>
      </c>
      <c r="S263" s="26">
        <v>1.0</v>
      </c>
      <c r="T263" s="17">
        <v>4.0</v>
      </c>
      <c r="U263" s="17">
        <v>2.0</v>
      </c>
      <c r="V263" s="17" t="s">
        <v>130</v>
      </c>
      <c r="W263" s="28" t="s">
        <v>76</v>
      </c>
      <c r="X263" s="28" t="s">
        <v>78</v>
      </c>
      <c r="Y263" s="24">
        <v>10.0</v>
      </c>
      <c r="Z263" s="17">
        <v>150.0</v>
      </c>
      <c r="AA263" s="17">
        <v>576.0</v>
      </c>
      <c r="AB263" s="17">
        <v>31.0</v>
      </c>
      <c r="AC263" s="20">
        <f t="shared" si="2"/>
        <v>71424</v>
      </c>
      <c r="AD263" s="30">
        <f t="shared" si="3"/>
        <v>30.09066667</v>
      </c>
      <c r="AE263" s="30">
        <f t="shared" si="10"/>
        <v>6066.2784</v>
      </c>
      <c r="AF263" s="30">
        <f t="shared" si="5"/>
        <v>2637.531439</v>
      </c>
      <c r="AG263" s="34">
        <v>1.0</v>
      </c>
      <c r="AH263" s="36"/>
      <c r="AI263" s="30">
        <f t="shared" si="6"/>
        <v>3278.688525</v>
      </c>
      <c r="AJ263" s="17">
        <v>4000.0</v>
      </c>
      <c r="AK263" s="30">
        <f t="shared" si="7"/>
        <v>13114.7541</v>
      </c>
      <c r="AL263" s="20">
        <f t="shared" si="8"/>
        <v>16000</v>
      </c>
    </row>
    <row r="264">
      <c r="A264" s="16" t="s">
        <v>1187</v>
      </c>
      <c r="B264" s="17" t="s">
        <v>142</v>
      </c>
      <c r="C264" s="17" t="s">
        <v>143</v>
      </c>
      <c r="D264" s="17" t="s">
        <v>61</v>
      </c>
      <c r="E264" s="54" t="s">
        <v>1067</v>
      </c>
      <c r="F264" s="17" t="s">
        <v>103</v>
      </c>
      <c r="G264" s="19">
        <v>46107.0</v>
      </c>
      <c r="H264" s="17" t="s">
        <v>104</v>
      </c>
      <c r="I264" s="20" t="s">
        <v>1188</v>
      </c>
      <c r="J264" s="21" t="s">
        <v>1195</v>
      </c>
      <c r="K264" s="22" t="s">
        <v>1196</v>
      </c>
      <c r="L264" s="22" t="s">
        <v>1197</v>
      </c>
      <c r="M264" s="17">
        <v>2021.0</v>
      </c>
      <c r="N264" s="17">
        <v>10.0</v>
      </c>
      <c r="O264" s="23">
        <v>66.0</v>
      </c>
      <c r="P264" s="24">
        <f t="shared" si="9"/>
        <v>184.8</v>
      </c>
      <c r="Q264" s="25">
        <v>4.0</v>
      </c>
      <c r="R264" s="17">
        <v>0.0</v>
      </c>
      <c r="S264" s="26">
        <v>2.0</v>
      </c>
      <c r="T264" s="17">
        <v>4.0</v>
      </c>
      <c r="U264" s="17">
        <v>2.0</v>
      </c>
      <c r="V264" s="17" t="s">
        <v>130</v>
      </c>
      <c r="W264" s="28" t="s">
        <v>76</v>
      </c>
      <c r="X264" s="28" t="s">
        <v>78</v>
      </c>
      <c r="Y264" s="24">
        <v>10.0</v>
      </c>
      <c r="Z264" s="17">
        <v>150.0</v>
      </c>
      <c r="AA264" s="17">
        <v>576.0</v>
      </c>
      <c r="AB264" s="17">
        <v>31.0</v>
      </c>
      <c r="AC264" s="20">
        <f t="shared" si="2"/>
        <v>71424</v>
      </c>
      <c r="AD264" s="30">
        <f t="shared" si="3"/>
        <v>21.49333333</v>
      </c>
      <c r="AE264" s="30">
        <f t="shared" si="10"/>
        <v>3971.968</v>
      </c>
      <c r="AF264" s="30">
        <f t="shared" si="5"/>
        <v>4028.229835</v>
      </c>
      <c r="AG264" s="34">
        <v>1.0</v>
      </c>
      <c r="AH264" s="36"/>
      <c r="AI264" s="30">
        <f t="shared" si="6"/>
        <v>3278.688525</v>
      </c>
      <c r="AJ264" s="17">
        <v>4000.0</v>
      </c>
      <c r="AK264" s="30">
        <f t="shared" si="7"/>
        <v>13114.7541</v>
      </c>
      <c r="AL264" s="20">
        <f t="shared" si="8"/>
        <v>16000</v>
      </c>
    </row>
    <row r="265">
      <c r="A265" s="16" t="s">
        <v>1187</v>
      </c>
      <c r="B265" s="17" t="s">
        <v>142</v>
      </c>
      <c r="C265" s="17" t="s">
        <v>143</v>
      </c>
      <c r="D265" s="17" t="s">
        <v>61</v>
      </c>
      <c r="E265" s="54" t="s">
        <v>1067</v>
      </c>
      <c r="F265" s="17" t="s">
        <v>103</v>
      </c>
      <c r="G265" s="19">
        <v>46107.0</v>
      </c>
      <c r="H265" s="17" t="s">
        <v>104</v>
      </c>
      <c r="I265" s="20" t="s">
        <v>1188</v>
      </c>
      <c r="J265" s="21" t="s">
        <v>1198</v>
      </c>
      <c r="K265" s="28" t="s">
        <v>1199</v>
      </c>
      <c r="L265" s="28" t="s">
        <v>1200</v>
      </c>
      <c r="M265" s="17">
        <v>2006.0</v>
      </c>
      <c r="N265" s="17">
        <v>11.0</v>
      </c>
      <c r="O265" s="23">
        <v>94.0</v>
      </c>
      <c r="P265" s="24">
        <f t="shared" si="9"/>
        <v>263.2</v>
      </c>
      <c r="Q265" s="25">
        <v>4.0</v>
      </c>
      <c r="R265" s="17">
        <v>0.0</v>
      </c>
      <c r="S265" s="26">
        <v>4.0</v>
      </c>
      <c r="T265" s="17">
        <v>4.0</v>
      </c>
      <c r="U265" s="17">
        <v>4.0</v>
      </c>
      <c r="V265" s="17" t="s">
        <v>130</v>
      </c>
      <c r="W265" s="28" t="s">
        <v>76</v>
      </c>
      <c r="X265" s="28" t="s">
        <v>78</v>
      </c>
      <c r="Y265" s="24">
        <v>10.0</v>
      </c>
      <c r="Z265" s="17">
        <v>150.0</v>
      </c>
      <c r="AA265" s="17">
        <v>576.0</v>
      </c>
      <c r="AB265" s="17">
        <v>31.0</v>
      </c>
      <c r="AC265" s="20">
        <f t="shared" si="2"/>
        <v>71424</v>
      </c>
      <c r="AD265" s="30">
        <f t="shared" si="3"/>
        <v>11.82133333</v>
      </c>
      <c r="AE265" s="30">
        <f t="shared" si="10"/>
        <v>3111.374933</v>
      </c>
      <c r="AF265" s="30">
        <f t="shared" si="5"/>
        <v>5142.421066</v>
      </c>
      <c r="AG265" s="34">
        <v>1.0</v>
      </c>
      <c r="AH265" s="36"/>
      <c r="AI265" s="30">
        <f t="shared" si="6"/>
        <v>3278.688525</v>
      </c>
      <c r="AJ265" s="17">
        <v>4000.0</v>
      </c>
      <c r="AK265" s="30">
        <f t="shared" si="7"/>
        <v>13114.7541</v>
      </c>
      <c r="AL265" s="20">
        <f t="shared" si="8"/>
        <v>16000</v>
      </c>
    </row>
    <row r="266">
      <c r="A266" s="16" t="s">
        <v>1201</v>
      </c>
      <c r="B266" s="17" t="s">
        <v>142</v>
      </c>
      <c r="C266" s="17" t="s">
        <v>143</v>
      </c>
      <c r="D266" s="17" t="s">
        <v>940</v>
      </c>
      <c r="E266" s="54" t="s">
        <v>1067</v>
      </c>
      <c r="F266" s="17" t="s">
        <v>103</v>
      </c>
      <c r="G266" s="19">
        <v>46133.0</v>
      </c>
      <c r="H266" s="17" t="s">
        <v>104</v>
      </c>
      <c r="I266" s="20" t="s">
        <v>258</v>
      </c>
      <c r="J266" s="21" t="s">
        <v>1202</v>
      </c>
      <c r="K266" s="22" t="s">
        <v>1203</v>
      </c>
      <c r="L266" s="22" t="s">
        <v>1204</v>
      </c>
      <c r="M266" s="17">
        <v>2015.0</v>
      </c>
      <c r="N266" s="17">
        <v>14.0</v>
      </c>
      <c r="O266" s="23">
        <v>119.0</v>
      </c>
      <c r="P266" s="24">
        <f t="shared" si="9"/>
        <v>333.2</v>
      </c>
      <c r="Q266" s="25">
        <v>2.0</v>
      </c>
      <c r="R266" s="17">
        <v>2.0</v>
      </c>
      <c r="S266" s="26">
        <v>3.0</v>
      </c>
      <c r="T266" s="17">
        <v>0.0</v>
      </c>
      <c r="U266" s="17">
        <v>4.0</v>
      </c>
      <c r="V266" s="17" t="s">
        <v>130</v>
      </c>
      <c r="W266" s="28" t="s">
        <v>76</v>
      </c>
      <c r="X266" s="28" t="s">
        <v>78</v>
      </c>
      <c r="Y266" s="24">
        <v>10.0</v>
      </c>
      <c r="Z266" s="17">
        <v>150.0</v>
      </c>
      <c r="AA266" s="17">
        <v>576.0</v>
      </c>
      <c r="AB266" s="17">
        <v>31.0</v>
      </c>
      <c r="AC266" s="20">
        <f t="shared" si="2"/>
        <v>35712</v>
      </c>
      <c r="AD266" s="30">
        <f t="shared" si="3"/>
        <v>5.373333333</v>
      </c>
      <c r="AE266" s="30">
        <f t="shared" si="10"/>
        <v>1790.394667</v>
      </c>
      <c r="AF266" s="30">
        <f t="shared" si="5"/>
        <v>4468.288556</v>
      </c>
      <c r="AG266" s="34">
        <v>1.0</v>
      </c>
      <c r="AH266" s="36"/>
      <c r="AI266" s="30">
        <f t="shared" si="6"/>
        <v>3278.688525</v>
      </c>
      <c r="AJ266" s="17">
        <v>4000.0</v>
      </c>
      <c r="AK266" s="30">
        <f t="shared" si="7"/>
        <v>6557.377049</v>
      </c>
      <c r="AL266" s="20">
        <f t="shared" si="8"/>
        <v>8000</v>
      </c>
    </row>
    <row r="267">
      <c r="A267" s="16" t="s">
        <v>1201</v>
      </c>
      <c r="B267" s="17" t="s">
        <v>142</v>
      </c>
      <c r="C267" s="17" t="s">
        <v>143</v>
      </c>
      <c r="D267" s="17" t="s">
        <v>940</v>
      </c>
      <c r="E267" s="54" t="s">
        <v>1067</v>
      </c>
      <c r="F267" s="17" t="s">
        <v>103</v>
      </c>
      <c r="G267" s="19">
        <v>46133.0</v>
      </c>
      <c r="H267" s="17" t="s">
        <v>104</v>
      </c>
      <c r="I267" s="20" t="s">
        <v>258</v>
      </c>
      <c r="J267" s="21" t="s">
        <v>1205</v>
      </c>
      <c r="K267" s="22" t="s">
        <v>1206</v>
      </c>
      <c r="L267" s="22" t="s">
        <v>1207</v>
      </c>
      <c r="M267" s="17">
        <v>2015.0</v>
      </c>
      <c r="N267" s="17">
        <v>14.0</v>
      </c>
      <c r="O267" s="23">
        <v>172.0</v>
      </c>
      <c r="P267" s="24">
        <f t="shared" si="9"/>
        <v>481.6</v>
      </c>
      <c r="Q267" s="25">
        <v>3.0</v>
      </c>
      <c r="R267" s="17">
        <v>3.0</v>
      </c>
      <c r="S267" s="26">
        <v>3.0</v>
      </c>
      <c r="T267" s="17">
        <v>0.0</v>
      </c>
      <c r="U267" s="17">
        <v>6.0</v>
      </c>
      <c r="V267" s="17" t="s">
        <v>130</v>
      </c>
      <c r="W267" s="28" t="s">
        <v>76</v>
      </c>
      <c r="X267" s="28" t="s">
        <v>78</v>
      </c>
      <c r="Y267" s="24">
        <v>10.0</v>
      </c>
      <c r="Z267" s="17">
        <v>150.0</v>
      </c>
      <c r="AA267" s="17">
        <v>576.0</v>
      </c>
      <c r="AB267" s="17">
        <v>31.0</v>
      </c>
      <c r="AC267" s="20">
        <f t="shared" si="2"/>
        <v>53568</v>
      </c>
      <c r="AD267" s="30">
        <f t="shared" si="3"/>
        <v>8.06</v>
      </c>
      <c r="AE267" s="30">
        <f t="shared" si="10"/>
        <v>3881.696</v>
      </c>
      <c r="AF267" s="30">
        <f t="shared" si="5"/>
        <v>3091.432199</v>
      </c>
      <c r="AG267" s="34">
        <v>1.0</v>
      </c>
      <c r="AH267" s="36"/>
      <c r="AI267" s="30">
        <f t="shared" si="6"/>
        <v>3278.688525</v>
      </c>
      <c r="AJ267" s="17">
        <v>4000.0</v>
      </c>
      <c r="AK267" s="30">
        <f t="shared" si="7"/>
        <v>9836.065574</v>
      </c>
      <c r="AL267" s="20">
        <f t="shared" si="8"/>
        <v>12000</v>
      </c>
    </row>
    <row r="268">
      <c r="A268" s="16" t="s">
        <v>1201</v>
      </c>
      <c r="B268" s="17" t="s">
        <v>142</v>
      </c>
      <c r="C268" s="17" t="s">
        <v>143</v>
      </c>
      <c r="D268" s="17" t="s">
        <v>940</v>
      </c>
      <c r="E268" s="54" t="s">
        <v>1067</v>
      </c>
      <c r="F268" s="17" t="s">
        <v>103</v>
      </c>
      <c r="G268" s="19">
        <v>46133.0</v>
      </c>
      <c r="H268" s="17" t="s">
        <v>104</v>
      </c>
      <c r="I268" s="20" t="s">
        <v>258</v>
      </c>
      <c r="J268" s="21" t="s">
        <v>1208</v>
      </c>
      <c r="K268" s="22" t="s">
        <v>1206</v>
      </c>
      <c r="L268" s="22" t="s">
        <v>1207</v>
      </c>
      <c r="M268" s="17">
        <v>2015.0</v>
      </c>
      <c r="N268" s="17">
        <v>14.0</v>
      </c>
      <c r="O268" s="23">
        <v>172.0</v>
      </c>
      <c r="P268" s="24">
        <f t="shared" si="9"/>
        <v>481.6</v>
      </c>
      <c r="Q268" s="25">
        <v>2.0</v>
      </c>
      <c r="R268" s="17">
        <v>2.0</v>
      </c>
      <c r="S268" s="26">
        <v>3.0</v>
      </c>
      <c r="T268" s="17">
        <v>0.0</v>
      </c>
      <c r="U268" s="17">
        <v>6.0</v>
      </c>
      <c r="V268" s="17" t="s">
        <v>130</v>
      </c>
      <c r="W268" s="28" t="s">
        <v>76</v>
      </c>
      <c r="X268" s="28" t="s">
        <v>78</v>
      </c>
      <c r="Y268" s="24">
        <v>10.0</v>
      </c>
      <c r="Z268" s="17">
        <v>150.0</v>
      </c>
      <c r="AA268" s="17">
        <v>576.0</v>
      </c>
      <c r="AB268" s="17">
        <v>31.0</v>
      </c>
      <c r="AC268" s="20">
        <f t="shared" si="2"/>
        <v>35712</v>
      </c>
      <c r="AD268" s="30">
        <f t="shared" si="3"/>
        <v>5.373333333</v>
      </c>
      <c r="AE268" s="30">
        <f t="shared" si="10"/>
        <v>2587.797333</v>
      </c>
      <c r="AF268" s="30">
        <f t="shared" si="5"/>
        <v>3091.432199</v>
      </c>
      <c r="AG268" s="34">
        <v>1.0</v>
      </c>
      <c r="AH268" s="36"/>
      <c r="AI268" s="30">
        <f t="shared" si="6"/>
        <v>3278.688525</v>
      </c>
      <c r="AJ268" s="17">
        <v>4000.0</v>
      </c>
      <c r="AK268" s="30">
        <f t="shared" si="7"/>
        <v>6557.377049</v>
      </c>
      <c r="AL268" s="20">
        <f t="shared" si="8"/>
        <v>8000</v>
      </c>
    </row>
    <row r="269">
      <c r="A269" s="41" t="s">
        <v>1209</v>
      </c>
      <c r="B269" s="42" t="s">
        <v>142</v>
      </c>
      <c r="C269" s="42" t="s">
        <v>143</v>
      </c>
      <c r="D269" s="42" t="s">
        <v>940</v>
      </c>
      <c r="E269" s="72"/>
      <c r="F269" s="17" t="s">
        <v>103</v>
      </c>
      <c r="G269" s="19">
        <v>46258.0</v>
      </c>
      <c r="H269" s="17" t="s">
        <v>104</v>
      </c>
      <c r="I269" s="42" t="s">
        <v>1210</v>
      </c>
      <c r="J269" s="44" t="s">
        <v>1211</v>
      </c>
      <c r="K269" s="45" t="s">
        <v>1212</v>
      </c>
      <c r="L269" s="46"/>
      <c r="M269" s="42">
        <v>2025.0</v>
      </c>
      <c r="N269" s="42">
        <v>11.0</v>
      </c>
      <c r="O269" s="47">
        <v>311.0</v>
      </c>
      <c r="P269" s="48">
        <f t="shared" si="9"/>
        <v>870.8</v>
      </c>
      <c r="Q269" s="41">
        <v>12.0</v>
      </c>
      <c r="R269" s="42">
        <v>6.0</v>
      </c>
      <c r="S269" s="49">
        <v>6.0</v>
      </c>
      <c r="T269" s="42">
        <v>6.0</v>
      </c>
      <c r="U269" s="42">
        <v>6.0</v>
      </c>
      <c r="V269" s="42" t="s">
        <v>130</v>
      </c>
      <c r="W269" s="45" t="s">
        <v>76</v>
      </c>
      <c r="X269" s="45" t="s">
        <v>78</v>
      </c>
      <c r="Y269" s="48">
        <v>10.0</v>
      </c>
      <c r="Z269" s="42">
        <v>150.0</v>
      </c>
      <c r="AA269" s="42">
        <v>576.0</v>
      </c>
      <c r="AB269" s="42">
        <v>31.0</v>
      </c>
      <c r="AC269" s="43">
        <f t="shared" si="2"/>
        <v>214272</v>
      </c>
      <c r="AD269" s="50">
        <f t="shared" si="3"/>
        <v>19.88133333</v>
      </c>
      <c r="AE269" s="50">
        <f t="shared" si="10"/>
        <v>17312.66507</v>
      </c>
      <c r="AF269" s="50">
        <f t="shared" si="5"/>
        <v>2772.536742</v>
      </c>
      <c r="AG269" s="51">
        <v>1.0</v>
      </c>
      <c r="AH269" s="52"/>
      <c r="AI269" s="50">
        <f t="shared" si="6"/>
        <v>3278.688525</v>
      </c>
      <c r="AJ269" s="42">
        <v>4000.0</v>
      </c>
      <c r="AK269" s="50">
        <f t="shared" si="7"/>
        <v>39344.2623</v>
      </c>
      <c r="AL269" s="43">
        <f t="shared" si="8"/>
        <v>48000</v>
      </c>
    </row>
    <row r="270">
      <c r="A270" s="16" t="s">
        <v>1213</v>
      </c>
      <c r="B270" s="17" t="s">
        <v>142</v>
      </c>
      <c r="C270" s="17" t="s">
        <v>143</v>
      </c>
      <c r="D270" s="17" t="s">
        <v>61</v>
      </c>
      <c r="E270" s="17" t="s">
        <v>947</v>
      </c>
      <c r="F270" s="17" t="s">
        <v>103</v>
      </c>
      <c r="G270" s="19">
        <v>46133.0</v>
      </c>
      <c r="H270" s="17" t="s">
        <v>104</v>
      </c>
      <c r="I270" s="20" t="s">
        <v>1214</v>
      </c>
      <c r="J270" s="21" t="s">
        <v>1215</v>
      </c>
      <c r="K270" s="22" t="s">
        <v>1216</v>
      </c>
      <c r="L270" s="22" t="s">
        <v>1217</v>
      </c>
      <c r="M270" s="17">
        <v>2017.0</v>
      </c>
      <c r="N270" s="17">
        <v>18.0</v>
      </c>
      <c r="O270" s="23">
        <v>494.0</v>
      </c>
      <c r="P270" s="24">
        <f t="shared" si="9"/>
        <v>1383.2</v>
      </c>
      <c r="Q270" s="25">
        <v>12.0</v>
      </c>
      <c r="R270" s="17">
        <v>6.0</v>
      </c>
      <c r="S270" s="26">
        <v>6.0</v>
      </c>
      <c r="T270" s="17">
        <v>6.0</v>
      </c>
      <c r="U270" s="17">
        <v>12.0</v>
      </c>
      <c r="V270" s="17" t="s">
        <v>130</v>
      </c>
      <c r="W270" s="28" t="s">
        <v>76</v>
      </c>
      <c r="X270" s="28" t="s">
        <v>78</v>
      </c>
      <c r="Y270" s="24">
        <v>10.0</v>
      </c>
      <c r="Z270" s="17">
        <v>150.0</v>
      </c>
      <c r="AA270" s="17">
        <v>576.0</v>
      </c>
      <c r="AB270" s="17">
        <v>31.0</v>
      </c>
      <c r="AC270" s="20">
        <f t="shared" si="2"/>
        <v>214272</v>
      </c>
      <c r="AD270" s="30">
        <f t="shared" si="3"/>
        <v>17.732</v>
      </c>
      <c r="AE270" s="30">
        <f t="shared" si="10"/>
        <v>24526.9024</v>
      </c>
      <c r="AF270" s="30">
        <f t="shared" si="5"/>
        <v>1957.034737</v>
      </c>
      <c r="AG270" s="34">
        <v>1.0</v>
      </c>
      <c r="AH270" s="36"/>
      <c r="AI270" s="30">
        <f t="shared" si="6"/>
        <v>3278.688525</v>
      </c>
      <c r="AJ270" s="17">
        <v>4000.0</v>
      </c>
      <c r="AK270" s="30">
        <f t="shared" si="7"/>
        <v>39344.2623</v>
      </c>
      <c r="AL270" s="20">
        <f t="shared" si="8"/>
        <v>48000</v>
      </c>
    </row>
    <row r="271">
      <c r="A271" s="16" t="s">
        <v>1218</v>
      </c>
      <c r="B271" s="17" t="s">
        <v>142</v>
      </c>
      <c r="C271" s="17" t="s">
        <v>143</v>
      </c>
      <c r="D271" s="17" t="s">
        <v>946</v>
      </c>
      <c r="E271" s="17" t="s">
        <v>947</v>
      </c>
      <c r="F271" s="17" t="s">
        <v>103</v>
      </c>
      <c r="G271" s="19">
        <v>46154.0</v>
      </c>
      <c r="H271" s="17" t="s">
        <v>104</v>
      </c>
      <c r="I271" s="20" t="s">
        <v>1219</v>
      </c>
      <c r="J271" s="21" t="s">
        <v>1220</v>
      </c>
      <c r="K271" s="22" t="s">
        <v>1221</v>
      </c>
      <c r="L271" s="22" t="s">
        <v>1222</v>
      </c>
      <c r="M271" s="17">
        <v>2015.0</v>
      </c>
      <c r="N271" s="17">
        <v>17.0</v>
      </c>
      <c r="O271" s="23">
        <v>505.0</v>
      </c>
      <c r="P271" s="24">
        <f t="shared" si="9"/>
        <v>1414</v>
      </c>
      <c r="Q271" s="25">
        <v>5.0</v>
      </c>
      <c r="R271" s="17">
        <v>5.0</v>
      </c>
      <c r="S271" s="26">
        <v>5.0</v>
      </c>
      <c r="T271" s="17">
        <v>0.0</v>
      </c>
      <c r="U271" s="17">
        <v>10.0</v>
      </c>
      <c r="V271" s="17" t="s">
        <v>75</v>
      </c>
      <c r="W271" s="28" t="s">
        <v>76</v>
      </c>
      <c r="X271" s="28" t="s">
        <v>78</v>
      </c>
      <c r="Y271" s="24">
        <v>10.0</v>
      </c>
      <c r="Z271" s="17">
        <v>150.0</v>
      </c>
      <c r="AA271" s="17">
        <v>576.0</v>
      </c>
      <c r="AB271" s="17">
        <v>31.0</v>
      </c>
      <c r="AC271" s="20">
        <f t="shared" si="2"/>
        <v>89280</v>
      </c>
      <c r="AD271" s="30">
        <f t="shared" si="3"/>
        <v>8.06</v>
      </c>
      <c r="AE271" s="30">
        <f t="shared" si="10"/>
        <v>11396.84</v>
      </c>
      <c r="AF271" s="30">
        <f t="shared" si="5"/>
        <v>1754.872403</v>
      </c>
      <c r="AG271" s="34">
        <v>1.0</v>
      </c>
      <c r="AH271" s="36"/>
      <c r="AI271" s="30">
        <f t="shared" si="6"/>
        <v>3278.688525</v>
      </c>
      <c r="AJ271" s="17">
        <v>4000.0</v>
      </c>
      <c r="AK271" s="30">
        <f t="shared" si="7"/>
        <v>16393.44262</v>
      </c>
      <c r="AL271" s="20">
        <f t="shared" si="8"/>
        <v>20000</v>
      </c>
    </row>
    <row r="272">
      <c r="A272" s="16" t="s">
        <v>1218</v>
      </c>
      <c r="B272" s="17" t="s">
        <v>142</v>
      </c>
      <c r="C272" s="17" t="s">
        <v>143</v>
      </c>
      <c r="D272" s="17" t="s">
        <v>946</v>
      </c>
      <c r="E272" s="17" t="s">
        <v>947</v>
      </c>
      <c r="F272" s="17" t="s">
        <v>103</v>
      </c>
      <c r="G272" s="19">
        <v>46154.0</v>
      </c>
      <c r="H272" s="17" t="s">
        <v>104</v>
      </c>
      <c r="I272" s="20" t="s">
        <v>1219</v>
      </c>
      <c r="J272" s="21" t="s">
        <v>1220</v>
      </c>
      <c r="K272" s="22" t="s">
        <v>1221</v>
      </c>
      <c r="L272" s="22" t="s">
        <v>1223</v>
      </c>
      <c r="M272" s="17">
        <v>2015.0</v>
      </c>
      <c r="N272" s="17">
        <v>17.0</v>
      </c>
      <c r="O272" s="23">
        <v>505.0</v>
      </c>
      <c r="P272" s="24">
        <f t="shared" si="9"/>
        <v>1414</v>
      </c>
      <c r="Q272" s="25">
        <v>5.0</v>
      </c>
      <c r="R272" s="17">
        <v>0.0</v>
      </c>
      <c r="S272" s="26">
        <v>5.0</v>
      </c>
      <c r="T272" s="17">
        <v>5.0</v>
      </c>
      <c r="U272" s="17">
        <v>10.0</v>
      </c>
      <c r="V272" s="17" t="s">
        <v>130</v>
      </c>
      <c r="W272" s="28" t="s">
        <v>76</v>
      </c>
      <c r="X272" s="28" t="s">
        <v>78</v>
      </c>
      <c r="Y272" s="24">
        <v>10.0</v>
      </c>
      <c r="Z272" s="17">
        <v>150.0</v>
      </c>
      <c r="AA272" s="17">
        <v>576.0</v>
      </c>
      <c r="AB272" s="17">
        <v>31.0</v>
      </c>
      <c r="AC272" s="20">
        <f t="shared" si="2"/>
        <v>89280</v>
      </c>
      <c r="AD272" s="30">
        <f t="shared" si="3"/>
        <v>9.134666667</v>
      </c>
      <c r="AE272" s="30">
        <f t="shared" si="10"/>
        <v>12916.41867</v>
      </c>
      <c r="AF272" s="30">
        <f t="shared" si="5"/>
        <v>1548.416826</v>
      </c>
      <c r="AG272" s="34">
        <v>1.0</v>
      </c>
      <c r="AH272" s="36"/>
      <c r="AI272" s="30">
        <f t="shared" si="6"/>
        <v>3278.688525</v>
      </c>
      <c r="AJ272" s="17">
        <v>4000.0</v>
      </c>
      <c r="AK272" s="30">
        <f t="shared" si="7"/>
        <v>16393.44262</v>
      </c>
      <c r="AL272" s="20">
        <f t="shared" si="8"/>
        <v>20000</v>
      </c>
    </row>
    <row r="273">
      <c r="A273" s="16" t="s">
        <v>1224</v>
      </c>
      <c r="B273" s="17" t="s">
        <v>142</v>
      </c>
      <c r="C273" s="17" t="s">
        <v>143</v>
      </c>
      <c r="D273" s="17" t="s">
        <v>61</v>
      </c>
      <c r="E273" s="17" t="s">
        <v>947</v>
      </c>
      <c r="F273" s="17" t="s">
        <v>103</v>
      </c>
      <c r="G273" s="19">
        <v>46162.0</v>
      </c>
      <c r="H273" s="17" t="s">
        <v>104</v>
      </c>
      <c r="I273" s="20" t="s">
        <v>1225</v>
      </c>
      <c r="J273" s="21" t="s">
        <v>1226</v>
      </c>
      <c r="K273" s="22" t="s">
        <v>1227</v>
      </c>
      <c r="L273" s="22" t="s">
        <v>1228</v>
      </c>
      <c r="M273" s="17">
        <v>2021.0</v>
      </c>
      <c r="N273" s="17">
        <v>17.0</v>
      </c>
      <c r="O273" s="23">
        <v>235.0</v>
      </c>
      <c r="P273" s="24">
        <f t="shared" si="9"/>
        <v>658</v>
      </c>
      <c r="Q273" s="25">
        <v>6.0</v>
      </c>
      <c r="R273" s="17">
        <v>0.0</v>
      </c>
      <c r="S273" s="26">
        <v>3.0</v>
      </c>
      <c r="T273" s="17">
        <v>6.0</v>
      </c>
      <c r="U273" s="17">
        <v>6.0</v>
      </c>
      <c r="V273" s="17" t="s">
        <v>130</v>
      </c>
      <c r="W273" s="28" t="s">
        <v>76</v>
      </c>
      <c r="X273" s="28" t="s">
        <v>78</v>
      </c>
      <c r="Y273" s="24">
        <v>10.0</v>
      </c>
      <c r="Z273" s="17">
        <v>150.0</v>
      </c>
      <c r="AA273" s="17">
        <v>576.0</v>
      </c>
      <c r="AB273" s="17">
        <v>31.0</v>
      </c>
      <c r="AC273" s="20">
        <f t="shared" si="2"/>
        <v>107136</v>
      </c>
      <c r="AD273" s="30">
        <f t="shared" si="3"/>
        <v>18.26933333</v>
      </c>
      <c r="AE273" s="30">
        <f t="shared" si="10"/>
        <v>12021.22133</v>
      </c>
      <c r="AF273" s="30">
        <f t="shared" si="5"/>
        <v>1996.469355</v>
      </c>
      <c r="AG273" s="34">
        <v>1.0</v>
      </c>
      <c r="AH273" s="36"/>
      <c r="AI273" s="30">
        <f t="shared" si="6"/>
        <v>3278.688525</v>
      </c>
      <c r="AJ273" s="17">
        <v>4000.0</v>
      </c>
      <c r="AK273" s="30">
        <f t="shared" si="7"/>
        <v>19672.13115</v>
      </c>
      <c r="AL273" s="20">
        <f t="shared" si="8"/>
        <v>24000</v>
      </c>
    </row>
    <row r="274">
      <c r="A274" s="16" t="s">
        <v>1224</v>
      </c>
      <c r="B274" s="17" t="s">
        <v>142</v>
      </c>
      <c r="C274" s="17" t="s">
        <v>143</v>
      </c>
      <c r="D274" s="17" t="s">
        <v>61</v>
      </c>
      <c r="E274" s="17" t="s">
        <v>947</v>
      </c>
      <c r="F274" s="17" t="s">
        <v>103</v>
      </c>
      <c r="G274" s="19">
        <v>46162.0</v>
      </c>
      <c r="H274" s="17" t="s">
        <v>104</v>
      </c>
      <c r="I274" s="20" t="s">
        <v>1225</v>
      </c>
      <c r="J274" s="21" t="s">
        <v>1229</v>
      </c>
      <c r="K274" s="22" t="s">
        <v>1230</v>
      </c>
      <c r="L274" s="22" t="s">
        <v>1231</v>
      </c>
      <c r="M274" s="17">
        <v>2018.0</v>
      </c>
      <c r="N274" s="17">
        <v>20.0</v>
      </c>
      <c r="O274" s="23">
        <v>162.0</v>
      </c>
      <c r="P274" s="24">
        <f t="shared" si="9"/>
        <v>453.6</v>
      </c>
      <c r="Q274" s="25">
        <v>2.0</v>
      </c>
      <c r="R274" s="17">
        <v>0.0</v>
      </c>
      <c r="S274" s="26">
        <v>1.0</v>
      </c>
      <c r="T274" s="17">
        <v>2.0</v>
      </c>
      <c r="U274" s="17">
        <v>2.0</v>
      </c>
      <c r="V274" s="17" t="s">
        <v>130</v>
      </c>
      <c r="W274" s="28" t="s">
        <v>76</v>
      </c>
      <c r="X274" s="28" t="s">
        <v>78</v>
      </c>
      <c r="Y274" s="24">
        <v>10.0</v>
      </c>
      <c r="Z274" s="17">
        <v>150.0</v>
      </c>
      <c r="AA274" s="17">
        <v>576.0</v>
      </c>
      <c r="AB274" s="17">
        <v>31.0</v>
      </c>
      <c r="AC274" s="20">
        <f t="shared" si="2"/>
        <v>35712</v>
      </c>
      <c r="AD274" s="30">
        <f t="shared" si="3"/>
        <v>21.49333333</v>
      </c>
      <c r="AE274" s="30">
        <f t="shared" si="10"/>
        <v>9749.376</v>
      </c>
      <c r="AF274" s="30">
        <f t="shared" si="5"/>
        <v>820.5653367</v>
      </c>
      <c r="AG274" s="34">
        <v>1.0</v>
      </c>
      <c r="AH274" s="36"/>
      <c r="AI274" s="30">
        <f t="shared" si="6"/>
        <v>3278.688525</v>
      </c>
      <c r="AJ274" s="17">
        <v>4000.0</v>
      </c>
      <c r="AK274" s="30">
        <f t="shared" si="7"/>
        <v>6557.377049</v>
      </c>
      <c r="AL274" s="20">
        <f t="shared" si="8"/>
        <v>8000</v>
      </c>
    </row>
    <row r="275">
      <c r="A275" s="16" t="s">
        <v>1224</v>
      </c>
      <c r="B275" s="17" t="s">
        <v>142</v>
      </c>
      <c r="C275" s="17" t="s">
        <v>143</v>
      </c>
      <c r="D275" s="17" t="s">
        <v>61</v>
      </c>
      <c r="E275" s="17" t="s">
        <v>947</v>
      </c>
      <c r="F275" s="17" t="s">
        <v>103</v>
      </c>
      <c r="G275" s="19">
        <v>46162.0</v>
      </c>
      <c r="H275" s="17" t="s">
        <v>104</v>
      </c>
      <c r="I275" s="20" t="s">
        <v>1225</v>
      </c>
      <c r="J275" s="21" t="s">
        <v>1232</v>
      </c>
      <c r="K275" s="22" t="s">
        <v>1233</v>
      </c>
      <c r="L275" s="22" t="s">
        <v>1234</v>
      </c>
      <c r="M275" s="17">
        <v>2019.0</v>
      </c>
      <c r="N275" s="17">
        <v>18.0</v>
      </c>
      <c r="O275" s="23">
        <v>372.0</v>
      </c>
      <c r="P275" s="24">
        <f t="shared" si="9"/>
        <v>1041.6</v>
      </c>
      <c r="Q275" s="25">
        <v>4.0</v>
      </c>
      <c r="R275" s="17">
        <v>0.0</v>
      </c>
      <c r="S275" s="26">
        <v>4.0</v>
      </c>
      <c r="T275" s="17">
        <v>4.0</v>
      </c>
      <c r="U275" s="17">
        <v>8.0</v>
      </c>
      <c r="V275" s="17" t="s">
        <v>130</v>
      </c>
      <c r="W275" s="28" t="s">
        <v>76</v>
      </c>
      <c r="X275" s="28" t="s">
        <v>78</v>
      </c>
      <c r="Y275" s="24">
        <v>10.0</v>
      </c>
      <c r="Z275" s="17">
        <v>150.0</v>
      </c>
      <c r="AA275" s="17">
        <v>576.0</v>
      </c>
      <c r="AB275" s="17">
        <v>31.0</v>
      </c>
      <c r="AC275" s="20">
        <f t="shared" si="2"/>
        <v>71424</v>
      </c>
      <c r="AD275" s="30">
        <f t="shared" si="3"/>
        <v>9.672</v>
      </c>
      <c r="AE275" s="30">
        <f t="shared" si="10"/>
        <v>10074.3552</v>
      </c>
      <c r="AF275" s="30">
        <f t="shared" si="5"/>
        <v>1588.190974</v>
      </c>
      <c r="AG275" s="34">
        <v>1.0</v>
      </c>
      <c r="AH275" s="36"/>
      <c r="AI275" s="30">
        <f t="shared" si="6"/>
        <v>3278.688525</v>
      </c>
      <c r="AJ275" s="17">
        <v>4000.0</v>
      </c>
      <c r="AK275" s="30">
        <f t="shared" si="7"/>
        <v>13114.7541</v>
      </c>
      <c r="AL275" s="20">
        <f t="shared" si="8"/>
        <v>16000</v>
      </c>
    </row>
    <row r="276">
      <c r="A276" s="16" t="s">
        <v>1224</v>
      </c>
      <c r="B276" s="17" t="s">
        <v>142</v>
      </c>
      <c r="C276" s="17" t="s">
        <v>143</v>
      </c>
      <c r="D276" s="17" t="s">
        <v>61</v>
      </c>
      <c r="E276" s="17" t="s">
        <v>947</v>
      </c>
      <c r="F276" s="17" t="s">
        <v>103</v>
      </c>
      <c r="G276" s="19">
        <v>46162.0</v>
      </c>
      <c r="H276" s="17" t="s">
        <v>104</v>
      </c>
      <c r="I276" s="20" t="s">
        <v>1225</v>
      </c>
      <c r="J276" s="21" t="s">
        <v>1232</v>
      </c>
      <c r="K276" s="22" t="s">
        <v>1233</v>
      </c>
      <c r="L276" s="22" t="s">
        <v>1234</v>
      </c>
      <c r="M276" s="17">
        <v>2019.0</v>
      </c>
      <c r="N276" s="17">
        <v>18.0</v>
      </c>
      <c r="O276" s="23">
        <v>372.0</v>
      </c>
      <c r="P276" s="24">
        <f t="shared" si="9"/>
        <v>1041.6</v>
      </c>
      <c r="Q276" s="25">
        <v>4.0</v>
      </c>
      <c r="R276" s="17">
        <v>4.0</v>
      </c>
      <c r="S276" s="26">
        <v>4.0</v>
      </c>
      <c r="T276" s="17">
        <v>0.0</v>
      </c>
      <c r="U276" s="17">
        <v>8.0</v>
      </c>
      <c r="V276" s="17" t="s">
        <v>75</v>
      </c>
      <c r="W276" s="28" t="s">
        <v>76</v>
      </c>
      <c r="X276" s="28" t="s">
        <v>78</v>
      </c>
      <c r="Y276" s="24">
        <v>10.0</v>
      </c>
      <c r="Z276" s="17">
        <v>150.0</v>
      </c>
      <c r="AA276" s="17">
        <v>576.0</v>
      </c>
      <c r="AB276" s="17">
        <v>31.0</v>
      </c>
      <c r="AC276" s="20">
        <f t="shared" si="2"/>
        <v>71424</v>
      </c>
      <c r="AD276" s="30">
        <f t="shared" si="3"/>
        <v>8.06</v>
      </c>
      <c r="AE276" s="30">
        <f t="shared" si="10"/>
        <v>8395.296</v>
      </c>
      <c r="AF276" s="30">
        <f t="shared" si="5"/>
        <v>1905.829169</v>
      </c>
      <c r="AG276" s="34">
        <v>1.0</v>
      </c>
      <c r="AH276" s="36"/>
      <c r="AI276" s="30">
        <f t="shared" si="6"/>
        <v>3278.688525</v>
      </c>
      <c r="AJ276" s="17">
        <v>4000.0</v>
      </c>
      <c r="AK276" s="30">
        <f t="shared" si="7"/>
        <v>13114.7541</v>
      </c>
      <c r="AL276" s="20">
        <f t="shared" si="8"/>
        <v>16000</v>
      </c>
    </row>
    <row r="277">
      <c r="A277" s="16" t="s">
        <v>1235</v>
      </c>
      <c r="B277" s="17" t="s">
        <v>142</v>
      </c>
      <c r="C277" s="17" t="s">
        <v>143</v>
      </c>
      <c r="D277" s="17" t="s">
        <v>61</v>
      </c>
      <c r="E277" s="54" t="s">
        <v>957</v>
      </c>
      <c r="F277" s="17" t="s">
        <v>103</v>
      </c>
      <c r="G277" s="19">
        <v>46167.0</v>
      </c>
      <c r="H277" s="17" t="s">
        <v>104</v>
      </c>
      <c r="I277" s="20" t="s">
        <v>1236</v>
      </c>
      <c r="J277" s="21" t="s">
        <v>1237</v>
      </c>
      <c r="K277" s="22" t="s">
        <v>1238</v>
      </c>
      <c r="L277" s="22" t="s">
        <v>1239</v>
      </c>
      <c r="M277" s="17">
        <v>2007.0</v>
      </c>
      <c r="N277" s="17">
        <v>10.0</v>
      </c>
      <c r="O277" s="23">
        <v>460.0</v>
      </c>
      <c r="P277" s="24">
        <f t="shared" si="9"/>
        <v>1288</v>
      </c>
      <c r="Q277" s="25">
        <v>10.0</v>
      </c>
      <c r="R277" s="17">
        <v>0.0</v>
      </c>
      <c r="S277" s="26">
        <v>10.0</v>
      </c>
      <c r="T277" s="17">
        <v>10.0</v>
      </c>
      <c r="U277" s="17">
        <v>10.0</v>
      </c>
      <c r="V277" s="17" t="s">
        <v>130</v>
      </c>
      <c r="W277" s="28" t="s">
        <v>76</v>
      </c>
      <c r="X277" s="28" t="s">
        <v>78</v>
      </c>
      <c r="Y277" s="24">
        <v>10.0</v>
      </c>
      <c r="Z277" s="17">
        <v>150.0</v>
      </c>
      <c r="AA277" s="17">
        <v>576.0</v>
      </c>
      <c r="AB277" s="17">
        <v>31.0</v>
      </c>
      <c r="AC277" s="20">
        <f t="shared" si="2"/>
        <v>178560</v>
      </c>
      <c r="AD277" s="30">
        <f t="shared" si="3"/>
        <v>10.74666667</v>
      </c>
      <c r="AE277" s="30">
        <f t="shared" si="10"/>
        <v>13841.70667</v>
      </c>
      <c r="AF277" s="30">
        <f t="shared" si="5"/>
        <v>2889.817055</v>
      </c>
      <c r="AG277" s="34">
        <v>1.0</v>
      </c>
      <c r="AH277" s="36"/>
      <c r="AI277" s="30">
        <f t="shared" si="6"/>
        <v>3278.688525</v>
      </c>
      <c r="AJ277" s="17">
        <v>4000.0</v>
      </c>
      <c r="AK277" s="30">
        <f t="shared" si="7"/>
        <v>32786.88525</v>
      </c>
      <c r="AL277" s="20">
        <f t="shared" si="8"/>
        <v>40000</v>
      </c>
    </row>
    <row r="278">
      <c r="A278" s="16" t="s">
        <v>1235</v>
      </c>
      <c r="B278" s="17" t="s">
        <v>142</v>
      </c>
      <c r="C278" s="17" t="s">
        <v>143</v>
      </c>
      <c r="D278" s="17" t="s">
        <v>61</v>
      </c>
      <c r="E278" s="54" t="s">
        <v>957</v>
      </c>
      <c r="F278" s="17" t="s">
        <v>103</v>
      </c>
      <c r="G278" s="19">
        <v>46167.0</v>
      </c>
      <c r="H278" s="17" t="s">
        <v>104</v>
      </c>
      <c r="I278" s="20" t="s">
        <v>1236</v>
      </c>
      <c r="J278" s="21" t="s">
        <v>1240</v>
      </c>
      <c r="K278" s="22" t="s">
        <v>1241</v>
      </c>
      <c r="L278" s="22" t="s">
        <v>1242</v>
      </c>
      <c r="M278" s="17">
        <v>2007.0</v>
      </c>
      <c r="N278" s="17">
        <v>17.0</v>
      </c>
      <c r="O278" s="23">
        <v>190.0</v>
      </c>
      <c r="P278" s="24">
        <f t="shared" si="9"/>
        <v>532</v>
      </c>
      <c r="Q278" s="25">
        <v>2.0</v>
      </c>
      <c r="R278" s="17">
        <v>0.0</v>
      </c>
      <c r="S278" s="26">
        <v>1.0</v>
      </c>
      <c r="T278" s="17">
        <v>10.0</v>
      </c>
      <c r="U278" s="17">
        <v>3.0</v>
      </c>
      <c r="V278" s="17" t="s">
        <v>130</v>
      </c>
      <c r="W278" s="28" t="s">
        <v>76</v>
      </c>
      <c r="X278" s="28" t="s">
        <v>78</v>
      </c>
      <c r="Y278" s="24">
        <v>10.0</v>
      </c>
      <c r="Z278" s="17">
        <v>150.0</v>
      </c>
      <c r="AA278" s="17">
        <v>576.0</v>
      </c>
      <c r="AB278" s="17">
        <v>31.0</v>
      </c>
      <c r="AC278" s="20">
        <f t="shared" si="2"/>
        <v>35712</v>
      </c>
      <c r="AD278" s="30">
        <f t="shared" si="3"/>
        <v>60.89777778</v>
      </c>
      <c r="AE278" s="30">
        <f t="shared" si="10"/>
        <v>32397.61778</v>
      </c>
      <c r="AF278" s="30">
        <f t="shared" si="5"/>
        <v>246.931736</v>
      </c>
      <c r="AG278" s="34">
        <v>1.0</v>
      </c>
      <c r="AH278" s="36"/>
      <c r="AI278" s="30">
        <f t="shared" si="6"/>
        <v>3278.688525</v>
      </c>
      <c r="AJ278" s="17">
        <v>4000.0</v>
      </c>
      <c r="AK278" s="30">
        <f t="shared" si="7"/>
        <v>6557.377049</v>
      </c>
      <c r="AL278" s="20">
        <f t="shared" si="8"/>
        <v>8000</v>
      </c>
    </row>
    <row r="279">
      <c r="A279" s="16" t="s">
        <v>1243</v>
      </c>
      <c r="B279" s="17" t="s">
        <v>142</v>
      </c>
      <c r="C279" s="17" t="s">
        <v>143</v>
      </c>
      <c r="D279" s="17" t="s">
        <v>61</v>
      </c>
      <c r="E279" s="54" t="s">
        <v>957</v>
      </c>
      <c r="F279" s="17" t="s">
        <v>63</v>
      </c>
      <c r="G279" s="19">
        <v>46167.0</v>
      </c>
      <c r="H279" s="17" t="s">
        <v>104</v>
      </c>
      <c r="I279" s="20" t="s">
        <v>1244</v>
      </c>
      <c r="J279" s="21" t="s">
        <v>1245</v>
      </c>
      <c r="K279" s="22" t="s">
        <v>1246</v>
      </c>
      <c r="L279" s="22" t="s">
        <v>1247</v>
      </c>
      <c r="M279" s="17">
        <v>2026.0</v>
      </c>
      <c r="N279" s="17">
        <v>17.0</v>
      </c>
      <c r="O279" s="23">
        <v>192.0</v>
      </c>
      <c r="P279" s="24">
        <f t="shared" si="9"/>
        <v>537.6</v>
      </c>
      <c r="Q279" s="25">
        <v>6.0</v>
      </c>
      <c r="R279" s="17">
        <v>3.0</v>
      </c>
      <c r="S279" s="26">
        <v>4.0</v>
      </c>
      <c r="T279" s="17">
        <v>3.0</v>
      </c>
      <c r="U279" s="17">
        <v>8.0</v>
      </c>
      <c r="V279" s="17" t="s">
        <v>130</v>
      </c>
      <c r="W279" s="28" t="s">
        <v>76</v>
      </c>
      <c r="X279" s="28" t="s">
        <v>78</v>
      </c>
      <c r="Y279" s="24">
        <v>10.0</v>
      </c>
      <c r="Z279" s="17">
        <v>150.0</v>
      </c>
      <c r="AA279" s="17">
        <v>576.0</v>
      </c>
      <c r="AB279" s="17">
        <v>31.0</v>
      </c>
      <c r="AC279" s="20">
        <f t="shared" si="2"/>
        <v>107136</v>
      </c>
      <c r="AD279" s="30">
        <f t="shared" si="3"/>
        <v>12.896</v>
      </c>
      <c r="AE279" s="30">
        <f t="shared" si="10"/>
        <v>6932.8896</v>
      </c>
      <c r="AF279" s="30">
        <f t="shared" si="5"/>
        <v>3461.760014</v>
      </c>
      <c r="AG279" s="34">
        <v>1.0</v>
      </c>
      <c r="AH279" s="36"/>
      <c r="AI279" s="30">
        <f t="shared" si="6"/>
        <v>3278.688525</v>
      </c>
      <c r="AJ279" s="17">
        <v>4000.0</v>
      </c>
      <c r="AK279" s="30">
        <f t="shared" si="7"/>
        <v>19672.13115</v>
      </c>
      <c r="AL279" s="20">
        <f t="shared" si="8"/>
        <v>24000</v>
      </c>
    </row>
    <row r="280">
      <c r="A280" s="16" t="s">
        <v>1248</v>
      </c>
      <c r="B280" s="17" t="s">
        <v>142</v>
      </c>
      <c r="C280" s="17" t="s">
        <v>143</v>
      </c>
      <c r="D280" s="17" t="s">
        <v>61</v>
      </c>
      <c r="E280" s="54" t="s">
        <v>957</v>
      </c>
      <c r="F280" s="17" t="s">
        <v>103</v>
      </c>
      <c r="G280" s="19">
        <v>46167.0</v>
      </c>
      <c r="H280" s="17" t="s">
        <v>104</v>
      </c>
      <c r="I280" s="20" t="s">
        <v>1249</v>
      </c>
      <c r="J280" s="21" t="s">
        <v>1250</v>
      </c>
      <c r="K280" s="22" t="s">
        <v>1251</v>
      </c>
      <c r="L280" s="22" t="s">
        <v>1252</v>
      </c>
      <c r="M280" s="17">
        <v>2016.0</v>
      </c>
      <c r="N280" s="17">
        <v>16.0</v>
      </c>
      <c r="O280" s="23">
        <v>240.0</v>
      </c>
      <c r="P280" s="24">
        <f t="shared" si="9"/>
        <v>672</v>
      </c>
      <c r="Q280" s="25">
        <v>4.0</v>
      </c>
      <c r="R280" s="17">
        <v>0.0</v>
      </c>
      <c r="S280" s="26">
        <v>4.0</v>
      </c>
      <c r="T280" s="17">
        <v>4.0</v>
      </c>
      <c r="U280" s="17">
        <v>8.0</v>
      </c>
      <c r="V280" s="17" t="s">
        <v>130</v>
      </c>
      <c r="W280" s="28" t="s">
        <v>76</v>
      </c>
      <c r="X280" s="28" t="s">
        <v>78</v>
      </c>
      <c r="Y280" s="24">
        <v>10.0</v>
      </c>
      <c r="Z280" s="17">
        <v>150.0</v>
      </c>
      <c r="AA280" s="17">
        <v>576.0</v>
      </c>
      <c r="AB280" s="17">
        <v>31.0</v>
      </c>
      <c r="AC280" s="20">
        <f t="shared" si="2"/>
        <v>71424</v>
      </c>
      <c r="AD280" s="30">
        <f t="shared" si="3"/>
        <v>8.597333333</v>
      </c>
      <c r="AE280" s="30">
        <f t="shared" si="10"/>
        <v>5777.408</v>
      </c>
      <c r="AF280" s="30">
        <f t="shared" si="5"/>
        <v>2769.408011</v>
      </c>
      <c r="AG280" s="34">
        <v>1.0</v>
      </c>
      <c r="AH280" s="36"/>
      <c r="AI280" s="30">
        <f t="shared" si="6"/>
        <v>3278.688525</v>
      </c>
      <c r="AJ280" s="17">
        <v>4000.0</v>
      </c>
      <c r="AK280" s="30">
        <f t="shared" si="7"/>
        <v>13114.7541</v>
      </c>
      <c r="AL280" s="20">
        <f t="shared" si="8"/>
        <v>16000</v>
      </c>
    </row>
    <row r="281">
      <c r="A281" s="16" t="s">
        <v>1248</v>
      </c>
      <c r="B281" s="17" t="s">
        <v>142</v>
      </c>
      <c r="C281" s="17" t="s">
        <v>143</v>
      </c>
      <c r="D281" s="17" t="s">
        <v>61</v>
      </c>
      <c r="E281" s="54" t="s">
        <v>957</v>
      </c>
      <c r="F281" s="17" t="s">
        <v>103</v>
      </c>
      <c r="G281" s="19">
        <v>46167.0</v>
      </c>
      <c r="H281" s="17" t="s">
        <v>104</v>
      </c>
      <c r="I281" s="20" t="s">
        <v>1249</v>
      </c>
      <c r="J281" s="21" t="s">
        <v>1250</v>
      </c>
      <c r="K281" s="22" t="s">
        <v>1251</v>
      </c>
      <c r="L281" s="22" t="s">
        <v>1253</v>
      </c>
      <c r="M281" s="17">
        <v>2016.0</v>
      </c>
      <c r="N281" s="17">
        <v>16.0</v>
      </c>
      <c r="O281" s="23">
        <v>240.0</v>
      </c>
      <c r="P281" s="24">
        <f t="shared" si="9"/>
        <v>672</v>
      </c>
      <c r="Q281" s="25">
        <v>4.0</v>
      </c>
      <c r="R281" s="17">
        <v>4.0</v>
      </c>
      <c r="S281" s="26">
        <v>4.0</v>
      </c>
      <c r="T281" s="17">
        <v>0.0</v>
      </c>
      <c r="U281" s="17">
        <v>8.0</v>
      </c>
      <c r="V281" s="17" t="s">
        <v>75</v>
      </c>
      <c r="W281" s="28" t="s">
        <v>76</v>
      </c>
      <c r="X281" s="28" t="s">
        <v>78</v>
      </c>
      <c r="Y281" s="24">
        <v>10.0</v>
      </c>
      <c r="Z281" s="17">
        <v>150.0</v>
      </c>
      <c r="AA281" s="17">
        <v>576.0</v>
      </c>
      <c r="AB281" s="17">
        <v>31.0</v>
      </c>
      <c r="AC281" s="20">
        <f t="shared" si="2"/>
        <v>71424</v>
      </c>
      <c r="AD281" s="30">
        <f t="shared" si="3"/>
        <v>8.06</v>
      </c>
      <c r="AE281" s="30">
        <f t="shared" si="10"/>
        <v>5416.32</v>
      </c>
      <c r="AF281" s="30">
        <f t="shared" si="5"/>
        <v>2954.035212</v>
      </c>
      <c r="AG281" s="34">
        <v>1.0</v>
      </c>
      <c r="AH281" s="36"/>
      <c r="AI281" s="30">
        <f t="shared" si="6"/>
        <v>3278.688525</v>
      </c>
      <c r="AJ281" s="17">
        <v>4000.0</v>
      </c>
      <c r="AK281" s="30">
        <f t="shared" si="7"/>
        <v>13114.7541</v>
      </c>
      <c r="AL281" s="20">
        <f t="shared" si="8"/>
        <v>16000</v>
      </c>
    </row>
    <row r="282">
      <c r="A282" s="16" t="s">
        <v>1248</v>
      </c>
      <c r="B282" s="17" t="s">
        <v>142</v>
      </c>
      <c r="C282" s="17" t="s">
        <v>143</v>
      </c>
      <c r="D282" s="17" t="s">
        <v>61</v>
      </c>
      <c r="E282" s="54" t="s">
        <v>957</v>
      </c>
      <c r="F282" s="17" t="s">
        <v>103</v>
      </c>
      <c r="G282" s="19">
        <v>46167.0</v>
      </c>
      <c r="H282" s="17" t="s">
        <v>104</v>
      </c>
      <c r="I282" s="20" t="s">
        <v>1249</v>
      </c>
      <c r="J282" s="21" t="s">
        <v>1254</v>
      </c>
      <c r="K282" s="22" t="s">
        <v>1255</v>
      </c>
      <c r="L282" s="22" t="s">
        <v>1256</v>
      </c>
      <c r="M282" s="17">
        <v>2012.0</v>
      </c>
      <c r="N282" s="17">
        <v>12.0</v>
      </c>
      <c r="O282" s="23">
        <v>220.0</v>
      </c>
      <c r="P282" s="24">
        <f t="shared" si="9"/>
        <v>616</v>
      </c>
      <c r="Q282" s="25">
        <v>4.0</v>
      </c>
      <c r="R282" s="17">
        <v>0.0</v>
      </c>
      <c r="S282" s="26">
        <v>4.0</v>
      </c>
      <c r="T282" s="17">
        <v>4.0</v>
      </c>
      <c r="U282" s="17">
        <v>8.0</v>
      </c>
      <c r="V282" s="17" t="s">
        <v>130</v>
      </c>
      <c r="W282" s="28" t="s">
        <v>76</v>
      </c>
      <c r="X282" s="28" t="s">
        <v>78</v>
      </c>
      <c r="Y282" s="24">
        <v>10.0</v>
      </c>
      <c r="Z282" s="17">
        <v>150.0</v>
      </c>
      <c r="AA282" s="17">
        <v>576.0</v>
      </c>
      <c r="AB282" s="17">
        <v>31.0</v>
      </c>
      <c r="AC282" s="20">
        <f t="shared" si="2"/>
        <v>71424</v>
      </c>
      <c r="AD282" s="30">
        <f t="shared" si="3"/>
        <v>6.448</v>
      </c>
      <c r="AE282" s="30">
        <f t="shared" si="10"/>
        <v>3971.968</v>
      </c>
      <c r="AF282" s="30">
        <f t="shared" si="5"/>
        <v>4028.229835</v>
      </c>
      <c r="AG282" s="34">
        <v>1.0</v>
      </c>
      <c r="AH282" s="36"/>
      <c r="AI282" s="30">
        <f t="shared" si="6"/>
        <v>3278.688525</v>
      </c>
      <c r="AJ282" s="17">
        <v>4000.0</v>
      </c>
      <c r="AK282" s="30">
        <f t="shared" si="7"/>
        <v>13114.7541</v>
      </c>
      <c r="AL282" s="20">
        <f t="shared" si="8"/>
        <v>16000</v>
      </c>
    </row>
    <row r="283">
      <c r="A283" s="16" t="s">
        <v>1248</v>
      </c>
      <c r="B283" s="17" t="s">
        <v>142</v>
      </c>
      <c r="C283" s="17" t="s">
        <v>143</v>
      </c>
      <c r="D283" s="17" t="s">
        <v>61</v>
      </c>
      <c r="E283" s="54" t="s">
        <v>957</v>
      </c>
      <c r="F283" s="17" t="s">
        <v>103</v>
      </c>
      <c r="G283" s="19">
        <v>46167.0</v>
      </c>
      <c r="H283" s="17" t="s">
        <v>104</v>
      </c>
      <c r="I283" s="20" t="s">
        <v>1249</v>
      </c>
      <c r="J283" s="21" t="s">
        <v>1254</v>
      </c>
      <c r="K283" s="22" t="s">
        <v>1255</v>
      </c>
      <c r="L283" s="22" t="s">
        <v>1256</v>
      </c>
      <c r="M283" s="17">
        <v>2012.0</v>
      </c>
      <c r="N283" s="17">
        <v>12.0</v>
      </c>
      <c r="O283" s="23">
        <v>220.0</v>
      </c>
      <c r="P283" s="24">
        <f t="shared" si="9"/>
        <v>616</v>
      </c>
      <c r="Q283" s="25">
        <v>4.0</v>
      </c>
      <c r="R283" s="17">
        <v>4.0</v>
      </c>
      <c r="S283" s="26">
        <v>4.0</v>
      </c>
      <c r="T283" s="17">
        <v>0.0</v>
      </c>
      <c r="U283" s="17">
        <v>8.0</v>
      </c>
      <c r="V283" s="17" t="s">
        <v>75</v>
      </c>
      <c r="W283" s="28" t="s">
        <v>76</v>
      </c>
      <c r="X283" s="28" t="s">
        <v>78</v>
      </c>
      <c r="Y283" s="24">
        <v>10.0</v>
      </c>
      <c r="Z283" s="17">
        <v>150.0</v>
      </c>
      <c r="AA283" s="17">
        <v>576.0</v>
      </c>
      <c r="AB283" s="17">
        <v>31.0</v>
      </c>
      <c r="AC283" s="20">
        <f t="shared" si="2"/>
        <v>71424</v>
      </c>
      <c r="AD283" s="30">
        <f t="shared" si="3"/>
        <v>8.06</v>
      </c>
      <c r="AE283" s="30">
        <f t="shared" si="10"/>
        <v>4964.96</v>
      </c>
      <c r="AF283" s="30">
        <f t="shared" si="5"/>
        <v>3222.583868</v>
      </c>
      <c r="AG283" s="34">
        <v>1.0</v>
      </c>
      <c r="AH283" s="36"/>
      <c r="AI283" s="30">
        <f t="shared" si="6"/>
        <v>3278.688525</v>
      </c>
      <c r="AJ283" s="17">
        <v>4000.0</v>
      </c>
      <c r="AK283" s="30">
        <f t="shared" si="7"/>
        <v>13114.7541</v>
      </c>
      <c r="AL283" s="20">
        <f t="shared" si="8"/>
        <v>16000</v>
      </c>
    </row>
    <row r="284">
      <c r="A284" s="16" t="s">
        <v>1257</v>
      </c>
      <c r="B284" s="17" t="s">
        <v>142</v>
      </c>
      <c r="C284" s="17" t="s">
        <v>143</v>
      </c>
      <c r="D284" s="17" t="s">
        <v>61</v>
      </c>
      <c r="E284" s="54" t="s">
        <v>957</v>
      </c>
      <c r="F284" s="17" t="s">
        <v>63</v>
      </c>
      <c r="G284" s="19">
        <v>46175.0</v>
      </c>
      <c r="H284" s="17" t="s">
        <v>104</v>
      </c>
      <c r="I284" s="20" t="s">
        <v>1258</v>
      </c>
      <c r="J284" s="21" t="s">
        <v>1259</v>
      </c>
      <c r="K284" s="22" t="s">
        <v>1260</v>
      </c>
      <c r="L284" s="22" t="s">
        <v>1261</v>
      </c>
      <c r="M284" s="17">
        <v>2017.0</v>
      </c>
      <c r="N284" s="17">
        <v>14.0</v>
      </c>
      <c r="O284" s="23">
        <v>65.0</v>
      </c>
      <c r="P284" s="24">
        <f t="shared" si="9"/>
        <v>182</v>
      </c>
      <c r="Q284" s="25">
        <v>2.0</v>
      </c>
      <c r="R284" s="17">
        <v>1.0</v>
      </c>
      <c r="S284" s="26">
        <v>1.0</v>
      </c>
      <c r="T284" s="17">
        <v>1.0</v>
      </c>
      <c r="U284" s="17">
        <v>2.0</v>
      </c>
      <c r="V284" s="17" t="s">
        <v>130</v>
      </c>
      <c r="W284" s="28" t="s">
        <v>76</v>
      </c>
      <c r="X284" s="28" t="s">
        <v>78</v>
      </c>
      <c r="Y284" s="24">
        <v>10.0</v>
      </c>
      <c r="Z284" s="17">
        <v>150.0</v>
      </c>
      <c r="AA284" s="17">
        <v>576.0</v>
      </c>
      <c r="AB284" s="17">
        <v>31.0</v>
      </c>
      <c r="AC284" s="20">
        <f t="shared" si="2"/>
        <v>35712</v>
      </c>
      <c r="AD284" s="30">
        <f t="shared" si="3"/>
        <v>15.58266667</v>
      </c>
      <c r="AE284" s="30">
        <f t="shared" si="10"/>
        <v>2836.045333</v>
      </c>
      <c r="AF284" s="30">
        <f t="shared" si="5"/>
        <v>2820.82938</v>
      </c>
      <c r="AG284" s="34">
        <v>1.0</v>
      </c>
      <c r="AH284" s="36"/>
      <c r="AI284" s="30">
        <f t="shared" si="6"/>
        <v>3278.688525</v>
      </c>
      <c r="AJ284" s="17">
        <v>4000.0</v>
      </c>
      <c r="AK284" s="30">
        <f t="shared" si="7"/>
        <v>6557.377049</v>
      </c>
      <c r="AL284" s="20">
        <f t="shared" si="8"/>
        <v>8000</v>
      </c>
    </row>
    <row r="285">
      <c r="A285" s="41" t="s">
        <v>1257</v>
      </c>
      <c r="B285" s="42" t="s">
        <v>142</v>
      </c>
      <c r="C285" s="42" t="s">
        <v>143</v>
      </c>
      <c r="D285" s="42" t="s">
        <v>61</v>
      </c>
      <c r="E285" s="72"/>
      <c r="F285" s="17" t="s">
        <v>63</v>
      </c>
      <c r="G285" s="19">
        <v>46255.0</v>
      </c>
      <c r="H285" s="17" t="s">
        <v>104</v>
      </c>
      <c r="I285" s="43" t="s">
        <v>1258</v>
      </c>
      <c r="J285" s="44" t="s">
        <v>1262</v>
      </c>
      <c r="K285" s="45" t="s">
        <v>1263</v>
      </c>
      <c r="L285" s="45" t="s">
        <v>1231</v>
      </c>
      <c r="M285" s="42">
        <v>2017.0</v>
      </c>
      <c r="N285" s="42">
        <v>10.0</v>
      </c>
      <c r="O285" s="47">
        <v>40.0</v>
      </c>
      <c r="P285" s="48">
        <f t="shared" si="9"/>
        <v>112</v>
      </c>
      <c r="Q285" s="41">
        <v>2.0</v>
      </c>
      <c r="R285" s="42">
        <v>1.0</v>
      </c>
      <c r="S285" s="49">
        <v>1.0</v>
      </c>
      <c r="T285" s="42">
        <v>1.0</v>
      </c>
      <c r="U285" s="42">
        <v>2.0</v>
      </c>
      <c r="V285" s="42" t="s">
        <v>130</v>
      </c>
      <c r="W285" s="45" t="s">
        <v>76</v>
      </c>
      <c r="X285" s="45" t="s">
        <v>78</v>
      </c>
      <c r="Y285" s="48">
        <v>10.0</v>
      </c>
      <c r="Z285" s="42">
        <v>150.0</v>
      </c>
      <c r="AA285" s="42">
        <v>576.0</v>
      </c>
      <c r="AB285" s="42">
        <v>31.0</v>
      </c>
      <c r="AC285" s="43">
        <f t="shared" si="2"/>
        <v>35712</v>
      </c>
      <c r="AD285" s="50">
        <f t="shared" si="3"/>
        <v>13.43333333</v>
      </c>
      <c r="AE285" s="50">
        <f t="shared" si="10"/>
        <v>1504.533333</v>
      </c>
      <c r="AF285" s="50">
        <f t="shared" si="5"/>
        <v>5317.263382</v>
      </c>
      <c r="AG285" s="51">
        <v>1.0</v>
      </c>
      <c r="AH285" s="52"/>
      <c r="AI285" s="50">
        <f t="shared" si="6"/>
        <v>3278.688525</v>
      </c>
      <c r="AJ285" s="42">
        <v>4000.0</v>
      </c>
      <c r="AK285" s="50">
        <f t="shared" si="7"/>
        <v>6557.377049</v>
      </c>
      <c r="AL285" s="43">
        <f t="shared" si="8"/>
        <v>8000</v>
      </c>
    </row>
    <row r="286">
      <c r="A286" s="16" t="s">
        <v>1264</v>
      </c>
      <c r="B286" s="17" t="s">
        <v>142</v>
      </c>
      <c r="C286" s="17" t="s">
        <v>143</v>
      </c>
      <c r="D286" s="17" t="s">
        <v>61</v>
      </c>
      <c r="E286" s="54" t="s">
        <v>1004</v>
      </c>
      <c r="F286" s="17" t="s">
        <v>103</v>
      </c>
      <c r="G286" s="19">
        <v>46190.0</v>
      </c>
      <c r="H286" s="17" t="s">
        <v>104</v>
      </c>
      <c r="I286" s="20" t="s">
        <v>1265</v>
      </c>
      <c r="J286" s="21" t="s">
        <v>1266</v>
      </c>
      <c r="K286" s="22" t="s">
        <v>1267</v>
      </c>
      <c r="L286" s="22" t="s">
        <v>1268</v>
      </c>
      <c r="M286" s="17">
        <v>2014.0</v>
      </c>
      <c r="N286" s="17">
        <v>20.0</v>
      </c>
      <c r="O286" s="23">
        <v>401.0</v>
      </c>
      <c r="P286" s="24">
        <f t="shared" si="9"/>
        <v>1122.8</v>
      </c>
      <c r="Q286" s="25">
        <v>12.0</v>
      </c>
      <c r="R286" s="17">
        <v>6.0</v>
      </c>
      <c r="S286" s="26">
        <v>6.0</v>
      </c>
      <c r="T286" s="17">
        <v>6.0</v>
      </c>
      <c r="U286" s="17">
        <v>12.0</v>
      </c>
      <c r="V286" s="17" t="s">
        <v>130</v>
      </c>
      <c r="W286" s="28" t="s">
        <v>76</v>
      </c>
      <c r="X286" s="28" t="s">
        <v>78</v>
      </c>
      <c r="Y286" s="24">
        <v>10.0</v>
      </c>
      <c r="Z286" s="17">
        <v>150.0</v>
      </c>
      <c r="AA286" s="17">
        <v>576.0</v>
      </c>
      <c r="AB286" s="17">
        <v>31.0</v>
      </c>
      <c r="AC286" s="20">
        <f t="shared" si="2"/>
        <v>214272</v>
      </c>
      <c r="AD286" s="30">
        <f t="shared" si="3"/>
        <v>18.80666667</v>
      </c>
      <c r="AE286" s="30">
        <f t="shared" si="10"/>
        <v>21116.12533</v>
      </c>
      <c r="AF286" s="30">
        <f t="shared" si="5"/>
        <v>2273.144303</v>
      </c>
      <c r="AG286" s="34">
        <v>1.0</v>
      </c>
      <c r="AH286" s="36"/>
      <c r="AI286" s="30">
        <f t="shared" si="6"/>
        <v>3278.688525</v>
      </c>
      <c r="AJ286" s="17">
        <v>4000.0</v>
      </c>
      <c r="AK286" s="30">
        <f t="shared" si="7"/>
        <v>39344.2623</v>
      </c>
      <c r="AL286" s="20">
        <f t="shared" si="8"/>
        <v>48000</v>
      </c>
    </row>
    <row r="287">
      <c r="A287" s="16" t="s">
        <v>1264</v>
      </c>
      <c r="B287" s="17" t="s">
        <v>142</v>
      </c>
      <c r="C287" s="17" t="s">
        <v>143</v>
      </c>
      <c r="D287" s="17" t="s">
        <v>61</v>
      </c>
      <c r="E287" s="54" t="s">
        <v>1004</v>
      </c>
      <c r="F287" s="17" t="s">
        <v>103</v>
      </c>
      <c r="G287" s="19">
        <v>46190.0</v>
      </c>
      <c r="H287" s="17" t="s">
        <v>104</v>
      </c>
      <c r="I287" s="20" t="s">
        <v>1265</v>
      </c>
      <c r="J287" s="21" t="s">
        <v>1269</v>
      </c>
      <c r="K287" s="28" t="s">
        <v>1270</v>
      </c>
      <c r="L287" s="28" t="s">
        <v>1271</v>
      </c>
      <c r="M287" s="17">
        <v>2017.0</v>
      </c>
      <c r="N287" s="17">
        <v>15.0</v>
      </c>
      <c r="O287" s="23">
        <v>120.0</v>
      </c>
      <c r="P287" s="24">
        <f t="shared" si="9"/>
        <v>336</v>
      </c>
      <c r="Q287" s="25">
        <v>2.0</v>
      </c>
      <c r="R287" s="17">
        <v>1.0</v>
      </c>
      <c r="S287" s="26">
        <v>1.0</v>
      </c>
      <c r="T287" s="17">
        <v>1.0</v>
      </c>
      <c r="U287" s="17">
        <v>2.0</v>
      </c>
      <c r="V287" s="17" t="s">
        <v>130</v>
      </c>
      <c r="W287" s="28" t="s">
        <v>76</v>
      </c>
      <c r="X287" s="28" t="s">
        <v>78</v>
      </c>
      <c r="Y287" s="24">
        <v>10.0</v>
      </c>
      <c r="Z287" s="17">
        <v>150.0</v>
      </c>
      <c r="AA287" s="17">
        <v>576.0</v>
      </c>
      <c r="AB287" s="17">
        <v>31.0</v>
      </c>
      <c r="AC287" s="20">
        <f t="shared" si="2"/>
        <v>35712</v>
      </c>
      <c r="AD287" s="30">
        <f t="shared" si="3"/>
        <v>16.12</v>
      </c>
      <c r="AE287" s="30">
        <f t="shared" si="10"/>
        <v>5416.32</v>
      </c>
      <c r="AF287" s="30">
        <f t="shared" si="5"/>
        <v>1477.017606</v>
      </c>
      <c r="AG287" s="34">
        <v>1.0</v>
      </c>
      <c r="AH287" s="36"/>
      <c r="AI287" s="30">
        <f t="shared" si="6"/>
        <v>3278.688525</v>
      </c>
      <c r="AJ287" s="17">
        <v>4000.0</v>
      </c>
      <c r="AK287" s="30">
        <f t="shared" si="7"/>
        <v>6557.377049</v>
      </c>
      <c r="AL287" s="20">
        <f t="shared" si="8"/>
        <v>8000</v>
      </c>
    </row>
    <row r="288">
      <c r="A288" s="16" t="s">
        <v>1272</v>
      </c>
      <c r="B288" s="17" t="s">
        <v>142</v>
      </c>
      <c r="C288" s="17" t="s">
        <v>143</v>
      </c>
      <c r="D288" s="17" t="s">
        <v>61</v>
      </c>
      <c r="E288" s="17" t="s">
        <v>1273</v>
      </c>
      <c r="F288" s="17" t="s">
        <v>103</v>
      </c>
      <c r="G288" s="19">
        <v>46190.0</v>
      </c>
      <c r="H288" s="17" t="s">
        <v>104</v>
      </c>
      <c r="I288" s="20" t="s">
        <v>1274</v>
      </c>
      <c r="J288" s="21" t="s">
        <v>1275</v>
      </c>
      <c r="K288" s="22" t="s">
        <v>1276</v>
      </c>
      <c r="L288" s="22" t="s">
        <v>1277</v>
      </c>
      <c r="M288" s="17">
        <v>2019.0</v>
      </c>
      <c r="N288" s="17">
        <v>14.0</v>
      </c>
      <c r="O288" s="23">
        <v>182.0</v>
      </c>
      <c r="P288" s="24">
        <f t="shared" si="9"/>
        <v>509.6</v>
      </c>
      <c r="Q288" s="25">
        <v>4.0</v>
      </c>
      <c r="R288" s="17">
        <v>2.0</v>
      </c>
      <c r="S288" s="26">
        <v>2.0</v>
      </c>
      <c r="T288" s="17">
        <v>2.0</v>
      </c>
      <c r="U288" s="17">
        <v>4.0</v>
      </c>
      <c r="V288" s="17" t="s">
        <v>130</v>
      </c>
      <c r="W288" s="28" t="s">
        <v>76</v>
      </c>
      <c r="X288" s="28" t="s">
        <v>78</v>
      </c>
      <c r="Y288" s="24">
        <v>10.0</v>
      </c>
      <c r="Z288" s="17">
        <v>150.0</v>
      </c>
      <c r="AA288" s="17">
        <v>576.0</v>
      </c>
      <c r="AB288" s="17">
        <v>31.0</v>
      </c>
      <c r="AC288" s="20">
        <f t="shared" si="2"/>
        <v>71424</v>
      </c>
      <c r="AD288" s="30">
        <f t="shared" si="3"/>
        <v>15.58266667</v>
      </c>
      <c r="AE288" s="30">
        <f t="shared" si="10"/>
        <v>7940.926933</v>
      </c>
      <c r="AF288" s="30">
        <f t="shared" si="5"/>
        <v>2014.878129</v>
      </c>
      <c r="AG288" s="34">
        <v>1.0</v>
      </c>
      <c r="AH288" s="36"/>
      <c r="AI288" s="30">
        <f t="shared" si="6"/>
        <v>3278.688525</v>
      </c>
      <c r="AJ288" s="17">
        <v>4000.0</v>
      </c>
      <c r="AK288" s="30">
        <f t="shared" si="7"/>
        <v>13114.7541</v>
      </c>
      <c r="AL288" s="20">
        <f t="shared" si="8"/>
        <v>16000</v>
      </c>
    </row>
    <row r="289">
      <c r="A289" s="41" t="s">
        <v>1272</v>
      </c>
      <c r="B289" s="42" t="s">
        <v>142</v>
      </c>
      <c r="C289" s="42" t="s">
        <v>143</v>
      </c>
      <c r="D289" s="42" t="s">
        <v>61</v>
      </c>
      <c r="E289" s="72" t="s">
        <v>947</v>
      </c>
      <c r="F289" s="17" t="s">
        <v>103</v>
      </c>
      <c r="G289" s="19">
        <v>46247.0</v>
      </c>
      <c r="H289" s="17" t="s">
        <v>104</v>
      </c>
      <c r="I289" s="43" t="s">
        <v>1274</v>
      </c>
      <c r="J289" s="44" t="s">
        <v>1278</v>
      </c>
      <c r="K289" s="45" t="s">
        <v>1279</v>
      </c>
      <c r="L289" s="45" t="s">
        <v>1280</v>
      </c>
      <c r="M289" s="42">
        <v>2018.0</v>
      </c>
      <c r="N289" s="42">
        <v>14.0</v>
      </c>
      <c r="O289" s="47">
        <v>182.0</v>
      </c>
      <c r="P289" s="48">
        <f t="shared" si="9"/>
        <v>509.6</v>
      </c>
      <c r="Q289" s="41">
        <v>4.0</v>
      </c>
      <c r="R289" s="42">
        <v>2.0</v>
      </c>
      <c r="S289" s="49">
        <v>2.0</v>
      </c>
      <c r="T289" s="42">
        <v>2.0</v>
      </c>
      <c r="U289" s="42">
        <v>4.0</v>
      </c>
      <c r="V289" s="42" t="s">
        <v>130</v>
      </c>
      <c r="W289" s="45" t="s">
        <v>76</v>
      </c>
      <c r="X289" s="45" t="s">
        <v>78</v>
      </c>
      <c r="Y289" s="48">
        <v>10.0</v>
      </c>
      <c r="Z289" s="42">
        <v>150.0</v>
      </c>
      <c r="AA289" s="42">
        <v>576.0</v>
      </c>
      <c r="AB289" s="42">
        <v>31.0</v>
      </c>
      <c r="AC289" s="43">
        <f t="shared" si="2"/>
        <v>71424</v>
      </c>
      <c r="AD289" s="50">
        <f t="shared" si="3"/>
        <v>15.58266667</v>
      </c>
      <c r="AE289" s="50">
        <f t="shared" si="10"/>
        <v>7940.926933</v>
      </c>
      <c r="AF289" s="50">
        <f t="shared" si="5"/>
        <v>2014.878129</v>
      </c>
      <c r="AG289" s="51">
        <v>1.0</v>
      </c>
      <c r="AH289" s="52"/>
      <c r="AI289" s="50">
        <f t="shared" si="6"/>
        <v>3278.688525</v>
      </c>
      <c r="AJ289" s="42">
        <v>4000.0</v>
      </c>
      <c r="AK289" s="50">
        <f t="shared" si="7"/>
        <v>13114.7541</v>
      </c>
      <c r="AL289" s="43">
        <f t="shared" si="8"/>
        <v>16000</v>
      </c>
    </row>
    <row r="290">
      <c r="A290" s="16" t="s">
        <v>1281</v>
      </c>
      <c r="B290" s="17" t="s">
        <v>142</v>
      </c>
      <c r="C290" s="17" t="s">
        <v>143</v>
      </c>
      <c r="D290" s="17" t="s">
        <v>61</v>
      </c>
      <c r="E290" s="17" t="s">
        <v>957</v>
      </c>
      <c r="F290" s="17" t="s">
        <v>103</v>
      </c>
      <c r="G290" s="19">
        <v>46203.0</v>
      </c>
      <c r="H290" s="17" t="s">
        <v>104</v>
      </c>
      <c r="I290" s="20" t="s">
        <v>1282</v>
      </c>
      <c r="J290" s="21" t="s">
        <v>1283</v>
      </c>
      <c r="K290" s="22" t="s">
        <v>1284</v>
      </c>
      <c r="L290" s="22" t="s">
        <v>1285</v>
      </c>
      <c r="M290" s="17">
        <v>2009.0</v>
      </c>
      <c r="N290" s="17">
        <v>11.0</v>
      </c>
      <c r="O290" s="23">
        <v>100.0</v>
      </c>
      <c r="P290" s="24">
        <f t="shared" si="9"/>
        <v>280</v>
      </c>
      <c r="Q290" s="25">
        <v>4.0</v>
      </c>
      <c r="R290" s="17">
        <v>2.0</v>
      </c>
      <c r="S290" s="26">
        <v>2.0</v>
      </c>
      <c r="T290" s="17">
        <v>2.0</v>
      </c>
      <c r="U290" s="17">
        <v>2.0</v>
      </c>
      <c r="V290" s="17" t="s">
        <v>130</v>
      </c>
      <c r="W290" s="28" t="s">
        <v>76</v>
      </c>
      <c r="X290" s="28" t="s">
        <v>78</v>
      </c>
      <c r="Y290" s="24">
        <v>10.0</v>
      </c>
      <c r="Z290" s="17">
        <v>150.0</v>
      </c>
      <c r="AA290" s="17">
        <v>576.0</v>
      </c>
      <c r="AB290" s="17">
        <v>31.0</v>
      </c>
      <c r="AC290" s="20">
        <f t="shared" si="2"/>
        <v>71424</v>
      </c>
      <c r="AD290" s="30">
        <f t="shared" si="3"/>
        <v>19.88133333</v>
      </c>
      <c r="AE290" s="30">
        <f t="shared" si="10"/>
        <v>5566.773333</v>
      </c>
      <c r="AF290" s="30">
        <f t="shared" si="5"/>
        <v>2874.196423</v>
      </c>
      <c r="AG290" s="34">
        <v>1.0</v>
      </c>
      <c r="AH290" s="36"/>
      <c r="AI290" s="30">
        <f t="shared" si="6"/>
        <v>3278.688525</v>
      </c>
      <c r="AJ290" s="17">
        <v>4000.0</v>
      </c>
      <c r="AK290" s="30">
        <f t="shared" si="7"/>
        <v>13114.7541</v>
      </c>
      <c r="AL290" s="20">
        <f t="shared" si="8"/>
        <v>16000</v>
      </c>
    </row>
    <row r="291">
      <c r="A291" s="16" t="s">
        <v>1281</v>
      </c>
      <c r="B291" s="17" t="s">
        <v>142</v>
      </c>
      <c r="C291" s="17" t="s">
        <v>143</v>
      </c>
      <c r="D291" s="17" t="s">
        <v>61</v>
      </c>
      <c r="E291" s="17" t="s">
        <v>957</v>
      </c>
      <c r="F291" s="17" t="s">
        <v>103</v>
      </c>
      <c r="G291" s="19">
        <v>46203.0</v>
      </c>
      <c r="H291" s="17" t="s">
        <v>104</v>
      </c>
      <c r="I291" s="20" t="s">
        <v>1282</v>
      </c>
      <c r="J291" s="21" t="s">
        <v>1286</v>
      </c>
      <c r="K291" s="22" t="s">
        <v>1287</v>
      </c>
      <c r="L291" s="22" t="s">
        <v>1288</v>
      </c>
      <c r="M291" s="17">
        <v>2007.0</v>
      </c>
      <c r="N291" s="17">
        <v>11.0</v>
      </c>
      <c r="O291" s="23">
        <v>100.0</v>
      </c>
      <c r="P291" s="24">
        <f t="shared" si="9"/>
        <v>280</v>
      </c>
      <c r="Q291" s="25">
        <v>4.0</v>
      </c>
      <c r="R291" s="17">
        <v>2.0</v>
      </c>
      <c r="S291" s="26">
        <v>2.0</v>
      </c>
      <c r="T291" s="17">
        <v>2.0</v>
      </c>
      <c r="U291" s="17">
        <v>2.0</v>
      </c>
      <c r="V291" s="17" t="s">
        <v>130</v>
      </c>
      <c r="W291" s="28" t="s">
        <v>76</v>
      </c>
      <c r="X291" s="28" t="s">
        <v>78</v>
      </c>
      <c r="Y291" s="24">
        <v>10.0</v>
      </c>
      <c r="Z291" s="17">
        <v>150.0</v>
      </c>
      <c r="AA291" s="17">
        <v>576.0</v>
      </c>
      <c r="AB291" s="17">
        <v>31.0</v>
      </c>
      <c r="AC291" s="20">
        <f t="shared" si="2"/>
        <v>71424</v>
      </c>
      <c r="AD291" s="30">
        <f t="shared" si="3"/>
        <v>19.88133333</v>
      </c>
      <c r="AE291" s="30">
        <f t="shared" si="10"/>
        <v>5566.773333</v>
      </c>
      <c r="AF291" s="30">
        <f t="shared" si="5"/>
        <v>2874.196423</v>
      </c>
      <c r="AG291" s="34">
        <v>1.0</v>
      </c>
      <c r="AH291" s="36"/>
      <c r="AI291" s="30">
        <f t="shared" si="6"/>
        <v>3278.688525</v>
      </c>
      <c r="AJ291" s="17">
        <v>4000.0</v>
      </c>
      <c r="AK291" s="30">
        <f t="shared" si="7"/>
        <v>13114.7541</v>
      </c>
      <c r="AL291" s="20">
        <f t="shared" si="8"/>
        <v>16000</v>
      </c>
    </row>
    <row r="292">
      <c r="A292" s="16" t="s">
        <v>1281</v>
      </c>
      <c r="B292" s="17" t="s">
        <v>142</v>
      </c>
      <c r="C292" s="17" t="s">
        <v>143</v>
      </c>
      <c r="D292" s="17" t="s">
        <v>61</v>
      </c>
      <c r="E292" s="17" t="s">
        <v>957</v>
      </c>
      <c r="F292" s="17" t="s">
        <v>103</v>
      </c>
      <c r="G292" s="19">
        <v>46203.0</v>
      </c>
      <c r="H292" s="17" t="s">
        <v>104</v>
      </c>
      <c r="I292" s="20" t="s">
        <v>1282</v>
      </c>
      <c r="J292" s="21" t="s">
        <v>1289</v>
      </c>
      <c r="K292" s="22" t="s">
        <v>1290</v>
      </c>
      <c r="L292" s="22" t="s">
        <v>1291</v>
      </c>
      <c r="M292" s="17">
        <v>2008.0</v>
      </c>
      <c r="N292" s="17">
        <v>17.0</v>
      </c>
      <c r="O292" s="23">
        <v>101.0</v>
      </c>
      <c r="P292" s="24">
        <f t="shared" si="9"/>
        <v>282.8</v>
      </c>
      <c r="Q292" s="25">
        <v>2.0</v>
      </c>
      <c r="R292" s="17">
        <v>1.0</v>
      </c>
      <c r="S292" s="26">
        <v>1.0</v>
      </c>
      <c r="T292" s="17">
        <v>1.0</v>
      </c>
      <c r="U292" s="17">
        <v>2.0</v>
      </c>
      <c r="V292" s="17" t="s">
        <v>130</v>
      </c>
      <c r="W292" s="28" t="s">
        <v>76</v>
      </c>
      <c r="X292" s="28" t="s">
        <v>78</v>
      </c>
      <c r="Y292" s="24">
        <v>10.0</v>
      </c>
      <c r="Z292" s="17">
        <v>150.0</v>
      </c>
      <c r="AA292" s="17">
        <v>576.0</v>
      </c>
      <c r="AB292" s="17">
        <v>31.0</v>
      </c>
      <c r="AC292" s="20">
        <f t="shared" si="2"/>
        <v>35712</v>
      </c>
      <c r="AD292" s="30">
        <f t="shared" si="3"/>
        <v>17.19466667</v>
      </c>
      <c r="AE292" s="30">
        <f t="shared" si="10"/>
        <v>4862.651733</v>
      </c>
      <c r="AF292" s="30">
        <f t="shared" si="5"/>
        <v>1645.192878</v>
      </c>
      <c r="AG292" s="34">
        <v>1.0</v>
      </c>
      <c r="AH292" s="36"/>
      <c r="AI292" s="30">
        <f t="shared" si="6"/>
        <v>3278.688525</v>
      </c>
      <c r="AJ292" s="17">
        <v>4000.0</v>
      </c>
      <c r="AK292" s="30">
        <f t="shared" si="7"/>
        <v>6557.377049</v>
      </c>
      <c r="AL292" s="20">
        <f t="shared" si="8"/>
        <v>8000</v>
      </c>
    </row>
    <row r="293">
      <c r="A293" s="16" t="s">
        <v>1292</v>
      </c>
      <c r="B293" s="17" t="s">
        <v>142</v>
      </c>
      <c r="C293" s="17" t="s">
        <v>143</v>
      </c>
      <c r="D293" s="17" t="s">
        <v>61</v>
      </c>
      <c r="E293" s="54" t="s">
        <v>947</v>
      </c>
      <c r="F293" s="17" t="s">
        <v>103</v>
      </c>
      <c r="G293" s="19">
        <v>46203.0</v>
      </c>
      <c r="H293" s="17" t="s">
        <v>104</v>
      </c>
      <c r="I293" s="20" t="s">
        <v>1293</v>
      </c>
      <c r="J293" s="21" t="s">
        <v>1294</v>
      </c>
      <c r="K293" s="22" t="s">
        <v>1295</v>
      </c>
      <c r="L293" s="22" t="s">
        <v>1296</v>
      </c>
      <c r="M293" s="17">
        <v>2016.0</v>
      </c>
      <c r="N293" s="17">
        <v>15.0</v>
      </c>
      <c r="O293" s="23">
        <v>120.0</v>
      </c>
      <c r="P293" s="24">
        <f t="shared" si="9"/>
        <v>336</v>
      </c>
      <c r="Q293" s="25">
        <v>2.0</v>
      </c>
      <c r="R293" s="17">
        <v>1.0</v>
      </c>
      <c r="S293" s="26">
        <v>1.0</v>
      </c>
      <c r="T293" s="17">
        <v>1.0</v>
      </c>
      <c r="U293" s="17">
        <v>2.0</v>
      </c>
      <c r="V293" s="17" t="s">
        <v>130</v>
      </c>
      <c r="W293" s="28" t="s">
        <v>76</v>
      </c>
      <c r="X293" s="28" t="s">
        <v>78</v>
      </c>
      <c r="Y293" s="24">
        <v>10.0</v>
      </c>
      <c r="Z293" s="17">
        <v>150.0</v>
      </c>
      <c r="AA293" s="17">
        <v>576.0</v>
      </c>
      <c r="AB293" s="17">
        <v>31.0</v>
      </c>
      <c r="AC293" s="20">
        <f t="shared" si="2"/>
        <v>35712</v>
      </c>
      <c r="AD293" s="30">
        <f t="shared" si="3"/>
        <v>16.12</v>
      </c>
      <c r="AE293" s="30">
        <f t="shared" si="10"/>
        <v>5416.32</v>
      </c>
      <c r="AF293" s="30">
        <f t="shared" si="5"/>
        <v>1477.017606</v>
      </c>
      <c r="AG293" s="34">
        <v>1.0</v>
      </c>
      <c r="AH293" s="36"/>
      <c r="AI293" s="30">
        <f t="shared" si="6"/>
        <v>3278.688525</v>
      </c>
      <c r="AJ293" s="17">
        <v>4000.0</v>
      </c>
      <c r="AK293" s="30">
        <f t="shared" si="7"/>
        <v>6557.377049</v>
      </c>
      <c r="AL293" s="20">
        <f t="shared" si="8"/>
        <v>8000</v>
      </c>
    </row>
    <row r="294">
      <c r="A294" s="16" t="s">
        <v>1292</v>
      </c>
      <c r="B294" s="17" t="s">
        <v>142</v>
      </c>
      <c r="C294" s="17" t="s">
        <v>143</v>
      </c>
      <c r="D294" s="17" t="s">
        <v>61</v>
      </c>
      <c r="E294" s="54" t="s">
        <v>947</v>
      </c>
      <c r="F294" s="17" t="s">
        <v>103</v>
      </c>
      <c r="G294" s="19">
        <v>46203.0</v>
      </c>
      <c r="H294" s="17" t="s">
        <v>104</v>
      </c>
      <c r="I294" s="20" t="s">
        <v>1293</v>
      </c>
      <c r="J294" s="21" t="s">
        <v>1297</v>
      </c>
      <c r="K294" s="22" t="s">
        <v>1298</v>
      </c>
      <c r="L294" s="22" t="s">
        <v>1299</v>
      </c>
      <c r="M294" s="17">
        <v>2018.0</v>
      </c>
      <c r="N294" s="17">
        <v>14.0</v>
      </c>
      <c r="O294" s="23">
        <v>216.0</v>
      </c>
      <c r="P294" s="24">
        <f t="shared" si="9"/>
        <v>604.8</v>
      </c>
      <c r="Q294" s="25">
        <v>8.0</v>
      </c>
      <c r="R294" s="17">
        <v>4.0</v>
      </c>
      <c r="S294" s="26">
        <v>4.0</v>
      </c>
      <c r="T294" s="17">
        <v>4.0</v>
      </c>
      <c r="U294" s="17">
        <v>8.0</v>
      </c>
      <c r="V294" s="17" t="s">
        <v>130</v>
      </c>
      <c r="W294" s="28" t="s">
        <v>76</v>
      </c>
      <c r="X294" s="28" t="s">
        <v>78</v>
      </c>
      <c r="Y294" s="24">
        <v>10.0</v>
      </c>
      <c r="Z294" s="17">
        <v>150.0</v>
      </c>
      <c r="AA294" s="17">
        <v>576.0</v>
      </c>
      <c r="AB294" s="17">
        <v>31.0</v>
      </c>
      <c r="AC294" s="20">
        <f t="shared" si="2"/>
        <v>142848</v>
      </c>
      <c r="AD294" s="30">
        <f t="shared" si="3"/>
        <v>15.58266667</v>
      </c>
      <c r="AE294" s="30">
        <f t="shared" si="10"/>
        <v>9424.3968</v>
      </c>
      <c r="AF294" s="30">
        <f t="shared" si="5"/>
        <v>3395.442773</v>
      </c>
      <c r="AG294" s="34">
        <v>1.0</v>
      </c>
      <c r="AH294" s="36"/>
      <c r="AI294" s="30">
        <f t="shared" si="6"/>
        <v>3278.688525</v>
      </c>
      <c r="AJ294" s="17">
        <v>4000.0</v>
      </c>
      <c r="AK294" s="30">
        <f t="shared" si="7"/>
        <v>26229.5082</v>
      </c>
      <c r="AL294" s="20">
        <f t="shared" si="8"/>
        <v>32000</v>
      </c>
    </row>
    <row r="295">
      <c r="A295" s="16" t="s">
        <v>1300</v>
      </c>
      <c r="B295" s="17" t="s">
        <v>142</v>
      </c>
      <c r="C295" s="17" t="s">
        <v>143</v>
      </c>
      <c r="D295" s="17" t="s">
        <v>946</v>
      </c>
      <c r="E295" s="54" t="s">
        <v>947</v>
      </c>
      <c r="F295" s="17" t="s">
        <v>103</v>
      </c>
      <c r="G295" s="19">
        <v>46216.0</v>
      </c>
      <c r="H295" s="17" t="s">
        <v>104</v>
      </c>
      <c r="I295" s="17" t="s">
        <v>1301</v>
      </c>
      <c r="J295" s="21" t="s">
        <v>1302</v>
      </c>
      <c r="K295" s="28" t="s">
        <v>1303</v>
      </c>
      <c r="L295" s="28" t="s">
        <v>1304</v>
      </c>
      <c r="M295" s="17">
        <v>2008.0</v>
      </c>
      <c r="N295" s="17">
        <v>14.0</v>
      </c>
      <c r="O295" s="23">
        <v>187.0</v>
      </c>
      <c r="P295" s="24">
        <f t="shared" si="9"/>
        <v>523.6</v>
      </c>
      <c r="Q295" s="25">
        <v>4.0</v>
      </c>
      <c r="R295" s="17">
        <v>0.0</v>
      </c>
      <c r="S295" s="26">
        <v>4.0</v>
      </c>
      <c r="T295" s="17">
        <v>4.0</v>
      </c>
      <c r="U295" s="17">
        <v>8.0</v>
      </c>
      <c r="V295" s="17" t="s">
        <v>130</v>
      </c>
      <c r="W295" s="28" t="s">
        <v>76</v>
      </c>
      <c r="X295" s="28" t="s">
        <v>78</v>
      </c>
      <c r="Y295" s="24">
        <v>10.0</v>
      </c>
      <c r="Z295" s="17">
        <v>150.0</v>
      </c>
      <c r="AA295" s="17">
        <v>576.0</v>
      </c>
      <c r="AB295" s="17">
        <v>31.0</v>
      </c>
      <c r="AC295" s="20">
        <f t="shared" si="2"/>
        <v>71424</v>
      </c>
      <c r="AD295" s="30">
        <f t="shared" si="3"/>
        <v>7.522666667</v>
      </c>
      <c r="AE295" s="30">
        <f t="shared" si="10"/>
        <v>3938.868267</v>
      </c>
      <c r="AF295" s="30">
        <f t="shared" si="5"/>
        <v>4062.080506</v>
      </c>
      <c r="AG295" s="34">
        <v>1.0</v>
      </c>
      <c r="AH295" s="36"/>
      <c r="AI295" s="30">
        <f t="shared" si="6"/>
        <v>3278.688525</v>
      </c>
      <c r="AJ295" s="17">
        <v>4000.0</v>
      </c>
      <c r="AK295" s="30">
        <f t="shared" si="7"/>
        <v>13114.7541</v>
      </c>
      <c r="AL295" s="20">
        <f t="shared" si="8"/>
        <v>16000</v>
      </c>
    </row>
    <row r="296">
      <c r="A296" s="16" t="s">
        <v>1305</v>
      </c>
      <c r="B296" s="17" t="s">
        <v>142</v>
      </c>
      <c r="C296" s="17" t="s">
        <v>143</v>
      </c>
      <c r="D296" s="17" t="s">
        <v>1066</v>
      </c>
      <c r="E296" s="17" t="s">
        <v>1067</v>
      </c>
      <c r="F296" s="17" t="s">
        <v>103</v>
      </c>
      <c r="G296" s="19">
        <v>46216.0</v>
      </c>
      <c r="H296" s="17" t="s">
        <v>104</v>
      </c>
      <c r="I296" s="17" t="s">
        <v>1306</v>
      </c>
      <c r="J296" s="21" t="s">
        <v>1307</v>
      </c>
      <c r="K296" s="28" t="s">
        <v>1308</v>
      </c>
      <c r="L296" s="28" t="s">
        <v>1309</v>
      </c>
      <c r="M296" s="17">
        <v>2025.0</v>
      </c>
      <c r="N296" s="17">
        <v>24.0</v>
      </c>
      <c r="O296" s="23">
        <v>400.0</v>
      </c>
      <c r="P296" s="24">
        <f t="shared" si="9"/>
        <v>1120</v>
      </c>
      <c r="Q296" s="25">
        <v>7.0</v>
      </c>
      <c r="R296" s="17">
        <v>0.0</v>
      </c>
      <c r="S296" s="26">
        <v>3.0</v>
      </c>
      <c r="T296" s="17">
        <v>7.0</v>
      </c>
      <c r="U296" s="17">
        <v>6.0</v>
      </c>
      <c r="V296" s="17" t="s">
        <v>130</v>
      </c>
      <c r="W296" s="28" t="s">
        <v>76</v>
      </c>
      <c r="X296" s="28" t="s">
        <v>78</v>
      </c>
      <c r="Y296" s="24">
        <v>10.0</v>
      </c>
      <c r="Z296" s="17">
        <v>150.0</v>
      </c>
      <c r="AA296" s="17">
        <v>576.0</v>
      </c>
      <c r="AB296" s="17">
        <v>31.0</v>
      </c>
      <c r="AC296" s="20">
        <f t="shared" si="2"/>
        <v>124992</v>
      </c>
      <c r="AD296" s="30">
        <f t="shared" si="3"/>
        <v>30.09066667</v>
      </c>
      <c r="AE296" s="30">
        <f t="shared" si="10"/>
        <v>33701.54667</v>
      </c>
      <c r="AF296" s="30">
        <f t="shared" si="5"/>
        <v>830.8224034</v>
      </c>
      <c r="AG296" s="34">
        <v>1.0</v>
      </c>
      <c r="AH296" s="36"/>
      <c r="AI296" s="30">
        <f t="shared" si="6"/>
        <v>3278.688525</v>
      </c>
      <c r="AJ296" s="17">
        <v>4000.0</v>
      </c>
      <c r="AK296" s="30">
        <f t="shared" si="7"/>
        <v>22950.81967</v>
      </c>
      <c r="AL296" s="20">
        <f t="shared" si="8"/>
        <v>28000</v>
      </c>
    </row>
    <row r="297">
      <c r="A297" s="73" t="s">
        <v>1305</v>
      </c>
      <c r="B297" s="74" t="s">
        <v>142</v>
      </c>
      <c r="C297" s="74" t="s">
        <v>143</v>
      </c>
      <c r="D297" s="74" t="s">
        <v>1066</v>
      </c>
      <c r="E297" s="42" t="s">
        <v>1067</v>
      </c>
      <c r="F297" s="17" t="s">
        <v>103</v>
      </c>
      <c r="G297" s="19">
        <v>46247.0</v>
      </c>
      <c r="H297" s="17" t="s">
        <v>104</v>
      </c>
      <c r="I297" s="74" t="s">
        <v>1306</v>
      </c>
      <c r="J297" s="75" t="s">
        <v>1310</v>
      </c>
      <c r="K297" s="45" t="s">
        <v>1311</v>
      </c>
      <c r="L297" s="45" t="s">
        <v>1312</v>
      </c>
      <c r="M297" s="42">
        <v>2025.0</v>
      </c>
      <c r="N297" s="42">
        <v>24.0</v>
      </c>
      <c r="O297" s="47">
        <v>721.0</v>
      </c>
      <c r="P297" s="48">
        <f t="shared" si="9"/>
        <v>2018.8</v>
      </c>
      <c r="Q297" s="41">
        <v>4.0</v>
      </c>
      <c r="R297" s="42">
        <v>1.0</v>
      </c>
      <c r="S297" s="49">
        <v>3.0</v>
      </c>
      <c r="T297" s="42">
        <v>3.0</v>
      </c>
      <c r="U297" s="42">
        <v>9.0</v>
      </c>
      <c r="V297" s="42" t="s">
        <v>130</v>
      </c>
      <c r="W297" s="45" t="s">
        <v>76</v>
      </c>
      <c r="X297" s="45" t="s">
        <v>78</v>
      </c>
      <c r="Y297" s="48">
        <v>10.0</v>
      </c>
      <c r="Z297" s="42">
        <v>150.0</v>
      </c>
      <c r="AA297" s="42">
        <v>576.0</v>
      </c>
      <c r="AB297" s="42">
        <v>31.0</v>
      </c>
      <c r="AC297" s="43">
        <f t="shared" si="2"/>
        <v>71424</v>
      </c>
      <c r="AD297" s="50">
        <f t="shared" si="3"/>
        <v>11.284</v>
      </c>
      <c r="AE297" s="50">
        <f t="shared" si="10"/>
        <v>22780.1392</v>
      </c>
      <c r="AF297" s="50">
        <f t="shared" si="5"/>
        <v>702.3662085</v>
      </c>
      <c r="AG297" s="51">
        <v>1.0</v>
      </c>
      <c r="AH297" s="52"/>
      <c r="AI297" s="50">
        <f t="shared" si="6"/>
        <v>3278.688525</v>
      </c>
      <c r="AJ297" s="42">
        <v>4000.0</v>
      </c>
      <c r="AK297" s="50">
        <f t="shared" si="7"/>
        <v>13114.7541</v>
      </c>
      <c r="AL297" s="43">
        <f t="shared" si="8"/>
        <v>16000</v>
      </c>
    </row>
    <row r="298">
      <c r="A298" s="73" t="s">
        <v>1313</v>
      </c>
      <c r="B298" s="42" t="s">
        <v>142</v>
      </c>
      <c r="C298" s="42" t="s">
        <v>143</v>
      </c>
      <c r="D298" s="42" t="s">
        <v>1066</v>
      </c>
      <c r="E298" s="42" t="s">
        <v>1067</v>
      </c>
      <c r="F298" s="17" t="s">
        <v>103</v>
      </c>
      <c r="G298" s="19">
        <v>46247.0</v>
      </c>
      <c r="H298" s="17" t="s">
        <v>104</v>
      </c>
      <c r="I298" s="42" t="s">
        <v>1314</v>
      </c>
      <c r="J298" s="44" t="s">
        <v>1315</v>
      </c>
      <c r="K298" s="45" t="s">
        <v>1316</v>
      </c>
      <c r="L298" s="45" t="s">
        <v>1317</v>
      </c>
      <c r="M298" s="42">
        <v>2023.0</v>
      </c>
      <c r="N298" s="42">
        <v>24.0</v>
      </c>
      <c r="O298" s="47">
        <v>509.0</v>
      </c>
      <c r="P298" s="48">
        <f t="shared" si="9"/>
        <v>1425.2</v>
      </c>
      <c r="Q298" s="41">
        <v>4.0</v>
      </c>
      <c r="R298" s="42">
        <v>1.0</v>
      </c>
      <c r="S298" s="49">
        <v>3.0</v>
      </c>
      <c r="T298" s="42">
        <v>3.0</v>
      </c>
      <c r="U298" s="42">
        <v>6.0</v>
      </c>
      <c r="V298" s="42" t="s">
        <v>130</v>
      </c>
      <c r="W298" s="45" t="s">
        <v>76</v>
      </c>
      <c r="X298" s="45" t="s">
        <v>78</v>
      </c>
      <c r="Y298" s="48">
        <v>10.0</v>
      </c>
      <c r="Z298" s="42">
        <v>150.0</v>
      </c>
      <c r="AA298" s="42">
        <v>576.0</v>
      </c>
      <c r="AB298" s="42">
        <v>31.0</v>
      </c>
      <c r="AC298" s="43">
        <f t="shared" si="2"/>
        <v>71424</v>
      </c>
      <c r="AD298" s="50">
        <f t="shared" si="3"/>
        <v>15.58266667</v>
      </c>
      <c r="AE298" s="50">
        <f t="shared" si="10"/>
        <v>22208.41653</v>
      </c>
      <c r="AF298" s="50">
        <f t="shared" si="5"/>
        <v>720.4475824</v>
      </c>
      <c r="AG298" s="51">
        <v>1.0</v>
      </c>
      <c r="AH298" s="52"/>
      <c r="AI298" s="50">
        <f t="shared" si="6"/>
        <v>3278.688525</v>
      </c>
      <c r="AJ298" s="42">
        <v>4000.0</v>
      </c>
      <c r="AK298" s="50">
        <f t="shared" si="7"/>
        <v>13114.7541</v>
      </c>
      <c r="AL298" s="43">
        <f t="shared" si="8"/>
        <v>16000</v>
      </c>
    </row>
    <row r="299">
      <c r="A299" s="41" t="s">
        <v>1313</v>
      </c>
      <c r="B299" s="42" t="s">
        <v>142</v>
      </c>
      <c r="C299" s="42" t="s">
        <v>143</v>
      </c>
      <c r="D299" s="42" t="s">
        <v>1066</v>
      </c>
      <c r="E299" s="42" t="s">
        <v>1067</v>
      </c>
      <c r="F299" s="17" t="s">
        <v>103</v>
      </c>
      <c r="G299" s="19">
        <v>46247.0</v>
      </c>
      <c r="H299" s="17" t="s">
        <v>104</v>
      </c>
      <c r="I299" s="42" t="s">
        <v>1314</v>
      </c>
      <c r="J299" s="44" t="s">
        <v>1318</v>
      </c>
      <c r="K299" s="45" t="s">
        <v>1319</v>
      </c>
      <c r="L299" s="45" t="s">
        <v>1320</v>
      </c>
      <c r="M299" s="42">
        <v>2022.0</v>
      </c>
      <c r="N299" s="42">
        <v>24.0</v>
      </c>
      <c r="O299" s="47">
        <v>400.0</v>
      </c>
      <c r="P299" s="48">
        <f t="shared" si="9"/>
        <v>1120</v>
      </c>
      <c r="Q299" s="41">
        <v>4.0</v>
      </c>
      <c r="R299" s="42">
        <v>2.0</v>
      </c>
      <c r="S299" s="49">
        <v>2.0</v>
      </c>
      <c r="T299" s="42">
        <v>2.0</v>
      </c>
      <c r="U299" s="42">
        <v>5.0</v>
      </c>
      <c r="V299" s="42" t="s">
        <v>130</v>
      </c>
      <c r="W299" s="45" t="s">
        <v>76</v>
      </c>
      <c r="X299" s="45" t="s">
        <v>78</v>
      </c>
      <c r="Y299" s="48">
        <v>10.0</v>
      </c>
      <c r="Z299" s="42">
        <v>150.0</v>
      </c>
      <c r="AA299" s="42">
        <v>576.0</v>
      </c>
      <c r="AB299" s="42">
        <v>31.0</v>
      </c>
      <c r="AC299" s="43">
        <f t="shared" si="2"/>
        <v>71424</v>
      </c>
      <c r="AD299" s="50">
        <f t="shared" si="3"/>
        <v>18.3768</v>
      </c>
      <c r="AE299" s="50">
        <f t="shared" si="10"/>
        <v>20582.016</v>
      </c>
      <c r="AF299" s="50">
        <f t="shared" si="5"/>
        <v>777.3776874</v>
      </c>
      <c r="AG299" s="51">
        <v>1.0</v>
      </c>
      <c r="AH299" s="52"/>
      <c r="AI299" s="50">
        <f t="shared" si="6"/>
        <v>3278.688525</v>
      </c>
      <c r="AJ299" s="42">
        <v>4000.0</v>
      </c>
      <c r="AK299" s="50">
        <f t="shared" si="7"/>
        <v>13114.7541</v>
      </c>
      <c r="AL299" s="43">
        <f t="shared" si="8"/>
        <v>16000</v>
      </c>
    </row>
    <row r="300">
      <c r="A300" s="41" t="s">
        <v>1321</v>
      </c>
      <c r="B300" s="42" t="s">
        <v>142</v>
      </c>
      <c r="C300" s="42" t="s">
        <v>143</v>
      </c>
      <c r="D300" s="42" t="s">
        <v>61</v>
      </c>
      <c r="E300" s="42" t="s">
        <v>947</v>
      </c>
      <c r="F300" s="17" t="s">
        <v>103</v>
      </c>
      <c r="G300" s="19">
        <v>46255.0</v>
      </c>
      <c r="H300" s="17" t="s">
        <v>104</v>
      </c>
      <c r="I300" s="42" t="s">
        <v>1322</v>
      </c>
      <c r="J300" s="44" t="s">
        <v>1323</v>
      </c>
      <c r="K300" s="45" t="s">
        <v>1324</v>
      </c>
      <c r="L300" s="45" t="s">
        <v>1325</v>
      </c>
      <c r="M300" s="42">
        <v>2020.0</v>
      </c>
      <c r="N300" s="42">
        <v>14.0</v>
      </c>
      <c r="O300" s="47">
        <v>190.0</v>
      </c>
      <c r="P300" s="48">
        <f t="shared" si="9"/>
        <v>532</v>
      </c>
      <c r="Q300" s="41">
        <v>6.0</v>
      </c>
      <c r="R300" s="42">
        <v>3.0</v>
      </c>
      <c r="S300" s="49">
        <v>3.0</v>
      </c>
      <c r="T300" s="42">
        <v>3.0</v>
      </c>
      <c r="U300" s="42">
        <v>6.0</v>
      </c>
      <c r="V300" s="42" t="s">
        <v>130</v>
      </c>
      <c r="W300" s="45" t="s">
        <v>76</v>
      </c>
      <c r="X300" s="45" t="s">
        <v>78</v>
      </c>
      <c r="Y300" s="48">
        <v>10.0</v>
      </c>
      <c r="Z300" s="42">
        <v>150.0</v>
      </c>
      <c r="AA300" s="42">
        <v>576.0</v>
      </c>
      <c r="AB300" s="42">
        <v>31.0</v>
      </c>
      <c r="AC300" s="43">
        <f t="shared" si="2"/>
        <v>107136</v>
      </c>
      <c r="AD300" s="50">
        <f t="shared" si="3"/>
        <v>15.58266667</v>
      </c>
      <c r="AE300" s="50">
        <f t="shared" si="10"/>
        <v>8289.978667</v>
      </c>
      <c r="AF300" s="50">
        <f t="shared" si="5"/>
        <v>2895.061732</v>
      </c>
      <c r="AG300" s="51">
        <v>1.0</v>
      </c>
      <c r="AH300" s="52"/>
      <c r="AI300" s="50">
        <f t="shared" si="6"/>
        <v>3278.688525</v>
      </c>
      <c r="AJ300" s="42">
        <v>4000.0</v>
      </c>
      <c r="AK300" s="50">
        <f t="shared" si="7"/>
        <v>19672.13115</v>
      </c>
      <c r="AL300" s="43">
        <f t="shared" si="8"/>
        <v>24000</v>
      </c>
    </row>
    <row r="301">
      <c r="A301" s="41" t="s">
        <v>1321</v>
      </c>
      <c r="B301" s="42" t="s">
        <v>142</v>
      </c>
      <c r="C301" s="42" t="s">
        <v>143</v>
      </c>
      <c r="D301" s="42" t="s">
        <v>61</v>
      </c>
      <c r="E301" s="42" t="s">
        <v>947</v>
      </c>
      <c r="F301" s="17" t="s">
        <v>103</v>
      </c>
      <c r="G301" s="19">
        <v>46255.0</v>
      </c>
      <c r="H301" s="17" t="s">
        <v>104</v>
      </c>
      <c r="I301" s="42" t="s">
        <v>1322</v>
      </c>
      <c r="J301" s="44" t="s">
        <v>1326</v>
      </c>
      <c r="K301" s="45" t="s">
        <v>1327</v>
      </c>
      <c r="L301" s="45" t="s">
        <v>1328</v>
      </c>
      <c r="M301" s="42">
        <v>2020.0</v>
      </c>
      <c r="N301" s="42">
        <v>15.0</v>
      </c>
      <c r="O301" s="47">
        <v>136.0</v>
      </c>
      <c r="P301" s="48">
        <f t="shared" si="9"/>
        <v>380.8</v>
      </c>
      <c r="Q301" s="41">
        <v>4.0</v>
      </c>
      <c r="R301" s="42">
        <v>2.0</v>
      </c>
      <c r="S301" s="49">
        <v>3.0</v>
      </c>
      <c r="T301" s="42">
        <v>2.0</v>
      </c>
      <c r="U301" s="42">
        <v>6.0</v>
      </c>
      <c r="V301" s="42" t="s">
        <v>130</v>
      </c>
      <c r="W301" s="45" t="s">
        <v>76</v>
      </c>
      <c r="X301" s="45" t="s">
        <v>78</v>
      </c>
      <c r="Y301" s="48">
        <v>10.0</v>
      </c>
      <c r="Z301" s="42">
        <v>150.0</v>
      </c>
      <c r="AA301" s="42">
        <v>576.0</v>
      </c>
      <c r="AB301" s="42">
        <v>31.0</v>
      </c>
      <c r="AC301" s="43">
        <f t="shared" si="2"/>
        <v>71424</v>
      </c>
      <c r="AD301" s="50">
        <f t="shared" si="3"/>
        <v>10.74666667</v>
      </c>
      <c r="AE301" s="50">
        <f t="shared" si="10"/>
        <v>4092.330667</v>
      </c>
      <c r="AF301" s="50">
        <f t="shared" si="5"/>
        <v>3909.752487</v>
      </c>
      <c r="AG301" s="51">
        <v>1.0</v>
      </c>
      <c r="AH301" s="52"/>
      <c r="AI301" s="50">
        <f t="shared" si="6"/>
        <v>3278.688525</v>
      </c>
      <c r="AJ301" s="42">
        <v>4000.0</v>
      </c>
      <c r="AK301" s="50">
        <f t="shared" si="7"/>
        <v>13114.7541</v>
      </c>
      <c r="AL301" s="43">
        <f t="shared" si="8"/>
        <v>16000</v>
      </c>
    </row>
    <row r="302">
      <c r="A302" s="41" t="s">
        <v>1329</v>
      </c>
      <c r="B302" s="42" t="s">
        <v>142</v>
      </c>
      <c r="C302" s="42" t="s">
        <v>143</v>
      </c>
      <c r="D302" s="42" t="s">
        <v>61</v>
      </c>
      <c r="E302" s="42" t="s">
        <v>947</v>
      </c>
      <c r="F302" s="17" t="s">
        <v>103</v>
      </c>
      <c r="G302" s="19">
        <v>46227.0</v>
      </c>
      <c r="H302" s="17" t="s">
        <v>104</v>
      </c>
      <c r="I302" s="42" t="s">
        <v>1330</v>
      </c>
      <c r="J302" s="44" t="s">
        <v>1331</v>
      </c>
      <c r="K302" s="45" t="s">
        <v>1332</v>
      </c>
      <c r="L302" s="45" t="s">
        <v>1333</v>
      </c>
      <c r="M302" s="42">
        <v>2018.0</v>
      </c>
      <c r="N302" s="42">
        <v>15.0</v>
      </c>
      <c r="O302" s="47">
        <v>140.0</v>
      </c>
      <c r="P302" s="48">
        <f t="shared" si="9"/>
        <v>392</v>
      </c>
      <c r="Q302" s="41">
        <v>3.0</v>
      </c>
      <c r="R302" s="42">
        <v>0.0</v>
      </c>
      <c r="S302" s="49">
        <v>3.0</v>
      </c>
      <c r="T302" s="42">
        <v>3.0</v>
      </c>
      <c r="U302" s="42">
        <v>6.0</v>
      </c>
      <c r="V302" s="42" t="s">
        <v>130</v>
      </c>
      <c r="W302" s="45" t="s">
        <v>76</v>
      </c>
      <c r="X302" s="45" t="s">
        <v>78</v>
      </c>
      <c r="Y302" s="48">
        <v>10.0</v>
      </c>
      <c r="Z302" s="42">
        <v>150.0</v>
      </c>
      <c r="AA302" s="42">
        <v>576.0</v>
      </c>
      <c r="AB302" s="42">
        <v>31.0</v>
      </c>
      <c r="AC302" s="43">
        <f t="shared" si="2"/>
        <v>53568</v>
      </c>
      <c r="AD302" s="50">
        <f t="shared" si="3"/>
        <v>8.06</v>
      </c>
      <c r="AE302" s="50">
        <f t="shared" si="10"/>
        <v>3159.52</v>
      </c>
      <c r="AF302" s="50">
        <f t="shared" si="5"/>
        <v>3798.045273</v>
      </c>
      <c r="AG302" s="51">
        <v>1.0</v>
      </c>
      <c r="AH302" s="52"/>
      <c r="AI302" s="50">
        <f t="shared" si="6"/>
        <v>3278.688525</v>
      </c>
      <c r="AJ302" s="42">
        <v>4000.0</v>
      </c>
      <c r="AK302" s="50">
        <f t="shared" si="7"/>
        <v>9836.065574</v>
      </c>
      <c r="AL302" s="43">
        <f t="shared" si="8"/>
        <v>12000</v>
      </c>
    </row>
    <row r="303">
      <c r="A303" s="41" t="s">
        <v>1329</v>
      </c>
      <c r="B303" s="42" t="s">
        <v>142</v>
      </c>
      <c r="C303" s="42" t="s">
        <v>143</v>
      </c>
      <c r="D303" s="42" t="s">
        <v>61</v>
      </c>
      <c r="E303" s="42" t="s">
        <v>947</v>
      </c>
      <c r="F303" s="17" t="s">
        <v>103</v>
      </c>
      <c r="G303" s="19">
        <v>46245.0</v>
      </c>
      <c r="H303" s="17" t="s">
        <v>104</v>
      </c>
      <c r="I303" s="42" t="s">
        <v>1330</v>
      </c>
      <c r="J303" s="44" t="s">
        <v>1334</v>
      </c>
      <c r="K303" s="45" t="s">
        <v>1335</v>
      </c>
      <c r="L303" s="45" t="s">
        <v>1336</v>
      </c>
      <c r="M303" s="42">
        <v>2018.0</v>
      </c>
      <c r="N303" s="42">
        <v>14.0</v>
      </c>
      <c r="O303" s="47">
        <v>164.0</v>
      </c>
      <c r="P303" s="48">
        <f t="shared" si="9"/>
        <v>459.2</v>
      </c>
      <c r="Q303" s="41">
        <v>3.0</v>
      </c>
      <c r="R303" s="42">
        <v>0.0</v>
      </c>
      <c r="S303" s="49">
        <v>3.0</v>
      </c>
      <c r="T303" s="42">
        <v>3.0</v>
      </c>
      <c r="U303" s="42">
        <v>6.0</v>
      </c>
      <c r="V303" s="42" t="s">
        <v>130</v>
      </c>
      <c r="W303" s="45" t="s">
        <v>76</v>
      </c>
      <c r="X303" s="45" t="s">
        <v>78</v>
      </c>
      <c r="Y303" s="48">
        <v>10.0</v>
      </c>
      <c r="Z303" s="42">
        <v>150.0</v>
      </c>
      <c r="AA303" s="42">
        <v>576.0</v>
      </c>
      <c r="AB303" s="42">
        <v>31.0</v>
      </c>
      <c r="AC303" s="43">
        <f t="shared" si="2"/>
        <v>53568</v>
      </c>
      <c r="AD303" s="50">
        <f t="shared" si="3"/>
        <v>7.522666667</v>
      </c>
      <c r="AE303" s="50">
        <f t="shared" si="10"/>
        <v>3454.408533</v>
      </c>
      <c r="AF303" s="50">
        <f t="shared" si="5"/>
        <v>3473.821896</v>
      </c>
      <c r="AG303" s="51">
        <v>1.0</v>
      </c>
      <c r="AH303" s="52"/>
      <c r="AI303" s="50">
        <f t="shared" si="6"/>
        <v>3278.688525</v>
      </c>
      <c r="AJ303" s="42">
        <v>4000.0</v>
      </c>
      <c r="AK303" s="50">
        <f t="shared" si="7"/>
        <v>9836.065574</v>
      </c>
      <c r="AL303" s="43">
        <f t="shared" si="8"/>
        <v>12000</v>
      </c>
    </row>
    <row r="304">
      <c r="A304" s="41" t="s">
        <v>1329</v>
      </c>
      <c r="B304" s="42" t="s">
        <v>142</v>
      </c>
      <c r="C304" s="42" t="s">
        <v>143</v>
      </c>
      <c r="D304" s="42" t="s">
        <v>61</v>
      </c>
      <c r="E304" s="42" t="s">
        <v>947</v>
      </c>
      <c r="F304" s="17" t="s">
        <v>103</v>
      </c>
      <c r="G304" s="19">
        <v>46245.0</v>
      </c>
      <c r="H304" s="17" t="s">
        <v>104</v>
      </c>
      <c r="I304" s="42" t="s">
        <v>1330</v>
      </c>
      <c r="J304" s="44" t="s">
        <v>1337</v>
      </c>
      <c r="K304" s="45" t="s">
        <v>1338</v>
      </c>
      <c r="L304" s="45" t="s">
        <v>1339</v>
      </c>
      <c r="M304" s="42">
        <v>2020.0</v>
      </c>
      <c r="N304" s="42">
        <v>15.0</v>
      </c>
      <c r="O304" s="47">
        <v>224.0</v>
      </c>
      <c r="P304" s="48">
        <f t="shared" si="9"/>
        <v>627.2</v>
      </c>
      <c r="Q304" s="41">
        <v>4.0</v>
      </c>
      <c r="R304" s="42">
        <v>2.0</v>
      </c>
      <c r="S304" s="49">
        <v>2.0</v>
      </c>
      <c r="T304" s="42">
        <v>2.0</v>
      </c>
      <c r="U304" s="42">
        <v>4.0</v>
      </c>
      <c r="V304" s="42" t="s">
        <v>130</v>
      </c>
      <c r="W304" s="45" t="s">
        <v>76</v>
      </c>
      <c r="X304" s="45" t="s">
        <v>78</v>
      </c>
      <c r="Y304" s="48">
        <v>10.0</v>
      </c>
      <c r="Z304" s="42">
        <v>150.0</v>
      </c>
      <c r="AA304" s="42">
        <v>576.0</v>
      </c>
      <c r="AB304" s="42">
        <v>31.0</v>
      </c>
      <c r="AC304" s="43">
        <f t="shared" si="2"/>
        <v>71424</v>
      </c>
      <c r="AD304" s="50">
        <f t="shared" si="3"/>
        <v>16.12</v>
      </c>
      <c r="AE304" s="50">
        <f t="shared" si="10"/>
        <v>10110.464</v>
      </c>
      <c r="AF304" s="50">
        <f t="shared" si="5"/>
        <v>1582.518864</v>
      </c>
      <c r="AG304" s="51">
        <v>1.0</v>
      </c>
      <c r="AH304" s="52"/>
      <c r="AI304" s="50">
        <f t="shared" si="6"/>
        <v>3278.688525</v>
      </c>
      <c r="AJ304" s="42">
        <v>4000.0</v>
      </c>
      <c r="AK304" s="50">
        <f t="shared" si="7"/>
        <v>13114.7541</v>
      </c>
      <c r="AL304" s="43">
        <f t="shared" si="8"/>
        <v>16000</v>
      </c>
    </row>
    <row r="305">
      <c r="A305" s="41" t="s">
        <v>1340</v>
      </c>
      <c r="B305" s="42" t="s">
        <v>142</v>
      </c>
      <c r="C305" s="42" t="s">
        <v>143</v>
      </c>
      <c r="D305" s="42" t="s">
        <v>61</v>
      </c>
      <c r="E305" s="42" t="s">
        <v>947</v>
      </c>
      <c r="F305" s="17" t="s">
        <v>103</v>
      </c>
      <c r="G305" s="19">
        <v>46240.0</v>
      </c>
      <c r="H305" s="17" t="s">
        <v>104</v>
      </c>
      <c r="I305" s="42" t="s">
        <v>1341</v>
      </c>
      <c r="J305" s="44" t="s">
        <v>1342</v>
      </c>
      <c r="K305" s="45" t="s">
        <v>1343</v>
      </c>
      <c r="L305" s="45" t="s">
        <v>1344</v>
      </c>
      <c r="M305" s="42">
        <v>2016.0</v>
      </c>
      <c r="N305" s="42">
        <v>15.0</v>
      </c>
      <c r="O305" s="47">
        <v>416.0</v>
      </c>
      <c r="P305" s="48">
        <f t="shared" si="9"/>
        <v>1164.8</v>
      </c>
      <c r="Q305" s="41">
        <v>2.0</v>
      </c>
      <c r="R305" s="42">
        <v>1.0</v>
      </c>
      <c r="S305" s="49">
        <v>4.0</v>
      </c>
      <c r="T305" s="42">
        <v>1.0</v>
      </c>
      <c r="U305" s="42">
        <v>8.0</v>
      </c>
      <c r="V305" s="42" t="s">
        <v>130</v>
      </c>
      <c r="W305" s="45" t="s">
        <v>76</v>
      </c>
      <c r="X305" s="45" t="s">
        <v>78</v>
      </c>
      <c r="Y305" s="48">
        <v>10.0</v>
      </c>
      <c r="Z305" s="42">
        <v>150.0</v>
      </c>
      <c r="AA305" s="42">
        <v>576.0</v>
      </c>
      <c r="AB305" s="42">
        <v>31.0</v>
      </c>
      <c r="AC305" s="43">
        <f t="shared" si="2"/>
        <v>35712</v>
      </c>
      <c r="AD305" s="50">
        <f t="shared" si="3"/>
        <v>4.03</v>
      </c>
      <c r="AE305" s="50">
        <f t="shared" si="10"/>
        <v>4694.144</v>
      </c>
      <c r="AF305" s="50">
        <f t="shared" si="5"/>
        <v>1704.251084</v>
      </c>
      <c r="AG305" s="51">
        <v>1.0</v>
      </c>
      <c r="AH305" s="52"/>
      <c r="AI305" s="50">
        <f t="shared" si="6"/>
        <v>3278.688525</v>
      </c>
      <c r="AJ305" s="42">
        <v>4000.0</v>
      </c>
      <c r="AK305" s="50">
        <f t="shared" si="7"/>
        <v>6557.377049</v>
      </c>
      <c r="AL305" s="43">
        <f t="shared" si="8"/>
        <v>8000</v>
      </c>
    </row>
    <row r="306">
      <c r="A306" s="41" t="s">
        <v>1340</v>
      </c>
      <c r="B306" s="42" t="s">
        <v>142</v>
      </c>
      <c r="C306" s="42" t="s">
        <v>143</v>
      </c>
      <c r="D306" s="42" t="s">
        <v>61</v>
      </c>
      <c r="E306" s="42" t="s">
        <v>947</v>
      </c>
      <c r="F306" s="17" t="s">
        <v>103</v>
      </c>
      <c r="G306" s="19">
        <v>46240.0</v>
      </c>
      <c r="H306" s="17" t="s">
        <v>104</v>
      </c>
      <c r="I306" s="42" t="s">
        <v>1341</v>
      </c>
      <c r="J306" s="44" t="s">
        <v>1345</v>
      </c>
      <c r="K306" s="45" t="s">
        <v>1346</v>
      </c>
      <c r="L306" s="45" t="s">
        <v>1347</v>
      </c>
      <c r="M306" s="42">
        <v>2015.0</v>
      </c>
      <c r="N306" s="42">
        <v>17.0</v>
      </c>
      <c r="O306" s="47">
        <v>328.0</v>
      </c>
      <c r="P306" s="48">
        <f t="shared" si="9"/>
        <v>918.4</v>
      </c>
      <c r="Q306" s="41">
        <v>2.0</v>
      </c>
      <c r="R306" s="42">
        <v>1.0</v>
      </c>
      <c r="S306" s="49">
        <v>4.0</v>
      </c>
      <c r="T306" s="42">
        <v>1.0</v>
      </c>
      <c r="U306" s="42">
        <v>2.0</v>
      </c>
      <c r="V306" s="42" t="s">
        <v>130</v>
      </c>
      <c r="W306" s="45" t="s">
        <v>76</v>
      </c>
      <c r="X306" s="45" t="s">
        <v>78</v>
      </c>
      <c r="Y306" s="48">
        <v>10.0</v>
      </c>
      <c r="Z306" s="42">
        <v>150.0</v>
      </c>
      <c r="AA306" s="42">
        <v>576.0</v>
      </c>
      <c r="AB306" s="42">
        <v>31.0</v>
      </c>
      <c r="AC306" s="43">
        <f t="shared" si="2"/>
        <v>35712</v>
      </c>
      <c r="AD306" s="50">
        <f t="shared" si="3"/>
        <v>11.14966667</v>
      </c>
      <c r="AE306" s="50">
        <f t="shared" si="10"/>
        <v>10239.85387</v>
      </c>
      <c r="AF306" s="50">
        <f t="shared" si="5"/>
        <v>781.2611492</v>
      </c>
      <c r="AG306" s="51">
        <v>1.0</v>
      </c>
      <c r="AH306" s="52"/>
      <c r="AI306" s="50">
        <f t="shared" si="6"/>
        <v>3278.688525</v>
      </c>
      <c r="AJ306" s="42">
        <v>4000.0</v>
      </c>
      <c r="AK306" s="50">
        <f t="shared" si="7"/>
        <v>6557.377049</v>
      </c>
      <c r="AL306" s="43">
        <f t="shared" si="8"/>
        <v>8000</v>
      </c>
    </row>
    <row r="307">
      <c r="A307" s="41" t="s">
        <v>1348</v>
      </c>
      <c r="B307" s="42" t="s">
        <v>142</v>
      </c>
      <c r="C307" s="42" t="s">
        <v>143</v>
      </c>
      <c r="D307" s="42" t="s">
        <v>61</v>
      </c>
      <c r="E307" s="42" t="s">
        <v>947</v>
      </c>
      <c r="F307" s="17" t="s">
        <v>103</v>
      </c>
      <c r="G307" s="19">
        <v>46240.0</v>
      </c>
      <c r="H307" s="17" t="s">
        <v>104</v>
      </c>
      <c r="I307" s="42" t="s">
        <v>1349</v>
      </c>
      <c r="J307" s="44" t="s">
        <v>1350</v>
      </c>
      <c r="K307" s="45" t="s">
        <v>1351</v>
      </c>
      <c r="L307" s="45" t="s">
        <v>1352</v>
      </c>
      <c r="M307" s="42">
        <v>2022.0</v>
      </c>
      <c r="N307" s="42">
        <v>19.0</v>
      </c>
      <c r="O307" s="47">
        <v>144.0</v>
      </c>
      <c r="P307" s="48">
        <f t="shared" si="9"/>
        <v>403.2</v>
      </c>
      <c r="Q307" s="41">
        <v>2.0</v>
      </c>
      <c r="R307" s="42">
        <v>0.0</v>
      </c>
      <c r="S307" s="49">
        <v>1.0</v>
      </c>
      <c r="T307" s="42">
        <v>2.0</v>
      </c>
      <c r="U307" s="42">
        <v>2.0</v>
      </c>
      <c r="V307" s="42" t="s">
        <v>130</v>
      </c>
      <c r="W307" s="45" t="s">
        <v>76</v>
      </c>
      <c r="X307" s="45" t="s">
        <v>78</v>
      </c>
      <c r="Y307" s="48">
        <v>10.0</v>
      </c>
      <c r="Z307" s="42">
        <v>150.0</v>
      </c>
      <c r="AA307" s="42">
        <v>576.0</v>
      </c>
      <c r="AB307" s="42">
        <v>31.0</v>
      </c>
      <c r="AC307" s="43">
        <f t="shared" si="2"/>
        <v>35712</v>
      </c>
      <c r="AD307" s="50">
        <f t="shared" si="3"/>
        <v>20.41866667</v>
      </c>
      <c r="AE307" s="50">
        <f t="shared" si="10"/>
        <v>8232.8064</v>
      </c>
      <c r="AF307" s="50">
        <f t="shared" si="5"/>
        <v>971.7221092</v>
      </c>
      <c r="AG307" s="51">
        <v>1.0</v>
      </c>
      <c r="AH307" s="52"/>
      <c r="AI307" s="50">
        <f t="shared" si="6"/>
        <v>3278.688525</v>
      </c>
      <c r="AJ307" s="42">
        <v>4000.0</v>
      </c>
      <c r="AK307" s="50">
        <f t="shared" si="7"/>
        <v>6557.377049</v>
      </c>
      <c r="AL307" s="43">
        <f t="shared" si="8"/>
        <v>8000</v>
      </c>
    </row>
    <row r="308">
      <c r="A308" s="41" t="s">
        <v>1353</v>
      </c>
      <c r="B308" s="42" t="s">
        <v>142</v>
      </c>
      <c r="C308" s="42" t="s">
        <v>143</v>
      </c>
      <c r="D308" s="42" t="s">
        <v>61</v>
      </c>
      <c r="E308" s="42" t="s">
        <v>957</v>
      </c>
      <c r="F308" s="17" t="s">
        <v>103</v>
      </c>
      <c r="G308" s="19">
        <v>46260.0</v>
      </c>
      <c r="H308" s="17" t="s">
        <v>104</v>
      </c>
      <c r="I308" s="42" t="s">
        <v>874</v>
      </c>
      <c r="J308" s="44" t="s">
        <v>1354</v>
      </c>
      <c r="K308" s="46" t="s">
        <v>1355</v>
      </c>
      <c r="L308" s="46" t="s">
        <v>1356</v>
      </c>
      <c r="M308" s="42">
        <v>2014.0</v>
      </c>
      <c r="N308" s="42">
        <v>16.0</v>
      </c>
      <c r="O308" s="47">
        <v>127.0</v>
      </c>
      <c r="P308" s="48">
        <f t="shared" si="9"/>
        <v>355.6</v>
      </c>
      <c r="Q308" s="41">
        <v>2.0</v>
      </c>
      <c r="R308" s="42">
        <v>2.0</v>
      </c>
      <c r="S308" s="49">
        <v>2.0</v>
      </c>
      <c r="T308" s="42">
        <v>0.0</v>
      </c>
      <c r="U308" s="42">
        <v>4.0</v>
      </c>
      <c r="V308" s="42" t="s">
        <v>75</v>
      </c>
      <c r="W308" s="45" t="s">
        <v>76</v>
      </c>
      <c r="X308" s="45" t="s">
        <v>78</v>
      </c>
      <c r="Y308" s="48">
        <v>10.0</v>
      </c>
      <c r="Z308" s="42">
        <v>150.0</v>
      </c>
      <c r="AA308" s="42">
        <v>576.0</v>
      </c>
      <c r="AB308" s="42">
        <v>31.0</v>
      </c>
      <c r="AC308" s="43">
        <f t="shared" si="2"/>
        <v>35712</v>
      </c>
      <c r="AD308" s="50">
        <f t="shared" si="3"/>
        <v>8.06</v>
      </c>
      <c r="AE308" s="50">
        <f t="shared" si="10"/>
        <v>2866.136</v>
      </c>
      <c r="AF308" s="50">
        <f t="shared" si="5"/>
        <v>2791.214374</v>
      </c>
      <c r="AG308" s="51">
        <v>1.0</v>
      </c>
      <c r="AH308" s="52"/>
      <c r="AI308" s="50">
        <f t="shared" si="6"/>
        <v>3278.688525</v>
      </c>
      <c r="AJ308" s="42">
        <v>4000.0</v>
      </c>
      <c r="AK308" s="50">
        <f t="shared" si="7"/>
        <v>6557.377049</v>
      </c>
      <c r="AL308" s="43">
        <f t="shared" si="8"/>
        <v>8000</v>
      </c>
    </row>
    <row r="309">
      <c r="A309" s="41" t="s">
        <v>1353</v>
      </c>
      <c r="B309" s="42" t="s">
        <v>142</v>
      </c>
      <c r="C309" s="42" t="s">
        <v>143</v>
      </c>
      <c r="D309" s="42" t="s">
        <v>61</v>
      </c>
      <c r="E309" s="42" t="s">
        <v>957</v>
      </c>
      <c r="F309" s="17" t="s">
        <v>103</v>
      </c>
      <c r="G309" s="19">
        <v>46260.0</v>
      </c>
      <c r="H309" s="17" t="s">
        <v>104</v>
      </c>
      <c r="I309" s="42" t="s">
        <v>874</v>
      </c>
      <c r="J309" s="44" t="s">
        <v>1354</v>
      </c>
      <c r="K309" s="46" t="s">
        <v>1355</v>
      </c>
      <c r="L309" s="46" t="s">
        <v>1356</v>
      </c>
      <c r="M309" s="42">
        <v>2014.0</v>
      </c>
      <c r="N309" s="42">
        <v>16.0</v>
      </c>
      <c r="O309" s="47">
        <v>127.0</v>
      </c>
      <c r="P309" s="48">
        <f t="shared" si="9"/>
        <v>355.6</v>
      </c>
      <c r="Q309" s="41">
        <v>2.0</v>
      </c>
      <c r="R309" s="42">
        <v>0.0</v>
      </c>
      <c r="S309" s="49">
        <v>2.0</v>
      </c>
      <c r="T309" s="42">
        <v>2.0</v>
      </c>
      <c r="U309" s="42">
        <v>4.0</v>
      </c>
      <c r="V309" s="42" t="s">
        <v>130</v>
      </c>
      <c r="W309" s="45" t="s">
        <v>76</v>
      </c>
      <c r="X309" s="45" t="s">
        <v>78</v>
      </c>
      <c r="Y309" s="48">
        <v>10.0</v>
      </c>
      <c r="Z309" s="42">
        <v>150.0</v>
      </c>
      <c r="AA309" s="42">
        <v>576.0</v>
      </c>
      <c r="AB309" s="42">
        <v>31.0</v>
      </c>
      <c r="AC309" s="43">
        <f t="shared" si="2"/>
        <v>35712</v>
      </c>
      <c r="AD309" s="50">
        <f t="shared" si="3"/>
        <v>8.597333333</v>
      </c>
      <c r="AE309" s="50">
        <f t="shared" si="10"/>
        <v>3057.211733</v>
      </c>
      <c r="AF309" s="50">
        <f t="shared" si="5"/>
        <v>2616.763475</v>
      </c>
      <c r="AG309" s="51">
        <v>1.0</v>
      </c>
      <c r="AH309" s="52"/>
      <c r="AI309" s="50">
        <f t="shared" si="6"/>
        <v>3278.688525</v>
      </c>
      <c r="AJ309" s="42">
        <v>4000.0</v>
      </c>
      <c r="AK309" s="50">
        <f t="shared" si="7"/>
        <v>6557.377049</v>
      </c>
      <c r="AL309" s="43">
        <f t="shared" si="8"/>
        <v>8000</v>
      </c>
    </row>
    <row r="310">
      <c r="A310" s="41" t="s">
        <v>1353</v>
      </c>
      <c r="B310" s="42" t="s">
        <v>142</v>
      </c>
      <c r="C310" s="42" t="s">
        <v>143</v>
      </c>
      <c r="D310" s="42" t="s">
        <v>61</v>
      </c>
      <c r="E310" s="72" t="s">
        <v>957</v>
      </c>
      <c r="F310" s="17" t="s">
        <v>103</v>
      </c>
      <c r="G310" s="19">
        <v>46260.0</v>
      </c>
      <c r="H310" s="17" t="s">
        <v>104</v>
      </c>
      <c r="I310" s="42" t="s">
        <v>874</v>
      </c>
      <c r="J310" s="44" t="s">
        <v>1357</v>
      </c>
      <c r="K310" s="46" t="s">
        <v>1358</v>
      </c>
      <c r="L310" s="46" t="s">
        <v>1359</v>
      </c>
      <c r="M310" s="42">
        <v>2013.0</v>
      </c>
      <c r="N310" s="42">
        <v>14.0</v>
      </c>
      <c r="O310" s="47">
        <v>139.0</v>
      </c>
      <c r="P310" s="48">
        <f t="shared" si="9"/>
        <v>389.2</v>
      </c>
      <c r="Q310" s="41">
        <v>2.0</v>
      </c>
      <c r="R310" s="42">
        <v>2.0</v>
      </c>
      <c r="S310" s="49">
        <v>2.0</v>
      </c>
      <c r="T310" s="42">
        <v>0.0</v>
      </c>
      <c r="U310" s="42">
        <v>4.0</v>
      </c>
      <c r="V310" s="42" t="s">
        <v>75</v>
      </c>
      <c r="W310" s="45" t="s">
        <v>76</v>
      </c>
      <c r="X310" s="45" t="s">
        <v>78</v>
      </c>
      <c r="Y310" s="48">
        <v>10.0</v>
      </c>
      <c r="Z310" s="42">
        <v>150.0</v>
      </c>
      <c r="AA310" s="42">
        <v>576.0</v>
      </c>
      <c r="AB310" s="42">
        <v>31.0</v>
      </c>
      <c r="AC310" s="43">
        <f t="shared" si="2"/>
        <v>35712</v>
      </c>
      <c r="AD310" s="50">
        <f t="shared" si="3"/>
        <v>8.06</v>
      </c>
      <c r="AE310" s="50">
        <f t="shared" si="10"/>
        <v>3136.952</v>
      </c>
      <c r="AF310" s="50">
        <f t="shared" si="5"/>
        <v>2550.246226</v>
      </c>
      <c r="AG310" s="51">
        <v>1.0</v>
      </c>
      <c r="AH310" s="52"/>
      <c r="AI310" s="50">
        <f t="shared" si="6"/>
        <v>3278.688525</v>
      </c>
      <c r="AJ310" s="42">
        <v>4000.0</v>
      </c>
      <c r="AK310" s="50">
        <f t="shared" si="7"/>
        <v>6557.377049</v>
      </c>
      <c r="AL310" s="43">
        <f t="shared" si="8"/>
        <v>8000</v>
      </c>
    </row>
    <row r="311">
      <c r="A311" s="41" t="s">
        <v>1353</v>
      </c>
      <c r="B311" s="42" t="s">
        <v>142</v>
      </c>
      <c r="C311" s="42" t="s">
        <v>143</v>
      </c>
      <c r="D311" s="42" t="s">
        <v>61</v>
      </c>
      <c r="E311" s="72" t="s">
        <v>957</v>
      </c>
      <c r="F311" s="17" t="s">
        <v>103</v>
      </c>
      <c r="G311" s="19">
        <v>46260.0</v>
      </c>
      <c r="H311" s="17" t="s">
        <v>104</v>
      </c>
      <c r="I311" s="42" t="s">
        <v>874</v>
      </c>
      <c r="J311" s="44" t="s">
        <v>1357</v>
      </c>
      <c r="K311" s="46" t="s">
        <v>1358</v>
      </c>
      <c r="L311" s="46" t="s">
        <v>1359</v>
      </c>
      <c r="M311" s="42">
        <v>2013.0</v>
      </c>
      <c r="N311" s="42">
        <v>14.0</v>
      </c>
      <c r="O311" s="47">
        <v>139.0</v>
      </c>
      <c r="P311" s="48">
        <f t="shared" si="9"/>
        <v>389.2</v>
      </c>
      <c r="Q311" s="41">
        <v>2.0</v>
      </c>
      <c r="R311" s="42">
        <v>0.0</v>
      </c>
      <c r="S311" s="49">
        <v>2.0</v>
      </c>
      <c r="T311" s="42">
        <v>2.0</v>
      </c>
      <c r="U311" s="42">
        <v>4.0</v>
      </c>
      <c r="V311" s="42" t="s">
        <v>130</v>
      </c>
      <c r="W311" s="45" t="s">
        <v>76</v>
      </c>
      <c r="X311" s="45" t="s">
        <v>78</v>
      </c>
      <c r="Y311" s="48">
        <v>10.0</v>
      </c>
      <c r="Z311" s="42">
        <v>150.0</v>
      </c>
      <c r="AA311" s="42">
        <v>576.0</v>
      </c>
      <c r="AB311" s="42">
        <v>31.0</v>
      </c>
      <c r="AC311" s="43">
        <f t="shared" si="2"/>
        <v>35712</v>
      </c>
      <c r="AD311" s="50">
        <f t="shared" si="3"/>
        <v>7.522666667</v>
      </c>
      <c r="AE311" s="50">
        <f t="shared" si="10"/>
        <v>2927.821867</v>
      </c>
      <c r="AF311" s="50">
        <f t="shared" si="5"/>
        <v>2732.406671</v>
      </c>
      <c r="AG311" s="51">
        <v>1.0</v>
      </c>
      <c r="AH311" s="52"/>
      <c r="AI311" s="50">
        <f t="shared" si="6"/>
        <v>3278.688525</v>
      </c>
      <c r="AJ311" s="42">
        <v>4000.0</v>
      </c>
      <c r="AK311" s="50">
        <f t="shared" si="7"/>
        <v>6557.377049</v>
      </c>
      <c r="AL311" s="43">
        <f t="shared" si="8"/>
        <v>8000</v>
      </c>
    </row>
    <row r="312">
      <c r="A312" s="41" t="s">
        <v>1360</v>
      </c>
      <c r="B312" s="42" t="s">
        <v>142</v>
      </c>
      <c r="C312" s="42" t="s">
        <v>143</v>
      </c>
      <c r="D312" s="42" t="s">
        <v>61</v>
      </c>
      <c r="E312" s="72"/>
      <c r="F312" s="17" t="s">
        <v>103</v>
      </c>
      <c r="G312" s="19">
        <v>46255.0</v>
      </c>
      <c r="H312" s="17" t="s">
        <v>104</v>
      </c>
      <c r="I312" s="42" t="s">
        <v>1361</v>
      </c>
      <c r="J312" s="44" t="s">
        <v>1362</v>
      </c>
      <c r="K312" s="45" t="s">
        <v>1363</v>
      </c>
      <c r="L312" s="45" t="s">
        <v>1364</v>
      </c>
      <c r="M312" s="42">
        <v>2020.0</v>
      </c>
      <c r="N312" s="42">
        <v>18.0</v>
      </c>
      <c r="O312" s="47">
        <v>359.0</v>
      </c>
      <c r="P312" s="48">
        <f t="shared" si="9"/>
        <v>1005.2</v>
      </c>
      <c r="Q312" s="41">
        <v>6.0</v>
      </c>
      <c r="R312" s="42">
        <v>3.0</v>
      </c>
      <c r="S312" s="49">
        <v>3.0</v>
      </c>
      <c r="T312" s="42">
        <v>3.0</v>
      </c>
      <c r="U312" s="42">
        <v>3.0</v>
      </c>
      <c r="V312" s="42" t="s">
        <v>130</v>
      </c>
      <c r="W312" s="45" t="s">
        <v>76</v>
      </c>
      <c r="X312" s="45" t="s">
        <v>78</v>
      </c>
      <c r="Y312" s="48">
        <v>10.0</v>
      </c>
      <c r="Z312" s="42">
        <v>150.0</v>
      </c>
      <c r="AA312" s="42">
        <v>576.0</v>
      </c>
      <c r="AB312" s="42">
        <v>31.0</v>
      </c>
      <c r="AC312" s="43">
        <f t="shared" si="2"/>
        <v>107136</v>
      </c>
      <c r="AD312" s="50">
        <f t="shared" si="3"/>
        <v>27.404</v>
      </c>
      <c r="AE312" s="50">
        <f t="shared" si="10"/>
        <v>27546.5008</v>
      </c>
      <c r="AF312" s="50">
        <f t="shared" si="5"/>
        <v>871.254036</v>
      </c>
      <c r="AG312" s="51">
        <v>1.0</v>
      </c>
      <c r="AH312" s="52"/>
      <c r="AI312" s="50">
        <f t="shared" si="6"/>
        <v>3278.688525</v>
      </c>
      <c r="AJ312" s="42">
        <v>4000.0</v>
      </c>
      <c r="AK312" s="50">
        <f t="shared" si="7"/>
        <v>19672.13115</v>
      </c>
      <c r="AL312" s="43">
        <f t="shared" si="8"/>
        <v>24000</v>
      </c>
    </row>
    <row r="313">
      <c r="A313" s="41" t="s">
        <v>1365</v>
      </c>
      <c r="B313" s="42" t="s">
        <v>142</v>
      </c>
      <c r="C313" s="42" t="s">
        <v>143</v>
      </c>
      <c r="D313" s="42" t="s">
        <v>61</v>
      </c>
      <c r="E313" s="72"/>
      <c r="F313" s="17" t="s">
        <v>103</v>
      </c>
      <c r="G313" s="19">
        <v>46258.0</v>
      </c>
      <c r="H313" s="17" t="s">
        <v>104</v>
      </c>
      <c r="I313" s="42" t="s">
        <v>1366</v>
      </c>
      <c r="J313" s="44" t="s">
        <v>1367</v>
      </c>
      <c r="K313" s="45" t="s">
        <v>1368</v>
      </c>
      <c r="L313" s="45" t="s">
        <v>1369</v>
      </c>
      <c r="M313" s="42">
        <v>2026.0</v>
      </c>
      <c r="N313" s="42">
        <v>13.0</v>
      </c>
      <c r="O313" s="47">
        <v>156.0</v>
      </c>
      <c r="P313" s="48">
        <f t="shared" si="9"/>
        <v>436.8</v>
      </c>
      <c r="Q313" s="41">
        <v>3.0</v>
      </c>
      <c r="R313" s="42">
        <v>0.0</v>
      </c>
      <c r="S313" s="49">
        <v>3.0</v>
      </c>
      <c r="T313" s="42">
        <v>3.0</v>
      </c>
      <c r="U313" s="42">
        <v>6.0</v>
      </c>
      <c r="V313" s="42" t="s">
        <v>130</v>
      </c>
      <c r="W313" s="45" t="s">
        <v>76</v>
      </c>
      <c r="X313" s="45" t="s">
        <v>78</v>
      </c>
      <c r="Y313" s="48">
        <v>10.0</v>
      </c>
      <c r="Z313" s="42">
        <v>150.0</v>
      </c>
      <c r="AA313" s="42">
        <v>576.0</v>
      </c>
      <c r="AB313" s="42">
        <v>31.0</v>
      </c>
      <c r="AC313" s="43">
        <f t="shared" si="2"/>
        <v>53568</v>
      </c>
      <c r="AD313" s="50">
        <f t="shared" si="3"/>
        <v>6.985333333</v>
      </c>
      <c r="AE313" s="50">
        <f t="shared" si="10"/>
        <v>3051.1936</v>
      </c>
      <c r="AF313" s="50">
        <f t="shared" si="5"/>
        <v>3932.887117</v>
      </c>
      <c r="AG313" s="51">
        <v>1.0</v>
      </c>
      <c r="AH313" s="52"/>
      <c r="AI313" s="50">
        <f t="shared" si="6"/>
        <v>3278.688525</v>
      </c>
      <c r="AJ313" s="42">
        <v>4000.0</v>
      </c>
      <c r="AK313" s="50">
        <f t="shared" si="7"/>
        <v>9836.065574</v>
      </c>
      <c r="AL313" s="43">
        <f t="shared" si="8"/>
        <v>12000</v>
      </c>
    </row>
    <row r="314">
      <c r="A314" s="41" t="s">
        <v>1365</v>
      </c>
      <c r="B314" s="42" t="s">
        <v>142</v>
      </c>
      <c r="C314" s="42" t="s">
        <v>143</v>
      </c>
      <c r="D314" s="42" t="s">
        <v>61</v>
      </c>
      <c r="E314" s="72"/>
      <c r="F314" s="17" t="s">
        <v>103</v>
      </c>
      <c r="G314" s="19">
        <v>46258.0</v>
      </c>
      <c r="H314" s="17" t="s">
        <v>104</v>
      </c>
      <c r="I314" s="42" t="s">
        <v>1366</v>
      </c>
      <c r="J314" s="44" t="s">
        <v>1370</v>
      </c>
      <c r="K314" s="45" t="s">
        <v>1371</v>
      </c>
      <c r="L314" s="45" t="s">
        <v>1372</v>
      </c>
      <c r="M314" s="42">
        <v>2025.0</v>
      </c>
      <c r="N314" s="42">
        <v>10.0</v>
      </c>
      <c r="O314" s="47">
        <v>160.0</v>
      </c>
      <c r="P314" s="48">
        <f t="shared" si="9"/>
        <v>448</v>
      </c>
      <c r="Q314" s="41">
        <v>4.0</v>
      </c>
      <c r="R314" s="42">
        <v>0.0</v>
      </c>
      <c r="S314" s="49">
        <v>4.0</v>
      </c>
      <c r="T314" s="42">
        <v>4.0</v>
      </c>
      <c r="U314" s="42">
        <v>6.0</v>
      </c>
      <c r="V314" s="42" t="s">
        <v>130</v>
      </c>
      <c r="W314" s="45" t="s">
        <v>76</v>
      </c>
      <c r="X314" s="45" t="s">
        <v>78</v>
      </c>
      <c r="Y314" s="48">
        <v>10.0</v>
      </c>
      <c r="Z314" s="42">
        <v>150.0</v>
      </c>
      <c r="AA314" s="42">
        <v>576.0</v>
      </c>
      <c r="AB314" s="42">
        <v>31.0</v>
      </c>
      <c r="AC314" s="43">
        <f t="shared" si="2"/>
        <v>71424</v>
      </c>
      <c r="AD314" s="50">
        <f t="shared" si="3"/>
        <v>7.164444444</v>
      </c>
      <c r="AE314" s="50">
        <f t="shared" si="10"/>
        <v>3209.671111</v>
      </c>
      <c r="AF314" s="50">
        <f t="shared" si="5"/>
        <v>4984.93442</v>
      </c>
      <c r="AG314" s="51">
        <v>1.0</v>
      </c>
      <c r="AH314" s="52"/>
      <c r="AI314" s="50">
        <f t="shared" si="6"/>
        <v>3278.688525</v>
      </c>
      <c r="AJ314" s="42">
        <v>4000.0</v>
      </c>
      <c r="AK314" s="50">
        <f t="shared" si="7"/>
        <v>13114.7541</v>
      </c>
      <c r="AL314" s="43">
        <f t="shared" si="8"/>
        <v>16000</v>
      </c>
    </row>
    <row r="315">
      <c r="A315" s="16" t="s">
        <v>1373</v>
      </c>
      <c r="B315" s="17" t="s">
        <v>165</v>
      </c>
      <c r="C315" s="17" t="s">
        <v>169</v>
      </c>
      <c r="D315" s="17" t="s">
        <v>1374</v>
      </c>
      <c r="E315" s="17" t="s">
        <v>1375</v>
      </c>
      <c r="F315" s="17" t="s">
        <v>103</v>
      </c>
      <c r="G315" s="19">
        <v>45952.0</v>
      </c>
      <c r="H315" s="17" t="s">
        <v>104</v>
      </c>
      <c r="I315" s="20" t="s">
        <v>1376</v>
      </c>
      <c r="J315" s="21" t="s">
        <v>1377</v>
      </c>
      <c r="K315" s="22" t="s">
        <v>1378</v>
      </c>
      <c r="L315" s="22" t="s">
        <v>1379</v>
      </c>
      <c r="M315" s="17">
        <v>2022.0</v>
      </c>
      <c r="N315" s="17">
        <v>20.0</v>
      </c>
      <c r="O315" s="23">
        <v>191.0</v>
      </c>
      <c r="P315" s="24">
        <f t="shared" si="9"/>
        <v>534.8</v>
      </c>
      <c r="Q315" s="25">
        <v>1.0</v>
      </c>
      <c r="R315" s="17">
        <v>1.0</v>
      </c>
      <c r="S315" s="26">
        <v>1.0</v>
      </c>
      <c r="T315" s="17">
        <v>0.0</v>
      </c>
      <c r="U315" s="17">
        <v>3.0</v>
      </c>
      <c r="V315" s="17" t="s">
        <v>75</v>
      </c>
      <c r="W315" s="28" t="s">
        <v>76</v>
      </c>
      <c r="X315" s="28" t="s">
        <v>78</v>
      </c>
      <c r="Y315" s="24">
        <v>10.0</v>
      </c>
      <c r="Z315" s="17">
        <v>150.0</v>
      </c>
      <c r="AA315" s="17">
        <v>576.0</v>
      </c>
      <c r="AB315" s="17">
        <v>31.0</v>
      </c>
      <c r="AC315" s="20">
        <f t="shared" si="2"/>
        <v>17856</v>
      </c>
      <c r="AD315" s="30">
        <f t="shared" si="3"/>
        <v>8.06</v>
      </c>
      <c r="AE315" s="30">
        <f t="shared" si="10"/>
        <v>4310.488</v>
      </c>
      <c r="AF315" s="30">
        <f t="shared" si="5"/>
        <v>927.9691766</v>
      </c>
      <c r="AG315" s="34">
        <v>1.0</v>
      </c>
      <c r="AH315" s="36"/>
      <c r="AI315" s="30">
        <f t="shared" si="6"/>
        <v>3278.688525</v>
      </c>
      <c r="AJ315" s="17">
        <v>4000.0</v>
      </c>
      <c r="AK315" s="30">
        <f t="shared" si="7"/>
        <v>3278.688525</v>
      </c>
      <c r="AL315" s="20">
        <f t="shared" si="8"/>
        <v>4000</v>
      </c>
    </row>
    <row r="316">
      <c r="A316" s="16" t="s">
        <v>1373</v>
      </c>
      <c r="B316" s="17" t="s">
        <v>165</v>
      </c>
      <c r="C316" s="17" t="s">
        <v>169</v>
      </c>
      <c r="D316" s="17" t="s">
        <v>1374</v>
      </c>
      <c r="E316" s="17" t="s">
        <v>1375</v>
      </c>
      <c r="F316" s="17" t="s">
        <v>103</v>
      </c>
      <c r="G316" s="19">
        <v>45952.0</v>
      </c>
      <c r="H316" s="17" t="s">
        <v>104</v>
      </c>
      <c r="I316" s="20" t="s">
        <v>1376</v>
      </c>
      <c r="J316" s="21" t="s">
        <v>1380</v>
      </c>
      <c r="K316" s="22" t="s">
        <v>1381</v>
      </c>
      <c r="L316" s="22" t="s">
        <v>1382</v>
      </c>
      <c r="M316" s="17">
        <v>2023.0</v>
      </c>
      <c r="N316" s="17">
        <v>20.0</v>
      </c>
      <c r="O316" s="23">
        <v>193.0</v>
      </c>
      <c r="P316" s="24">
        <f t="shared" si="9"/>
        <v>540.4</v>
      </c>
      <c r="Q316" s="25">
        <v>3.0</v>
      </c>
      <c r="R316" s="17">
        <v>1.0</v>
      </c>
      <c r="S316" s="26">
        <v>1.0</v>
      </c>
      <c r="T316" s="17">
        <v>2.0</v>
      </c>
      <c r="U316" s="17">
        <v>2.0</v>
      </c>
      <c r="V316" s="17" t="s">
        <v>75</v>
      </c>
      <c r="W316" s="28" t="s">
        <v>76</v>
      </c>
      <c r="X316" s="28" t="s">
        <v>78</v>
      </c>
      <c r="Y316" s="24">
        <v>10.0</v>
      </c>
      <c r="Z316" s="17">
        <v>150.0</v>
      </c>
      <c r="AA316" s="17">
        <v>576.0</v>
      </c>
      <c r="AB316" s="17">
        <v>31.0</v>
      </c>
      <c r="AC316" s="20">
        <f t="shared" si="2"/>
        <v>53568</v>
      </c>
      <c r="AD316" s="30">
        <f t="shared" si="3"/>
        <v>29.55333333</v>
      </c>
      <c r="AE316" s="30">
        <f t="shared" si="10"/>
        <v>15970.62133</v>
      </c>
      <c r="AF316" s="30">
        <f t="shared" si="5"/>
        <v>751.3796583</v>
      </c>
      <c r="AG316" s="34">
        <v>1.0</v>
      </c>
      <c r="AH316" s="36"/>
      <c r="AI316" s="30">
        <f t="shared" si="6"/>
        <v>3278.688525</v>
      </c>
      <c r="AJ316" s="17">
        <v>4000.0</v>
      </c>
      <c r="AK316" s="30">
        <f t="shared" si="7"/>
        <v>9836.065574</v>
      </c>
      <c r="AL316" s="20">
        <f t="shared" si="8"/>
        <v>12000</v>
      </c>
    </row>
    <row r="317">
      <c r="A317" s="16" t="s">
        <v>1373</v>
      </c>
      <c r="B317" s="17" t="s">
        <v>165</v>
      </c>
      <c r="C317" s="17" t="s">
        <v>169</v>
      </c>
      <c r="D317" s="17" t="s">
        <v>1374</v>
      </c>
      <c r="E317" s="17" t="s">
        <v>1375</v>
      </c>
      <c r="F317" s="17" t="s">
        <v>103</v>
      </c>
      <c r="G317" s="19">
        <v>45952.0</v>
      </c>
      <c r="H317" s="17" t="s">
        <v>104</v>
      </c>
      <c r="I317" s="20" t="s">
        <v>1376</v>
      </c>
      <c r="J317" s="21" t="s">
        <v>1383</v>
      </c>
      <c r="K317" s="22" t="s">
        <v>1384</v>
      </c>
      <c r="L317" s="22" t="s">
        <v>1385</v>
      </c>
      <c r="M317" s="17">
        <v>2023.0</v>
      </c>
      <c r="N317" s="17">
        <v>20.0</v>
      </c>
      <c r="O317" s="23">
        <v>190.0</v>
      </c>
      <c r="P317" s="24">
        <f t="shared" si="9"/>
        <v>532</v>
      </c>
      <c r="Q317" s="25">
        <v>1.0</v>
      </c>
      <c r="R317" s="17">
        <v>1.0</v>
      </c>
      <c r="S317" s="26">
        <v>1.0</v>
      </c>
      <c r="T317" s="17">
        <v>0.0</v>
      </c>
      <c r="U317" s="17">
        <v>2.0</v>
      </c>
      <c r="V317" s="17" t="s">
        <v>75</v>
      </c>
      <c r="W317" s="28" t="s">
        <v>76</v>
      </c>
      <c r="X317" s="28" t="s">
        <v>78</v>
      </c>
      <c r="Y317" s="24">
        <v>10.0</v>
      </c>
      <c r="Z317" s="17">
        <v>150.0</v>
      </c>
      <c r="AA317" s="17">
        <v>576.0</v>
      </c>
      <c r="AB317" s="17">
        <v>31.0</v>
      </c>
      <c r="AC317" s="20">
        <f t="shared" si="2"/>
        <v>17856</v>
      </c>
      <c r="AD317" s="30">
        <f t="shared" si="3"/>
        <v>8.06</v>
      </c>
      <c r="AE317" s="30">
        <f t="shared" si="10"/>
        <v>4287.92</v>
      </c>
      <c r="AF317" s="30">
        <f t="shared" si="5"/>
        <v>932.8532249</v>
      </c>
      <c r="AG317" s="34">
        <v>1.0</v>
      </c>
      <c r="AH317" s="36"/>
      <c r="AI317" s="30">
        <f t="shared" si="6"/>
        <v>3278.688525</v>
      </c>
      <c r="AJ317" s="17">
        <v>4000.0</v>
      </c>
      <c r="AK317" s="30">
        <f t="shared" si="7"/>
        <v>3278.688525</v>
      </c>
      <c r="AL317" s="20">
        <f t="shared" si="8"/>
        <v>4000</v>
      </c>
    </row>
    <row r="318">
      <c r="A318" s="16" t="s">
        <v>1373</v>
      </c>
      <c r="B318" s="17" t="s">
        <v>165</v>
      </c>
      <c r="C318" s="17" t="s">
        <v>169</v>
      </c>
      <c r="D318" s="17" t="s">
        <v>1386</v>
      </c>
      <c r="E318" s="17" t="s">
        <v>1375</v>
      </c>
      <c r="F318" s="17" t="s">
        <v>103</v>
      </c>
      <c r="G318" s="19">
        <v>45952.0</v>
      </c>
      <c r="H318" s="17" t="s">
        <v>104</v>
      </c>
      <c r="I318" s="20" t="s">
        <v>1376</v>
      </c>
      <c r="J318" s="21" t="s">
        <v>1387</v>
      </c>
      <c r="K318" s="28" t="s">
        <v>1388</v>
      </c>
      <c r="L318" s="28" t="s">
        <v>1389</v>
      </c>
      <c r="M318" s="17">
        <v>2022.0</v>
      </c>
      <c r="N318" s="17">
        <v>18.0</v>
      </c>
      <c r="O318" s="23">
        <v>170.0</v>
      </c>
      <c r="P318" s="24">
        <f t="shared" si="9"/>
        <v>476</v>
      </c>
      <c r="Q318" s="25">
        <v>2.0</v>
      </c>
      <c r="R318" s="17">
        <v>2.0</v>
      </c>
      <c r="S318" s="26">
        <v>2.0</v>
      </c>
      <c r="T318" s="17">
        <v>0.0</v>
      </c>
      <c r="U318" s="17">
        <v>4.0</v>
      </c>
      <c r="V318" s="17" t="s">
        <v>75</v>
      </c>
      <c r="W318" s="28" t="s">
        <v>76</v>
      </c>
      <c r="X318" s="28" t="s">
        <v>78</v>
      </c>
      <c r="Y318" s="24">
        <v>10.0</v>
      </c>
      <c r="Z318" s="17">
        <v>150.0</v>
      </c>
      <c r="AA318" s="17">
        <v>576.0</v>
      </c>
      <c r="AB318" s="17">
        <v>31.0</v>
      </c>
      <c r="AC318" s="20">
        <f t="shared" si="2"/>
        <v>35712</v>
      </c>
      <c r="AD318" s="30">
        <f t="shared" si="3"/>
        <v>8.06</v>
      </c>
      <c r="AE318" s="30">
        <f t="shared" si="10"/>
        <v>3836.56</v>
      </c>
      <c r="AF318" s="30">
        <f t="shared" si="5"/>
        <v>2085.201326</v>
      </c>
      <c r="AG318" s="34">
        <v>1.0</v>
      </c>
      <c r="AH318" s="36"/>
      <c r="AI318" s="30">
        <f t="shared" si="6"/>
        <v>3278.688525</v>
      </c>
      <c r="AJ318" s="17">
        <v>4000.0</v>
      </c>
      <c r="AK318" s="30">
        <f t="shared" si="7"/>
        <v>6557.377049</v>
      </c>
      <c r="AL318" s="20">
        <f t="shared" si="8"/>
        <v>8000</v>
      </c>
    </row>
    <row r="319">
      <c r="A319" s="16" t="s">
        <v>1373</v>
      </c>
      <c r="B319" s="17" t="s">
        <v>165</v>
      </c>
      <c r="C319" s="17" t="s">
        <v>169</v>
      </c>
      <c r="D319" s="17" t="s">
        <v>1375</v>
      </c>
      <c r="E319" s="17" t="s">
        <v>1375</v>
      </c>
      <c r="F319" s="17" t="s">
        <v>103</v>
      </c>
      <c r="G319" s="19">
        <v>45952.0</v>
      </c>
      <c r="H319" s="17" t="s">
        <v>104</v>
      </c>
      <c r="I319" s="20" t="s">
        <v>1376</v>
      </c>
      <c r="J319" s="21" t="s">
        <v>1390</v>
      </c>
      <c r="K319" s="22" t="s">
        <v>1391</v>
      </c>
      <c r="L319" s="22" t="s">
        <v>1392</v>
      </c>
      <c r="M319" s="17">
        <v>2019.0</v>
      </c>
      <c r="N319" s="17">
        <v>21.0</v>
      </c>
      <c r="O319" s="23">
        <v>180.0</v>
      </c>
      <c r="P319" s="24">
        <f t="shared" si="9"/>
        <v>504</v>
      </c>
      <c r="Q319" s="25">
        <v>1.0</v>
      </c>
      <c r="R319" s="17">
        <v>1.0</v>
      </c>
      <c r="S319" s="26">
        <v>1.0</v>
      </c>
      <c r="T319" s="17">
        <v>0.0</v>
      </c>
      <c r="U319" s="17">
        <v>2.0</v>
      </c>
      <c r="V319" s="17" t="s">
        <v>75</v>
      </c>
      <c r="W319" s="28" t="s">
        <v>76</v>
      </c>
      <c r="X319" s="28" t="s">
        <v>78</v>
      </c>
      <c r="Y319" s="24">
        <v>10.0</v>
      </c>
      <c r="Z319" s="17">
        <v>150.0</v>
      </c>
      <c r="AA319" s="17">
        <v>576.0</v>
      </c>
      <c r="AB319" s="17">
        <v>31.0</v>
      </c>
      <c r="AC319" s="20">
        <f t="shared" si="2"/>
        <v>17856</v>
      </c>
      <c r="AD319" s="30">
        <f t="shared" si="3"/>
        <v>8.06</v>
      </c>
      <c r="AE319" s="30">
        <f t="shared" si="10"/>
        <v>4062.24</v>
      </c>
      <c r="AF319" s="30">
        <f t="shared" si="5"/>
        <v>984.678404</v>
      </c>
      <c r="AG319" s="34">
        <v>1.0</v>
      </c>
      <c r="AH319" s="36"/>
      <c r="AI319" s="30">
        <f t="shared" si="6"/>
        <v>3278.688525</v>
      </c>
      <c r="AJ319" s="17">
        <v>4000.0</v>
      </c>
      <c r="AK319" s="30">
        <f t="shared" si="7"/>
        <v>3278.688525</v>
      </c>
      <c r="AL319" s="20">
        <f t="shared" si="8"/>
        <v>4000</v>
      </c>
    </row>
    <row r="320">
      <c r="A320" s="16" t="s">
        <v>1393</v>
      </c>
      <c r="B320" s="17" t="s">
        <v>165</v>
      </c>
      <c r="C320" s="17" t="s">
        <v>169</v>
      </c>
      <c r="D320" s="17" t="s">
        <v>1375</v>
      </c>
      <c r="E320" s="17" t="s">
        <v>1375</v>
      </c>
      <c r="F320" s="17" t="s">
        <v>103</v>
      </c>
      <c r="G320" s="19">
        <v>46098.0</v>
      </c>
      <c r="H320" s="17" t="s">
        <v>104</v>
      </c>
      <c r="I320" s="20" t="s">
        <v>1394</v>
      </c>
      <c r="J320" s="21" t="s">
        <v>1395</v>
      </c>
      <c r="K320" s="22" t="s">
        <v>1396</v>
      </c>
      <c r="L320" s="22" t="s">
        <v>1397</v>
      </c>
      <c r="M320" s="17">
        <v>2013.0</v>
      </c>
      <c r="N320" s="17">
        <v>18.0</v>
      </c>
      <c r="O320" s="23">
        <v>171.0</v>
      </c>
      <c r="P320" s="24">
        <f t="shared" si="9"/>
        <v>478.8</v>
      </c>
      <c r="Q320" s="25">
        <v>6.0</v>
      </c>
      <c r="R320" s="17">
        <v>2.0</v>
      </c>
      <c r="S320" s="26">
        <v>2.0</v>
      </c>
      <c r="T320" s="17">
        <v>4.0</v>
      </c>
      <c r="U320" s="17">
        <v>4.0</v>
      </c>
      <c r="V320" s="17" t="s">
        <v>75</v>
      </c>
      <c r="W320" s="28" t="s">
        <v>76</v>
      </c>
      <c r="X320" s="28" t="s">
        <v>78</v>
      </c>
      <c r="Y320" s="24">
        <v>10.0</v>
      </c>
      <c r="Z320" s="17">
        <v>150.0</v>
      </c>
      <c r="AA320" s="17">
        <v>576.0</v>
      </c>
      <c r="AB320" s="17">
        <v>31.0</v>
      </c>
      <c r="AC320" s="20">
        <f t="shared" si="2"/>
        <v>107136</v>
      </c>
      <c r="AD320" s="30">
        <f t="shared" si="3"/>
        <v>27.404</v>
      </c>
      <c r="AE320" s="30">
        <f t="shared" si="10"/>
        <v>13121.0352</v>
      </c>
      <c r="AF320" s="30">
        <f t="shared" si="5"/>
        <v>1829.12397</v>
      </c>
      <c r="AG320" s="34">
        <v>1.0</v>
      </c>
      <c r="AH320" s="36"/>
      <c r="AI320" s="30">
        <f t="shared" si="6"/>
        <v>3278.688525</v>
      </c>
      <c r="AJ320" s="17">
        <v>4000.0</v>
      </c>
      <c r="AK320" s="30">
        <f t="shared" si="7"/>
        <v>19672.13115</v>
      </c>
      <c r="AL320" s="20">
        <f t="shared" si="8"/>
        <v>24000</v>
      </c>
    </row>
    <row r="321">
      <c r="A321" s="16" t="s">
        <v>1398</v>
      </c>
      <c r="B321" s="17" t="s">
        <v>165</v>
      </c>
      <c r="C321" s="17" t="s">
        <v>169</v>
      </c>
      <c r="D321" s="17" t="s">
        <v>1375</v>
      </c>
      <c r="E321" s="17" t="s">
        <v>1375</v>
      </c>
      <c r="F321" s="17" t="s">
        <v>103</v>
      </c>
      <c r="G321" s="19">
        <v>46148.0</v>
      </c>
      <c r="H321" s="17" t="s">
        <v>104</v>
      </c>
      <c r="I321" s="20" t="s">
        <v>1399</v>
      </c>
      <c r="J321" s="21" t="s">
        <v>1400</v>
      </c>
      <c r="K321" s="22" t="s">
        <v>1401</v>
      </c>
      <c r="L321" s="22" t="s">
        <v>1402</v>
      </c>
      <c r="M321" s="17">
        <v>2020.0</v>
      </c>
      <c r="N321" s="17">
        <v>19.0</v>
      </c>
      <c r="O321" s="23">
        <v>171.0</v>
      </c>
      <c r="P321" s="24">
        <f t="shared" si="9"/>
        <v>478.8</v>
      </c>
      <c r="Q321" s="25">
        <v>2.0</v>
      </c>
      <c r="R321" s="17">
        <v>2.0</v>
      </c>
      <c r="S321" s="26">
        <v>2.0</v>
      </c>
      <c r="T321" s="17">
        <v>0.0</v>
      </c>
      <c r="U321" s="17">
        <v>4.0</v>
      </c>
      <c r="V321" s="17" t="s">
        <v>75</v>
      </c>
      <c r="W321" s="28" t="s">
        <v>76</v>
      </c>
      <c r="X321" s="28" t="s">
        <v>78</v>
      </c>
      <c r="Y321" s="24">
        <v>10.0</v>
      </c>
      <c r="Z321" s="17">
        <v>150.0</v>
      </c>
      <c r="AA321" s="17">
        <v>576.0</v>
      </c>
      <c r="AB321" s="17">
        <v>31.0</v>
      </c>
      <c r="AC321" s="20">
        <f t="shared" si="2"/>
        <v>35712</v>
      </c>
      <c r="AD321" s="30">
        <f t="shared" si="3"/>
        <v>8.06</v>
      </c>
      <c r="AE321" s="30">
        <f t="shared" si="10"/>
        <v>3859.128</v>
      </c>
      <c r="AF321" s="30">
        <f t="shared" si="5"/>
        <v>2073.007166</v>
      </c>
      <c r="AG321" s="34">
        <v>1.0</v>
      </c>
      <c r="AH321" s="36"/>
      <c r="AI321" s="30">
        <f t="shared" si="6"/>
        <v>3278.688525</v>
      </c>
      <c r="AJ321" s="17">
        <v>4000.0</v>
      </c>
      <c r="AK321" s="30">
        <f t="shared" si="7"/>
        <v>6557.377049</v>
      </c>
      <c r="AL321" s="20">
        <f t="shared" si="8"/>
        <v>8000</v>
      </c>
    </row>
    <row r="322">
      <c r="A322" s="16" t="s">
        <v>1398</v>
      </c>
      <c r="B322" s="17" t="s">
        <v>165</v>
      </c>
      <c r="C322" s="17" t="s">
        <v>169</v>
      </c>
      <c r="D322" s="17" t="s">
        <v>1386</v>
      </c>
      <c r="E322" s="17" t="s">
        <v>1375</v>
      </c>
      <c r="F322" s="17" t="s">
        <v>103</v>
      </c>
      <c r="G322" s="19">
        <v>46148.0</v>
      </c>
      <c r="H322" s="17" t="s">
        <v>104</v>
      </c>
      <c r="I322" s="17" t="s">
        <v>1399</v>
      </c>
      <c r="J322" s="21" t="s">
        <v>1403</v>
      </c>
      <c r="K322" s="28" t="s">
        <v>1404</v>
      </c>
      <c r="L322" s="28" t="s">
        <v>1405</v>
      </c>
      <c r="M322" s="17">
        <v>2016.0</v>
      </c>
      <c r="N322" s="17">
        <v>17.0</v>
      </c>
      <c r="O322" s="23">
        <v>164.0</v>
      </c>
      <c r="P322" s="24">
        <f t="shared" si="9"/>
        <v>459.2</v>
      </c>
      <c r="Q322" s="25">
        <v>4.0</v>
      </c>
      <c r="R322" s="17">
        <v>0.0</v>
      </c>
      <c r="S322" s="26">
        <v>2.0</v>
      </c>
      <c r="T322" s="17">
        <v>4.0</v>
      </c>
      <c r="U322" s="17">
        <v>4.0</v>
      </c>
      <c r="V322" s="17" t="s">
        <v>130</v>
      </c>
      <c r="W322" s="28" t="s">
        <v>76</v>
      </c>
      <c r="X322" s="28" t="s">
        <v>78</v>
      </c>
      <c r="Y322" s="24">
        <v>10.0</v>
      </c>
      <c r="Z322" s="17">
        <v>150.0</v>
      </c>
      <c r="AA322" s="17">
        <v>576.0</v>
      </c>
      <c r="AB322" s="17">
        <v>31.0</v>
      </c>
      <c r="AC322" s="20">
        <f t="shared" si="2"/>
        <v>71424</v>
      </c>
      <c r="AD322" s="30">
        <f t="shared" si="3"/>
        <v>18.26933333</v>
      </c>
      <c r="AE322" s="30">
        <f t="shared" si="10"/>
        <v>8389.277867</v>
      </c>
      <c r="AF322" s="30">
        <f t="shared" si="5"/>
        <v>1907.196335</v>
      </c>
      <c r="AG322" s="34">
        <v>1.0</v>
      </c>
      <c r="AH322" s="36"/>
      <c r="AI322" s="30">
        <f t="shared" si="6"/>
        <v>3278.688525</v>
      </c>
      <c r="AJ322" s="17">
        <v>4000.0</v>
      </c>
      <c r="AK322" s="30">
        <f t="shared" si="7"/>
        <v>13114.7541</v>
      </c>
      <c r="AL322" s="20">
        <f t="shared" si="8"/>
        <v>16000</v>
      </c>
    </row>
    <row r="323">
      <c r="A323" s="16" t="s">
        <v>1398</v>
      </c>
      <c r="B323" s="17" t="s">
        <v>165</v>
      </c>
      <c r="C323" s="17" t="s">
        <v>169</v>
      </c>
      <c r="D323" s="17" t="s">
        <v>1386</v>
      </c>
      <c r="E323" s="17" t="s">
        <v>1375</v>
      </c>
      <c r="F323" s="17" t="s">
        <v>103</v>
      </c>
      <c r="G323" s="19">
        <v>46148.0</v>
      </c>
      <c r="H323" s="17" t="s">
        <v>104</v>
      </c>
      <c r="I323" s="17" t="s">
        <v>1399</v>
      </c>
      <c r="J323" s="21" t="s">
        <v>1406</v>
      </c>
      <c r="K323" s="28" t="s">
        <v>1407</v>
      </c>
      <c r="L323" s="28" t="s">
        <v>1408</v>
      </c>
      <c r="M323" s="17">
        <v>2015.0</v>
      </c>
      <c r="N323" s="17">
        <v>17.0</v>
      </c>
      <c r="O323" s="23">
        <v>167.0</v>
      </c>
      <c r="P323" s="24">
        <f t="shared" si="9"/>
        <v>467.6</v>
      </c>
      <c r="Q323" s="25">
        <v>2.0</v>
      </c>
      <c r="R323" s="17">
        <v>2.0</v>
      </c>
      <c r="S323" s="26">
        <v>2.0</v>
      </c>
      <c r="T323" s="17">
        <v>0.0</v>
      </c>
      <c r="U323" s="17">
        <v>4.0</v>
      </c>
      <c r="V323" s="17" t="s">
        <v>130</v>
      </c>
      <c r="W323" s="28" t="s">
        <v>76</v>
      </c>
      <c r="X323" s="28" t="s">
        <v>78</v>
      </c>
      <c r="Y323" s="24">
        <v>10.0</v>
      </c>
      <c r="Z323" s="17">
        <v>150.0</v>
      </c>
      <c r="AA323" s="17">
        <v>576.0</v>
      </c>
      <c r="AB323" s="17">
        <v>31.0</v>
      </c>
      <c r="AC323" s="20">
        <f t="shared" si="2"/>
        <v>35712</v>
      </c>
      <c r="AD323" s="30">
        <f t="shared" si="3"/>
        <v>8.06</v>
      </c>
      <c r="AE323" s="30">
        <f t="shared" si="10"/>
        <v>3768.856</v>
      </c>
      <c r="AF323" s="30">
        <f t="shared" si="5"/>
        <v>2122.660033</v>
      </c>
      <c r="AG323" s="34">
        <v>1.0</v>
      </c>
      <c r="AH323" s="36"/>
      <c r="AI323" s="30">
        <f t="shared" si="6"/>
        <v>3278.688525</v>
      </c>
      <c r="AJ323" s="17">
        <v>4000.0</v>
      </c>
      <c r="AK323" s="30">
        <f t="shared" si="7"/>
        <v>6557.377049</v>
      </c>
      <c r="AL323" s="20">
        <f t="shared" si="8"/>
        <v>8000</v>
      </c>
    </row>
    <row r="324">
      <c r="A324" s="16" t="s">
        <v>1409</v>
      </c>
      <c r="B324" s="17" t="s">
        <v>165</v>
      </c>
      <c r="C324" s="17" t="s">
        <v>169</v>
      </c>
      <c r="D324" s="17" t="s">
        <v>1375</v>
      </c>
      <c r="E324" s="17" t="s">
        <v>1375</v>
      </c>
      <c r="F324" s="17" t="s">
        <v>103</v>
      </c>
      <c r="G324" s="19">
        <v>46210.0</v>
      </c>
      <c r="H324" s="17" t="s">
        <v>104</v>
      </c>
      <c r="I324" s="20" t="s">
        <v>1410</v>
      </c>
      <c r="J324" s="21" t="s">
        <v>1411</v>
      </c>
      <c r="K324" s="28" t="s">
        <v>1412</v>
      </c>
      <c r="L324" s="28" t="s">
        <v>1413</v>
      </c>
      <c r="M324" s="17">
        <v>2014.0</v>
      </c>
      <c r="N324" s="17">
        <v>17.0</v>
      </c>
      <c r="O324" s="23">
        <v>164.0</v>
      </c>
      <c r="P324" s="24">
        <f t="shared" si="9"/>
        <v>459.2</v>
      </c>
      <c r="Q324" s="25">
        <v>6.0</v>
      </c>
      <c r="R324" s="17">
        <v>2.0</v>
      </c>
      <c r="S324" s="26">
        <v>2.0</v>
      </c>
      <c r="T324" s="17">
        <v>4.0</v>
      </c>
      <c r="U324" s="17">
        <v>4.0</v>
      </c>
      <c r="V324" s="17" t="s">
        <v>130</v>
      </c>
      <c r="W324" s="28" t="s">
        <v>76</v>
      </c>
      <c r="X324" s="28" t="s">
        <v>78</v>
      </c>
      <c r="Y324" s="24">
        <v>10.0</v>
      </c>
      <c r="Z324" s="17">
        <v>150.0</v>
      </c>
      <c r="AA324" s="17">
        <v>576.0</v>
      </c>
      <c r="AB324" s="17">
        <v>31.0</v>
      </c>
      <c r="AC324" s="20">
        <f t="shared" si="2"/>
        <v>107136</v>
      </c>
      <c r="AD324" s="30">
        <f t="shared" si="3"/>
        <v>26.32933333</v>
      </c>
      <c r="AE324" s="30">
        <f t="shared" si="10"/>
        <v>12090.42987</v>
      </c>
      <c r="AF324" s="30">
        <f t="shared" si="5"/>
        <v>1985.041083</v>
      </c>
      <c r="AG324" s="34">
        <v>1.0</v>
      </c>
      <c r="AH324" s="36"/>
      <c r="AI324" s="30">
        <f t="shared" si="6"/>
        <v>3278.688525</v>
      </c>
      <c r="AJ324" s="17">
        <v>4000.0</v>
      </c>
      <c r="AK324" s="30">
        <f t="shared" si="7"/>
        <v>19672.13115</v>
      </c>
      <c r="AL324" s="20">
        <f t="shared" si="8"/>
        <v>24000</v>
      </c>
    </row>
    <row r="325">
      <c r="A325" s="16" t="s">
        <v>1414</v>
      </c>
      <c r="B325" s="17" t="s">
        <v>165</v>
      </c>
      <c r="C325" s="17" t="s">
        <v>169</v>
      </c>
      <c r="D325" s="17" t="s">
        <v>1375</v>
      </c>
      <c r="E325" s="17" t="s">
        <v>1375</v>
      </c>
      <c r="F325" s="17" t="s">
        <v>103</v>
      </c>
      <c r="G325" s="19">
        <v>46210.0</v>
      </c>
      <c r="H325" s="17" t="s">
        <v>104</v>
      </c>
      <c r="I325" s="20" t="s">
        <v>1415</v>
      </c>
      <c r="J325" s="21" t="s">
        <v>1416</v>
      </c>
      <c r="K325" s="28" t="s">
        <v>1417</v>
      </c>
      <c r="L325" s="28" t="s">
        <v>1418</v>
      </c>
      <c r="M325" s="17">
        <v>2013.0</v>
      </c>
      <c r="N325" s="17">
        <v>19.0</v>
      </c>
      <c r="O325" s="23">
        <v>180.0</v>
      </c>
      <c r="P325" s="24">
        <f t="shared" si="9"/>
        <v>504</v>
      </c>
      <c r="Q325" s="25">
        <v>3.0</v>
      </c>
      <c r="R325" s="17">
        <v>0.0</v>
      </c>
      <c r="S325" s="26">
        <v>1.0</v>
      </c>
      <c r="T325" s="17">
        <v>3.0</v>
      </c>
      <c r="U325" s="17">
        <v>3.0</v>
      </c>
      <c r="V325" s="17" t="s">
        <v>130</v>
      </c>
      <c r="W325" s="28" t="s">
        <v>76</v>
      </c>
      <c r="X325" s="28" t="s">
        <v>78</v>
      </c>
      <c r="Y325" s="24">
        <v>10.0</v>
      </c>
      <c r="Z325" s="17">
        <v>150.0</v>
      </c>
      <c r="AA325" s="17">
        <v>576.0</v>
      </c>
      <c r="AB325" s="17">
        <v>31.0</v>
      </c>
      <c r="AC325" s="20">
        <f t="shared" si="2"/>
        <v>53568</v>
      </c>
      <c r="AD325" s="30">
        <f t="shared" si="3"/>
        <v>20.41866667</v>
      </c>
      <c r="AE325" s="30">
        <f t="shared" si="10"/>
        <v>10291.008</v>
      </c>
      <c r="AF325" s="30">
        <f t="shared" si="5"/>
        <v>1166.066531</v>
      </c>
      <c r="AG325" s="34">
        <v>1.0</v>
      </c>
      <c r="AH325" s="36"/>
      <c r="AI325" s="30">
        <f t="shared" si="6"/>
        <v>3278.688525</v>
      </c>
      <c r="AJ325" s="17">
        <v>4000.0</v>
      </c>
      <c r="AK325" s="30">
        <f t="shared" si="7"/>
        <v>9836.065574</v>
      </c>
      <c r="AL325" s="20">
        <f t="shared" si="8"/>
        <v>12000</v>
      </c>
    </row>
    <row r="326">
      <c r="A326" s="16" t="s">
        <v>1419</v>
      </c>
      <c r="B326" s="17" t="s">
        <v>165</v>
      </c>
      <c r="C326" s="17" t="s">
        <v>169</v>
      </c>
      <c r="D326" s="17" t="s">
        <v>1386</v>
      </c>
      <c r="E326" s="17" t="s">
        <v>1420</v>
      </c>
      <c r="F326" s="17" t="s">
        <v>103</v>
      </c>
      <c r="G326" s="19">
        <v>45989.0</v>
      </c>
      <c r="H326" s="17" t="s">
        <v>104</v>
      </c>
      <c r="I326" s="20" t="s">
        <v>1421</v>
      </c>
      <c r="J326" s="21" t="s">
        <v>1422</v>
      </c>
      <c r="K326" s="22" t="s">
        <v>1423</v>
      </c>
      <c r="L326" s="22" t="s">
        <v>1424</v>
      </c>
      <c r="M326" s="17">
        <v>2025.0</v>
      </c>
      <c r="N326" s="17">
        <v>26.0</v>
      </c>
      <c r="O326" s="23">
        <v>293.0</v>
      </c>
      <c r="P326" s="24">
        <f t="shared" si="9"/>
        <v>820.4</v>
      </c>
      <c r="Q326" s="25">
        <v>2.0</v>
      </c>
      <c r="R326" s="17">
        <v>2.0</v>
      </c>
      <c r="S326" s="26">
        <v>2.0</v>
      </c>
      <c r="T326" s="17">
        <v>0.0</v>
      </c>
      <c r="U326" s="17">
        <v>4.0</v>
      </c>
      <c r="V326" s="17" t="s">
        <v>75</v>
      </c>
      <c r="W326" s="28" t="s">
        <v>76</v>
      </c>
      <c r="X326" s="28" t="s">
        <v>78</v>
      </c>
      <c r="Y326" s="24">
        <v>10.0</v>
      </c>
      <c r="Z326" s="17">
        <v>150.0</v>
      </c>
      <c r="AA326" s="17">
        <v>576.0</v>
      </c>
      <c r="AB326" s="17">
        <v>31.0</v>
      </c>
      <c r="AC326" s="20">
        <f t="shared" si="2"/>
        <v>35712</v>
      </c>
      <c r="AD326" s="30">
        <f t="shared" si="3"/>
        <v>8.06</v>
      </c>
      <c r="AE326" s="30">
        <f t="shared" si="10"/>
        <v>6612.424</v>
      </c>
      <c r="AF326" s="30">
        <f t="shared" si="5"/>
        <v>1209.843773</v>
      </c>
      <c r="AG326" s="34">
        <v>1.0</v>
      </c>
      <c r="AH326" s="36"/>
      <c r="AI326" s="30">
        <f t="shared" si="6"/>
        <v>3278.688525</v>
      </c>
      <c r="AJ326" s="17">
        <v>4000.0</v>
      </c>
      <c r="AK326" s="30">
        <f t="shared" si="7"/>
        <v>6557.377049</v>
      </c>
      <c r="AL326" s="20">
        <f t="shared" si="8"/>
        <v>8000</v>
      </c>
    </row>
    <row r="327">
      <c r="A327" s="16" t="s">
        <v>1419</v>
      </c>
      <c r="B327" s="17" t="s">
        <v>165</v>
      </c>
      <c r="C327" s="17" t="s">
        <v>169</v>
      </c>
      <c r="D327" s="17" t="s">
        <v>1386</v>
      </c>
      <c r="E327" s="17" t="s">
        <v>1420</v>
      </c>
      <c r="F327" s="17" t="s">
        <v>103</v>
      </c>
      <c r="G327" s="19">
        <v>45989.0</v>
      </c>
      <c r="H327" s="17" t="s">
        <v>104</v>
      </c>
      <c r="I327" s="20" t="s">
        <v>1421</v>
      </c>
      <c r="J327" s="21" t="s">
        <v>1425</v>
      </c>
      <c r="K327" s="22" t="s">
        <v>1426</v>
      </c>
      <c r="L327" s="22" t="s">
        <v>1427</v>
      </c>
      <c r="M327" s="17">
        <v>2024.0</v>
      </c>
      <c r="N327" s="17">
        <v>11.0</v>
      </c>
      <c r="O327" s="23">
        <v>128.0</v>
      </c>
      <c r="P327" s="24">
        <f t="shared" si="9"/>
        <v>358.4</v>
      </c>
      <c r="Q327" s="25">
        <v>3.0</v>
      </c>
      <c r="R327" s="17">
        <v>3.0</v>
      </c>
      <c r="S327" s="26">
        <v>3.0</v>
      </c>
      <c r="T327" s="17">
        <v>0.0</v>
      </c>
      <c r="U327" s="17">
        <v>3.0</v>
      </c>
      <c r="V327" s="17" t="s">
        <v>75</v>
      </c>
      <c r="W327" s="28" t="s">
        <v>76</v>
      </c>
      <c r="X327" s="28" t="s">
        <v>78</v>
      </c>
      <c r="Y327" s="24">
        <v>10.0</v>
      </c>
      <c r="Z327" s="17">
        <v>150.0</v>
      </c>
      <c r="AA327" s="17">
        <v>576.0</v>
      </c>
      <c r="AB327" s="17">
        <v>31.0</v>
      </c>
      <c r="AC327" s="20">
        <f t="shared" si="2"/>
        <v>53568</v>
      </c>
      <c r="AD327" s="30">
        <f t="shared" si="3"/>
        <v>8.06</v>
      </c>
      <c r="AE327" s="30">
        <f t="shared" si="10"/>
        <v>2888.704</v>
      </c>
      <c r="AF327" s="30">
        <f t="shared" si="5"/>
        <v>4154.112017</v>
      </c>
      <c r="AG327" s="34">
        <v>1.0</v>
      </c>
      <c r="AH327" s="36"/>
      <c r="AI327" s="30">
        <f t="shared" si="6"/>
        <v>3278.688525</v>
      </c>
      <c r="AJ327" s="17">
        <v>4000.0</v>
      </c>
      <c r="AK327" s="30">
        <f t="shared" si="7"/>
        <v>9836.065574</v>
      </c>
      <c r="AL327" s="20">
        <f t="shared" si="8"/>
        <v>12000</v>
      </c>
    </row>
    <row r="328">
      <c r="A328" s="16" t="s">
        <v>1428</v>
      </c>
      <c r="B328" s="17" t="s">
        <v>165</v>
      </c>
      <c r="C328" s="17" t="s">
        <v>169</v>
      </c>
      <c r="D328" s="17" t="s">
        <v>1386</v>
      </c>
      <c r="E328" s="17" t="s">
        <v>1420</v>
      </c>
      <c r="F328" s="17" t="s">
        <v>103</v>
      </c>
      <c r="G328" s="19">
        <v>45989.0</v>
      </c>
      <c r="H328" s="17" t="s">
        <v>104</v>
      </c>
      <c r="I328" s="20" t="s">
        <v>1429</v>
      </c>
      <c r="J328" s="21" t="s">
        <v>1430</v>
      </c>
      <c r="K328" s="22" t="s">
        <v>1431</v>
      </c>
      <c r="L328" s="22" t="s">
        <v>1432</v>
      </c>
      <c r="M328" s="17">
        <v>2023.0</v>
      </c>
      <c r="N328" s="17">
        <v>11.0</v>
      </c>
      <c r="O328" s="23">
        <v>158.0</v>
      </c>
      <c r="P328" s="24">
        <f t="shared" si="9"/>
        <v>442.4</v>
      </c>
      <c r="Q328" s="25">
        <v>3.0</v>
      </c>
      <c r="R328" s="17">
        <v>3.0</v>
      </c>
      <c r="S328" s="26">
        <v>3.0</v>
      </c>
      <c r="T328" s="17">
        <v>0.0</v>
      </c>
      <c r="U328" s="17">
        <v>3.0</v>
      </c>
      <c r="V328" s="17" t="s">
        <v>75</v>
      </c>
      <c r="W328" s="28" t="s">
        <v>76</v>
      </c>
      <c r="X328" s="28" t="s">
        <v>78</v>
      </c>
      <c r="Y328" s="24">
        <v>10.0</v>
      </c>
      <c r="Z328" s="17">
        <v>150.0</v>
      </c>
      <c r="AA328" s="17">
        <v>576.0</v>
      </c>
      <c r="AB328" s="17">
        <v>31.0</v>
      </c>
      <c r="AC328" s="20">
        <f t="shared" si="2"/>
        <v>53568</v>
      </c>
      <c r="AD328" s="30">
        <f t="shared" si="3"/>
        <v>8.06</v>
      </c>
      <c r="AE328" s="30">
        <f t="shared" si="10"/>
        <v>3565.744</v>
      </c>
      <c r="AF328" s="30">
        <f t="shared" si="5"/>
        <v>3365.356571</v>
      </c>
      <c r="AG328" s="34">
        <v>1.0</v>
      </c>
      <c r="AH328" s="36"/>
      <c r="AI328" s="30">
        <f t="shared" si="6"/>
        <v>3278.688525</v>
      </c>
      <c r="AJ328" s="17">
        <v>4000.0</v>
      </c>
      <c r="AK328" s="30">
        <f t="shared" si="7"/>
        <v>9836.065574</v>
      </c>
      <c r="AL328" s="20">
        <f t="shared" si="8"/>
        <v>12000</v>
      </c>
    </row>
    <row r="329">
      <c r="A329" s="16" t="s">
        <v>1428</v>
      </c>
      <c r="B329" s="17" t="s">
        <v>165</v>
      </c>
      <c r="C329" s="17" t="s">
        <v>169</v>
      </c>
      <c r="D329" s="17" t="s">
        <v>162</v>
      </c>
      <c r="E329" s="17" t="s">
        <v>1420</v>
      </c>
      <c r="F329" s="17" t="s">
        <v>103</v>
      </c>
      <c r="G329" s="19">
        <v>45989.0</v>
      </c>
      <c r="H329" s="17" t="s">
        <v>104</v>
      </c>
      <c r="I329" s="20" t="s">
        <v>1429</v>
      </c>
      <c r="J329" s="21" t="s">
        <v>1433</v>
      </c>
      <c r="K329" s="22" t="s">
        <v>1434</v>
      </c>
      <c r="L329" s="22" t="s">
        <v>1435</v>
      </c>
      <c r="M329" s="17">
        <v>2022.0</v>
      </c>
      <c r="N329" s="17">
        <v>19.0</v>
      </c>
      <c r="O329" s="23">
        <v>256.0</v>
      </c>
      <c r="P329" s="24">
        <f t="shared" si="9"/>
        <v>716.8</v>
      </c>
      <c r="Q329" s="25">
        <v>2.0</v>
      </c>
      <c r="R329" s="17">
        <v>2.0</v>
      </c>
      <c r="S329" s="26">
        <v>2.0</v>
      </c>
      <c r="T329" s="17">
        <v>0.0</v>
      </c>
      <c r="U329" s="17">
        <v>4.0</v>
      </c>
      <c r="V329" s="17" t="s">
        <v>75</v>
      </c>
      <c r="W329" s="28" t="s">
        <v>76</v>
      </c>
      <c r="X329" s="28" t="s">
        <v>78</v>
      </c>
      <c r="Y329" s="24">
        <v>10.0</v>
      </c>
      <c r="Z329" s="17">
        <v>150.0</v>
      </c>
      <c r="AA329" s="17">
        <v>576.0</v>
      </c>
      <c r="AB329" s="17">
        <v>31.0</v>
      </c>
      <c r="AC329" s="20">
        <f t="shared" si="2"/>
        <v>35712</v>
      </c>
      <c r="AD329" s="30">
        <f t="shared" si="3"/>
        <v>8.06</v>
      </c>
      <c r="AE329" s="30">
        <f t="shared" si="10"/>
        <v>5777.408</v>
      </c>
      <c r="AF329" s="30">
        <f t="shared" si="5"/>
        <v>1384.704006</v>
      </c>
      <c r="AG329" s="34">
        <v>1.0</v>
      </c>
      <c r="AH329" s="36"/>
      <c r="AI329" s="30">
        <f t="shared" si="6"/>
        <v>3278.688525</v>
      </c>
      <c r="AJ329" s="17">
        <v>4000.0</v>
      </c>
      <c r="AK329" s="30">
        <f t="shared" si="7"/>
        <v>6557.377049</v>
      </c>
      <c r="AL329" s="20">
        <f t="shared" si="8"/>
        <v>8000</v>
      </c>
    </row>
    <row r="330">
      <c r="A330" s="16" t="s">
        <v>1436</v>
      </c>
      <c r="B330" s="17" t="s">
        <v>165</v>
      </c>
      <c r="C330" s="17" t="s">
        <v>169</v>
      </c>
      <c r="D330" s="17" t="s">
        <v>162</v>
      </c>
      <c r="E330" s="17" t="s">
        <v>1420</v>
      </c>
      <c r="F330" s="17" t="s">
        <v>103</v>
      </c>
      <c r="G330" s="19">
        <v>45995.0</v>
      </c>
      <c r="H330" s="17" t="s">
        <v>104</v>
      </c>
      <c r="I330" s="20" t="s">
        <v>1437</v>
      </c>
      <c r="J330" s="21" t="s">
        <v>1438</v>
      </c>
      <c r="K330" s="22" t="s">
        <v>1439</v>
      </c>
      <c r="L330" s="22" t="s">
        <v>1440</v>
      </c>
      <c r="M330" s="17">
        <v>2023.0</v>
      </c>
      <c r="N330" s="17">
        <v>11.0</v>
      </c>
      <c r="O330" s="23">
        <v>215.0</v>
      </c>
      <c r="P330" s="24">
        <f t="shared" si="9"/>
        <v>602</v>
      </c>
      <c r="Q330" s="25">
        <v>5.0</v>
      </c>
      <c r="R330" s="17">
        <v>5.0</v>
      </c>
      <c r="S330" s="26">
        <v>5.0</v>
      </c>
      <c r="T330" s="17">
        <v>0.0</v>
      </c>
      <c r="U330" s="17">
        <v>5.0</v>
      </c>
      <c r="V330" s="17" t="s">
        <v>75</v>
      </c>
      <c r="W330" s="28" t="s">
        <v>76</v>
      </c>
      <c r="X330" s="28" t="s">
        <v>78</v>
      </c>
      <c r="Y330" s="24">
        <v>10.0</v>
      </c>
      <c r="Z330" s="17">
        <v>150.0</v>
      </c>
      <c r="AA330" s="17">
        <v>576.0</v>
      </c>
      <c r="AB330" s="17">
        <v>31.0</v>
      </c>
      <c r="AC330" s="20">
        <f t="shared" si="2"/>
        <v>89280</v>
      </c>
      <c r="AD330" s="30">
        <f t="shared" si="3"/>
        <v>8.06</v>
      </c>
      <c r="AE330" s="30">
        <f t="shared" si="10"/>
        <v>4852.12</v>
      </c>
      <c r="AF330" s="30">
        <f t="shared" si="5"/>
        <v>4121.909598</v>
      </c>
      <c r="AG330" s="34">
        <v>1.0</v>
      </c>
      <c r="AH330" s="36"/>
      <c r="AI330" s="30">
        <f t="shared" si="6"/>
        <v>3278.688525</v>
      </c>
      <c r="AJ330" s="17">
        <v>4000.0</v>
      </c>
      <c r="AK330" s="30">
        <f t="shared" si="7"/>
        <v>16393.44262</v>
      </c>
      <c r="AL330" s="20">
        <f t="shared" si="8"/>
        <v>20000</v>
      </c>
    </row>
    <row r="331">
      <c r="A331" s="16" t="s">
        <v>1441</v>
      </c>
      <c r="B331" s="17" t="s">
        <v>165</v>
      </c>
      <c r="C331" s="17" t="s">
        <v>169</v>
      </c>
      <c r="D331" s="17" t="s">
        <v>162</v>
      </c>
      <c r="E331" s="17" t="s">
        <v>1420</v>
      </c>
      <c r="F331" s="17" t="s">
        <v>103</v>
      </c>
      <c r="G331" s="19">
        <v>46044.0</v>
      </c>
      <c r="H331" s="17" t="s">
        <v>104</v>
      </c>
      <c r="I331" s="20" t="s">
        <v>1442</v>
      </c>
      <c r="J331" s="21" t="s">
        <v>1443</v>
      </c>
      <c r="K331" s="22" t="s">
        <v>1444</v>
      </c>
      <c r="L331" s="22" t="s">
        <v>1445</v>
      </c>
      <c r="M331" s="17">
        <v>2021.0</v>
      </c>
      <c r="N331" s="17">
        <v>11.0</v>
      </c>
      <c r="O331" s="23">
        <v>110.0</v>
      </c>
      <c r="P331" s="24">
        <f t="shared" si="9"/>
        <v>308</v>
      </c>
      <c r="Q331" s="25">
        <v>2.0</v>
      </c>
      <c r="R331" s="17">
        <v>2.0</v>
      </c>
      <c r="S331" s="26">
        <v>2.0</v>
      </c>
      <c r="T331" s="17">
        <v>0.0</v>
      </c>
      <c r="U331" s="17">
        <v>3.0</v>
      </c>
      <c r="V331" s="17" t="s">
        <v>75</v>
      </c>
      <c r="W331" s="28" t="s">
        <v>76</v>
      </c>
      <c r="X331" s="28" t="s">
        <v>78</v>
      </c>
      <c r="Y331" s="24">
        <v>10.0</v>
      </c>
      <c r="Z331" s="17">
        <v>150.0</v>
      </c>
      <c r="AA331" s="17">
        <v>576.0</v>
      </c>
      <c r="AB331" s="17">
        <v>31.0</v>
      </c>
      <c r="AC331" s="20">
        <f t="shared" si="2"/>
        <v>35712</v>
      </c>
      <c r="AD331" s="30">
        <f t="shared" si="3"/>
        <v>8.06</v>
      </c>
      <c r="AE331" s="30">
        <f t="shared" si="10"/>
        <v>2482.48</v>
      </c>
      <c r="AF331" s="30">
        <f t="shared" si="5"/>
        <v>3222.583868</v>
      </c>
      <c r="AG331" s="34">
        <v>1.0</v>
      </c>
      <c r="AH331" s="36"/>
      <c r="AI331" s="30">
        <f t="shared" si="6"/>
        <v>3278.688525</v>
      </c>
      <c r="AJ331" s="17">
        <v>4000.0</v>
      </c>
      <c r="AK331" s="30">
        <f t="shared" si="7"/>
        <v>6557.377049</v>
      </c>
      <c r="AL331" s="20">
        <f t="shared" si="8"/>
        <v>8000</v>
      </c>
    </row>
    <row r="332">
      <c r="A332" s="16" t="s">
        <v>1441</v>
      </c>
      <c r="B332" s="17" t="s">
        <v>165</v>
      </c>
      <c r="C332" s="17" t="s">
        <v>169</v>
      </c>
      <c r="D332" s="17" t="s">
        <v>162</v>
      </c>
      <c r="E332" s="17" t="s">
        <v>1420</v>
      </c>
      <c r="F332" s="17" t="s">
        <v>103</v>
      </c>
      <c r="G332" s="19">
        <v>46044.0</v>
      </c>
      <c r="H332" s="17" t="s">
        <v>104</v>
      </c>
      <c r="I332" s="20" t="s">
        <v>1442</v>
      </c>
      <c r="J332" s="21" t="s">
        <v>1446</v>
      </c>
      <c r="K332" s="22" t="s">
        <v>1447</v>
      </c>
      <c r="L332" s="22" t="s">
        <v>1448</v>
      </c>
      <c r="M332" s="17">
        <v>2023.0</v>
      </c>
      <c r="N332" s="17">
        <v>11.0</v>
      </c>
      <c r="O332" s="23">
        <v>109.0</v>
      </c>
      <c r="P332" s="24">
        <f t="shared" si="9"/>
        <v>305.2</v>
      </c>
      <c r="Q332" s="25">
        <v>2.0</v>
      </c>
      <c r="R332" s="17">
        <v>2.0</v>
      </c>
      <c r="S332" s="26">
        <v>2.0</v>
      </c>
      <c r="T332" s="17">
        <v>0.0</v>
      </c>
      <c r="U332" s="17">
        <v>4.0</v>
      </c>
      <c r="V332" s="17" t="s">
        <v>75</v>
      </c>
      <c r="W332" s="28" t="s">
        <v>76</v>
      </c>
      <c r="X332" s="28" t="s">
        <v>78</v>
      </c>
      <c r="Y332" s="24">
        <v>10.0</v>
      </c>
      <c r="Z332" s="17">
        <v>150.0</v>
      </c>
      <c r="AA332" s="17">
        <v>576.0</v>
      </c>
      <c r="AB332" s="17">
        <v>31.0</v>
      </c>
      <c r="AC332" s="20">
        <f t="shared" si="2"/>
        <v>35712</v>
      </c>
      <c r="AD332" s="30">
        <f t="shared" si="3"/>
        <v>8.06</v>
      </c>
      <c r="AE332" s="30">
        <f t="shared" si="10"/>
        <v>2459.912</v>
      </c>
      <c r="AF332" s="30">
        <f t="shared" si="5"/>
        <v>3252.148857</v>
      </c>
      <c r="AG332" s="34">
        <v>1.0</v>
      </c>
      <c r="AH332" s="36"/>
      <c r="AI332" s="30">
        <f t="shared" si="6"/>
        <v>3278.688525</v>
      </c>
      <c r="AJ332" s="17">
        <v>4000.0</v>
      </c>
      <c r="AK332" s="30">
        <f t="shared" si="7"/>
        <v>6557.377049</v>
      </c>
      <c r="AL332" s="20">
        <f t="shared" si="8"/>
        <v>8000</v>
      </c>
    </row>
    <row r="333">
      <c r="A333" s="16" t="s">
        <v>1449</v>
      </c>
      <c r="B333" s="17" t="s">
        <v>165</v>
      </c>
      <c r="C333" s="17" t="s">
        <v>169</v>
      </c>
      <c r="D333" s="17" t="s">
        <v>804</v>
      </c>
      <c r="E333" s="17" t="s">
        <v>1420</v>
      </c>
      <c r="F333" s="17" t="s">
        <v>103</v>
      </c>
      <c r="G333" s="19">
        <v>46086.0</v>
      </c>
      <c r="H333" s="17" t="s">
        <v>104</v>
      </c>
      <c r="I333" s="20" t="s">
        <v>1450</v>
      </c>
      <c r="J333" s="21" t="s">
        <v>1451</v>
      </c>
      <c r="K333" s="22" t="s">
        <v>1452</v>
      </c>
      <c r="L333" s="22" t="s">
        <v>1453</v>
      </c>
      <c r="M333" s="17">
        <v>2021.0</v>
      </c>
      <c r="N333" s="17">
        <v>11.0</v>
      </c>
      <c r="O333" s="23">
        <v>219.0</v>
      </c>
      <c r="P333" s="24">
        <f t="shared" si="9"/>
        <v>613.2</v>
      </c>
      <c r="Q333" s="25">
        <v>6.0</v>
      </c>
      <c r="R333" s="17">
        <v>6.0</v>
      </c>
      <c r="S333" s="26">
        <v>6.0</v>
      </c>
      <c r="T333" s="17">
        <v>0.0</v>
      </c>
      <c r="U333" s="17">
        <v>6.0</v>
      </c>
      <c r="V333" s="17" t="s">
        <v>75</v>
      </c>
      <c r="W333" s="28" t="s">
        <v>76</v>
      </c>
      <c r="X333" s="28" t="s">
        <v>78</v>
      </c>
      <c r="Y333" s="24">
        <v>10.0</v>
      </c>
      <c r="Z333" s="17">
        <v>150.0</v>
      </c>
      <c r="AA333" s="17">
        <v>576.0</v>
      </c>
      <c r="AB333" s="17">
        <v>31.0</v>
      </c>
      <c r="AC333" s="20">
        <f t="shared" si="2"/>
        <v>107136</v>
      </c>
      <c r="AD333" s="30">
        <f t="shared" si="3"/>
        <v>8.06</v>
      </c>
      <c r="AE333" s="30">
        <f t="shared" si="10"/>
        <v>4942.392</v>
      </c>
      <c r="AF333" s="30">
        <f t="shared" si="5"/>
        <v>4855.948294</v>
      </c>
      <c r="AG333" s="34">
        <v>1.0</v>
      </c>
      <c r="AH333" s="36"/>
      <c r="AI333" s="30">
        <f t="shared" si="6"/>
        <v>3278.688525</v>
      </c>
      <c r="AJ333" s="17">
        <v>4000.0</v>
      </c>
      <c r="AK333" s="30">
        <f t="shared" si="7"/>
        <v>19672.13115</v>
      </c>
      <c r="AL333" s="20">
        <f t="shared" si="8"/>
        <v>24000</v>
      </c>
    </row>
    <row r="334">
      <c r="A334" s="16" t="s">
        <v>1454</v>
      </c>
      <c r="B334" s="17" t="s">
        <v>165</v>
      </c>
      <c r="C334" s="17" t="s">
        <v>169</v>
      </c>
      <c r="D334" s="17" t="s">
        <v>1386</v>
      </c>
      <c r="E334" s="17" t="s">
        <v>1420</v>
      </c>
      <c r="F334" s="17" t="s">
        <v>103</v>
      </c>
      <c r="G334" s="19">
        <v>46086.0</v>
      </c>
      <c r="H334" s="17" t="s">
        <v>104</v>
      </c>
      <c r="I334" s="20" t="s">
        <v>1455</v>
      </c>
      <c r="J334" s="21" t="s">
        <v>1456</v>
      </c>
      <c r="K334" s="22" t="s">
        <v>1457</v>
      </c>
      <c r="L334" s="22" t="s">
        <v>1458</v>
      </c>
      <c r="M334" s="17">
        <v>2021.0</v>
      </c>
      <c r="N334" s="17">
        <v>11.0</v>
      </c>
      <c r="O334" s="23">
        <v>109.0</v>
      </c>
      <c r="P334" s="24">
        <f t="shared" si="9"/>
        <v>305.2</v>
      </c>
      <c r="Q334" s="25">
        <v>2.0</v>
      </c>
      <c r="R334" s="17">
        <v>2.0</v>
      </c>
      <c r="S334" s="26">
        <v>2.0</v>
      </c>
      <c r="T334" s="17">
        <v>0.0</v>
      </c>
      <c r="U334" s="17">
        <v>3.0</v>
      </c>
      <c r="V334" s="17" t="s">
        <v>75</v>
      </c>
      <c r="W334" s="28" t="s">
        <v>76</v>
      </c>
      <c r="X334" s="28" t="s">
        <v>78</v>
      </c>
      <c r="Y334" s="24">
        <v>10.0</v>
      </c>
      <c r="Z334" s="17">
        <v>150.0</v>
      </c>
      <c r="AA334" s="17">
        <v>576.0</v>
      </c>
      <c r="AB334" s="17">
        <v>31.0</v>
      </c>
      <c r="AC334" s="20">
        <f t="shared" si="2"/>
        <v>35712</v>
      </c>
      <c r="AD334" s="30">
        <f t="shared" si="3"/>
        <v>8.06</v>
      </c>
      <c r="AE334" s="30">
        <f t="shared" si="10"/>
        <v>2459.912</v>
      </c>
      <c r="AF334" s="30">
        <f t="shared" si="5"/>
        <v>3252.148857</v>
      </c>
      <c r="AG334" s="34">
        <v>1.0</v>
      </c>
      <c r="AH334" s="36"/>
      <c r="AI334" s="30">
        <f t="shared" si="6"/>
        <v>3278.688525</v>
      </c>
      <c r="AJ334" s="17">
        <v>4000.0</v>
      </c>
      <c r="AK334" s="30">
        <f t="shared" si="7"/>
        <v>6557.377049</v>
      </c>
      <c r="AL334" s="20">
        <f t="shared" si="8"/>
        <v>8000</v>
      </c>
    </row>
    <row r="335">
      <c r="A335" s="16" t="s">
        <v>1454</v>
      </c>
      <c r="B335" s="17" t="s">
        <v>165</v>
      </c>
      <c r="C335" s="17" t="s">
        <v>169</v>
      </c>
      <c r="D335" s="17" t="s">
        <v>162</v>
      </c>
      <c r="E335" s="17" t="s">
        <v>1420</v>
      </c>
      <c r="F335" s="17" t="s">
        <v>103</v>
      </c>
      <c r="G335" s="19">
        <v>46086.0</v>
      </c>
      <c r="H335" s="17" t="s">
        <v>104</v>
      </c>
      <c r="I335" s="20" t="s">
        <v>1455</v>
      </c>
      <c r="J335" s="21" t="s">
        <v>1459</v>
      </c>
      <c r="K335" s="22" t="s">
        <v>1460</v>
      </c>
      <c r="L335" s="22" t="s">
        <v>1461</v>
      </c>
      <c r="M335" s="17">
        <v>2023.0</v>
      </c>
      <c r="N335" s="17">
        <v>11.0</v>
      </c>
      <c r="O335" s="23">
        <v>224.0</v>
      </c>
      <c r="P335" s="24">
        <f t="shared" si="9"/>
        <v>627.2</v>
      </c>
      <c r="Q335" s="25">
        <v>5.0</v>
      </c>
      <c r="R335" s="17">
        <v>5.0</v>
      </c>
      <c r="S335" s="26">
        <v>5.0</v>
      </c>
      <c r="T335" s="17">
        <v>0.0</v>
      </c>
      <c r="U335" s="17">
        <v>5.0</v>
      </c>
      <c r="V335" s="17" t="s">
        <v>75</v>
      </c>
      <c r="W335" s="28" t="s">
        <v>76</v>
      </c>
      <c r="X335" s="28" t="s">
        <v>78</v>
      </c>
      <c r="Y335" s="24">
        <v>10.0</v>
      </c>
      <c r="Z335" s="17">
        <v>150.0</v>
      </c>
      <c r="AA335" s="17">
        <v>576.0</v>
      </c>
      <c r="AB335" s="17">
        <v>31.0</v>
      </c>
      <c r="AC335" s="20">
        <f t="shared" si="2"/>
        <v>89280</v>
      </c>
      <c r="AD335" s="30">
        <f t="shared" si="3"/>
        <v>8.06</v>
      </c>
      <c r="AE335" s="30">
        <f t="shared" si="10"/>
        <v>5055.232</v>
      </c>
      <c r="AF335" s="30">
        <f t="shared" si="5"/>
        <v>3956.297159</v>
      </c>
      <c r="AG335" s="34">
        <v>1.0</v>
      </c>
      <c r="AH335" s="36"/>
      <c r="AI335" s="30">
        <f t="shared" si="6"/>
        <v>3278.688525</v>
      </c>
      <c r="AJ335" s="17">
        <v>4000.0</v>
      </c>
      <c r="AK335" s="30">
        <f t="shared" si="7"/>
        <v>16393.44262</v>
      </c>
      <c r="AL335" s="20">
        <f t="shared" si="8"/>
        <v>20000</v>
      </c>
    </row>
    <row r="336">
      <c r="A336" s="16" t="s">
        <v>1462</v>
      </c>
      <c r="B336" s="17" t="s">
        <v>165</v>
      </c>
      <c r="C336" s="17" t="s">
        <v>169</v>
      </c>
      <c r="D336" s="17" t="s">
        <v>1386</v>
      </c>
      <c r="E336" s="17" t="s">
        <v>1420</v>
      </c>
      <c r="F336" s="17" t="s">
        <v>103</v>
      </c>
      <c r="G336" s="19">
        <v>46086.0</v>
      </c>
      <c r="H336" s="17" t="s">
        <v>104</v>
      </c>
      <c r="I336" s="20" t="s">
        <v>1463</v>
      </c>
      <c r="J336" s="21" t="s">
        <v>1464</v>
      </c>
      <c r="K336" s="22" t="s">
        <v>1465</v>
      </c>
      <c r="L336" s="22" t="s">
        <v>1466</v>
      </c>
      <c r="M336" s="17">
        <v>2020.0</v>
      </c>
      <c r="N336" s="17">
        <v>11.0</v>
      </c>
      <c r="O336" s="23">
        <v>238.0</v>
      </c>
      <c r="P336" s="24">
        <f t="shared" si="9"/>
        <v>666.4</v>
      </c>
      <c r="Q336" s="25">
        <v>6.0</v>
      </c>
      <c r="R336" s="17">
        <v>6.0</v>
      </c>
      <c r="S336" s="26">
        <v>6.0</v>
      </c>
      <c r="T336" s="17">
        <v>0.0</v>
      </c>
      <c r="U336" s="17">
        <v>6.0</v>
      </c>
      <c r="V336" s="17" t="s">
        <v>75</v>
      </c>
      <c r="W336" s="28" t="s">
        <v>76</v>
      </c>
      <c r="X336" s="28" t="s">
        <v>78</v>
      </c>
      <c r="Y336" s="24">
        <v>10.0</v>
      </c>
      <c r="Z336" s="17">
        <v>150.0</v>
      </c>
      <c r="AA336" s="17">
        <v>576.0</v>
      </c>
      <c r="AB336" s="17">
        <v>31.0</v>
      </c>
      <c r="AC336" s="20">
        <f t="shared" si="2"/>
        <v>107136</v>
      </c>
      <c r="AD336" s="30">
        <f t="shared" si="3"/>
        <v>8.06</v>
      </c>
      <c r="AE336" s="30">
        <f t="shared" si="10"/>
        <v>5371.184</v>
      </c>
      <c r="AF336" s="30">
        <f t="shared" si="5"/>
        <v>4468.288556</v>
      </c>
      <c r="AG336" s="34">
        <v>1.0</v>
      </c>
      <c r="AH336" s="36"/>
      <c r="AI336" s="30">
        <f t="shared" si="6"/>
        <v>3278.688525</v>
      </c>
      <c r="AJ336" s="17">
        <v>4000.0</v>
      </c>
      <c r="AK336" s="30">
        <f t="shared" si="7"/>
        <v>19672.13115</v>
      </c>
      <c r="AL336" s="20">
        <f t="shared" si="8"/>
        <v>24000</v>
      </c>
    </row>
    <row r="337">
      <c r="A337" s="16" t="s">
        <v>1462</v>
      </c>
      <c r="B337" s="17" t="s">
        <v>165</v>
      </c>
      <c r="C337" s="17" t="s">
        <v>169</v>
      </c>
      <c r="D337" s="17" t="s">
        <v>1386</v>
      </c>
      <c r="E337" s="17" t="s">
        <v>1420</v>
      </c>
      <c r="F337" s="17" t="s">
        <v>103</v>
      </c>
      <c r="G337" s="19">
        <v>46086.0</v>
      </c>
      <c r="H337" s="17" t="s">
        <v>104</v>
      </c>
      <c r="I337" s="20" t="s">
        <v>1463</v>
      </c>
      <c r="J337" s="21" t="s">
        <v>1467</v>
      </c>
      <c r="K337" s="22" t="s">
        <v>1468</v>
      </c>
      <c r="L337" s="22" t="s">
        <v>1469</v>
      </c>
      <c r="M337" s="17">
        <v>2020.0</v>
      </c>
      <c r="N337" s="17">
        <v>19.0</v>
      </c>
      <c r="O337" s="23">
        <v>143.0</v>
      </c>
      <c r="P337" s="24">
        <f t="shared" si="9"/>
        <v>400.4</v>
      </c>
      <c r="Q337" s="25">
        <v>6.0</v>
      </c>
      <c r="R337" s="17">
        <v>2.0</v>
      </c>
      <c r="S337" s="26">
        <v>2.0</v>
      </c>
      <c r="T337" s="17">
        <v>4.0</v>
      </c>
      <c r="U337" s="17">
        <v>3.0</v>
      </c>
      <c r="V337" s="17" t="s">
        <v>75</v>
      </c>
      <c r="W337" s="28" t="s">
        <v>76</v>
      </c>
      <c r="X337" s="28" t="s">
        <v>78</v>
      </c>
      <c r="Y337" s="24">
        <v>10.0</v>
      </c>
      <c r="Z337" s="17">
        <v>150.0</v>
      </c>
      <c r="AA337" s="17">
        <v>576.0</v>
      </c>
      <c r="AB337" s="17">
        <v>31.0</v>
      </c>
      <c r="AC337" s="20">
        <f t="shared" si="2"/>
        <v>107136</v>
      </c>
      <c r="AD337" s="30">
        <f t="shared" si="3"/>
        <v>35.28488889</v>
      </c>
      <c r="AE337" s="30">
        <f t="shared" si="10"/>
        <v>14128.06951</v>
      </c>
      <c r="AF337" s="30">
        <f t="shared" si="5"/>
        <v>1698.745889</v>
      </c>
      <c r="AG337" s="34">
        <v>1.0</v>
      </c>
      <c r="AH337" s="36"/>
      <c r="AI337" s="30">
        <f t="shared" si="6"/>
        <v>3278.688525</v>
      </c>
      <c r="AJ337" s="17">
        <v>4000.0</v>
      </c>
      <c r="AK337" s="30">
        <f t="shared" si="7"/>
        <v>19672.13115</v>
      </c>
      <c r="AL337" s="20">
        <f t="shared" si="8"/>
        <v>24000</v>
      </c>
    </row>
    <row r="338">
      <c r="A338" s="16" t="s">
        <v>1471</v>
      </c>
      <c r="B338" s="17" t="s">
        <v>165</v>
      </c>
      <c r="C338" s="17" t="s">
        <v>169</v>
      </c>
      <c r="D338" s="17" t="s">
        <v>1472</v>
      </c>
      <c r="E338" s="17" t="s">
        <v>1473</v>
      </c>
      <c r="F338" s="17" t="s">
        <v>103</v>
      </c>
      <c r="G338" s="19">
        <v>45989.0</v>
      </c>
      <c r="H338" s="17" t="s">
        <v>104</v>
      </c>
      <c r="I338" s="20" t="s">
        <v>1474</v>
      </c>
      <c r="J338" s="21" t="s">
        <v>1475</v>
      </c>
      <c r="K338" s="22" t="s">
        <v>1476</v>
      </c>
      <c r="L338" s="22" t="s">
        <v>1477</v>
      </c>
      <c r="M338" s="17">
        <v>2017.0</v>
      </c>
      <c r="N338" s="17">
        <v>14.0</v>
      </c>
      <c r="O338" s="23">
        <v>117.0</v>
      </c>
      <c r="P338" s="24">
        <f t="shared" si="9"/>
        <v>327.6</v>
      </c>
      <c r="Q338" s="25">
        <v>1.0</v>
      </c>
      <c r="R338" s="17">
        <v>1.0</v>
      </c>
      <c r="S338" s="26">
        <v>1.0</v>
      </c>
      <c r="T338" s="17">
        <v>0.0</v>
      </c>
      <c r="U338" s="17">
        <v>2.0</v>
      </c>
      <c r="V338" s="17" t="s">
        <v>75</v>
      </c>
      <c r="W338" s="28" t="s">
        <v>76</v>
      </c>
      <c r="X338" s="28" t="s">
        <v>78</v>
      </c>
      <c r="Y338" s="24">
        <v>10.0</v>
      </c>
      <c r="Z338" s="17">
        <v>150.0</v>
      </c>
      <c r="AA338" s="17">
        <v>576.0</v>
      </c>
      <c r="AB338" s="17">
        <v>31.0</v>
      </c>
      <c r="AC338" s="20">
        <f t="shared" si="2"/>
        <v>17856</v>
      </c>
      <c r="AD338" s="30">
        <f t="shared" si="3"/>
        <v>8.06</v>
      </c>
      <c r="AE338" s="30">
        <f t="shared" si="10"/>
        <v>2640.456</v>
      </c>
      <c r="AF338" s="30">
        <f t="shared" si="5"/>
        <v>1514.889852</v>
      </c>
      <c r="AG338" s="34">
        <v>1.0</v>
      </c>
      <c r="AH338" s="36"/>
      <c r="AI338" s="30">
        <f t="shared" si="6"/>
        <v>3278.688525</v>
      </c>
      <c r="AJ338" s="17">
        <v>4000.0</v>
      </c>
      <c r="AK338" s="30">
        <f t="shared" si="7"/>
        <v>3278.688525</v>
      </c>
      <c r="AL338" s="20">
        <f t="shared" si="8"/>
        <v>4000</v>
      </c>
    </row>
    <row r="339">
      <c r="A339" s="16" t="s">
        <v>1471</v>
      </c>
      <c r="B339" s="17" t="s">
        <v>165</v>
      </c>
      <c r="C339" s="17" t="s">
        <v>169</v>
      </c>
      <c r="D339" s="17" t="s">
        <v>1472</v>
      </c>
      <c r="E339" s="17" t="s">
        <v>1473</v>
      </c>
      <c r="F339" s="17" t="s">
        <v>103</v>
      </c>
      <c r="G339" s="19">
        <v>45989.0</v>
      </c>
      <c r="H339" s="17" t="s">
        <v>104</v>
      </c>
      <c r="I339" s="20" t="s">
        <v>1474</v>
      </c>
      <c r="J339" s="21" t="s">
        <v>1479</v>
      </c>
      <c r="K339" s="22" t="s">
        <v>1480</v>
      </c>
      <c r="L339" s="22" t="s">
        <v>1481</v>
      </c>
      <c r="M339" s="17">
        <v>2021.0</v>
      </c>
      <c r="N339" s="17">
        <v>14.0</v>
      </c>
      <c r="O339" s="23">
        <v>120.0</v>
      </c>
      <c r="P339" s="24">
        <f t="shared" si="9"/>
        <v>336</v>
      </c>
      <c r="Q339" s="25">
        <v>1.0</v>
      </c>
      <c r="R339" s="17">
        <v>1.0</v>
      </c>
      <c r="S339" s="26">
        <v>1.0</v>
      </c>
      <c r="T339" s="17">
        <v>0.0</v>
      </c>
      <c r="U339" s="17">
        <v>2.0</v>
      </c>
      <c r="V339" s="17" t="s">
        <v>75</v>
      </c>
      <c r="W339" s="28" t="s">
        <v>76</v>
      </c>
      <c r="X339" s="28" t="s">
        <v>78</v>
      </c>
      <c r="Y339" s="24">
        <v>10.0</v>
      </c>
      <c r="Z339" s="17">
        <v>150.0</v>
      </c>
      <c r="AA339" s="17">
        <v>576.0</v>
      </c>
      <c r="AB339" s="17">
        <v>31.0</v>
      </c>
      <c r="AC339" s="20">
        <f t="shared" si="2"/>
        <v>17856</v>
      </c>
      <c r="AD339" s="30">
        <f t="shared" si="3"/>
        <v>8.06</v>
      </c>
      <c r="AE339" s="30">
        <f t="shared" si="10"/>
        <v>2708.16</v>
      </c>
      <c r="AF339" s="30">
        <f t="shared" si="5"/>
        <v>1477.017606</v>
      </c>
      <c r="AG339" s="34">
        <v>1.0</v>
      </c>
      <c r="AH339" s="36"/>
      <c r="AI339" s="30">
        <f t="shared" si="6"/>
        <v>3278.688525</v>
      </c>
      <c r="AJ339" s="17">
        <v>4000.0</v>
      </c>
      <c r="AK339" s="30">
        <f t="shared" si="7"/>
        <v>3278.688525</v>
      </c>
      <c r="AL339" s="20">
        <f t="shared" si="8"/>
        <v>4000</v>
      </c>
    </row>
    <row r="340">
      <c r="A340" s="16" t="s">
        <v>1471</v>
      </c>
      <c r="B340" s="17" t="s">
        <v>165</v>
      </c>
      <c r="C340" s="17" t="s">
        <v>169</v>
      </c>
      <c r="D340" s="17" t="s">
        <v>1472</v>
      </c>
      <c r="E340" s="17" t="s">
        <v>1473</v>
      </c>
      <c r="F340" s="17" t="s">
        <v>103</v>
      </c>
      <c r="G340" s="19">
        <v>45989.0</v>
      </c>
      <c r="H340" s="17" t="s">
        <v>104</v>
      </c>
      <c r="I340" s="20" t="s">
        <v>1474</v>
      </c>
      <c r="J340" s="21" t="s">
        <v>1489</v>
      </c>
      <c r="K340" s="22" t="s">
        <v>1490</v>
      </c>
      <c r="L340" s="22" t="s">
        <v>1491</v>
      </c>
      <c r="M340" s="17">
        <v>2018.0</v>
      </c>
      <c r="N340" s="17">
        <v>14.0</v>
      </c>
      <c r="O340" s="23">
        <v>190.0</v>
      </c>
      <c r="P340" s="24">
        <f t="shared" si="9"/>
        <v>532</v>
      </c>
      <c r="Q340" s="25">
        <v>1.0</v>
      </c>
      <c r="R340" s="17">
        <v>1.0</v>
      </c>
      <c r="S340" s="26">
        <v>1.0</v>
      </c>
      <c r="T340" s="17">
        <v>0.0</v>
      </c>
      <c r="U340" s="17">
        <v>2.0</v>
      </c>
      <c r="V340" s="17" t="s">
        <v>75</v>
      </c>
      <c r="W340" s="28" t="s">
        <v>76</v>
      </c>
      <c r="X340" s="28" t="s">
        <v>78</v>
      </c>
      <c r="Y340" s="24">
        <v>10.0</v>
      </c>
      <c r="Z340" s="17">
        <v>150.0</v>
      </c>
      <c r="AA340" s="17">
        <v>576.0</v>
      </c>
      <c r="AB340" s="17">
        <v>31.0</v>
      </c>
      <c r="AC340" s="20">
        <f t="shared" si="2"/>
        <v>17856</v>
      </c>
      <c r="AD340" s="30">
        <f t="shared" si="3"/>
        <v>8.06</v>
      </c>
      <c r="AE340" s="30">
        <f t="shared" si="10"/>
        <v>4287.92</v>
      </c>
      <c r="AF340" s="30">
        <f t="shared" si="5"/>
        <v>932.8532249</v>
      </c>
      <c r="AG340" s="34">
        <v>1.0</v>
      </c>
      <c r="AH340" s="36"/>
      <c r="AI340" s="30">
        <f t="shared" si="6"/>
        <v>3278.688525</v>
      </c>
      <c r="AJ340" s="17">
        <v>4000.0</v>
      </c>
      <c r="AK340" s="30">
        <f t="shared" si="7"/>
        <v>3278.688525</v>
      </c>
      <c r="AL340" s="20">
        <f t="shared" si="8"/>
        <v>4000</v>
      </c>
    </row>
    <row r="341">
      <c r="A341" s="16" t="s">
        <v>1471</v>
      </c>
      <c r="B341" s="17" t="s">
        <v>165</v>
      </c>
      <c r="C341" s="17" t="s">
        <v>169</v>
      </c>
      <c r="D341" s="17" t="s">
        <v>1472</v>
      </c>
      <c r="E341" s="17" t="s">
        <v>1473</v>
      </c>
      <c r="F341" s="17" t="s">
        <v>103</v>
      </c>
      <c r="G341" s="19">
        <v>45989.0</v>
      </c>
      <c r="H341" s="17" t="s">
        <v>104</v>
      </c>
      <c r="I341" s="20" t="s">
        <v>1474</v>
      </c>
      <c r="J341" s="21" t="s">
        <v>1495</v>
      </c>
      <c r="K341" s="22" t="s">
        <v>1496</v>
      </c>
      <c r="L341" s="22" t="s">
        <v>1497</v>
      </c>
      <c r="M341" s="17">
        <v>2018.0</v>
      </c>
      <c r="N341" s="17">
        <v>16.0</v>
      </c>
      <c r="O341" s="23">
        <v>290.0</v>
      </c>
      <c r="P341" s="24">
        <f t="shared" si="9"/>
        <v>812</v>
      </c>
      <c r="Q341" s="25">
        <v>2.0</v>
      </c>
      <c r="R341" s="17">
        <v>2.0</v>
      </c>
      <c r="S341" s="26">
        <v>1.0</v>
      </c>
      <c r="T341" s="17">
        <v>0.0</v>
      </c>
      <c r="U341" s="17">
        <v>4.0</v>
      </c>
      <c r="V341" s="17" t="s">
        <v>75</v>
      </c>
      <c r="W341" s="28" t="s">
        <v>76</v>
      </c>
      <c r="X341" s="28" t="s">
        <v>78</v>
      </c>
      <c r="Y341" s="24">
        <v>10.0</v>
      </c>
      <c r="Z341" s="17">
        <v>150.0</v>
      </c>
      <c r="AA341" s="17">
        <v>576.0</v>
      </c>
      <c r="AB341" s="17">
        <v>31.0</v>
      </c>
      <c r="AC341" s="20">
        <f t="shared" si="2"/>
        <v>35712</v>
      </c>
      <c r="AD341" s="30">
        <f t="shared" si="3"/>
        <v>16.12</v>
      </c>
      <c r="AE341" s="30">
        <f t="shared" si="10"/>
        <v>13089.44</v>
      </c>
      <c r="AF341" s="30">
        <f t="shared" si="5"/>
        <v>611.1796991</v>
      </c>
      <c r="AG341" s="34">
        <v>1.0</v>
      </c>
      <c r="AH341" s="36"/>
      <c r="AI341" s="30">
        <f t="shared" si="6"/>
        <v>3278.688525</v>
      </c>
      <c r="AJ341" s="17">
        <v>4000.0</v>
      </c>
      <c r="AK341" s="30">
        <f t="shared" si="7"/>
        <v>6557.377049</v>
      </c>
      <c r="AL341" s="20">
        <f t="shared" si="8"/>
        <v>8000</v>
      </c>
    </row>
    <row r="342">
      <c r="A342" s="16" t="s">
        <v>1471</v>
      </c>
      <c r="B342" s="17" t="s">
        <v>165</v>
      </c>
      <c r="C342" s="17" t="s">
        <v>169</v>
      </c>
      <c r="D342" s="17" t="s">
        <v>1472</v>
      </c>
      <c r="E342" s="17" t="s">
        <v>1473</v>
      </c>
      <c r="F342" s="17" t="s">
        <v>103</v>
      </c>
      <c r="G342" s="19">
        <v>45989.0</v>
      </c>
      <c r="H342" s="17" t="s">
        <v>104</v>
      </c>
      <c r="I342" s="20" t="s">
        <v>1474</v>
      </c>
      <c r="J342" s="21" t="s">
        <v>1498</v>
      </c>
      <c r="K342" s="22" t="s">
        <v>1499</v>
      </c>
      <c r="L342" s="22" t="s">
        <v>1500</v>
      </c>
      <c r="M342" s="17">
        <v>2019.0</v>
      </c>
      <c r="N342" s="17">
        <v>16.0</v>
      </c>
      <c r="O342" s="23">
        <v>150.0</v>
      </c>
      <c r="P342" s="24">
        <f t="shared" si="9"/>
        <v>420</v>
      </c>
      <c r="Q342" s="25">
        <v>1.0</v>
      </c>
      <c r="R342" s="17">
        <v>1.0</v>
      </c>
      <c r="S342" s="26">
        <v>1.0</v>
      </c>
      <c r="T342" s="17">
        <v>0.0</v>
      </c>
      <c r="U342" s="17">
        <v>2.0</v>
      </c>
      <c r="V342" s="17" t="s">
        <v>75</v>
      </c>
      <c r="W342" s="28" t="s">
        <v>76</v>
      </c>
      <c r="X342" s="28" t="s">
        <v>78</v>
      </c>
      <c r="Y342" s="24">
        <v>10.0</v>
      </c>
      <c r="Z342" s="17">
        <v>150.0</v>
      </c>
      <c r="AA342" s="17">
        <v>576.0</v>
      </c>
      <c r="AB342" s="17">
        <v>31.0</v>
      </c>
      <c r="AC342" s="20">
        <f t="shared" si="2"/>
        <v>17856</v>
      </c>
      <c r="AD342" s="30">
        <f t="shared" si="3"/>
        <v>8.06</v>
      </c>
      <c r="AE342" s="30">
        <f t="shared" si="10"/>
        <v>3385.2</v>
      </c>
      <c r="AF342" s="30">
        <f t="shared" si="5"/>
        <v>1181.614085</v>
      </c>
      <c r="AG342" s="34">
        <v>1.0</v>
      </c>
      <c r="AH342" s="36"/>
      <c r="AI342" s="30">
        <f t="shared" si="6"/>
        <v>3278.688525</v>
      </c>
      <c r="AJ342" s="17">
        <v>4000.0</v>
      </c>
      <c r="AK342" s="30">
        <f t="shared" si="7"/>
        <v>3278.688525</v>
      </c>
      <c r="AL342" s="20">
        <f t="shared" si="8"/>
        <v>4000</v>
      </c>
    </row>
    <row r="343">
      <c r="A343" s="16" t="s">
        <v>1471</v>
      </c>
      <c r="B343" s="17" t="s">
        <v>165</v>
      </c>
      <c r="C343" s="17" t="s">
        <v>169</v>
      </c>
      <c r="D343" s="17" t="s">
        <v>1472</v>
      </c>
      <c r="E343" s="17" t="s">
        <v>1473</v>
      </c>
      <c r="F343" s="17" t="s">
        <v>103</v>
      </c>
      <c r="G343" s="19">
        <v>45989.0</v>
      </c>
      <c r="H343" s="17" t="s">
        <v>104</v>
      </c>
      <c r="I343" s="20" t="s">
        <v>1474</v>
      </c>
      <c r="J343" s="21" t="s">
        <v>1501</v>
      </c>
      <c r="K343" s="22" t="s">
        <v>1502</v>
      </c>
      <c r="L343" s="22" t="s">
        <v>1503</v>
      </c>
      <c r="M343" s="17">
        <v>2020.0</v>
      </c>
      <c r="N343" s="17">
        <v>16.0</v>
      </c>
      <c r="O343" s="23">
        <v>160.0</v>
      </c>
      <c r="P343" s="24">
        <f t="shared" si="9"/>
        <v>448</v>
      </c>
      <c r="Q343" s="25">
        <v>1.0</v>
      </c>
      <c r="R343" s="17">
        <v>1.0</v>
      </c>
      <c r="S343" s="26">
        <v>1.0</v>
      </c>
      <c r="T343" s="17">
        <v>0.0</v>
      </c>
      <c r="U343" s="17">
        <v>3.0</v>
      </c>
      <c r="V343" s="17" t="s">
        <v>75</v>
      </c>
      <c r="W343" s="28" t="s">
        <v>76</v>
      </c>
      <c r="X343" s="28" t="s">
        <v>78</v>
      </c>
      <c r="Y343" s="24">
        <v>10.0</v>
      </c>
      <c r="Z343" s="17">
        <v>150.0</v>
      </c>
      <c r="AA343" s="17">
        <v>576.0</v>
      </c>
      <c r="AB343" s="17">
        <v>31.0</v>
      </c>
      <c r="AC343" s="20">
        <f t="shared" si="2"/>
        <v>17856</v>
      </c>
      <c r="AD343" s="30">
        <f t="shared" si="3"/>
        <v>8.06</v>
      </c>
      <c r="AE343" s="30">
        <f t="shared" si="10"/>
        <v>3610.88</v>
      </c>
      <c r="AF343" s="30">
        <f t="shared" si="5"/>
        <v>1107.763205</v>
      </c>
      <c r="AG343" s="34">
        <v>1.0</v>
      </c>
      <c r="AH343" s="36"/>
      <c r="AI343" s="30">
        <f t="shared" si="6"/>
        <v>3278.688525</v>
      </c>
      <c r="AJ343" s="17">
        <v>4000.0</v>
      </c>
      <c r="AK343" s="30">
        <f t="shared" si="7"/>
        <v>3278.688525</v>
      </c>
      <c r="AL343" s="20">
        <f t="shared" si="8"/>
        <v>4000</v>
      </c>
    </row>
    <row r="344">
      <c r="A344" s="16" t="s">
        <v>1471</v>
      </c>
      <c r="B344" s="17" t="s">
        <v>165</v>
      </c>
      <c r="C344" s="17" t="s">
        <v>169</v>
      </c>
      <c r="D344" s="17" t="s">
        <v>1472</v>
      </c>
      <c r="E344" s="17" t="s">
        <v>1473</v>
      </c>
      <c r="F344" s="17" t="s">
        <v>103</v>
      </c>
      <c r="G344" s="19">
        <v>45989.0</v>
      </c>
      <c r="H344" s="17" t="s">
        <v>104</v>
      </c>
      <c r="I344" s="20" t="s">
        <v>1474</v>
      </c>
      <c r="J344" s="21" t="s">
        <v>1504</v>
      </c>
      <c r="K344" s="22" t="s">
        <v>1505</v>
      </c>
      <c r="L344" s="22" t="s">
        <v>1506</v>
      </c>
      <c r="M344" s="17">
        <v>2021.0</v>
      </c>
      <c r="N344" s="17">
        <v>14.0</v>
      </c>
      <c r="O344" s="23">
        <v>154.0</v>
      </c>
      <c r="P344" s="24">
        <f t="shared" si="9"/>
        <v>431.2</v>
      </c>
      <c r="Q344" s="25">
        <v>1.0</v>
      </c>
      <c r="R344" s="17">
        <v>1.0</v>
      </c>
      <c r="S344" s="26">
        <v>1.0</v>
      </c>
      <c r="T344" s="17">
        <v>0.0</v>
      </c>
      <c r="U344" s="17">
        <v>2.0</v>
      </c>
      <c r="V344" s="17" t="s">
        <v>75</v>
      </c>
      <c r="W344" s="28" t="s">
        <v>76</v>
      </c>
      <c r="X344" s="28" t="s">
        <v>78</v>
      </c>
      <c r="Y344" s="24">
        <v>10.0</v>
      </c>
      <c r="Z344" s="17">
        <v>150.0</v>
      </c>
      <c r="AA344" s="17">
        <v>576.0</v>
      </c>
      <c r="AB344" s="17">
        <v>31.0</v>
      </c>
      <c r="AC344" s="20">
        <f t="shared" si="2"/>
        <v>17856</v>
      </c>
      <c r="AD344" s="30">
        <f t="shared" si="3"/>
        <v>8.06</v>
      </c>
      <c r="AE344" s="30">
        <f t="shared" si="10"/>
        <v>3475.472</v>
      </c>
      <c r="AF344" s="30">
        <f t="shared" si="5"/>
        <v>1150.92281</v>
      </c>
      <c r="AG344" s="34">
        <v>1.0</v>
      </c>
      <c r="AH344" s="36"/>
      <c r="AI344" s="30">
        <f t="shared" si="6"/>
        <v>3278.688525</v>
      </c>
      <c r="AJ344" s="17">
        <v>4000.0</v>
      </c>
      <c r="AK344" s="30">
        <f t="shared" si="7"/>
        <v>3278.688525</v>
      </c>
      <c r="AL344" s="20">
        <f t="shared" si="8"/>
        <v>4000</v>
      </c>
    </row>
    <row r="345">
      <c r="A345" s="16" t="s">
        <v>1471</v>
      </c>
      <c r="B345" s="17" t="s">
        <v>165</v>
      </c>
      <c r="C345" s="17" t="s">
        <v>169</v>
      </c>
      <c r="D345" s="17" t="s">
        <v>1472</v>
      </c>
      <c r="E345" s="17" t="s">
        <v>1473</v>
      </c>
      <c r="F345" s="17" t="s">
        <v>103</v>
      </c>
      <c r="G345" s="19">
        <v>45989.0</v>
      </c>
      <c r="H345" s="17" t="s">
        <v>104</v>
      </c>
      <c r="I345" s="20" t="s">
        <v>1474</v>
      </c>
      <c r="J345" s="21" t="s">
        <v>1507</v>
      </c>
      <c r="K345" s="22" t="s">
        <v>1508</v>
      </c>
      <c r="L345" s="22" t="s">
        <v>1509</v>
      </c>
      <c r="M345" s="17">
        <v>2022.0</v>
      </c>
      <c r="N345" s="17">
        <v>9.0</v>
      </c>
      <c r="O345" s="23">
        <v>284.0</v>
      </c>
      <c r="P345" s="24">
        <f t="shared" si="9"/>
        <v>795.2</v>
      </c>
      <c r="Q345" s="25">
        <v>4.0</v>
      </c>
      <c r="R345" s="17">
        <v>4.0</v>
      </c>
      <c r="S345" s="26">
        <v>1.0</v>
      </c>
      <c r="T345" s="17">
        <v>0.0</v>
      </c>
      <c r="U345" s="17">
        <v>4.0</v>
      </c>
      <c r="V345" s="17" t="s">
        <v>75</v>
      </c>
      <c r="W345" s="28" t="s">
        <v>76</v>
      </c>
      <c r="X345" s="28" t="s">
        <v>78</v>
      </c>
      <c r="Y345" s="24">
        <v>10.0</v>
      </c>
      <c r="Z345" s="17">
        <v>150.0</v>
      </c>
      <c r="AA345" s="17">
        <v>576.0</v>
      </c>
      <c r="AB345" s="17">
        <v>31.0</v>
      </c>
      <c r="AC345" s="20">
        <f t="shared" si="2"/>
        <v>71424</v>
      </c>
      <c r="AD345" s="30">
        <f t="shared" si="3"/>
        <v>32.24</v>
      </c>
      <c r="AE345" s="30">
        <f t="shared" si="10"/>
        <v>25637.248</v>
      </c>
      <c r="AF345" s="30">
        <f t="shared" si="5"/>
        <v>624.0919462</v>
      </c>
      <c r="AG345" s="34">
        <v>1.0</v>
      </c>
      <c r="AH345" s="36"/>
      <c r="AI345" s="30">
        <f t="shared" si="6"/>
        <v>3278.688525</v>
      </c>
      <c r="AJ345" s="17">
        <v>4000.0</v>
      </c>
      <c r="AK345" s="30">
        <f t="shared" si="7"/>
        <v>13114.7541</v>
      </c>
      <c r="AL345" s="20">
        <f t="shared" si="8"/>
        <v>16000</v>
      </c>
    </row>
    <row r="346">
      <c r="A346" s="16" t="s">
        <v>1471</v>
      </c>
      <c r="B346" s="17" t="s">
        <v>165</v>
      </c>
      <c r="C346" s="17" t="s">
        <v>169</v>
      </c>
      <c r="D346" s="17" t="s">
        <v>1472</v>
      </c>
      <c r="E346" s="17" t="s">
        <v>1473</v>
      </c>
      <c r="F346" s="17" t="s">
        <v>103</v>
      </c>
      <c r="G346" s="19">
        <v>45989.0</v>
      </c>
      <c r="H346" s="17" t="s">
        <v>104</v>
      </c>
      <c r="I346" s="20" t="s">
        <v>1474</v>
      </c>
      <c r="J346" s="21" t="s">
        <v>1510</v>
      </c>
      <c r="K346" s="22" t="s">
        <v>1511</v>
      </c>
      <c r="L346" s="22" t="s">
        <v>1512</v>
      </c>
      <c r="M346" s="17">
        <v>2025.0</v>
      </c>
      <c r="N346" s="17">
        <v>11.0</v>
      </c>
      <c r="O346" s="23">
        <v>120.0</v>
      </c>
      <c r="P346" s="24">
        <f t="shared" si="9"/>
        <v>336</v>
      </c>
      <c r="Q346" s="25">
        <v>1.0</v>
      </c>
      <c r="R346" s="17">
        <v>1.0</v>
      </c>
      <c r="S346" s="26">
        <v>1.0</v>
      </c>
      <c r="T346" s="17">
        <v>0.0</v>
      </c>
      <c r="U346" s="17">
        <v>3.0</v>
      </c>
      <c r="V346" s="17" t="s">
        <v>75</v>
      </c>
      <c r="W346" s="28" t="s">
        <v>76</v>
      </c>
      <c r="X346" s="28" t="s">
        <v>78</v>
      </c>
      <c r="Y346" s="24">
        <v>10.0</v>
      </c>
      <c r="Z346" s="17">
        <v>150.0</v>
      </c>
      <c r="AA346" s="17">
        <v>576.0</v>
      </c>
      <c r="AB346" s="17">
        <v>31.0</v>
      </c>
      <c r="AC346" s="20">
        <f t="shared" si="2"/>
        <v>17856</v>
      </c>
      <c r="AD346" s="30">
        <f t="shared" si="3"/>
        <v>8.06</v>
      </c>
      <c r="AE346" s="30">
        <f t="shared" si="10"/>
        <v>2708.16</v>
      </c>
      <c r="AF346" s="30">
        <f t="shared" si="5"/>
        <v>1477.017606</v>
      </c>
      <c r="AG346" s="34">
        <v>1.0</v>
      </c>
      <c r="AH346" s="36"/>
      <c r="AI346" s="30">
        <f t="shared" si="6"/>
        <v>3278.688525</v>
      </c>
      <c r="AJ346" s="17">
        <v>4000.0</v>
      </c>
      <c r="AK346" s="30">
        <f t="shared" si="7"/>
        <v>3278.688525</v>
      </c>
      <c r="AL346" s="20">
        <f t="shared" si="8"/>
        <v>4000</v>
      </c>
    </row>
    <row r="347">
      <c r="A347" s="16" t="s">
        <v>1513</v>
      </c>
      <c r="B347" s="17" t="s">
        <v>165</v>
      </c>
      <c r="C347" s="17" t="s">
        <v>169</v>
      </c>
      <c r="D347" s="17" t="s">
        <v>1386</v>
      </c>
      <c r="E347" s="17" t="s">
        <v>1514</v>
      </c>
      <c r="F347" s="17" t="s">
        <v>103</v>
      </c>
      <c r="G347" s="19">
        <v>46085.0</v>
      </c>
      <c r="H347" s="17" t="s">
        <v>65</v>
      </c>
      <c r="I347" s="20" t="s">
        <v>1515</v>
      </c>
      <c r="J347" s="21" t="s">
        <v>1516</v>
      </c>
      <c r="K347" s="22" t="s">
        <v>1517</v>
      </c>
      <c r="L347" s="22" t="s">
        <v>1518</v>
      </c>
      <c r="M347" s="17">
        <v>2004.0</v>
      </c>
      <c r="N347" s="17">
        <v>9.0</v>
      </c>
      <c r="O347" s="23">
        <v>45.0</v>
      </c>
      <c r="P347" s="24">
        <f t="shared" si="9"/>
        <v>126</v>
      </c>
      <c r="Q347" s="25">
        <v>2.0</v>
      </c>
      <c r="R347" s="17">
        <v>2.0</v>
      </c>
      <c r="S347" s="26">
        <v>2.0</v>
      </c>
      <c r="T347" s="17">
        <v>0.0</v>
      </c>
      <c r="U347" s="17">
        <v>2.0</v>
      </c>
      <c r="V347" s="17" t="s">
        <v>75</v>
      </c>
      <c r="W347" s="28" t="s">
        <v>76</v>
      </c>
      <c r="X347" s="28" t="s">
        <v>78</v>
      </c>
      <c r="Y347" s="24">
        <v>10.0</v>
      </c>
      <c r="Z347" s="17">
        <v>150.0</v>
      </c>
      <c r="AA347" s="17">
        <v>576.0</v>
      </c>
      <c r="AB347" s="17">
        <v>31.0</v>
      </c>
      <c r="AC347" s="20">
        <f t="shared" si="2"/>
        <v>35712</v>
      </c>
      <c r="AD347" s="30">
        <f t="shared" si="3"/>
        <v>8.06</v>
      </c>
      <c r="AE347" s="30">
        <f t="shared" si="10"/>
        <v>1015.56</v>
      </c>
      <c r="AF347" s="30">
        <f t="shared" si="5"/>
        <v>7877.427232</v>
      </c>
      <c r="AG347" s="34">
        <v>1.0</v>
      </c>
      <c r="AH347" s="36"/>
      <c r="AI347" s="30">
        <f t="shared" si="6"/>
        <v>3278.688525</v>
      </c>
      <c r="AJ347" s="17">
        <v>4000.0</v>
      </c>
      <c r="AK347" s="30">
        <f t="shared" si="7"/>
        <v>6557.377049</v>
      </c>
      <c r="AL347" s="20">
        <f t="shared" si="8"/>
        <v>8000</v>
      </c>
    </row>
    <row r="348">
      <c r="A348" s="16" t="s">
        <v>1513</v>
      </c>
      <c r="B348" s="17" t="s">
        <v>165</v>
      </c>
      <c r="C348" s="17" t="s">
        <v>169</v>
      </c>
      <c r="D348" s="17" t="s">
        <v>1386</v>
      </c>
      <c r="E348" s="17" t="s">
        <v>1514</v>
      </c>
      <c r="F348" s="17" t="s">
        <v>103</v>
      </c>
      <c r="G348" s="19">
        <v>46085.0</v>
      </c>
      <c r="H348" s="17" t="s">
        <v>65</v>
      </c>
      <c r="I348" s="20" t="s">
        <v>1515</v>
      </c>
      <c r="J348" s="21" t="s">
        <v>1519</v>
      </c>
      <c r="K348" s="22" t="s">
        <v>1520</v>
      </c>
      <c r="L348" s="22" t="s">
        <v>1521</v>
      </c>
      <c r="M348" s="17">
        <v>2007.0</v>
      </c>
      <c r="N348" s="17">
        <v>10.0</v>
      </c>
      <c r="O348" s="23">
        <v>107.0</v>
      </c>
      <c r="P348" s="24">
        <f t="shared" si="9"/>
        <v>299.6</v>
      </c>
      <c r="Q348" s="25">
        <v>3.0</v>
      </c>
      <c r="R348" s="17">
        <v>3.0</v>
      </c>
      <c r="S348" s="26">
        <v>2.0</v>
      </c>
      <c r="T348" s="17">
        <v>0.0</v>
      </c>
      <c r="U348" s="17">
        <v>2.0</v>
      </c>
      <c r="V348" s="17" t="s">
        <v>75</v>
      </c>
      <c r="W348" s="28" t="s">
        <v>76</v>
      </c>
      <c r="X348" s="28" t="s">
        <v>78</v>
      </c>
      <c r="Y348" s="24">
        <v>10.0</v>
      </c>
      <c r="Z348" s="17">
        <v>150.0</v>
      </c>
      <c r="AA348" s="17">
        <v>576.0</v>
      </c>
      <c r="AB348" s="17">
        <v>31.0</v>
      </c>
      <c r="AC348" s="20">
        <f t="shared" si="2"/>
        <v>53568</v>
      </c>
      <c r="AD348" s="30">
        <f t="shared" si="3"/>
        <v>12.09</v>
      </c>
      <c r="AE348" s="30">
        <f t="shared" si="10"/>
        <v>3622.164</v>
      </c>
      <c r="AF348" s="30">
        <f t="shared" si="5"/>
        <v>3312.936686</v>
      </c>
      <c r="AG348" s="34">
        <v>1.0</v>
      </c>
      <c r="AH348" s="36"/>
      <c r="AI348" s="30">
        <f t="shared" si="6"/>
        <v>3278.688525</v>
      </c>
      <c r="AJ348" s="17">
        <v>4000.0</v>
      </c>
      <c r="AK348" s="30">
        <f t="shared" si="7"/>
        <v>9836.065574</v>
      </c>
      <c r="AL348" s="20">
        <f t="shared" si="8"/>
        <v>12000</v>
      </c>
    </row>
    <row r="349">
      <c r="A349" s="16" t="s">
        <v>1513</v>
      </c>
      <c r="B349" s="17" t="s">
        <v>165</v>
      </c>
      <c r="C349" s="17" t="s">
        <v>169</v>
      </c>
      <c r="D349" s="17" t="s">
        <v>1386</v>
      </c>
      <c r="E349" s="17" t="s">
        <v>1514</v>
      </c>
      <c r="F349" s="17" t="s">
        <v>103</v>
      </c>
      <c r="G349" s="19">
        <v>46085.0</v>
      </c>
      <c r="H349" s="17" t="s">
        <v>65</v>
      </c>
      <c r="I349" s="20" t="s">
        <v>1515</v>
      </c>
      <c r="J349" s="21" t="s">
        <v>1522</v>
      </c>
      <c r="K349" s="22" t="s">
        <v>1523</v>
      </c>
      <c r="L349" s="22" t="s">
        <v>1524</v>
      </c>
      <c r="M349" s="17">
        <v>2007.0</v>
      </c>
      <c r="N349" s="17">
        <v>9.0</v>
      </c>
      <c r="O349" s="23">
        <v>75.0</v>
      </c>
      <c r="P349" s="24">
        <f t="shared" si="9"/>
        <v>210</v>
      </c>
      <c r="Q349" s="25">
        <v>2.0</v>
      </c>
      <c r="R349" s="17">
        <v>2.0</v>
      </c>
      <c r="S349" s="26">
        <v>2.0</v>
      </c>
      <c r="T349" s="17">
        <v>0.0</v>
      </c>
      <c r="U349" s="17">
        <v>2.0</v>
      </c>
      <c r="V349" s="17" t="s">
        <v>75</v>
      </c>
      <c r="W349" s="28" t="s">
        <v>76</v>
      </c>
      <c r="X349" s="28" t="s">
        <v>78</v>
      </c>
      <c r="Y349" s="24">
        <v>10.0</v>
      </c>
      <c r="Z349" s="17">
        <v>150.0</v>
      </c>
      <c r="AA349" s="17">
        <v>576.0</v>
      </c>
      <c r="AB349" s="17">
        <v>31.0</v>
      </c>
      <c r="AC349" s="20">
        <f t="shared" si="2"/>
        <v>35712</v>
      </c>
      <c r="AD349" s="30">
        <f t="shared" si="3"/>
        <v>8.06</v>
      </c>
      <c r="AE349" s="30">
        <f t="shared" si="10"/>
        <v>1692.6</v>
      </c>
      <c r="AF349" s="30">
        <f t="shared" si="5"/>
        <v>4726.456339</v>
      </c>
      <c r="AG349" s="34">
        <v>1.0</v>
      </c>
      <c r="AH349" s="36"/>
      <c r="AI349" s="30">
        <f t="shared" si="6"/>
        <v>3278.688525</v>
      </c>
      <c r="AJ349" s="17">
        <v>4000.0</v>
      </c>
      <c r="AK349" s="30">
        <f t="shared" si="7"/>
        <v>6557.377049</v>
      </c>
      <c r="AL349" s="20">
        <f t="shared" si="8"/>
        <v>8000</v>
      </c>
    </row>
    <row r="350">
      <c r="A350" s="16" t="s">
        <v>1513</v>
      </c>
      <c r="B350" s="17" t="s">
        <v>165</v>
      </c>
      <c r="C350" s="17" t="s">
        <v>169</v>
      </c>
      <c r="D350" s="17" t="s">
        <v>1386</v>
      </c>
      <c r="E350" s="17" t="s">
        <v>1514</v>
      </c>
      <c r="F350" s="17" t="s">
        <v>103</v>
      </c>
      <c r="G350" s="19">
        <v>46085.0</v>
      </c>
      <c r="H350" s="17" t="s">
        <v>65</v>
      </c>
      <c r="I350" s="20" t="s">
        <v>1515</v>
      </c>
      <c r="J350" s="21" t="s">
        <v>1525</v>
      </c>
      <c r="K350" s="22" t="s">
        <v>1526</v>
      </c>
      <c r="L350" s="22" t="s">
        <v>1527</v>
      </c>
      <c r="M350" s="17">
        <v>2012.0</v>
      </c>
      <c r="N350" s="17">
        <v>10.0</v>
      </c>
      <c r="O350" s="23">
        <v>83.0</v>
      </c>
      <c r="P350" s="24">
        <f t="shared" si="9"/>
        <v>232.4</v>
      </c>
      <c r="Q350" s="25">
        <v>3.0</v>
      </c>
      <c r="R350" s="17">
        <v>3.0</v>
      </c>
      <c r="S350" s="26">
        <v>2.0</v>
      </c>
      <c r="T350" s="17">
        <v>0.0</v>
      </c>
      <c r="U350" s="17">
        <v>2.0</v>
      </c>
      <c r="V350" s="17" t="s">
        <v>75</v>
      </c>
      <c r="W350" s="28" t="s">
        <v>76</v>
      </c>
      <c r="X350" s="28" t="s">
        <v>78</v>
      </c>
      <c r="Y350" s="24">
        <v>10.0</v>
      </c>
      <c r="Z350" s="17">
        <v>150.0</v>
      </c>
      <c r="AA350" s="17">
        <v>576.0</v>
      </c>
      <c r="AB350" s="17">
        <v>31.0</v>
      </c>
      <c r="AC350" s="20">
        <f t="shared" si="2"/>
        <v>53568</v>
      </c>
      <c r="AD350" s="30">
        <f t="shared" si="3"/>
        <v>12.09</v>
      </c>
      <c r="AE350" s="30">
        <f t="shared" si="10"/>
        <v>2809.716</v>
      </c>
      <c r="AF350" s="30">
        <f t="shared" si="5"/>
        <v>4270.894283</v>
      </c>
      <c r="AG350" s="34">
        <v>1.0</v>
      </c>
      <c r="AH350" s="36"/>
      <c r="AI350" s="30">
        <f t="shared" si="6"/>
        <v>3278.688525</v>
      </c>
      <c r="AJ350" s="17">
        <v>4000.0</v>
      </c>
      <c r="AK350" s="30">
        <f t="shared" si="7"/>
        <v>9836.065574</v>
      </c>
      <c r="AL350" s="20">
        <f t="shared" si="8"/>
        <v>12000</v>
      </c>
    </row>
    <row r="351">
      <c r="A351" s="16" t="s">
        <v>1528</v>
      </c>
      <c r="B351" s="17" t="s">
        <v>165</v>
      </c>
      <c r="C351" s="17" t="s">
        <v>169</v>
      </c>
      <c r="D351" s="17" t="s">
        <v>1386</v>
      </c>
      <c r="E351" s="17" t="s">
        <v>1514</v>
      </c>
      <c r="F351" s="17" t="s">
        <v>103</v>
      </c>
      <c r="G351" s="19">
        <v>46086.0</v>
      </c>
      <c r="H351" s="17" t="s">
        <v>65</v>
      </c>
      <c r="I351" s="20" t="s">
        <v>1529</v>
      </c>
      <c r="J351" s="21" t="s">
        <v>1530</v>
      </c>
      <c r="K351" s="22" t="s">
        <v>1531</v>
      </c>
      <c r="L351" s="22" t="s">
        <v>1532</v>
      </c>
      <c r="M351" s="17">
        <v>2014.0</v>
      </c>
      <c r="N351" s="17">
        <v>10.0</v>
      </c>
      <c r="O351" s="23">
        <v>60.0</v>
      </c>
      <c r="P351" s="24">
        <f t="shared" si="9"/>
        <v>168</v>
      </c>
      <c r="Q351" s="25">
        <v>2.0</v>
      </c>
      <c r="R351" s="17">
        <v>2.0</v>
      </c>
      <c r="S351" s="26">
        <v>2.0</v>
      </c>
      <c r="T351" s="17">
        <v>0.0</v>
      </c>
      <c r="U351" s="17">
        <v>2.0</v>
      </c>
      <c r="V351" s="17" t="s">
        <v>75</v>
      </c>
      <c r="W351" s="28" t="s">
        <v>76</v>
      </c>
      <c r="X351" s="28" t="s">
        <v>78</v>
      </c>
      <c r="Y351" s="24">
        <v>10.0</v>
      </c>
      <c r="Z351" s="17">
        <v>150.0</v>
      </c>
      <c r="AA351" s="17">
        <v>576.0</v>
      </c>
      <c r="AB351" s="17">
        <v>31.0</v>
      </c>
      <c r="AC351" s="20">
        <f t="shared" si="2"/>
        <v>35712</v>
      </c>
      <c r="AD351" s="30">
        <f t="shared" si="3"/>
        <v>8.06</v>
      </c>
      <c r="AE351" s="30">
        <f t="shared" si="10"/>
        <v>1354.08</v>
      </c>
      <c r="AF351" s="30">
        <f t="shared" si="5"/>
        <v>5908.070424</v>
      </c>
      <c r="AG351" s="34">
        <v>1.0</v>
      </c>
      <c r="AH351" s="36"/>
      <c r="AI351" s="30">
        <f t="shared" si="6"/>
        <v>3278.688525</v>
      </c>
      <c r="AJ351" s="17">
        <v>4000.0</v>
      </c>
      <c r="AK351" s="30">
        <f t="shared" si="7"/>
        <v>6557.377049</v>
      </c>
      <c r="AL351" s="20">
        <f t="shared" si="8"/>
        <v>8000</v>
      </c>
    </row>
    <row r="352">
      <c r="A352" s="16" t="s">
        <v>1528</v>
      </c>
      <c r="B352" s="17" t="s">
        <v>165</v>
      </c>
      <c r="C352" s="17" t="s">
        <v>169</v>
      </c>
      <c r="D352" s="17" t="s">
        <v>1386</v>
      </c>
      <c r="E352" s="17" t="s">
        <v>1514</v>
      </c>
      <c r="F352" s="17" t="s">
        <v>103</v>
      </c>
      <c r="G352" s="19">
        <v>46086.0</v>
      </c>
      <c r="H352" s="17" t="s">
        <v>65</v>
      </c>
      <c r="I352" s="20" t="s">
        <v>1529</v>
      </c>
      <c r="J352" s="21" t="s">
        <v>1533</v>
      </c>
      <c r="K352" s="22" t="s">
        <v>1534</v>
      </c>
      <c r="L352" s="22" t="s">
        <v>1535</v>
      </c>
      <c r="M352" s="17">
        <v>2011.0</v>
      </c>
      <c r="N352" s="17">
        <v>10.0</v>
      </c>
      <c r="O352" s="23">
        <v>89.0</v>
      </c>
      <c r="P352" s="24">
        <f t="shared" si="9"/>
        <v>249.2</v>
      </c>
      <c r="Q352" s="25">
        <v>3.0</v>
      </c>
      <c r="R352" s="17">
        <v>3.0</v>
      </c>
      <c r="S352" s="26">
        <v>2.0</v>
      </c>
      <c r="T352" s="17">
        <v>0.0</v>
      </c>
      <c r="U352" s="17">
        <v>2.0</v>
      </c>
      <c r="V352" s="17" t="s">
        <v>75</v>
      </c>
      <c r="W352" s="28" t="s">
        <v>76</v>
      </c>
      <c r="X352" s="28" t="s">
        <v>78</v>
      </c>
      <c r="Y352" s="24">
        <v>10.0</v>
      </c>
      <c r="Z352" s="17">
        <v>150.0</v>
      </c>
      <c r="AA352" s="17">
        <v>576.0</v>
      </c>
      <c r="AB352" s="17">
        <v>31.0</v>
      </c>
      <c r="AC352" s="20">
        <f t="shared" si="2"/>
        <v>53568</v>
      </c>
      <c r="AD352" s="30">
        <f t="shared" si="3"/>
        <v>12.09</v>
      </c>
      <c r="AE352" s="30">
        <f t="shared" si="10"/>
        <v>3012.828</v>
      </c>
      <c r="AF352" s="30">
        <f t="shared" si="5"/>
        <v>3982.968825</v>
      </c>
      <c r="AG352" s="34">
        <v>1.0</v>
      </c>
      <c r="AH352" s="36"/>
      <c r="AI352" s="30">
        <f t="shared" si="6"/>
        <v>3278.688525</v>
      </c>
      <c r="AJ352" s="17">
        <v>4000.0</v>
      </c>
      <c r="AK352" s="30">
        <f t="shared" si="7"/>
        <v>9836.065574</v>
      </c>
      <c r="AL352" s="20">
        <f t="shared" si="8"/>
        <v>12000</v>
      </c>
    </row>
    <row r="353">
      <c r="A353" s="16" t="s">
        <v>1528</v>
      </c>
      <c r="B353" s="17" t="s">
        <v>165</v>
      </c>
      <c r="C353" s="17" t="s">
        <v>169</v>
      </c>
      <c r="D353" s="17" t="s">
        <v>1386</v>
      </c>
      <c r="E353" s="17" t="s">
        <v>1514</v>
      </c>
      <c r="F353" s="17" t="s">
        <v>103</v>
      </c>
      <c r="G353" s="19">
        <v>46086.0</v>
      </c>
      <c r="H353" s="17" t="s">
        <v>65</v>
      </c>
      <c r="I353" s="20" t="s">
        <v>1529</v>
      </c>
      <c r="J353" s="21" t="s">
        <v>1536</v>
      </c>
      <c r="K353" s="22" t="s">
        <v>1537</v>
      </c>
      <c r="L353" s="22" t="s">
        <v>1538</v>
      </c>
      <c r="M353" s="17">
        <v>2011.0</v>
      </c>
      <c r="N353" s="17">
        <v>10.0</v>
      </c>
      <c r="O353" s="23">
        <v>63.0</v>
      </c>
      <c r="P353" s="24">
        <f t="shared" si="9"/>
        <v>176.4</v>
      </c>
      <c r="Q353" s="25">
        <v>2.0</v>
      </c>
      <c r="R353" s="17">
        <v>2.0</v>
      </c>
      <c r="S353" s="26">
        <v>2.0</v>
      </c>
      <c r="T353" s="17">
        <v>0.0</v>
      </c>
      <c r="U353" s="17">
        <v>2.0</v>
      </c>
      <c r="V353" s="17" t="s">
        <v>75</v>
      </c>
      <c r="W353" s="28" t="s">
        <v>76</v>
      </c>
      <c r="X353" s="28" t="s">
        <v>78</v>
      </c>
      <c r="Y353" s="24">
        <v>10.0</v>
      </c>
      <c r="Z353" s="17">
        <v>150.0</v>
      </c>
      <c r="AA353" s="17">
        <v>576.0</v>
      </c>
      <c r="AB353" s="17">
        <v>31.0</v>
      </c>
      <c r="AC353" s="20">
        <f t="shared" si="2"/>
        <v>35712</v>
      </c>
      <c r="AD353" s="30">
        <f t="shared" si="3"/>
        <v>8.06</v>
      </c>
      <c r="AE353" s="30">
        <f t="shared" si="10"/>
        <v>1421.784</v>
      </c>
      <c r="AF353" s="30">
        <f t="shared" si="5"/>
        <v>5626.733737</v>
      </c>
      <c r="AG353" s="34">
        <v>1.0</v>
      </c>
      <c r="AH353" s="36"/>
      <c r="AI353" s="30">
        <f t="shared" si="6"/>
        <v>3278.688525</v>
      </c>
      <c r="AJ353" s="17">
        <v>4000.0</v>
      </c>
      <c r="AK353" s="30">
        <f t="shared" si="7"/>
        <v>6557.377049</v>
      </c>
      <c r="AL353" s="20">
        <f t="shared" si="8"/>
        <v>8000</v>
      </c>
    </row>
    <row r="354">
      <c r="A354" s="16" t="s">
        <v>1539</v>
      </c>
      <c r="B354" s="17" t="s">
        <v>165</v>
      </c>
      <c r="C354" s="17" t="s">
        <v>169</v>
      </c>
      <c r="D354" s="17" t="s">
        <v>1386</v>
      </c>
      <c r="E354" s="17" t="s">
        <v>1514</v>
      </c>
      <c r="F354" s="17" t="s">
        <v>103</v>
      </c>
      <c r="G354" s="19">
        <v>46188.0</v>
      </c>
      <c r="H354" s="17" t="s">
        <v>118</v>
      </c>
      <c r="I354" s="20" t="s">
        <v>1540</v>
      </c>
      <c r="J354" s="21" t="s">
        <v>1541</v>
      </c>
      <c r="K354" s="22" t="s">
        <v>1542</v>
      </c>
      <c r="L354" s="22" t="s">
        <v>1543</v>
      </c>
      <c r="M354" s="17">
        <v>1990.0</v>
      </c>
      <c r="N354" s="17">
        <v>9.0</v>
      </c>
      <c r="O354" s="23">
        <v>252.0</v>
      </c>
      <c r="P354" s="24">
        <f t="shared" si="9"/>
        <v>705.6</v>
      </c>
      <c r="Q354" s="25">
        <v>7.0</v>
      </c>
      <c r="R354" s="17">
        <v>7.0</v>
      </c>
      <c r="S354" s="26">
        <v>7.0</v>
      </c>
      <c r="T354" s="17">
        <v>0.0</v>
      </c>
      <c r="U354" s="17">
        <v>7.0</v>
      </c>
      <c r="V354" s="17" t="s">
        <v>130</v>
      </c>
      <c r="W354" s="28" t="s">
        <v>76</v>
      </c>
      <c r="X354" s="28" t="s">
        <v>78</v>
      </c>
      <c r="Y354" s="24">
        <v>10.0</v>
      </c>
      <c r="Z354" s="17">
        <v>150.0</v>
      </c>
      <c r="AA354" s="17">
        <v>576.0</v>
      </c>
      <c r="AB354" s="17">
        <v>31.0</v>
      </c>
      <c r="AC354" s="20">
        <f t="shared" si="2"/>
        <v>124992</v>
      </c>
      <c r="AD354" s="30">
        <f t="shared" si="3"/>
        <v>8.06</v>
      </c>
      <c r="AE354" s="30">
        <f t="shared" si="10"/>
        <v>5687.136</v>
      </c>
      <c r="AF354" s="30">
        <f t="shared" si="5"/>
        <v>4923.39202</v>
      </c>
      <c r="AG354" s="34">
        <v>1.0</v>
      </c>
      <c r="AH354" s="36"/>
      <c r="AI354" s="30">
        <f t="shared" si="6"/>
        <v>3278.688525</v>
      </c>
      <c r="AJ354" s="17">
        <v>4000.0</v>
      </c>
      <c r="AK354" s="30">
        <f t="shared" si="7"/>
        <v>22950.81967</v>
      </c>
      <c r="AL354" s="20">
        <f t="shared" si="8"/>
        <v>28000</v>
      </c>
    </row>
    <row r="355">
      <c r="A355" s="16" t="s">
        <v>1544</v>
      </c>
      <c r="B355" s="17" t="s">
        <v>165</v>
      </c>
      <c r="C355" s="17" t="s">
        <v>169</v>
      </c>
      <c r="D355" s="17" t="s">
        <v>804</v>
      </c>
      <c r="E355" s="17" t="s">
        <v>1514</v>
      </c>
      <c r="F355" s="17" t="s">
        <v>103</v>
      </c>
      <c r="G355" s="19">
        <v>46204.0</v>
      </c>
      <c r="H355" s="17" t="s">
        <v>104</v>
      </c>
      <c r="I355" s="20" t="s">
        <v>1545</v>
      </c>
      <c r="J355" s="21" t="s">
        <v>1546</v>
      </c>
      <c r="K355" s="22" t="s">
        <v>1547</v>
      </c>
      <c r="L355" s="22" t="s">
        <v>1548</v>
      </c>
      <c r="M355" s="17">
        <v>2006.0</v>
      </c>
      <c r="N355" s="17">
        <v>9.0</v>
      </c>
      <c r="O355" s="23">
        <v>89.0</v>
      </c>
      <c r="P355" s="24">
        <f t="shared" si="9"/>
        <v>249.2</v>
      </c>
      <c r="Q355" s="25">
        <v>3.0</v>
      </c>
      <c r="R355" s="17">
        <v>0.0</v>
      </c>
      <c r="S355" s="26">
        <v>4.0</v>
      </c>
      <c r="T355" s="17">
        <v>3.0</v>
      </c>
      <c r="U355" s="17">
        <v>3.0</v>
      </c>
      <c r="V355" s="17" t="s">
        <v>130</v>
      </c>
      <c r="W355" s="28" t="s">
        <v>76</v>
      </c>
      <c r="X355" s="28" t="s">
        <v>78</v>
      </c>
      <c r="Y355" s="24">
        <v>10.0</v>
      </c>
      <c r="Z355" s="17">
        <v>150.0</v>
      </c>
      <c r="AA355" s="17">
        <v>576.0</v>
      </c>
      <c r="AB355" s="17">
        <v>31.0</v>
      </c>
      <c r="AC355" s="20">
        <f t="shared" si="2"/>
        <v>53568</v>
      </c>
      <c r="AD355" s="30">
        <f t="shared" si="3"/>
        <v>9.672</v>
      </c>
      <c r="AE355" s="30">
        <f t="shared" si="10"/>
        <v>2410.2624</v>
      </c>
      <c r="AF355" s="30">
        <f t="shared" si="5"/>
        <v>4978.711032</v>
      </c>
      <c r="AG355" s="34">
        <v>1.0</v>
      </c>
      <c r="AH355" s="36"/>
      <c r="AI355" s="30">
        <f t="shared" si="6"/>
        <v>3278.688525</v>
      </c>
      <c r="AJ355" s="17">
        <v>4000.0</v>
      </c>
      <c r="AK355" s="30">
        <f t="shared" si="7"/>
        <v>9836.065574</v>
      </c>
      <c r="AL355" s="20">
        <f t="shared" si="8"/>
        <v>12000</v>
      </c>
    </row>
    <row r="356">
      <c r="A356" s="41" t="s">
        <v>1549</v>
      </c>
      <c r="B356" s="42" t="s">
        <v>165</v>
      </c>
      <c r="C356" s="42" t="s">
        <v>169</v>
      </c>
      <c r="D356" s="42" t="s">
        <v>804</v>
      </c>
      <c r="E356" s="42"/>
      <c r="F356" s="17" t="s">
        <v>103</v>
      </c>
      <c r="G356" s="19">
        <v>46251.0</v>
      </c>
      <c r="H356" s="17" t="s">
        <v>104</v>
      </c>
      <c r="I356" s="42" t="s">
        <v>1550</v>
      </c>
      <c r="J356" s="44" t="s">
        <v>1551</v>
      </c>
      <c r="K356" s="45" t="s">
        <v>1552</v>
      </c>
      <c r="L356" s="45" t="s">
        <v>1553</v>
      </c>
      <c r="M356" s="42">
        <v>2003.0</v>
      </c>
      <c r="N356" s="42">
        <v>12.0</v>
      </c>
      <c r="O356" s="47">
        <v>58.0</v>
      </c>
      <c r="P356" s="48">
        <f t="shared" si="9"/>
        <v>162.4</v>
      </c>
      <c r="Q356" s="41">
        <v>2.0</v>
      </c>
      <c r="R356" s="42">
        <v>2.0</v>
      </c>
      <c r="S356" s="49">
        <v>2.0</v>
      </c>
      <c r="T356" s="42">
        <v>0.0</v>
      </c>
      <c r="U356" s="42">
        <v>3.0</v>
      </c>
      <c r="V356" s="42" t="s">
        <v>130</v>
      </c>
      <c r="W356" s="45" t="s">
        <v>76</v>
      </c>
      <c r="X356" s="45" t="s">
        <v>78</v>
      </c>
      <c r="Y356" s="48">
        <v>10.0</v>
      </c>
      <c r="Z356" s="42">
        <v>150.0</v>
      </c>
      <c r="AA356" s="42">
        <v>576.0</v>
      </c>
      <c r="AB356" s="42">
        <v>31.0</v>
      </c>
      <c r="AC356" s="43">
        <f t="shared" si="2"/>
        <v>35712</v>
      </c>
      <c r="AD356" s="50">
        <f t="shared" si="3"/>
        <v>8.06</v>
      </c>
      <c r="AE356" s="50">
        <f t="shared" si="10"/>
        <v>1308.944</v>
      </c>
      <c r="AF356" s="50">
        <f t="shared" si="5"/>
        <v>6111.796991</v>
      </c>
      <c r="AG356" s="51">
        <v>1.0</v>
      </c>
      <c r="AH356" s="52"/>
      <c r="AI356" s="50">
        <f t="shared" si="6"/>
        <v>3278.688525</v>
      </c>
      <c r="AJ356" s="42">
        <v>4000.0</v>
      </c>
      <c r="AK356" s="50">
        <f t="shared" si="7"/>
        <v>6557.377049</v>
      </c>
      <c r="AL356" s="43">
        <f t="shared" si="8"/>
        <v>8000</v>
      </c>
    </row>
    <row r="357">
      <c r="A357" s="16" t="s">
        <v>1554</v>
      </c>
      <c r="B357" s="17" t="s">
        <v>165</v>
      </c>
      <c r="C357" s="17" t="s">
        <v>169</v>
      </c>
      <c r="D357" s="17" t="s">
        <v>1472</v>
      </c>
      <c r="E357" s="17" t="s">
        <v>1473</v>
      </c>
      <c r="F357" s="17" t="s">
        <v>103</v>
      </c>
      <c r="G357" s="19">
        <v>46090.0</v>
      </c>
      <c r="H357" s="17" t="s">
        <v>104</v>
      </c>
      <c r="I357" s="20" t="s">
        <v>1555</v>
      </c>
      <c r="J357" s="21" t="s">
        <v>1556</v>
      </c>
      <c r="K357" s="22" t="s">
        <v>1557</v>
      </c>
      <c r="L357" s="22" t="s">
        <v>1558</v>
      </c>
      <c r="M357" s="17">
        <v>2010.0</v>
      </c>
      <c r="N357" s="17">
        <v>17.0</v>
      </c>
      <c r="O357" s="23">
        <v>236.0</v>
      </c>
      <c r="P357" s="24">
        <f t="shared" si="9"/>
        <v>660.8</v>
      </c>
      <c r="Q357" s="25">
        <v>6.0</v>
      </c>
      <c r="R357" s="17">
        <v>0.0</v>
      </c>
      <c r="S357" s="26">
        <v>3.0</v>
      </c>
      <c r="T357" s="17">
        <v>6.0</v>
      </c>
      <c r="U357" s="17">
        <v>6.0</v>
      </c>
      <c r="V357" s="17" t="s">
        <v>75</v>
      </c>
      <c r="W357" s="28" t="s">
        <v>76</v>
      </c>
      <c r="X357" s="28" t="s">
        <v>78</v>
      </c>
      <c r="Y357" s="24">
        <v>10.0</v>
      </c>
      <c r="Z357" s="17">
        <v>150.0</v>
      </c>
      <c r="AA357" s="17">
        <v>576.0</v>
      </c>
      <c r="AB357" s="17">
        <v>31.0</v>
      </c>
      <c r="AC357" s="20">
        <f t="shared" si="2"/>
        <v>107136</v>
      </c>
      <c r="AD357" s="30">
        <f t="shared" si="3"/>
        <v>18.26933333</v>
      </c>
      <c r="AE357" s="30">
        <f t="shared" si="10"/>
        <v>12072.37547</v>
      </c>
      <c r="AF357" s="30">
        <f t="shared" si="5"/>
        <v>1988.009739</v>
      </c>
      <c r="AG357" s="34">
        <v>1.0</v>
      </c>
      <c r="AH357" s="36"/>
      <c r="AI357" s="30">
        <f t="shared" si="6"/>
        <v>3278.688525</v>
      </c>
      <c r="AJ357" s="17">
        <v>4000.0</v>
      </c>
      <c r="AK357" s="30">
        <f t="shared" si="7"/>
        <v>19672.13115</v>
      </c>
      <c r="AL357" s="20">
        <f t="shared" si="8"/>
        <v>24000</v>
      </c>
    </row>
    <row r="358">
      <c r="A358" s="16" t="s">
        <v>1554</v>
      </c>
      <c r="B358" s="17" t="s">
        <v>165</v>
      </c>
      <c r="C358" s="17" t="s">
        <v>169</v>
      </c>
      <c r="D358" s="17" t="s">
        <v>1472</v>
      </c>
      <c r="E358" s="17" t="s">
        <v>1473</v>
      </c>
      <c r="F358" s="17" t="s">
        <v>103</v>
      </c>
      <c r="G358" s="19">
        <v>46090.0</v>
      </c>
      <c r="H358" s="17" t="s">
        <v>104</v>
      </c>
      <c r="I358" s="20" t="s">
        <v>1555</v>
      </c>
      <c r="J358" s="21" t="s">
        <v>1559</v>
      </c>
      <c r="K358" s="22" t="s">
        <v>1560</v>
      </c>
      <c r="L358" s="22" t="s">
        <v>1561</v>
      </c>
      <c r="M358" s="17">
        <v>2010.0</v>
      </c>
      <c r="N358" s="17">
        <v>17.0</v>
      </c>
      <c r="O358" s="23">
        <v>221.0</v>
      </c>
      <c r="P358" s="24">
        <f t="shared" si="9"/>
        <v>618.8</v>
      </c>
      <c r="Q358" s="25">
        <v>6.0</v>
      </c>
      <c r="R358" s="17">
        <v>0.0</v>
      </c>
      <c r="S358" s="26">
        <v>3.0</v>
      </c>
      <c r="T358" s="17">
        <v>6.0</v>
      </c>
      <c r="U358" s="17">
        <v>6.0</v>
      </c>
      <c r="V358" s="17" t="s">
        <v>75</v>
      </c>
      <c r="W358" s="28" t="s">
        <v>76</v>
      </c>
      <c r="X358" s="28" t="s">
        <v>78</v>
      </c>
      <c r="Y358" s="24">
        <v>10.0</v>
      </c>
      <c r="Z358" s="17">
        <v>150.0</v>
      </c>
      <c r="AA358" s="17">
        <v>576.0</v>
      </c>
      <c r="AB358" s="17">
        <v>31.0</v>
      </c>
      <c r="AC358" s="20">
        <f t="shared" si="2"/>
        <v>107136</v>
      </c>
      <c r="AD358" s="30">
        <f t="shared" si="3"/>
        <v>18.26933333</v>
      </c>
      <c r="AE358" s="30">
        <f t="shared" si="10"/>
        <v>11305.06347</v>
      </c>
      <c r="AF358" s="30">
        <f t="shared" si="5"/>
        <v>2122.942527</v>
      </c>
      <c r="AG358" s="34">
        <v>1.0</v>
      </c>
      <c r="AH358" s="36"/>
      <c r="AI358" s="30">
        <f t="shared" si="6"/>
        <v>3278.688525</v>
      </c>
      <c r="AJ358" s="17">
        <v>4000.0</v>
      </c>
      <c r="AK358" s="30">
        <f t="shared" si="7"/>
        <v>19672.13115</v>
      </c>
      <c r="AL358" s="20">
        <f t="shared" si="8"/>
        <v>24000</v>
      </c>
    </row>
    <row r="359">
      <c r="A359" s="16" t="s">
        <v>1562</v>
      </c>
      <c r="B359" s="17" t="s">
        <v>165</v>
      </c>
      <c r="C359" s="17" t="s">
        <v>169</v>
      </c>
      <c r="D359" s="17" t="s">
        <v>1472</v>
      </c>
      <c r="E359" s="17" t="s">
        <v>1473</v>
      </c>
      <c r="F359" s="17" t="s">
        <v>103</v>
      </c>
      <c r="G359" s="19">
        <v>46107.0</v>
      </c>
      <c r="H359" s="17" t="s">
        <v>104</v>
      </c>
      <c r="I359" s="20" t="s">
        <v>1563</v>
      </c>
      <c r="J359" s="21" t="s">
        <v>1564</v>
      </c>
      <c r="K359" s="22" t="s">
        <v>1565</v>
      </c>
      <c r="L359" s="22" t="s">
        <v>1566</v>
      </c>
      <c r="M359" s="17">
        <v>2008.0</v>
      </c>
      <c r="N359" s="17">
        <v>17.0</v>
      </c>
      <c r="O359" s="23">
        <v>221.0</v>
      </c>
      <c r="P359" s="24">
        <f t="shared" si="9"/>
        <v>618.8</v>
      </c>
      <c r="Q359" s="25">
        <v>9.0</v>
      </c>
      <c r="R359" s="17">
        <v>3.0</v>
      </c>
      <c r="S359" s="26">
        <v>3.0</v>
      </c>
      <c r="T359" s="17">
        <v>6.0</v>
      </c>
      <c r="U359" s="17">
        <v>6.0</v>
      </c>
      <c r="V359" s="17" t="s">
        <v>75</v>
      </c>
      <c r="W359" s="28" t="s">
        <v>76</v>
      </c>
      <c r="X359" s="28" t="s">
        <v>78</v>
      </c>
      <c r="Y359" s="24">
        <v>10.0</v>
      </c>
      <c r="Z359" s="17">
        <v>150.0</v>
      </c>
      <c r="AA359" s="17">
        <v>576.0</v>
      </c>
      <c r="AB359" s="17">
        <v>31.0</v>
      </c>
      <c r="AC359" s="20">
        <f t="shared" si="2"/>
        <v>160704</v>
      </c>
      <c r="AD359" s="30">
        <f t="shared" si="3"/>
        <v>26.32933333</v>
      </c>
      <c r="AE359" s="30">
        <f t="shared" si="10"/>
        <v>16292.59147</v>
      </c>
      <c r="AF359" s="30">
        <f t="shared" si="5"/>
        <v>2209.593242</v>
      </c>
      <c r="AG359" s="34">
        <v>1.0</v>
      </c>
      <c r="AH359" s="36"/>
      <c r="AI359" s="30">
        <f t="shared" si="6"/>
        <v>3278.688525</v>
      </c>
      <c r="AJ359" s="17">
        <v>4000.0</v>
      </c>
      <c r="AK359" s="30">
        <f t="shared" si="7"/>
        <v>29508.19672</v>
      </c>
      <c r="AL359" s="20">
        <f t="shared" si="8"/>
        <v>36000</v>
      </c>
    </row>
    <row r="360">
      <c r="A360" s="16" t="s">
        <v>1562</v>
      </c>
      <c r="B360" s="17" t="s">
        <v>165</v>
      </c>
      <c r="C360" s="17" t="s">
        <v>169</v>
      </c>
      <c r="D360" s="17" t="s">
        <v>1472</v>
      </c>
      <c r="E360" s="17" t="s">
        <v>1473</v>
      </c>
      <c r="F360" s="17" t="s">
        <v>103</v>
      </c>
      <c r="G360" s="19">
        <v>46107.0</v>
      </c>
      <c r="H360" s="17" t="s">
        <v>104</v>
      </c>
      <c r="I360" s="20" t="s">
        <v>1563</v>
      </c>
      <c r="J360" s="21" t="s">
        <v>1567</v>
      </c>
      <c r="K360" s="22" t="s">
        <v>1568</v>
      </c>
      <c r="L360" s="22" t="s">
        <v>1569</v>
      </c>
      <c r="M360" s="17">
        <v>2002.0</v>
      </c>
      <c r="N360" s="17">
        <v>9.0</v>
      </c>
      <c r="O360" s="23">
        <v>169.0</v>
      </c>
      <c r="P360" s="24">
        <f t="shared" si="9"/>
        <v>473.2</v>
      </c>
      <c r="Q360" s="25">
        <v>5.0</v>
      </c>
      <c r="R360" s="17">
        <v>5.0</v>
      </c>
      <c r="S360" s="26">
        <v>5.0</v>
      </c>
      <c r="T360" s="17">
        <v>0.0</v>
      </c>
      <c r="U360" s="17">
        <v>6.0</v>
      </c>
      <c r="V360" s="17" t="s">
        <v>75</v>
      </c>
      <c r="W360" s="28" t="s">
        <v>76</v>
      </c>
      <c r="X360" s="28" t="s">
        <v>78</v>
      </c>
      <c r="Y360" s="24">
        <v>10.0</v>
      </c>
      <c r="Z360" s="17">
        <v>150.0</v>
      </c>
      <c r="AA360" s="17">
        <v>576.0</v>
      </c>
      <c r="AB360" s="17">
        <v>31.0</v>
      </c>
      <c r="AC360" s="20">
        <f t="shared" si="2"/>
        <v>89280</v>
      </c>
      <c r="AD360" s="30">
        <f t="shared" si="3"/>
        <v>8.06</v>
      </c>
      <c r="AE360" s="30">
        <f t="shared" si="10"/>
        <v>3813.992</v>
      </c>
      <c r="AF360" s="30">
        <f t="shared" si="5"/>
        <v>5243.849489</v>
      </c>
      <c r="AG360" s="34">
        <v>1.0</v>
      </c>
      <c r="AH360" s="36"/>
      <c r="AI360" s="30">
        <f t="shared" si="6"/>
        <v>3278.688525</v>
      </c>
      <c r="AJ360" s="17">
        <v>4000.0</v>
      </c>
      <c r="AK360" s="30">
        <f t="shared" si="7"/>
        <v>16393.44262</v>
      </c>
      <c r="AL360" s="20">
        <f t="shared" si="8"/>
        <v>20000</v>
      </c>
    </row>
    <row r="361">
      <c r="A361" s="16" t="s">
        <v>1570</v>
      </c>
      <c r="B361" s="17" t="s">
        <v>165</v>
      </c>
      <c r="C361" s="17" t="s">
        <v>169</v>
      </c>
      <c r="D361" s="17" t="s">
        <v>1472</v>
      </c>
      <c r="E361" s="17" t="s">
        <v>1473</v>
      </c>
      <c r="F361" s="17" t="s">
        <v>103</v>
      </c>
      <c r="G361" s="19">
        <v>46203.0</v>
      </c>
      <c r="H361" s="17" t="s">
        <v>104</v>
      </c>
      <c r="I361" s="20" t="s">
        <v>1571</v>
      </c>
      <c r="J361" s="21" t="s">
        <v>1572</v>
      </c>
      <c r="K361" s="22" t="s">
        <v>1573</v>
      </c>
      <c r="L361" s="22" t="s">
        <v>1574</v>
      </c>
      <c r="M361" s="17">
        <v>2012.0</v>
      </c>
      <c r="N361" s="17">
        <v>17.0</v>
      </c>
      <c r="O361" s="23">
        <v>202.0</v>
      </c>
      <c r="P361" s="24">
        <f t="shared" si="9"/>
        <v>565.6</v>
      </c>
      <c r="Q361" s="25">
        <v>6.0</v>
      </c>
      <c r="R361" s="17">
        <v>0.0</v>
      </c>
      <c r="S361" s="26">
        <v>3.0</v>
      </c>
      <c r="T361" s="17">
        <v>6.0</v>
      </c>
      <c r="U361" s="17">
        <v>6.0</v>
      </c>
      <c r="V361" s="17" t="s">
        <v>130</v>
      </c>
      <c r="W361" s="28" t="s">
        <v>76</v>
      </c>
      <c r="X361" s="28" t="s">
        <v>78</v>
      </c>
      <c r="Y361" s="24">
        <v>10.0</v>
      </c>
      <c r="Z361" s="17">
        <v>150.0</v>
      </c>
      <c r="AA361" s="17">
        <v>576.0</v>
      </c>
      <c r="AB361" s="17">
        <v>31.0</v>
      </c>
      <c r="AC361" s="20">
        <f t="shared" si="2"/>
        <v>107136</v>
      </c>
      <c r="AD361" s="30">
        <f t="shared" si="3"/>
        <v>18.26933333</v>
      </c>
      <c r="AE361" s="30">
        <f t="shared" si="10"/>
        <v>10333.13493</v>
      </c>
      <c r="AF361" s="30">
        <f t="shared" si="5"/>
        <v>2322.62524</v>
      </c>
      <c r="AG361" s="34">
        <v>1.0</v>
      </c>
      <c r="AH361" s="36"/>
      <c r="AI361" s="30">
        <f t="shared" si="6"/>
        <v>3278.688525</v>
      </c>
      <c r="AJ361" s="17">
        <v>4000.0</v>
      </c>
      <c r="AK361" s="30">
        <f t="shared" si="7"/>
        <v>19672.13115</v>
      </c>
      <c r="AL361" s="20">
        <f t="shared" si="8"/>
        <v>24000</v>
      </c>
    </row>
    <row r="362">
      <c r="A362" s="16" t="s">
        <v>1575</v>
      </c>
      <c r="B362" s="17" t="s">
        <v>165</v>
      </c>
      <c r="C362" s="17" t="s">
        <v>169</v>
      </c>
      <c r="D362" s="17" t="s">
        <v>1386</v>
      </c>
      <c r="E362" s="17" t="s">
        <v>1420</v>
      </c>
      <c r="F362" s="17" t="s">
        <v>103</v>
      </c>
      <c r="G362" s="19">
        <v>46088.0</v>
      </c>
      <c r="H362" s="17" t="s">
        <v>118</v>
      </c>
      <c r="I362" s="20" t="s">
        <v>1576</v>
      </c>
      <c r="J362" s="21" t="s">
        <v>1577</v>
      </c>
      <c r="K362" s="22" t="s">
        <v>1578</v>
      </c>
      <c r="L362" s="22" t="s">
        <v>1579</v>
      </c>
      <c r="M362" s="17">
        <v>2015.0</v>
      </c>
      <c r="N362" s="17">
        <v>20.0</v>
      </c>
      <c r="O362" s="23">
        <v>126.0</v>
      </c>
      <c r="P362" s="24">
        <f t="shared" si="9"/>
        <v>352.8</v>
      </c>
      <c r="Q362" s="25">
        <v>1.0</v>
      </c>
      <c r="R362" s="17">
        <v>1.0</v>
      </c>
      <c r="S362" s="26">
        <v>1.0</v>
      </c>
      <c r="T362" s="17">
        <v>0.0</v>
      </c>
      <c r="U362" s="17">
        <v>2.0</v>
      </c>
      <c r="V362" s="17" t="s">
        <v>75</v>
      </c>
      <c r="W362" s="28" t="s">
        <v>76</v>
      </c>
      <c r="X362" s="28" t="s">
        <v>78</v>
      </c>
      <c r="Y362" s="24">
        <v>10.0</v>
      </c>
      <c r="Z362" s="17">
        <v>150.0</v>
      </c>
      <c r="AA362" s="17">
        <v>576.0</v>
      </c>
      <c r="AB362" s="17">
        <v>31.0</v>
      </c>
      <c r="AC362" s="20">
        <f t="shared" si="2"/>
        <v>17856</v>
      </c>
      <c r="AD362" s="30">
        <f t="shared" si="3"/>
        <v>8.06</v>
      </c>
      <c r="AE362" s="30">
        <f t="shared" si="10"/>
        <v>2843.568</v>
      </c>
      <c r="AF362" s="30">
        <f t="shared" si="5"/>
        <v>1406.683434</v>
      </c>
      <c r="AG362" s="34">
        <v>1.0</v>
      </c>
      <c r="AH362" s="36"/>
      <c r="AI362" s="30">
        <f t="shared" si="6"/>
        <v>3278.688525</v>
      </c>
      <c r="AJ362" s="17">
        <v>4000.0</v>
      </c>
      <c r="AK362" s="30">
        <f t="shared" si="7"/>
        <v>3278.688525</v>
      </c>
      <c r="AL362" s="20">
        <f t="shared" si="8"/>
        <v>4000</v>
      </c>
    </row>
    <row r="363">
      <c r="A363" s="16" t="s">
        <v>1575</v>
      </c>
      <c r="B363" s="17" t="s">
        <v>165</v>
      </c>
      <c r="C363" s="17" t="s">
        <v>169</v>
      </c>
      <c r="D363" s="17" t="s">
        <v>1386</v>
      </c>
      <c r="E363" s="17" t="s">
        <v>1420</v>
      </c>
      <c r="F363" s="17" t="s">
        <v>103</v>
      </c>
      <c r="G363" s="19">
        <v>46088.0</v>
      </c>
      <c r="H363" s="17" t="s">
        <v>118</v>
      </c>
      <c r="I363" s="20" t="s">
        <v>1576</v>
      </c>
      <c r="J363" s="21" t="s">
        <v>1580</v>
      </c>
      <c r="K363" s="22" t="s">
        <v>1581</v>
      </c>
      <c r="L363" s="22" t="s">
        <v>1582</v>
      </c>
      <c r="M363" s="17">
        <v>2013.0</v>
      </c>
      <c r="N363" s="17">
        <v>20.0</v>
      </c>
      <c r="O363" s="23">
        <v>126.0</v>
      </c>
      <c r="P363" s="24">
        <f t="shared" si="9"/>
        <v>352.8</v>
      </c>
      <c r="Q363" s="25">
        <v>1.0</v>
      </c>
      <c r="R363" s="17">
        <v>1.0</v>
      </c>
      <c r="S363" s="26">
        <v>1.0</v>
      </c>
      <c r="T363" s="17">
        <v>0.0</v>
      </c>
      <c r="U363" s="17">
        <v>2.0</v>
      </c>
      <c r="V363" s="17" t="s">
        <v>75</v>
      </c>
      <c r="W363" s="28" t="s">
        <v>76</v>
      </c>
      <c r="X363" s="28" t="s">
        <v>78</v>
      </c>
      <c r="Y363" s="24">
        <v>10.0</v>
      </c>
      <c r="Z363" s="17">
        <v>150.0</v>
      </c>
      <c r="AA363" s="17">
        <v>576.0</v>
      </c>
      <c r="AB363" s="17">
        <v>31.0</v>
      </c>
      <c r="AC363" s="20">
        <f t="shared" si="2"/>
        <v>17856</v>
      </c>
      <c r="AD363" s="30">
        <f t="shared" si="3"/>
        <v>8.06</v>
      </c>
      <c r="AE363" s="30">
        <f t="shared" si="10"/>
        <v>2843.568</v>
      </c>
      <c r="AF363" s="30">
        <f t="shared" si="5"/>
        <v>1406.683434</v>
      </c>
      <c r="AG363" s="34">
        <v>1.0</v>
      </c>
      <c r="AH363" s="36"/>
      <c r="AI363" s="30">
        <f t="shared" si="6"/>
        <v>3278.688525</v>
      </c>
      <c r="AJ363" s="17">
        <v>4000.0</v>
      </c>
      <c r="AK363" s="30">
        <f t="shared" si="7"/>
        <v>3278.688525</v>
      </c>
      <c r="AL363" s="20">
        <f t="shared" si="8"/>
        <v>4000</v>
      </c>
    </row>
    <row r="364">
      <c r="A364" s="16" t="s">
        <v>1575</v>
      </c>
      <c r="B364" s="17" t="s">
        <v>165</v>
      </c>
      <c r="C364" s="17" t="s">
        <v>169</v>
      </c>
      <c r="D364" s="17" t="s">
        <v>804</v>
      </c>
      <c r="E364" s="17" t="s">
        <v>1420</v>
      </c>
      <c r="F364" s="17" t="s">
        <v>103</v>
      </c>
      <c r="G364" s="19">
        <v>46088.0</v>
      </c>
      <c r="H364" s="17" t="s">
        <v>118</v>
      </c>
      <c r="I364" s="17" t="s">
        <v>1576</v>
      </c>
      <c r="J364" s="21" t="s">
        <v>1583</v>
      </c>
      <c r="K364" s="22" t="s">
        <v>1584</v>
      </c>
      <c r="L364" s="22" t="s">
        <v>1585</v>
      </c>
      <c r="M364" s="17">
        <v>2012.0</v>
      </c>
      <c r="N364" s="17">
        <v>19.0</v>
      </c>
      <c r="O364" s="23">
        <v>126.0</v>
      </c>
      <c r="P364" s="24">
        <f>126*2.8</f>
        <v>352.8</v>
      </c>
      <c r="Q364" s="25">
        <v>3.0</v>
      </c>
      <c r="R364" s="17">
        <v>1.0</v>
      </c>
      <c r="S364" s="26">
        <v>1.0</v>
      </c>
      <c r="T364" s="17">
        <v>2.0</v>
      </c>
      <c r="U364" s="17">
        <v>2.0</v>
      </c>
      <c r="V364" s="17" t="s">
        <v>130</v>
      </c>
      <c r="W364" s="28" t="s">
        <v>76</v>
      </c>
      <c r="X364" s="28" t="s">
        <v>78</v>
      </c>
      <c r="Y364" s="24">
        <v>10.0</v>
      </c>
      <c r="Z364" s="17">
        <v>150.0</v>
      </c>
      <c r="AA364" s="17">
        <v>576.0</v>
      </c>
      <c r="AB364" s="17">
        <v>31.0</v>
      </c>
      <c r="AC364" s="20">
        <f t="shared" si="2"/>
        <v>53568</v>
      </c>
      <c r="AD364" s="30">
        <f t="shared" si="3"/>
        <v>28.47866667</v>
      </c>
      <c r="AE364" s="30">
        <f t="shared" si="10"/>
        <v>10047.2736</v>
      </c>
      <c r="AF364" s="30">
        <f t="shared" si="5"/>
        <v>1194.353859</v>
      </c>
      <c r="AG364" s="34">
        <v>1.0</v>
      </c>
      <c r="AH364" s="36"/>
      <c r="AI364" s="30">
        <f t="shared" si="6"/>
        <v>3278.688525</v>
      </c>
      <c r="AJ364" s="17">
        <v>4000.0</v>
      </c>
      <c r="AK364" s="30">
        <f t="shared" si="7"/>
        <v>9836.065574</v>
      </c>
      <c r="AL364" s="20">
        <f t="shared" si="8"/>
        <v>12000</v>
      </c>
    </row>
    <row r="365">
      <c r="A365" s="16" t="s">
        <v>1587</v>
      </c>
      <c r="B365" s="17" t="s">
        <v>165</v>
      </c>
      <c r="C365" s="17" t="s">
        <v>169</v>
      </c>
      <c r="D365" s="17" t="s">
        <v>1386</v>
      </c>
      <c r="E365" s="17" t="s">
        <v>1514</v>
      </c>
      <c r="F365" s="17" t="s">
        <v>103</v>
      </c>
      <c r="G365" s="19">
        <v>46092.0</v>
      </c>
      <c r="H365" s="17" t="s">
        <v>65</v>
      </c>
      <c r="I365" s="20" t="s">
        <v>1588</v>
      </c>
      <c r="J365" s="21" t="s">
        <v>1589</v>
      </c>
      <c r="K365" s="22" t="s">
        <v>1590</v>
      </c>
      <c r="L365" s="22" t="s">
        <v>1591</v>
      </c>
      <c r="M365" s="17">
        <v>2023.0</v>
      </c>
      <c r="N365" s="17">
        <v>22.0</v>
      </c>
      <c r="O365" s="23">
        <v>197.0</v>
      </c>
      <c r="P365" s="24">
        <f t="shared" ref="P365:P413" si="11">O365*2.8</f>
        <v>551.6</v>
      </c>
      <c r="Q365" s="25">
        <v>2.0</v>
      </c>
      <c r="R365" s="17">
        <v>2.0</v>
      </c>
      <c r="S365" s="26">
        <v>2.0</v>
      </c>
      <c r="T365" s="17">
        <v>0.0</v>
      </c>
      <c r="U365" s="17">
        <v>4.0</v>
      </c>
      <c r="V365" s="17" t="s">
        <v>75</v>
      </c>
      <c r="W365" s="28" t="s">
        <v>76</v>
      </c>
      <c r="X365" s="28" t="s">
        <v>78</v>
      </c>
      <c r="Y365" s="24">
        <v>10.0</v>
      </c>
      <c r="Z365" s="17">
        <v>150.0</v>
      </c>
      <c r="AA365" s="17">
        <v>576.0</v>
      </c>
      <c r="AB365" s="17">
        <v>31.0</v>
      </c>
      <c r="AC365" s="20">
        <f t="shared" si="2"/>
        <v>35712</v>
      </c>
      <c r="AD365" s="30">
        <f t="shared" si="3"/>
        <v>8.06</v>
      </c>
      <c r="AE365" s="30">
        <f t="shared" si="10"/>
        <v>4445.896</v>
      </c>
      <c r="AF365" s="30">
        <f t="shared" si="5"/>
        <v>1799.412312</v>
      </c>
      <c r="AG365" s="34">
        <v>1.0</v>
      </c>
      <c r="AH365" s="36"/>
      <c r="AI365" s="30">
        <f t="shared" si="6"/>
        <v>3278.688525</v>
      </c>
      <c r="AJ365" s="17">
        <v>4000.0</v>
      </c>
      <c r="AK365" s="30">
        <f t="shared" si="7"/>
        <v>6557.377049</v>
      </c>
      <c r="AL365" s="20">
        <f t="shared" si="8"/>
        <v>8000</v>
      </c>
    </row>
    <row r="366">
      <c r="A366" s="16" t="s">
        <v>1587</v>
      </c>
      <c r="B366" s="17" t="s">
        <v>165</v>
      </c>
      <c r="C366" s="17" t="s">
        <v>169</v>
      </c>
      <c r="D366" s="17" t="s">
        <v>1386</v>
      </c>
      <c r="E366" s="17" t="s">
        <v>1514</v>
      </c>
      <c r="F366" s="17" t="s">
        <v>103</v>
      </c>
      <c r="G366" s="19">
        <v>46092.0</v>
      </c>
      <c r="H366" s="17" t="s">
        <v>65</v>
      </c>
      <c r="I366" s="20" t="s">
        <v>1588</v>
      </c>
      <c r="J366" s="21" t="s">
        <v>1592</v>
      </c>
      <c r="K366" s="22" t="s">
        <v>1593</v>
      </c>
      <c r="L366" s="22" t="s">
        <v>1594</v>
      </c>
      <c r="M366" s="17">
        <v>2014.0</v>
      </c>
      <c r="N366" s="17">
        <v>11.0</v>
      </c>
      <c r="O366" s="23">
        <v>30.0</v>
      </c>
      <c r="P366" s="24">
        <f t="shared" si="11"/>
        <v>84</v>
      </c>
      <c r="Q366" s="25">
        <v>1.0</v>
      </c>
      <c r="R366" s="17">
        <v>1.0</v>
      </c>
      <c r="S366" s="26">
        <v>2.0</v>
      </c>
      <c r="T366" s="17">
        <v>0.0</v>
      </c>
      <c r="U366" s="17">
        <v>4.0</v>
      </c>
      <c r="V366" s="17" t="s">
        <v>130</v>
      </c>
      <c r="W366" s="28" t="s">
        <v>76</v>
      </c>
      <c r="X366" s="28" t="s">
        <v>78</v>
      </c>
      <c r="Y366" s="24">
        <v>10.0</v>
      </c>
      <c r="Z366" s="17">
        <v>150.0</v>
      </c>
      <c r="AA366" s="17">
        <v>576.0</v>
      </c>
      <c r="AB366" s="17">
        <v>31.0</v>
      </c>
      <c r="AC366" s="20">
        <f t="shared" si="2"/>
        <v>17856</v>
      </c>
      <c r="AD366" s="30">
        <f t="shared" si="3"/>
        <v>4.03</v>
      </c>
      <c r="AE366" s="30">
        <f t="shared" si="10"/>
        <v>338.52</v>
      </c>
      <c r="AF366" s="30">
        <f t="shared" si="5"/>
        <v>11816.14085</v>
      </c>
      <c r="AG366" s="34">
        <v>1.0</v>
      </c>
      <c r="AH366" s="36"/>
      <c r="AI366" s="30">
        <f t="shared" si="6"/>
        <v>3278.688525</v>
      </c>
      <c r="AJ366" s="17">
        <v>4000.0</v>
      </c>
      <c r="AK366" s="30">
        <f t="shared" si="7"/>
        <v>3278.688525</v>
      </c>
      <c r="AL366" s="20">
        <f t="shared" si="8"/>
        <v>4000</v>
      </c>
    </row>
    <row r="367">
      <c r="A367" s="16" t="s">
        <v>1595</v>
      </c>
      <c r="B367" s="17" t="s">
        <v>165</v>
      </c>
      <c r="C367" s="17" t="s">
        <v>169</v>
      </c>
      <c r="D367" s="17" t="s">
        <v>1472</v>
      </c>
      <c r="E367" s="17" t="s">
        <v>1473</v>
      </c>
      <c r="F367" s="17" t="s">
        <v>103</v>
      </c>
      <c r="G367" s="19">
        <v>46127.0</v>
      </c>
      <c r="H367" s="17" t="s">
        <v>104</v>
      </c>
      <c r="I367" s="20" t="s">
        <v>1596</v>
      </c>
      <c r="J367" s="21" t="s">
        <v>1597</v>
      </c>
      <c r="K367" s="22" t="s">
        <v>1598</v>
      </c>
      <c r="L367" s="22" t="s">
        <v>1599</v>
      </c>
      <c r="M367" s="17">
        <v>2019.0</v>
      </c>
      <c r="N367" s="17">
        <v>10.0</v>
      </c>
      <c r="O367" s="23">
        <v>223.0</v>
      </c>
      <c r="P367" s="24">
        <f t="shared" si="11"/>
        <v>624.4</v>
      </c>
      <c r="Q367" s="25">
        <v>4.0</v>
      </c>
      <c r="R367" s="17">
        <v>0.0</v>
      </c>
      <c r="S367" s="26">
        <v>4.0</v>
      </c>
      <c r="T367" s="17">
        <v>4.0</v>
      </c>
      <c r="U367" s="17">
        <v>8.0</v>
      </c>
      <c r="V367" s="17" t="s">
        <v>75</v>
      </c>
      <c r="W367" s="28" t="s">
        <v>76</v>
      </c>
      <c r="X367" s="28" t="s">
        <v>78</v>
      </c>
      <c r="Y367" s="24">
        <v>10.0</v>
      </c>
      <c r="Z367" s="17">
        <v>150.0</v>
      </c>
      <c r="AA367" s="17">
        <v>576.0</v>
      </c>
      <c r="AB367" s="17">
        <v>31.0</v>
      </c>
      <c r="AC367" s="20">
        <f t="shared" si="2"/>
        <v>71424</v>
      </c>
      <c r="AD367" s="30">
        <f t="shared" si="3"/>
        <v>5.373333333</v>
      </c>
      <c r="AE367" s="30">
        <f t="shared" si="10"/>
        <v>3355.109333</v>
      </c>
      <c r="AF367" s="30">
        <f t="shared" si="5"/>
        <v>4768.846082</v>
      </c>
      <c r="AG367" s="34">
        <v>1.0</v>
      </c>
      <c r="AH367" s="36"/>
      <c r="AI367" s="30">
        <f t="shared" si="6"/>
        <v>3278.688525</v>
      </c>
      <c r="AJ367" s="17">
        <v>4000.0</v>
      </c>
      <c r="AK367" s="30">
        <f t="shared" si="7"/>
        <v>13114.7541</v>
      </c>
      <c r="AL367" s="20">
        <f t="shared" si="8"/>
        <v>16000</v>
      </c>
    </row>
    <row r="368">
      <c r="A368" s="16" t="s">
        <v>1595</v>
      </c>
      <c r="B368" s="17" t="s">
        <v>165</v>
      </c>
      <c r="C368" s="17" t="s">
        <v>169</v>
      </c>
      <c r="D368" s="17" t="s">
        <v>1472</v>
      </c>
      <c r="E368" s="17" t="s">
        <v>1473</v>
      </c>
      <c r="F368" s="17" t="s">
        <v>103</v>
      </c>
      <c r="G368" s="19">
        <v>46127.0</v>
      </c>
      <c r="H368" s="17" t="s">
        <v>104</v>
      </c>
      <c r="I368" s="20" t="s">
        <v>1596</v>
      </c>
      <c r="J368" s="21" t="s">
        <v>1597</v>
      </c>
      <c r="K368" s="22" t="s">
        <v>1598</v>
      </c>
      <c r="L368" s="22" t="s">
        <v>1599</v>
      </c>
      <c r="M368" s="17">
        <v>2019.0</v>
      </c>
      <c r="N368" s="17">
        <v>10.0</v>
      </c>
      <c r="O368" s="23">
        <v>223.0</v>
      </c>
      <c r="P368" s="24">
        <f t="shared" si="11"/>
        <v>624.4</v>
      </c>
      <c r="Q368" s="25">
        <v>3.0</v>
      </c>
      <c r="R368" s="17">
        <v>0.0</v>
      </c>
      <c r="S368" s="26">
        <v>4.0</v>
      </c>
      <c r="T368" s="17">
        <v>3.0</v>
      </c>
      <c r="U368" s="17">
        <v>8.0</v>
      </c>
      <c r="V368" s="17" t="s">
        <v>130</v>
      </c>
      <c r="W368" s="28" t="s">
        <v>76</v>
      </c>
      <c r="X368" s="28" t="s">
        <v>78</v>
      </c>
      <c r="Y368" s="24">
        <v>10.0</v>
      </c>
      <c r="Z368" s="17">
        <v>150.0</v>
      </c>
      <c r="AA368" s="17">
        <v>576.0</v>
      </c>
      <c r="AB368" s="17">
        <v>31.0</v>
      </c>
      <c r="AC368" s="20">
        <f t="shared" si="2"/>
        <v>53568</v>
      </c>
      <c r="AD368" s="30">
        <f t="shared" si="3"/>
        <v>4.03</v>
      </c>
      <c r="AE368" s="30">
        <f t="shared" si="10"/>
        <v>2516.332</v>
      </c>
      <c r="AF368" s="30">
        <f t="shared" si="5"/>
        <v>4768.846082</v>
      </c>
      <c r="AG368" s="34">
        <v>1.0</v>
      </c>
      <c r="AH368" s="36"/>
      <c r="AI368" s="30">
        <f t="shared" si="6"/>
        <v>3278.688525</v>
      </c>
      <c r="AJ368" s="17">
        <v>4000.0</v>
      </c>
      <c r="AK368" s="30">
        <f t="shared" si="7"/>
        <v>9836.065574</v>
      </c>
      <c r="AL368" s="20">
        <f t="shared" si="8"/>
        <v>12000</v>
      </c>
    </row>
    <row r="369">
      <c r="A369" s="16" t="s">
        <v>1600</v>
      </c>
      <c r="B369" s="17" t="s">
        <v>165</v>
      </c>
      <c r="C369" s="17" t="s">
        <v>169</v>
      </c>
      <c r="D369" s="17" t="s">
        <v>1472</v>
      </c>
      <c r="E369" s="17" t="s">
        <v>1473</v>
      </c>
      <c r="F369" s="17" t="s">
        <v>103</v>
      </c>
      <c r="G369" s="19">
        <v>46192.0</v>
      </c>
      <c r="H369" s="17" t="s">
        <v>104</v>
      </c>
      <c r="I369" s="17" t="s">
        <v>1601</v>
      </c>
      <c r="J369" s="21" t="s">
        <v>1602</v>
      </c>
      <c r="K369" s="22" t="s">
        <v>1603</v>
      </c>
      <c r="L369" s="22" t="s">
        <v>1604</v>
      </c>
      <c r="M369" s="17">
        <v>2009.0</v>
      </c>
      <c r="N369" s="17">
        <v>10.0</v>
      </c>
      <c r="O369" s="23">
        <v>72.0</v>
      </c>
      <c r="P369" s="24">
        <f t="shared" si="11"/>
        <v>201.6</v>
      </c>
      <c r="Q369" s="25">
        <v>2.0</v>
      </c>
      <c r="R369" s="17">
        <v>2.0</v>
      </c>
      <c r="S369" s="26">
        <v>2.0</v>
      </c>
      <c r="T369" s="17">
        <v>0.0</v>
      </c>
      <c r="U369" s="17">
        <v>2.0</v>
      </c>
      <c r="V369" s="17" t="s">
        <v>130</v>
      </c>
      <c r="W369" s="28" t="s">
        <v>76</v>
      </c>
      <c r="X369" s="28" t="s">
        <v>78</v>
      </c>
      <c r="Y369" s="24">
        <v>10.0</v>
      </c>
      <c r="Z369" s="17">
        <v>150.0</v>
      </c>
      <c r="AA369" s="17">
        <v>576.0</v>
      </c>
      <c r="AB369" s="17">
        <v>31.0</v>
      </c>
      <c r="AC369" s="20">
        <f t="shared" si="2"/>
        <v>35712</v>
      </c>
      <c r="AD369" s="30">
        <f t="shared" si="3"/>
        <v>8.06</v>
      </c>
      <c r="AE369" s="30">
        <f t="shared" si="10"/>
        <v>1624.896</v>
      </c>
      <c r="AF369" s="30">
        <f t="shared" si="5"/>
        <v>4923.39202</v>
      </c>
      <c r="AG369" s="34">
        <v>1.0</v>
      </c>
      <c r="AH369" s="36"/>
      <c r="AI369" s="30">
        <f t="shared" si="6"/>
        <v>3278.688525</v>
      </c>
      <c r="AJ369" s="17">
        <v>4000.0</v>
      </c>
      <c r="AK369" s="30">
        <f t="shared" si="7"/>
        <v>6557.377049</v>
      </c>
      <c r="AL369" s="20">
        <f t="shared" si="8"/>
        <v>8000</v>
      </c>
    </row>
    <row r="370">
      <c r="A370" s="16" t="s">
        <v>1605</v>
      </c>
      <c r="B370" s="17" t="s">
        <v>165</v>
      </c>
      <c r="C370" s="17" t="s">
        <v>169</v>
      </c>
      <c r="D370" s="17" t="s">
        <v>162</v>
      </c>
      <c r="E370" s="17" t="s">
        <v>1420</v>
      </c>
      <c r="F370" s="17" t="s">
        <v>103</v>
      </c>
      <c r="G370" s="19">
        <v>46156.0</v>
      </c>
      <c r="H370" s="17" t="s">
        <v>104</v>
      </c>
      <c r="I370" s="20" t="s">
        <v>1606</v>
      </c>
      <c r="J370" s="21" t="s">
        <v>1607</v>
      </c>
      <c r="K370" s="22" t="s">
        <v>1608</v>
      </c>
      <c r="L370" s="22" t="s">
        <v>1609</v>
      </c>
      <c r="M370" s="17">
        <v>2017.0</v>
      </c>
      <c r="N370" s="17">
        <v>26.0</v>
      </c>
      <c r="O370" s="23">
        <v>150.0</v>
      </c>
      <c r="P370" s="24">
        <f t="shared" si="11"/>
        <v>420</v>
      </c>
      <c r="Q370" s="25">
        <v>3.0</v>
      </c>
      <c r="R370" s="17">
        <v>0.0</v>
      </c>
      <c r="S370" s="26">
        <v>1.0</v>
      </c>
      <c r="T370" s="17">
        <v>3.0</v>
      </c>
      <c r="U370" s="17">
        <v>3.0</v>
      </c>
      <c r="V370" s="17" t="s">
        <v>130</v>
      </c>
      <c r="W370" s="28" t="s">
        <v>76</v>
      </c>
      <c r="X370" s="28" t="s">
        <v>78</v>
      </c>
      <c r="Y370" s="24">
        <v>10.0</v>
      </c>
      <c r="Z370" s="17">
        <v>150.0</v>
      </c>
      <c r="AA370" s="17">
        <v>576.0</v>
      </c>
      <c r="AB370" s="17">
        <v>31.0</v>
      </c>
      <c r="AC370" s="20">
        <f t="shared" si="2"/>
        <v>53568</v>
      </c>
      <c r="AD370" s="30">
        <f t="shared" si="3"/>
        <v>27.94133333</v>
      </c>
      <c r="AE370" s="30">
        <f t="shared" si="10"/>
        <v>11735.36</v>
      </c>
      <c r="AF370" s="30">
        <f t="shared" si="5"/>
        <v>1022.55065</v>
      </c>
      <c r="AG370" s="34">
        <v>1.0</v>
      </c>
      <c r="AH370" s="36"/>
      <c r="AI370" s="30">
        <f t="shared" si="6"/>
        <v>3278.688525</v>
      </c>
      <c r="AJ370" s="17">
        <v>4000.0</v>
      </c>
      <c r="AK370" s="30">
        <f t="shared" si="7"/>
        <v>9836.065574</v>
      </c>
      <c r="AL370" s="20">
        <f t="shared" si="8"/>
        <v>12000</v>
      </c>
    </row>
    <row r="371">
      <c r="A371" s="16" t="s">
        <v>1610</v>
      </c>
      <c r="B371" s="17" t="s">
        <v>165</v>
      </c>
      <c r="C371" s="17" t="s">
        <v>169</v>
      </c>
      <c r="D371" s="17" t="s">
        <v>162</v>
      </c>
      <c r="E371" s="17" t="s">
        <v>1420</v>
      </c>
      <c r="F371" s="17" t="s">
        <v>103</v>
      </c>
      <c r="G371" s="19">
        <v>46164.0</v>
      </c>
      <c r="H371" s="17" t="s">
        <v>118</v>
      </c>
      <c r="I371" s="20" t="s">
        <v>1611</v>
      </c>
      <c r="J371" s="21" t="s">
        <v>1612</v>
      </c>
      <c r="K371" s="22" t="s">
        <v>1613</v>
      </c>
      <c r="L371" s="22" t="s">
        <v>1614</v>
      </c>
      <c r="M371" s="17">
        <v>2013.0</v>
      </c>
      <c r="N371" s="17">
        <v>18.0</v>
      </c>
      <c r="O371" s="23">
        <v>102.0</v>
      </c>
      <c r="P371" s="24">
        <f t="shared" si="11"/>
        <v>285.6</v>
      </c>
      <c r="Q371" s="25">
        <v>4.0</v>
      </c>
      <c r="R371" s="17">
        <v>1.0</v>
      </c>
      <c r="S371" s="26">
        <v>1.0</v>
      </c>
      <c r="T371" s="17">
        <v>3.0</v>
      </c>
      <c r="U371" s="17">
        <v>3.0</v>
      </c>
      <c r="V371" s="17" t="s">
        <v>130</v>
      </c>
      <c r="W371" s="28" t="s">
        <v>76</v>
      </c>
      <c r="X371" s="28" t="s">
        <v>78</v>
      </c>
      <c r="Y371" s="24">
        <v>10.0</v>
      </c>
      <c r="Z371" s="17">
        <v>150.0</v>
      </c>
      <c r="AA371" s="17">
        <v>576.0</v>
      </c>
      <c r="AB371" s="17">
        <v>31.0</v>
      </c>
      <c r="AC371" s="20">
        <f t="shared" si="2"/>
        <v>71424</v>
      </c>
      <c r="AD371" s="30">
        <f t="shared" si="3"/>
        <v>27.404</v>
      </c>
      <c r="AE371" s="30">
        <f t="shared" si="10"/>
        <v>7826.5824</v>
      </c>
      <c r="AF371" s="30">
        <f t="shared" si="5"/>
        <v>2044.315026</v>
      </c>
      <c r="AG371" s="34">
        <v>1.0</v>
      </c>
      <c r="AH371" s="36"/>
      <c r="AI371" s="30">
        <f t="shared" si="6"/>
        <v>3278.688525</v>
      </c>
      <c r="AJ371" s="17">
        <v>4000.0</v>
      </c>
      <c r="AK371" s="30">
        <f t="shared" si="7"/>
        <v>13114.7541</v>
      </c>
      <c r="AL371" s="20">
        <f t="shared" si="8"/>
        <v>16000</v>
      </c>
    </row>
    <row r="372">
      <c r="A372" s="16" t="s">
        <v>1616</v>
      </c>
      <c r="B372" s="17" t="s">
        <v>165</v>
      </c>
      <c r="C372" s="17" t="s">
        <v>169</v>
      </c>
      <c r="D372" s="17" t="s">
        <v>1472</v>
      </c>
      <c r="E372" s="17" t="s">
        <v>1473</v>
      </c>
      <c r="F372" s="17" t="s">
        <v>103</v>
      </c>
      <c r="G372" s="19">
        <v>46164.0</v>
      </c>
      <c r="H372" s="17" t="s">
        <v>104</v>
      </c>
      <c r="I372" s="20" t="s">
        <v>1617</v>
      </c>
      <c r="J372" s="21" t="s">
        <v>1618</v>
      </c>
      <c r="K372" s="22" t="s">
        <v>1619</v>
      </c>
      <c r="L372" s="22" t="s">
        <v>1620</v>
      </c>
      <c r="M372" s="17">
        <v>2013.0</v>
      </c>
      <c r="N372" s="17">
        <v>17.0</v>
      </c>
      <c r="O372" s="23">
        <v>160.0</v>
      </c>
      <c r="P372" s="24">
        <f t="shared" si="11"/>
        <v>448</v>
      </c>
      <c r="Q372" s="25">
        <v>6.0</v>
      </c>
      <c r="R372" s="17">
        <v>2.0</v>
      </c>
      <c r="S372" s="26">
        <v>2.0</v>
      </c>
      <c r="T372" s="17">
        <v>4.0</v>
      </c>
      <c r="U372" s="17">
        <v>4.0</v>
      </c>
      <c r="V372" s="17" t="s">
        <v>130</v>
      </c>
      <c r="W372" s="28" t="s">
        <v>76</v>
      </c>
      <c r="X372" s="28" t="s">
        <v>78</v>
      </c>
      <c r="Y372" s="24">
        <v>10.0</v>
      </c>
      <c r="Z372" s="17">
        <v>150.0</v>
      </c>
      <c r="AA372" s="17">
        <v>576.0</v>
      </c>
      <c r="AB372" s="17">
        <v>31.0</v>
      </c>
      <c r="AC372" s="20">
        <f t="shared" si="2"/>
        <v>107136</v>
      </c>
      <c r="AD372" s="30">
        <f t="shared" si="3"/>
        <v>26.32933333</v>
      </c>
      <c r="AE372" s="30">
        <f t="shared" si="10"/>
        <v>11795.54133</v>
      </c>
      <c r="AF372" s="30">
        <f t="shared" si="5"/>
        <v>2034.66711</v>
      </c>
      <c r="AG372" s="34">
        <v>1.0</v>
      </c>
      <c r="AH372" s="36"/>
      <c r="AI372" s="30">
        <f t="shared" si="6"/>
        <v>3278.688525</v>
      </c>
      <c r="AJ372" s="17">
        <v>4000.0</v>
      </c>
      <c r="AK372" s="30">
        <f t="shared" si="7"/>
        <v>19672.13115</v>
      </c>
      <c r="AL372" s="20">
        <f t="shared" si="8"/>
        <v>24000</v>
      </c>
    </row>
    <row r="373">
      <c r="A373" s="16" t="s">
        <v>1621</v>
      </c>
      <c r="B373" s="17" t="s">
        <v>165</v>
      </c>
      <c r="C373" s="17" t="s">
        <v>169</v>
      </c>
      <c r="D373" s="17" t="s">
        <v>162</v>
      </c>
      <c r="E373" s="17" t="s">
        <v>1420</v>
      </c>
      <c r="F373" s="17" t="s">
        <v>103</v>
      </c>
      <c r="G373" s="19">
        <v>46181.0</v>
      </c>
      <c r="H373" s="17" t="s">
        <v>118</v>
      </c>
      <c r="I373" s="20" t="s">
        <v>1622</v>
      </c>
      <c r="J373" s="21" t="s">
        <v>1623</v>
      </c>
      <c r="K373" s="22" t="s">
        <v>1624</v>
      </c>
      <c r="L373" s="22" t="s">
        <v>1625</v>
      </c>
      <c r="M373" s="17">
        <v>2013.0</v>
      </c>
      <c r="N373" s="17">
        <v>18.0</v>
      </c>
      <c r="O373" s="23">
        <v>102.0</v>
      </c>
      <c r="P373" s="24">
        <f t="shared" si="11"/>
        <v>285.6</v>
      </c>
      <c r="Q373" s="25">
        <v>4.0</v>
      </c>
      <c r="R373" s="17">
        <v>1.0</v>
      </c>
      <c r="S373" s="26">
        <v>1.0</v>
      </c>
      <c r="T373" s="17">
        <v>3.0</v>
      </c>
      <c r="U373" s="17">
        <v>3.0</v>
      </c>
      <c r="V373" s="17" t="s">
        <v>130</v>
      </c>
      <c r="W373" s="28" t="s">
        <v>76</v>
      </c>
      <c r="X373" s="28" t="s">
        <v>78</v>
      </c>
      <c r="Y373" s="24">
        <v>10.0</v>
      </c>
      <c r="Z373" s="17">
        <v>150.0</v>
      </c>
      <c r="AA373" s="17">
        <v>576.0</v>
      </c>
      <c r="AB373" s="17">
        <v>31.0</v>
      </c>
      <c r="AC373" s="20">
        <f t="shared" si="2"/>
        <v>71424</v>
      </c>
      <c r="AD373" s="30">
        <f t="shared" si="3"/>
        <v>27.404</v>
      </c>
      <c r="AE373" s="30">
        <f t="shared" si="10"/>
        <v>7826.5824</v>
      </c>
      <c r="AF373" s="30">
        <f t="shared" si="5"/>
        <v>2044.315026</v>
      </c>
      <c r="AG373" s="34">
        <v>1.0</v>
      </c>
      <c r="AH373" s="36"/>
      <c r="AI373" s="30">
        <f t="shared" si="6"/>
        <v>3278.688525</v>
      </c>
      <c r="AJ373" s="17">
        <v>4000.0</v>
      </c>
      <c r="AK373" s="30">
        <f t="shared" si="7"/>
        <v>13114.7541</v>
      </c>
      <c r="AL373" s="20">
        <f t="shared" si="8"/>
        <v>16000</v>
      </c>
    </row>
    <row r="374">
      <c r="A374" s="16" t="s">
        <v>1626</v>
      </c>
      <c r="B374" s="17" t="s">
        <v>165</v>
      </c>
      <c r="C374" s="17" t="s">
        <v>169</v>
      </c>
      <c r="D374" s="17" t="s">
        <v>1472</v>
      </c>
      <c r="E374" s="17" t="s">
        <v>1473</v>
      </c>
      <c r="F374" s="17" t="s">
        <v>103</v>
      </c>
      <c r="G374" s="19">
        <v>46156.0</v>
      </c>
      <c r="H374" s="17" t="s">
        <v>104</v>
      </c>
      <c r="I374" s="20" t="s">
        <v>1627</v>
      </c>
      <c r="J374" s="21" t="s">
        <v>1628</v>
      </c>
      <c r="K374" s="22" t="s">
        <v>1629</v>
      </c>
      <c r="L374" s="22" t="s">
        <v>1630</v>
      </c>
      <c r="M374" s="17">
        <v>2007.0</v>
      </c>
      <c r="N374" s="17">
        <v>18.0</v>
      </c>
      <c r="O374" s="23">
        <v>102.0</v>
      </c>
      <c r="P374" s="24">
        <f t="shared" si="11"/>
        <v>285.6</v>
      </c>
      <c r="Q374" s="25">
        <v>3.0</v>
      </c>
      <c r="R374" s="17">
        <v>1.0</v>
      </c>
      <c r="S374" s="26">
        <v>2.0</v>
      </c>
      <c r="T374" s="17">
        <v>2.0</v>
      </c>
      <c r="U374" s="17">
        <v>4.0</v>
      </c>
      <c r="V374" s="17" t="s">
        <v>130</v>
      </c>
      <c r="W374" s="28" t="s">
        <v>76</v>
      </c>
      <c r="X374" s="28" t="s">
        <v>78</v>
      </c>
      <c r="Y374" s="24">
        <v>10.0</v>
      </c>
      <c r="Z374" s="17">
        <v>150.0</v>
      </c>
      <c r="AA374" s="17">
        <v>576.0</v>
      </c>
      <c r="AB374" s="17">
        <v>31.0</v>
      </c>
      <c r="AC374" s="20">
        <f t="shared" si="2"/>
        <v>53568</v>
      </c>
      <c r="AD374" s="30">
        <f t="shared" si="3"/>
        <v>13.702</v>
      </c>
      <c r="AE374" s="30">
        <f t="shared" si="10"/>
        <v>3913.2912</v>
      </c>
      <c r="AF374" s="30">
        <f t="shared" si="5"/>
        <v>3066.472539</v>
      </c>
      <c r="AG374" s="34">
        <v>1.0</v>
      </c>
      <c r="AH374" s="36"/>
      <c r="AI374" s="30">
        <f t="shared" si="6"/>
        <v>3278.688525</v>
      </c>
      <c r="AJ374" s="17">
        <v>4000.0</v>
      </c>
      <c r="AK374" s="30">
        <f t="shared" si="7"/>
        <v>9836.065574</v>
      </c>
      <c r="AL374" s="20">
        <f t="shared" si="8"/>
        <v>12000</v>
      </c>
    </row>
    <row r="375">
      <c r="A375" s="16" t="s">
        <v>1626</v>
      </c>
      <c r="B375" s="17" t="s">
        <v>165</v>
      </c>
      <c r="C375" s="17" t="s">
        <v>169</v>
      </c>
      <c r="D375" s="17" t="s">
        <v>1472</v>
      </c>
      <c r="E375" s="17" t="s">
        <v>1473</v>
      </c>
      <c r="F375" s="17" t="s">
        <v>103</v>
      </c>
      <c r="G375" s="19">
        <v>46156.0</v>
      </c>
      <c r="H375" s="17" t="s">
        <v>104</v>
      </c>
      <c r="I375" s="20" t="s">
        <v>1627</v>
      </c>
      <c r="J375" s="21" t="s">
        <v>1631</v>
      </c>
      <c r="K375" s="28" t="s">
        <v>1632</v>
      </c>
      <c r="L375" s="28" t="s">
        <v>1633</v>
      </c>
      <c r="M375" s="17">
        <v>2005.0</v>
      </c>
      <c r="N375" s="17">
        <v>10.0</v>
      </c>
      <c r="O375" s="23">
        <v>50.0</v>
      </c>
      <c r="P375" s="24">
        <f t="shared" si="11"/>
        <v>140</v>
      </c>
      <c r="Q375" s="25">
        <v>2.0</v>
      </c>
      <c r="R375" s="17">
        <v>1.0</v>
      </c>
      <c r="S375" s="26">
        <v>1.0</v>
      </c>
      <c r="T375" s="17">
        <v>1.0</v>
      </c>
      <c r="U375" s="17">
        <v>1.0</v>
      </c>
      <c r="V375" s="17" t="s">
        <v>130</v>
      </c>
      <c r="W375" s="28" t="s">
        <v>76</v>
      </c>
      <c r="X375" s="28" t="s">
        <v>78</v>
      </c>
      <c r="Y375" s="24">
        <v>10.0</v>
      </c>
      <c r="Z375" s="17">
        <v>150.0</v>
      </c>
      <c r="AA375" s="17">
        <v>576.0</v>
      </c>
      <c r="AB375" s="17">
        <v>31.0</v>
      </c>
      <c r="AC375" s="20">
        <f t="shared" si="2"/>
        <v>35712</v>
      </c>
      <c r="AD375" s="30">
        <f t="shared" si="3"/>
        <v>18.80666667</v>
      </c>
      <c r="AE375" s="30">
        <f t="shared" si="10"/>
        <v>2632.933333</v>
      </c>
      <c r="AF375" s="30">
        <f t="shared" si="5"/>
        <v>3038.436218</v>
      </c>
      <c r="AG375" s="34">
        <v>1.0</v>
      </c>
      <c r="AH375" s="36"/>
      <c r="AI375" s="30">
        <f t="shared" si="6"/>
        <v>3278.688525</v>
      </c>
      <c r="AJ375" s="17">
        <v>4000.0</v>
      </c>
      <c r="AK375" s="30">
        <f t="shared" si="7"/>
        <v>6557.377049</v>
      </c>
      <c r="AL375" s="20">
        <f t="shared" si="8"/>
        <v>8000</v>
      </c>
    </row>
    <row r="376">
      <c r="A376" s="16" t="s">
        <v>1634</v>
      </c>
      <c r="B376" s="17" t="s">
        <v>165</v>
      </c>
      <c r="C376" s="17" t="s">
        <v>169</v>
      </c>
      <c r="D376" s="17" t="s">
        <v>1472</v>
      </c>
      <c r="E376" s="17" t="s">
        <v>1473</v>
      </c>
      <c r="F376" s="17" t="s">
        <v>103</v>
      </c>
      <c r="G376" s="19">
        <v>46161.0</v>
      </c>
      <c r="H376" s="17" t="s">
        <v>118</v>
      </c>
      <c r="I376" s="20" t="s">
        <v>1635</v>
      </c>
      <c r="J376" s="21" t="s">
        <v>1636</v>
      </c>
      <c r="K376" s="22" t="s">
        <v>1637</v>
      </c>
      <c r="L376" s="22" t="s">
        <v>1638</v>
      </c>
      <c r="M376" s="17">
        <v>2003.0</v>
      </c>
      <c r="N376" s="17">
        <v>16.0</v>
      </c>
      <c r="O376" s="23">
        <v>181.0</v>
      </c>
      <c r="P376" s="24">
        <f t="shared" si="11"/>
        <v>506.8</v>
      </c>
      <c r="Q376" s="25">
        <v>6.0</v>
      </c>
      <c r="R376" s="17">
        <v>0.0</v>
      </c>
      <c r="S376" s="26">
        <v>5.0</v>
      </c>
      <c r="T376" s="17">
        <v>6.0</v>
      </c>
      <c r="U376" s="17">
        <v>6.0</v>
      </c>
      <c r="V376" s="17" t="s">
        <v>130</v>
      </c>
      <c r="W376" s="28" t="s">
        <v>76</v>
      </c>
      <c r="X376" s="28" t="s">
        <v>78</v>
      </c>
      <c r="Y376" s="24">
        <v>10.0</v>
      </c>
      <c r="Z376" s="17">
        <v>150.0</v>
      </c>
      <c r="AA376" s="17">
        <v>576.0</v>
      </c>
      <c r="AB376" s="17">
        <v>31.0</v>
      </c>
      <c r="AC376" s="20">
        <f t="shared" si="2"/>
        <v>107136</v>
      </c>
      <c r="AD376" s="30">
        <f t="shared" si="3"/>
        <v>17.19466667</v>
      </c>
      <c r="AE376" s="30">
        <f t="shared" si="10"/>
        <v>8714.257067</v>
      </c>
      <c r="AF376" s="30">
        <f t="shared" si="5"/>
        <v>2754.107415</v>
      </c>
      <c r="AG376" s="34">
        <v>1.0</v>
      </c>
      <c r="AH376" s="36"/>
      <c r="AI376" s="30">
        <f t="shared" si="6"/>
        <v>3278.688525</v>
      </c>
      <c r="AJ376" s="17">
        <v>4000.0</v>
      </c>
      <c r="AK376" s="30">
        <f t="shared" si="7"/>
        <v>19672.13115</v>
      </c>
      <c r="AL376" s="20">
        <f t="shared" si="8"/>
        <v>24000</v>
      </c>
    </row>
    <row r="377">
      <c r="A377" s="16" t="s">
        <v>1634</v>
      </c>
      <c r="B377" s="17" t="s">
        <v>165</v>
      </c>
      <c r="C377" s="17" t="s">
        <v>169</v>
      </c>
      <c r="D377" s="17" t="s">
        <v>1472</v>
      </c>
      <c r="E377" s="17" t="s">
        <v>1473</v>
      </c>
      <c r="F377" s="17" t="s">
        <v>103</v>
      </c>
      <c r="G377" s="19">
        <v>46161.0</v>
      </c>
      <c r="H377" s="17" t="s">
        <v>118</v>
      </c>
      <c r="I377" s="20" t="s">
        <v>1635</v>
      </c>
      <c r="J377" s="21" t="s">
        <v>1639</v>
      </c>
      <c r="K377" s="22" t="s">
        <v>1640</v>
      </c>
      <c r="L377" s="22" t="s">
        <v>1641</v>
      </c>
      <c r="M377" s="17">
        <v>2010.0</v>
      </c>
      <c r="N377" s="17">
        <v>17.0</v>
      </c>
      <c r="O377" s="23">
        <v>160.0</v>
      </c>
      <c r="P377" s="24">
        <f t="shared" si="11"/>
        <v>448</v>
      </c>
      <c r="Q377" s="25">
        <v>4.0</v>
      </c>
      <c r="R377" s="17">
        <v>2.0</v>
      </c>
      <c r="S377" s="26">
        <v>2.0</v>
      </c>
      <c r="T377" s="17">
        <v>2.0</v>
      </c>
      <c r="U377" s="17">
        <v>4.0</v>
      </c>
      <c r="V377" s="17" t="s">
        <v>130</v>
      </c>
      <c r="W377" s="28" t="s">
        <v>76</v>
      </c>
      <c r="X377" s="28" t="s">
        <v>78</v>
      </c>
      <c r="Y377" s="24">
        <v>10.0</v>
      </c>
      <c r="Z377" s="17">
        <v>150.0</v>
      </c>
      <c r="AA377" s="17">
        <v>576.0</v>
      </c>
      <c r="AB377" s="17">
        <v>31.0</v>
      </c>
      <c r="AC377" s="20">
        <f t="shared" si="2"/>
        <v>71424</v>
      </c>
      <c r="AD377" s="30">
        <f t="shared" si="3"/>
        <v>17.19466667</v>
      </c>
      <c r="AE377" s="30">
        <f t="shared" si="10"/>
        <v>7703.210667</v>
      </c>
      <c r="AF377" s="30">
        <f t="shared" si="5"/>
        <v>2077.056009</v>
      </c>
      <c r="AG377" s="34">
        <v>1.0</v>
      </c>
      <c r="AH377" s="36"/>
      <c r="AI377" s="30">
        <f t="shared" si="6"/>
        <v>3278.688525</v>
      </c>
      <c r="AJ377" s="17">
        <v>4000.0</v>
      </c>
      <c r="AK377" s="30">
        <f t="shared" si="7"/>
        <v>13114.7541</v>
      </c>
      <c r="AL377" s="20">
        <f t="shared" si="8"/>
        <v>16000</v>
      </c>
    </row>
    <row r="378">
      <c r="A378" s="16" t="s">
        <v>1642</v>
      </c>
      <c r="B378" s="17" t="s">
        <v>165</v>
      </c>
      <c r="C378" s="17" t="s">
        <v>169</v>
      </c>
      <c r="D378" s="17" t="s">
        <v>1472</v>
      </c>
      <c r="E378" s="17" t="s">
        <v>1473</v>
      </c>
      <c r="F378" s="17" t="s">
        <v>103</v>
      </c>
      <c r="G378" s="19">
        <v>46186.0</v>
      </c>
      <c r="H378" s="17" t="s">
        <v>118</v>
      </c>
      <c r="I378" s="17" t="s">
        <v>1643</v>
      </c>
      <c r="J378" s="21" t="s">
        <v>1644</v>
      </c>
      <c r="K378" s="28" t="s">
        <v>1645</v>
      </c>
      <c r="L378" s="28" t="s">
        <v>1646</v>
      </c>
      <c r="M378" s="17">
        <v>2009.0</v>
      </c>
      <c r="N378" s="17">
        <v>17.0</v>
      </c>
      <c r="O378" s="23">
        <v>167.0</v>
      </c>
      <c r="P378" s="24">
        <f t="shared" si="11"/>
        <v>467.6</v>
      </c>
      <c r="Q378" s="25">
        <v>6.0</v>
      </c>
      <c r="R378" s="17">
        <v>2.0</v>
      </c>
      <c r="S378" s="26">
        <v>2.0</v>
      </c>
      <c r="T378" s="17">
        <v>4.0</v>
      </c>
      <c r="U378" s="17">
        <v>4.0</v>
      </c>
      <c r="V378" s="17" t="s">
        <v>130</v>
      </c>
      <c r="W378" s="28" t="s">
        <v>76</v>
      </c>
      <c r="X378" s="28" t="s">
        <v>78</v>
      </c>
      <c r="Y378" s="24">
        <v>10.0</v>
      </c>
      <c r="Z378" s="17">
        <v>150.0</v>
      </c>
      <c r="AA378" s="17">
        <v>576.0</v>
      </c>
      <c r="AB378" s="17">
        <v>31.0</v>
      </c>
      <c r="AC378" s="20">
        <f t="shared" si="2"/>
        <v>107136</v>
      </c>
      <c r="AD378" s="30">
        <f t="shared" si="3"/>
        <v>26.32933333</v>
      </c>
      <c r="AE378" s="30">
        <f t="shared" si="10"/>
        <v>12311.59627</v>
      </c>
      <c r="AF378" s="30">
        <f t="shared" si="5"/>
        <v>1949.381663</v>
      </c>
      <c r="AG378" s="34">
        <v>1.0</v>
      </c>
      <c r="AH378" s="36"/>
      <c r="AI378" s="30">
        <f t="shared" si="6"/>
        <v>3278.688525</v>
      </c>
      <c r="AJ378" s="17">
        <v>4000.0</v>
      </c>
      <c r="AK378" s="30">
        <f t="shared" si="7"/>
        <v>19672.13115</v>
      </c>
      <c r="AL378" s="20">
        <f t="shared" si="8"/>
        <v>24000</v>
      </c>
    </row>
    <row r="379">
      <c r="A379" s="16" t="s">
        <v>1647</v>
      </c>
      <c r="B379" s="17" t="s">
        <v>165</v>
      </c>
      <c r="C379" s="17" t="s">
        <v>169</v>
      </c>
      <c r="D379" s="17" t="s">
        <v>1375</v>
      </c>
      <c r="E379" s="54" t="s">
        <v>1375</v>
      </c>
      <c r="F379" s="17" t="s">
        <v>103</v>
      </c>
      <c r="G379" s="19">
        <v>46161.0</v>
      </c>
      <c r="H379" s="17" t="s">
        <v>118</v>
      </c>
      <c r="I379" s="20" t="s">
        <v>1648</v>
      </c>
      <c r="J379" s="21" t="s">
        <v>1649</v>
      </c>
      <c r="K379" s="22" t="s">
        <v>1650</v>
      </c>
      <c r="L379" s="22" t="s">
        <v>1651</v>
      </c>
      <c r="M379" s="17">
        <v>2013.0</v>
      </c>
      <c r="N379" s="17">
        <v>10.0</v>
      </c>
      <c r="O379" s="23">
        <v>301.0</v>
      </c>
      <c r="P379" s="24">
        <f t="shared" si="11"/>
        <v>842.8</v>
      </c>
      <c r="Q379" s="25">
        <v>4.0</v>
      </c>
      <c r="R379" s="17">
        <v>4.0</v>
      </c>
      <c r="S379" s="26">
        <v>4.0</v>
      </c>
      <c r="T379" s="17">
        <v>0.0</v>
      </c>
      <c r="U379" s="17">
        <v>8.0</v>
      </c>
      <c r="V379" s="17" t="s">
        <v>130</v>
      </c>
      <c r="W379" s="28" t="s">
        <v>76</v>
      </c>
      <c r="X379" s="28" t="s">
        <v>78</v>
      </c>
      <c r="Y379" s="24">
        <v>10.0</v>
      </c>
      <c r="Z379" s="17">
        <v>150.0</v>
      </c>
      <c r="AA379" s="17">
        <v>576.0</v>
      </c>
      <c r="AB379" s="17">
        <v>31.0</v>
      </c>
      <c r="AC379" s="20">
        <f t="shared" si="2"/>
        <v>71424</v>
      </c>
      <c r="AD379" s="30">
        <f t="shared" si="3"/>
        <v>8.06</v>
      </c>
      <c r="AE379" s="30">
        <f t="shared" si="10"/>
        <v>6792.968</v>
      </c>
      <c r="AF379" s="30">
        <f t="shared" si="5"/>
        <v>2355.376913</v>
      </c>
      <c r="AG379" s="34">
        <v>1.0</v>
      </c>
      <c r="AH379" s="36"/>
      <c r="AI379" s="30">
        <f t="shared" si="6"/>
        <v>3278.688525</v>
      </c>
      <c r="AJ379" s="17">
        <v>4000.0</v>
      </c>
      <c r="AK379" s="30">
        <f t="shared" si="7"/>
        <v>13114.7541</v>
      </c>
      <c r="AL379" s="20">
        <f t="shared" si="8"/>
        <v>16000</v>
      </c>
    </row>
    <row r="380">
      <c r="A380" s="16" t="s">
        <v>1652</v>
      </c>
      <c r="B380" s="17" t="s">
        <v>165</v>
      </c>
      <c r="C380" s="17" t="s">
        <v>169</v>
      </c>
      <c r="D380" s="17" t="s">
        <v>1375</v>
      </c>
      <c r="E380" s="54" t="s">
        <v>1375</v>
      </c>
      <c r="F380" s="17" t="s">
        <v>103</v>
      </c>
      <c r="G380" s="19">
        <v>46161.0</v>
      </c>
      <c r="H380" s="17" t="s">
        <v>118</v>
      </c>
      <c r="I380" s="20" t="s">
        <v>1653</v>
      </c>
      <c r="J380" s="21" t="s">
        <v>1654</v>
      </c>
      <c r="K380" s="22" t="s">
        <v>1655</v>
      </c>
      <c r="L380" s="22" t="s">
        <v>1656</v>
      </c>
      <c r="M380" s="17">
        <v>2013.0</v>
      </c>
      <c r="N380" s="17">
        <v>10.0</v>
      </c>
      <c r="O380" s="23">
        <v>137.0</v>
      </c>
      <c r="P380" s="24">
        <f t="shared" si="11"/>
        <v>383.6</v>
      </c>
      <c r="Q380" s="25">
        <v>2.0</v>
      </c>
      <c r="R380" s="17">
        <v>2.0</v>
      </c>
      <c r="S380" s="26">
        <v>2.0</v>
      </c>
      <c r="T380" s="17">
        <v>0.0</v>
      </c>
      <c r="U380" s="17">
        <v>2.0</v>
      </c>
      <c r="V380" s="17" t="s">
        <v>130</v>
      </c>
      <c r="W380" s="28" t="s">
        <v>76</v>
      </c>
      <c r="X380" s="28" t="s">
        <v>78</v>
      </c>
      <c r="Y380" s="24">
        <v>10.0</v>
      </c>
      <c r="Z380" s="17">
        <v>150.0</v>
      </c>
      <c r="AA380" s="17">
        <v>576.0</v>
      </c>
      <c r="AB380" s="17">
        <v>31.0</v>
      </c>
      <c r="AC380" s="20">
        <f t="shared" si="2"/>
        <v>35712</v>
      </c>
      <c r="AD380" s="30">
        <f t="shared" si="3"/>
        <v>8.06</v>
      </c>
      <c r="AE380" s="30">
        <f t="shared" si="10"/>
        <v>3091.816</v>
      </c>
      <c r="AF380" s="30">
        <f t="shared" si="5"/>
        <v>2587.476098</v>
      </c>
      <c r="AG380" s="34">
        <v>1.0</v>
      </c>
      <c r="AH380" s="36"/>
      <c r="AI380" s="30">
        <f t="shared" si="6"/>
        <v>3278.688525</v>
      </c>
      <c r="AJ380" s="17">
        <v>4000.0</v>
      </c>
      <c r="AK380" s="30">
        <f t="shared" si="7"/>
        <v>6557.377049</v>
      </c>
      <c r="AL380" s="20">
        <f t="shared" si="8"/>
        <v>8000</v>
      </c>
    </row>
    <row r="381">
      <c r="A381" s="16" t="s">
        <v>1657</v>
      </c>
      <c r="B381" s="17" t="s">
        <v>165</v>
      </c>
      <c r="C381" s="17" t="s">
        <v>169</v>
      </c>
      <c r="D381" s="17" t="s">
        <v>1472</v>
      </c>
      <c r="E381" s="17" t="s">
        <v>1473</v>
      </c>
      <c r="F381" s="17" t="s">
        <v>103</v>
      </c>
      <c r="G381" s="19">
        <v>46188.0</v>
      </c>
      <c r="H381" s="17" t="s">
        <v>118</v>
      </c>
      <c r="I381" s="20" t="s">
        <v>1658</v>
      </c>
      <c r="J381" s="21" t="s">
        <v>1659</v>
      </c>
      <c r="K381" s="22" t="s">
        <v>1660</v>
      </c>
      <c r="L381" s="22" t="s">
        <v>1661</v>
      </c>
      <c r="M381" s="17">
        <v>2005.0</v>
      </c>
      <c r="N381" s="17">
        <v>10.0</v>
      </c>
      <c r="O381" s="23">
        <v>90.0</v>
      </c>
      <c r="P381" s="24">
        <f t="shared" si="11"/>
        <v>252</v>
      </c>
      <c r="Q381" s="25">
        <v>2.0</v>
      </c>
      <c r="R381" s="17">
        <v>2.0</v>
      </c>
      <c r="S381" s="26">
        <v>2.0</v>
      </c>
      <c r="T381" s="17">
        <v>0.0</v>
      </c>
      <c r="U381" s="17">
        <v>2.0</v>
      </c>
      <c r="V381" s="17" t="s">
        <v>130</v>
      </c>
      <c r="W381" s="28" t="s">
        <v>76</v>
      </c>
      <c r="X381" s="28" t="s">
        <v>78</v>
      </c>
      <c r="Y381" s="24">
        <v>10.0</v>
      </c>
      <c r="Z381" s="17">
        <v>150.0</v>
      </c>
      <c r="AA381" s="17">
        <v>576.0</v>
      </c>
      <c r="AB381" s="17">
        <v>31.0</v>
      </c>
      <c r="AC381" s="20">
        <f t="shared" si="2"/>
        <v>35712</v>
      </c>
      <c r="AD381" s="30">
        <f t="shared" si="3"/>
        <v>8.06</v>
      </c>
      <c r="AE381" s="30">
        <f t="shared" si="10"/>
        <v>2031.12</v>
      </c>
      <c r="AF381" s="30">
        <f t="shared" si="5"/>
        <v>3938.713616</v>
      </c>
      <c r="AG381" s="34">
        <v>1.0</v>
      </c>
      <c r="AH381" s="36"/>
      <c r="AI381" s="30">
        <f t="shared" si="6"/>
        <v>3278.688525</v>
      </c>
      <c r="AJ381" s="17">
        <v>4000.0</v>
      </c>
      <c r="AK381" s="30">
        <f t="shared" si="7"/>
        <v>6557.377049</v>
      </c>
      <c r="AL381" s="20">
        <f t="shared" si="8"/>
        <v>8000</v>
      </c>
    </row>
    <row r="382">
      <c r="A382" s="16" t="s">
        <v>1662</v>
      </c>
      <c r="B382" s="17" t="s">
        <v>165</v>
      </c>
      <c r="C382" s="17" t="s">
        <v>169</v>
      </c>
      <c r="D382" s="17" t="s">
        <v>1472</v>
      </c>
      <c r="E382" s="17" t="s">
        <v>1473</v>
      </c>
      <c r="F382" s="17" t="s">
        <v>103</v>
      </c>
      <c r="G382" s="19">
        <v>46176.0</v>
      </c>
      <c r="H382" s="17" t="s">
        <v>104</v>
      </c>
      <c r="I382" s="20" t="s">
        <v>1663</v>
      </c>
      <c r="J382" s="21" t="s">
        <v>1664</v>
      </c>
      <c r="K382" s="22" t="s">
        <v>1665</v>
      </c>
      <c r="L382" s="22" t="s">
        <v>1666</v>
      </c>
      <c r="M382" s="17">
        <v>2007.0</v>
      </c>
      <c r="N382" s="17">
        <v>10.0</v>
      </c>
      <c r="O382" s="23">
        <v>280.0</v>
      </c>
      <c r="P382" s="24">
        <f t="shared" si="11"/>
        <v>784</v>
      </c>
      <c r="Q382" s="25">
        <v>4.0</v>
      </c>
      <c r="R382" s="17">
        <v>4.0</v>
      </c>
      <c r="S382" s="26">
        <v>6.0</v>
      </c>
      <c r="T382" s="17">
        <v>0.0</v>
      </c>
      <c r="U382" s="17">
        <v>6.0</v>
      </c>
      <c r="V382" s="17" t="s">
        <v>130</v>
      </c>
      <c r="W382" s="28" t="s">
        <v>76</v>
      </c>
      <c r="X382" s="28" t="s">
        <v>78</v>
      </c>
      <c r="Y382" s="24">
        <v>10.0</v>
      </c>
      <c r="Z382" s="17">
        <v>150.0</v>
      </c>
      <c r="AA382" s="17">
        <v>576.0</v>
      </c>
      <c r="AB382" s="17">
        <v>31.0</v>
      </c>
      <c r="AC382" s="20">
        <f t="shared" si="2"/>
        <v>71424</v>
      </c>
      <c r="AD382" s="30">
        <f t="shared" si="3"/>
        <v>5.373333333</v>
      </c>
      <c r="AE382" s="30">
        <f t="shared" si="10"/>
        <v>4212.693333</v>
      </c>
      <c r="AF382" s="30">
        <f t="shared" si="5"/>
        <v>3798.045273</v>
      </c>
      <c r="AG382" s="34">
        <v>1.0</v>
      </c>
      <c r="AH382" s="36"/>
      <c r="AI382" s="30">
        <f t="shared" si="6"/>
        <v>3278.688525</v>
      </c>
      <c r="AJ382" s="17">
        <v>4000.0</v>
      </c>
      <c r="AK382" s="30">
        <f t="shared" si="7"/>
        <v>13114.7541</v>
      </c>
      <c r="AL382" s="20">
        <f t="shared" si="8"/>
        <v>16000</v>
      </c>
    </row>
    <row r="383">
      <c r="A383" s="16" t="s">
        <v>1662</v>
      </c>
      <c r="B383" s="17" t="s">
        <v>165</v>
      </c>
      <c r="C383" s="17" t="s">
        <v>169</v>
      </c>
      <c r="D383" s="17" t="s">
        <v>1472</v>
      </c>
      <c r="E383" s="17" t="s">
        <v>1473</v>
      </c>
      <c r="F383" s="17" t="s">
        <v>103</v>
      </c>
      <c r="G383" s="19">
        <v>46176.0</v>
      </c>
      <c r="H383" s="17" t="s">
        <v>104</v>
      </c>
      <c r="I383" s="20" t="s">
        <v>1663</v>
      </c>
      <c r="J383" s="21" t="s">
        <v>1664</v>
      </c>
      <c r="K383" s="22" t="s">
        <v>1665</v>
      </c>
      <c r="L383" s="22" t="s">
        <v>1666</v>
      </c>
      <c r="M383" s="17">
        <v>2007.0</v>
      </c>
      <c r="N383" s="17">
        <v>10.0</v>
      </c>
      <c r="O383" s="23">
        <v>280.0</v>
      </c>
      <c r="P383" s="24">
        <f t="shared" si="11"/>
        <v>784</v>
      </c>
      <c r="Q383" s="25">
        <v>2.0</v>
      </c>
      <c r="R383" s="17">
        <v>2.0</v>
      </c>
      <c r="S383" s="26">
        <v>6.0</v>
      </c>
      <c r="T383" s="17">
        <v>0.0</v>
      </c>
      <c r="U383" s="17">
        <v>6.0</v>
      </c>
      <c r="V383" s="17" t="s">
        <v>75</v>
      </c>
      <c r="W383" s="28" t="s">
        <v>76</v>
      </c>
      <c r="X383" s="28" t="s">
        <v>78</v>
      </c>
      <c r="Y383" s="24">
        <v>10.0</v>
      </c>
      <c r="Z383" s="17">
        <v>150.0</v>
      </c>
      <c r="AA383" s="17">
        <v>576.0</v>
      </c>
      <c r="AB383" s="17">
        <v>31.0</v>
      </c>
      <c r="AC383" s="20">
        <f t="shared" si="2"/>
        <v>35712</v>
      </c>
      <c r="AD383" s="30">
        <f t="shared" si="3"/>
        <v>2.686666667</v>
      </c>
      <c r="AE383" s="30">
        <f t="shared" si="10"/>
        <v>2106.346667</v>
      </c>
      <c r="AF383" s="30">
        <f t="shared" si="5"/>
        <v>3798.045273</v>
      </c>
      <c r="AG383" s="34">
        <v>1.0</v>
      </c>
      <c r="AH383" s="36"/>
      <c r="AI383" s="30">
        <f t="shared" si="6"/>
        <v>3278.688525</v>
      </c>
      <c r="AJ383" s="17">
        <v>4000.0</v>
      </c>
      <c r="AK383" s="30">
        <f t="shared" si="7"/>
        <v>6557.377049</v>
      </c>
      <c r="AL383" s="20">
        <f t="shared" si="8"/>
        <v>8000</v>
      </c>
    </row>
    <row r="384">
      <c r="A384" s="16" t="s">
        <v>1667</v>
      </c>
      <c r="B384" s="17" t="s">
        <v>165</v>
      </c>
      <c r="C384" s="17" t="s">
        <v>169</v>
      </c>
      <c r="D384" s="17" t="s">
        <v>1472</v>
      </c>
      <c r="E384" s="17" t="s">
        <v>1473</v>
      </c>
      <c r="F384" s="17" t="s">
        <v>103</v>
      </c>
      <c r="G384" s="19">
        <v>46164.0</v>
      </c>
      <c r="H384" s="17" t="s">
        <v>104</v>
      </c>
      <c r="I384" s="20" t="s">
        <v>1668</v>
      </c>
      <c r="J384" s="21" t="s">
        <v>1669</v>
      </c>
      <c r="K384" s="22" t="s">
        <v>1670</v>
      </c>
      <c r="L384" s="22" t="s">
        <v>1671</v>
      </c>
      <c r="M384" s="17">
        <v>2013.0</v>
      </c>
      <c r="N384" s="17">
        <v>9.0</v>
      </c>
      <c r="O384" s="23">
        <v>224.0</v>
      </c>
      <c r="P384" s="24">
        <f t="shared" si="11"/>
        <v>627.2</v>
      </c>
      <c r="Q384" s="25">
        <v>6.0</v>
      </c>
      <c r="R384" s="17">
        <v>6.0</v>
      </c>
      <c r="S384" s="26">
        <v>6.0</v>
      </c>
      <c r="T384" s="17">
        <v>0.0</v>
      </c>
      <c r="U384" s="17">
        <v>6.0</v>
      </c>
      <c r="V384" s="17" t="s">
        <v>130</v>
      </c>
      <c r="W384" s="28" t="s">
        <v>76</v>
      </c>
      <c r="X384" s="28" t="s">
        <v>78</v>
      </c>
      <c r="Y384" s="24">
        <v>10.0</v>
      </c>
      <c r="Z384" s="17">
        <v>150.0</v>
      </c>
      <c r="AA384" s="17">
        <v>576.0</v>
      </c>
      <c r="AB384" s="17">
        <v>31.0</v>
      </c>
      <c r="AC384" s="20">
        <f t="shared" si="2"/>
        <v>107136</v>
      </c>
      <c r="AD384" s="30">
        <f t="shared" si="3"/>
        <v>8.06</v>
      </c>
      <c r="AE384" s="30">
        <f t="shared" si="10"/>
        <v>5055.232</v>
      </c>
      <c r="AF384" s="30">
        <f t="shared" si="5"/>
        <v>4747.556591</v>
      </c>
      <c r="AG384" s="34">
        <v>1.0</v>
      </c>
      <c r="AH384" s="36"/>
      <c r="AI384" s="30">
        <f t="shared" si="6"/>
        <v>3278.688525</v>
      </c>
      <c r="AJ384" s="17">
        <v>4000.0</v>
      </c>
      <c r="AK384" s="30">
        <f t="shared" si="7"/>
        <v>19672.13115</v>
      </c>
      <c r="AL384" s="20">
        <f t="shared" si="8"/>
        <v>24000</v>
      </c>
    </row>
    <row r="385">
      <c r="A385" s="16" t="s">
        <v>1672</v>
      </c>
      <c r="B385" s="17" t="s">
        <v>165</v>
      </c>
      <c r="C385" s="17" t="s">
        <v>169</v>
      </c>
      <c r="D385" s="17" t="s">
        <v>1472</v>
      </c>
      <c r="E385" s="17" t="s">
        <v>1473</v>
      </c>
      <c r="F385" s="17" t="s">
        <v>103</v>
      </c>
      <c r="G385" s="19">
        <v>46176.0</v>
      </c>
      <c r="H385" s="17" t="s">
        <v>104</v>
      </c>
      <c r="I385" s="20" t="s">
        <v>1673</v>
      </c>
      <c r="J385" s="21" t="s">
        <v>1664</v>
      </c>
      <c r="K385" s="22" t="s">
        <v>1665</v>
      </c>
      <c r="L385" s="22" t="s">
        <v>1666</v>
      </c>
      <c r="M385" s="17">
        <v>2007.0</v>
      </c>
      <c r="N385" s="17">
        <v>10.0</v>
      </c>
      <c r="O385" s="23">
        <v>280.0</v>
      </c>
      <c r="P385" s="24">
        <f t="shared" si="11"/>
        <v>784</v>
      </c>
      <c r="Q385" s="25">
        <v>6.0</v>
      </c>
      <c r="R385" s="17">
        <v>0.0</v>
      </c>
      <c r="S385" s="26">
        <v>6.0</v>
      </c>
      <c r="T385" s="17">
        <v>6.0</v>
      </c>
      <c r="U385" s="17">
        <v>6.0</v>
      </c>
      <c r="V385" s="17" t="s">
        <v>130</v>
      </c>
      <c r="W385" s="28" t="s">
        <v>76</v>
      </c>
      <c r="X385" s="28" t="s">
        <v>78</v>
      </c>
      <c r="Y385" s="24">
        <v>10.0</v>
      </c>
      <c r="Z385" s="17">
        <v>150.0</v>
      </c>
      <c r="AA385" s="17">
        <v>576.0</v>
      </c>
      <c r="AB385" s="17">
        <v>31.0</v>
      </c>
      <c r="AC385" s="20">
        <f t="shared" si="2"/>
        <v>107136</v>
      </c>
      <c r="AD385" s="30">
        <f t="shared" si="3"/>
        <v>10.74666667</v>
      </c>
      <c r="AE385" s="30">
        <f t="shared" si="10"/>
        <v>8425.386667</v>
      </c>
      <c r="AF385" s="30">
        <f t="shared" si="5"/>
        <v>2848.533955</v>
      </c>
      <c r="AG385" s="34">
        <v>1.0</v>
      </c>
      <c r="AH385" s="36"/>
      <c r="AI385" s="30">
        <f t="shared" si="6"/>
        <v>3278.688525</v>
      </c>
      <c r="AJ385" s="17">
        <v>4000.0</v>
      </c>
      <c r="AK385" s="30">
        <f t="shared" si="7"/>
        <v>19672.13115</v>
      </c>
      <c r="AL385" s="20">
        <f t="shared" si="8"/>
        <v>24000</v>
      </c>
    </row>
    <row r="386">
      <c r="A386" s="16" t="s">
        <v>1674</v>
      </c>
      <c r="B386" s="17" t="s">
        <v>165</v>
      </c>
      <c r="C386" s="17" t="s">
        <v>169</v>
      </c>
      <c r="D386" s="17" t="s">
        <v>162</v>
      </c>
      <c r="E386" s="96" t="s">
        <v>1514</v>
      </c>
      <c r="F386" s="17" t="s">
        <v>103</v>
      </c>
      <c r="G386" s="19">
        <v>46164.0</v>
      </c>
      <c r="H386" s="17" t="s">
        <v>65</v>
      </c>
      <c r="I386" s="20" t="s">
        <v>1675</v>
      </c>
      <c r="J386" s="21" t="s">
        <v>1676</v>
      </c>
      <c r="K386" s="22" t="s">
        <v>1677</v>
      </c>
      <c r="L386" s="22" t="s">
        <v>1678</v>
      </c>
      <c r="M386" s="17">
        <v>2010.0</v>
      </c>
      <c r="N386" s="17">
        <v>10.0</v>
      </c>
      <c r="O386" s="23">
        <v>244.0</v>
      </c>
      <c r="P386" s="24">
        <f t="shared" si="11"/>
        <v>683.2</v>
      </c>
      <c r="Q386" s="25">
        <v>7.0</v>
      </c>
      <c r="R386" s="17">
        <v>0.0</v>
      </c>
      <c r="S386" s="26">
        <v>7.0</v>
      </c>
      <c r="T386" s="17">
        <v>7.0</v>
      </c>
      <c r="U386" s="17">
        <v>7.0</v>
      </c>
      <c r="V386" s="17" t="s">
        <v>130</v>
      </c>
      <c r="W386" s="28" t="s">
        <v>76</v>
      </c>
      <c r="X386" s="28" t="s">
        <v>78</v>
      </c>
      <c r="Y386" s="24">
        <v>10.0</v>
      </c>
      <c r="Z386" s="17">
        <v>150.0</v>
      </c>
      <c r="AA386" s="17">
        <v>576.0</v>
      </c>
      <c r="AB386" s="17">
        <v>31.0</v>
      </c>
      <c r="AC386" s="20">
        <f t="shared" si="2"/>
        <v>124992</v>
      </c>
      <c r="AD386" s="30">
        <f t="shared" si="3"/>
        <v>10.74666667</v>
      </c>
      <c r="AE386" s="30">
        <f t="shared" si="10"/>
        <v>7342.122667</v>
      </c>
      <c r="AF386" s="30">
        <f t="shared" si="5"/>
        <v>3813.611032</v>
      </c>
      <c r="AG386" s="34">
        <v>1.0</v>
      </c>
      <c r="AH386" s="36"/>
      <c r="AI386" s="30">
        <f t="shared" si="6"/>
        <v>3278.688525</v>
      </c>
      <c r="AJ386" s="17">
        <v>4000.0</v>
      </c>
      <c r="AK386" s="30">
        <f t="shared" si="7"/>
        <v>22950.81967</v>
      </c>
      <c r="AL386" s="20">
        <f t="shared" si="8"/>
        <v>28000</v>
      </c>
    </row>
    <row r="387">
      <c r="A387" s="16" t="s">
        <v>1679</v>
      </c>
      <c r="B387" s="17" t="s">
        <v>165</v>
      </c>
      <c r="C387" s="17" t="s">
        <v>169</v>
      </c>
      <c r="D387" s="17" t="s">
        <v>1472</v>
      </c>
      <c r="E387" s="17" t="s">
        <v>1473</v>
      </c>
      <c r="F387" s="17" t="s">
        <v>103</v>
      </c>
      <c r="G387" s="19">
        <v>46164.0</v>
      </c>
      <c r="H387" s="17" t="s">
        <v>65</v>
      </c>
      <c r="I387" s="20" t="s">
        <v>1680</v>
      </c>
      <c r="J387" s="21" t="s">
        <v>1681</v>
      </c>
      <c r="K387" s="22" t="s">
        <v>1682</v>
      </c>
      <c r="L387" s="22" t="s">
        <v>1683</v>
      </c>
      <c r="M387" s="17">
        <v>2010.0</v>
      </c>
      <c r="N387" s="17">
        <v>17.0</v>
      </c>
      <c r="O387" s="23">
        <v>194.0</v>
      </c>
      <c r="P387" s="24">
        <f t="shared" si="11"/>
        <v>543.2</v>
      </c>
      <c r="Q387" s="25">
        <v>4.0</v>
      </c>
      <c r="R387" s="17">
        <v>0.0</v>
      </c>
      <c r="S387" s="26">
        <v>2.0</v>
      </c>
      <c r="T387" s="17">
        <v>4.0</v>
      </c>
      <c r="U387" s="17">
        <v>4.0</v>
      </c>
      <c r="V387" s="17" t="s">
        <v>130</v>
      </c>
      <c r="W387" s="28" t="s">
        <v>76</v>
      </c>
      <c r="X387" s="28" t="s">
        <v>78</v>
      </c>
      <c r="Y387" s="24">
        <v>10.0</v>
      </c>
      <c r="Z387" s="17">
        <v>150.0</v>
      </c>
      <c r="AA387" s="17">
        <v>576.0</v>
      </c>
      <c r="AB387" s="17">
        <v>31.0</v>
      </c>
      <c r="AC387" s="20">
        <f t="shared" si="2"/>
        <v>71424</v>
      </c>
      <c r="AD387" s="30">
        <f t="shared" si="3"/>
        <v>18.26933333</v>
      </c>
      <c r="AE387" s="30">
        <f t="shared" si="10"/>
        <v>9923.901867</v>
      </c>
      <c r="AF387" s="30">
        <f t="shared" si="5"/>
        <v>1612.269067</v>
      </c>
      <c r="AG387" s="34">
        <v>1.0</v>
      </c>
      <c r="AH387" s="36"/>
      <c r="AI387" s="30">
        <f t="shared" si="6"/>
        <v>3278.688525</v>
      </c>
      <c r="AJ387" s="17">
        <v>4000.0</v>
      </c>
      <c r="AK387" s="30">
        <f t="shared" si="7"/>
        <v>13114.7541</v>
      </c>
      <c r="AL387" s="20">
        <f t="shared" si="8"/>
        <v>16000</v>
      </c>
    </row>
    <row r="388">
      <c r="A388" s="16" t="s">
        <v>1679</v>
      </c>
      <c r="B388" s="17" t="s">
        <v>165</v>
      </c>
      <c r="C388" s="17" t="s">
        <v>169</v>
      </c>
      <c r="D388" s="17" t="s">
        <v>1472</v>
      </c>
      <c r="E388" s="17" t="s">
        <v>1473</v>
      </c>
      <c r="F388" s="17" t="s">
        <v>103</v>
      </c>
      <c r="G388" s="19">
        <v>46164.0</v>
      </c>
      <c r="H388" s="17" t="s">
        <v>65</v>
      </c>
      <c r="I388" s="20" t="s">
        <v>1680</v>
      </c>
      <c r="J388" s="21" t="s">
        <v>1684</v>
      </c>
      <c r="K388" s="22" t="s">
        <v>1685</v>
      </c>
      <c r="L388" s="22" t="s">
        <v>1686</v>
      </c>
      <c r="M388" s="17">
        <v>2010.0</v>
      </c>
      <c r="N388" s="17">
        <v>11.0</v>
      </c>
      <c r="O388" s="23">
        <v>32.0</v>
      </c>
      <c r="P388" s="24">
        <f t="shared" si="11"/>
        <v>89.6</v>
      </c>
      <c r="Q388" s="25">
        <v>1.0</v>
      </c>
      <c r="R388" s="17">
        <v>0.0</v>
      </c>
      <c r="S388" s="26">
        <v>1.0</v>
      </c>
      <c r="T388" s="17">
        <v>1.0</v>
      </c>
      <c r="U388" s="17">
        <v>1.0</v>
      </c>
      <c r="V388" s="17" t="s">
        <v>130</v>
      </c>
      <c r="W388" s="28" t="s">
        <v>76</v>
      </c>
      <c r="X388" s="28" t="s">
        <v>78</v>
      </c>
      <c r="Y388" s="24">
        <v>10.0</v>
      </c>
      <c r="Z388" s="17">
        <v>150.0</v>
      </c>
      <c r="AA388" s="17">
        <v>576.0</v>
      </c>
      <c r="AB388" s="17">
        <v>31.0</v>
      </c>
      <c r="AC388" s="20">
        <f t="shared" si="2"/>
        <v>17856</v>
      </c>
      <c r="AD388" s="30">
        <f t="shared" si="3"/>
        <v>11.82133333</v>
      </c>
      <c r="AE388" s="30">
        <f t="shared" si="10"/>
        <v>1059.191467</v>
      </c>
      <c r="AF388" s="30">
        <f t="shared" si="5"/>
        <v>3776.46547</v>
      </c>
      <c r="AG388" s="34">
        <v>1.0</v>
      </c>
      <c r="AH388" s="36"/>
      <c r="AI388" s="30">
        <f t="shared" si="6"/>
        <v>3278.688525</v>
      </c>
      <c r="AJ388" s="17">
        <v>4000.0</v>
      </c>
      <c r="AK388" s="30">
        <f t="shared" si="7"/>
        <v>3278.688525</v>
      </c>
      <c r="AL388" s="20">
        <f t="shared" si="8"/>
        <v>4000</v>
      </c>
    </row>
    <row r="389">
      <c r="A389" s="16" t="s">
        <v>1687</v>
      </c>
      <c r="B389" s="17" t="s">
        <v>165</v>
      </c>
      <c r="C389" s="17" t="s">
        <v>169</v>
      </c>
      <c r="D389" s="17" t="s">
        <v>1375</v>
      </c>
      <c r="E389" s="54" t="s">
        <v>1375</v>
      </c>
      <c r="F389" s="17" t="s">
        <v>103</v>
      </c>
      <c r="G389" s="19">
        <v>46177.0</v>
      </c>
      <c r="H389" s="17" t="s">
        <v>104</v>
      </c>
      <c r="I389" s="20" t="s">
        <v>1688</v>
      </c>
      <c r="J389" s="21" t="s">
        <v>1689</v>
      </c>
      <c r="K389" s="22" t="s">
        <v>1690</v>
      </c>
      <c r="L389" s="22" t="s">
        <v>1691</v>
      </c>
      <c r="M389" s="17">
        <v>2024.0</v>
      </c>
      <c r="N389" s="17">
        <v>16.0</v>
      </c>
      <c r="O389" s="23">
        <v>180.0</v>
      </c>
      <c r="P389" s="24">
        <f t="shared" si="11"/>
        <v>504</v>
      </c>
      <c r="Q389" s="25">
        <v>4.0</v>
      </c>
      <c r="R389" s="17">
        <v>0.0</v>
      </c>
      <c r="S389" s="26">
        <v>3.0</v>
      </c>
      <c r="T389" s="17">
        <v>4.0</v>
      </c>
      <c r="U389" s="17">
        <v>6.0</v>
      </c>
      <c r="V389" s="17" t="s">
        <v>130</v>
      </c>
      <c r="W389" s="28" t="s">
        <v>76</v>
      </c>
      <c r="X389" s="28" t="s">
        <v>78</v>
      </c>
      <c r="Y389" s="24">
        <v>10.0</v>
      </c>
      <c r="Z389" s="17">
        <v>150.0</v>
      </c>
      <c r="AA389" s="17">
        <v>576.0</v>
      </c>
      <c r="AB389" s="17">
        <v>31.0</v>
      </c>
      <c r="AC389" s="20">
        <f t="shared" si="2"/>
        <v>71424</v>
      </c>
      <c r="AD389" s="30">
        <f t="shared" si="3"/>
        <v>11.46311111</v>
      </c>
      <c r="AE389" s="30">
        <f t="shared" si="10"/>
        <v>5777.408</v>
      </c>
      <c r="AF389" s="30">
        <f t="shared" si="5"/>
        <v>2769.408011</v>
      </c>
      <c r="AG389" s="34">
        <v>1.0</v>
      </c>
      <c r="AH389" s="36"/>
      <c r="AI389" s="30">
        <f t="shared" si="6"/>
        <v>3278.688525</v>
      </c>
      <c r="AJ389" s="17">
        <v>4000.0</v>
      </c>
      <c r="AK389" s="30">
        <f t="shared" si="7"/>
        <v>13114.7541</v>
      </c>
      <c r="AL389" s="20">
        <f t="shared" si="8"/>
        <v>16000</v>
      </c>
    </row>
    <row r="390">
      <c r="A390" s="16" t="s">
        <v>1692</v>
      </c>
      <c r="B390" s="17" t="s">
        <v>165</v>
      </c>
      <c r="C390" s="17" t="s">
        <v>169</v>
      </c>
      <c r="D390" s="17" t="s">
        <v>1693</v>
      </c>
      <c r="E390" s="17" t="s">
        <v>1693</v>
      </c>
      <c r="F390" s="17" t="s">
        <v>103</v>
      </c>
      <c r="G390" s="19">
        <v>46181.0</v>
      </c>
      <c r="H390" s="17" t="s">
        <v>118</v>
      </c>
      <c r="I390" s="20" t="s">
        <v>1694</v>
      </c>
      <c r="J390" s="21" t="s">
        <v>1695</v>
      </c>
      <c r="K390" s="22" t="s">
        <v>1696</v>
      </c>
      <c r="L390" s="22" t="s">
        <v>1697</v>
      </c>
      <c r="M390" s="17">
        <v>2010.0</v>
      </c>
      <c r="N390" s="17">
        <v>17.0</v>
      </c>
      <c r="O390" s="23">
        <v>160.0</v>
      </c>
      <c r="P390" s="24">
        <f t="shared" si="11"/>
        <v>448</v>
      </c>
      <c r="Q390" s="25">
        <v>4.0</v>
      </c>
      <c r="R390" s="17">
        <v>0.0</v>
      </c>
      <c r="S390" s="26">
        <v>2.0</v>
      </c>
      <c r="T390" s="17">
        <v>4.0</v>
      </c>
      <c r="U390" s="17">
        <v>4.0</v>
      </c>
      <c r="V390" s="17" t="s">
        <v>130</v>
      </c>
      <c r="W390" s="28" t="s">
        <v>76</v>
      </c>
      <c r="X390" s="28" t="s">
        <v>78</v>
      </c>
      <c r="Y390" s="24">
        <v>10.0</v>
      </c>
      <c r="Z390" s="17">
        <v>150.0</v>
      </c>
      <c r="AA390" s="17">
        <v>576.0</v>
      </c>
      <c r="AB390" s="17">
        <v>31.0</v>
      </c>
      <c r="AC390" s="20">
        <f t="shared" si="2"/>
        <v>71424</v>
      </c>
      <c r="AD390" s="30">
        <f t="shared" si="3"/>
        <v>18.26933333</v>
      </c>
      <c r="AE390" s="30">
        <f t="shared" si="10"/>
        <v>8184.661333</v>
      </c>
      <c r="AF390" s="30">
        <f t="shared" si="5"/>
        <v>1954.876243</v>
      </c>
      <c r="AG390" s="34">
        <v>1.0</v>
      </c>
      <c r="AH390" s="36"/>
      <c r="AI390" s="30">
        <f t="shared" si="6"/>
        <v>3278.688525</v>
      </c>
      <c r="AJ390" s="17">
        <v>4000.0</v>
      </c>
      <c r="AK390" s="30">
        <f t="shared" si="7"/>
        <v>13114.7541</v>
      </c>
      <c r="AL390" s="20">
        <f t="shared" si="8"/>
        <v>16000</v>
      </c>
    </row>
    <row r="391">
      <c r="A391" s="16" t="s">
        <v>1698</v>
      </c>
      <c r="B391" s="17" t="s">
        <v>165</v>
      </c>
      <c r="C391" s="17" t="s">
        <v>169</v>
      </c>
      <c r="D391" s="17" t="s">
        <v>1693</v>
      </c>
      <c r="E391" s="17" t="s">
        <v>1693</v>
      </c>
      <c r="F391" s="17" t="s">
        <v>103</v>
      </c>
      <c r="G391" s="19">
        <v>46188.0</v>
      </c>
      <c r="H391" s="17" t="s">
        <v>118</v>
      </c>
      <c r="I391" s="20" t="s">
        <v>1699</v>
      </c>
      <c r="J391" s="21" t="s">
        <v>1700</v>
      </c>
      <c r="K391" s="22" t="s">
        <v>1701</v>
      </c>
      <c r="L391" s="22" t="s">
        <v>1702</v>
      </c>
      <c r="M391" s="17">
        <v>2010.0</v>
      </c>
      <c r="N391" s="17">
        <v>17.0</v>
      </c>
      <c r="O391" s="23">
        <v>160.0</v>
      </c>
      <c r="P391" s="24">
        <f t="shared" si="11"/>
        <v>448</v>
      </c>
      <c r="Q391" s="25">
        <v>4.0</v>
      </c>
      <c r="R391" s="17">
        <v>0.0</v>
      </c>
      <c r="S391" s="26">
        <v>2.0</v>
      </c>
      <c r="T391" s="17">
        <v>4.0</v>
      </c>
      <c r="U391" s="17">
        <v>4.0</v>
      </c>
      <c r="V391" s="17" t="s">
        <v>130</v>
      </c>
      <c r="W391" s="28" t="s">
        <v>76</v>
      </c>
      <c r="X391" s="28" t="s">
        <v>78</v>
      </c>
      <c r="Y391" s="24">
        <v>10.0</v>
      </c>
      <c r="Z391" s="17">
        <v>150.0</v>
      </c>
      <c r="AA391" s="17">
        <v>576.0</v>
      </c>
      <c r="AB391" s="17">
        <v>31.0</v>
      </c>
      <c r="AC391" s="20">
        <f t="shared" si="2"/>
        <v>71424</v>
      </c>
      <c r="AD391" s="30">
        <f t="shared" si="3"/>
        <v>18.26933333</v>
      </c>
      <c r="AE391" s="30">
        <f t="shared" si="10"/>
        <v>8184.661333</v>
      </c>
      <c r="AF391" s="30">
        <f t="shared" si="5"/>
        <v>1954.876243</v>
      </c>
      <c r="AG391" s="34">
        <v>1.0</v>
      </c>
      <c r="AH391" s="36"/>
      <c r="AI391" s="30">
        <f t="shared" si="6"/>
        <v>3278.688525</v>
      </c>
      <c r="AJ391" s="17">
        <v>4000.0</v>
      </c>
      <c r="AK391" s="30">
        <f t="shared" si="7"/>
        <v>13114.7541</v>
      </c>
      <c r="AL391" s="20">
        <f t="shared" si="8"/>
        <v>16000</v>
      </c>
    </row>
    <row r="392">
      <c r="A392" s="16" t="s">
        <v>1698</v>
      </c>
      <c r="B392" s="17" t="s">
        <v>165</v>
      </c>
      <c r="C392" s="17" t="s">
        <v>169</v>
      </c>
      <c r="D392" s="17" t="s">
        <v>1693</v>
      </c>
      <c r="E392" s="17" t="s">
        <v>1693</v>
      </c>
      <c r="F392" s="17" t="s">
        <v>103</v>
      </c>
      <c r="G392" s="19">
        <v>46188.0</v>
      </c>
      <c r="H392" s="17" t="s">
        <v>118</v>
      </c>
      <c r="I392" s="20" t="s">
        <v>1699</v>
      </c>
      <c r="J392" s="21" t="s">
        <v>1703</v>
      </c>
      <c r="K392" s="22" t="s">
        <v>1704</v>
      </c>
      <c r="L392" s="22" t="s">
        <v>1705</v>
      </c>
      <c r="M392" s="17">
        <v>2009.0</v>
      </c>
      <c r="N392" s="17">
        <v>17.0</v>
      </c>
      <c r="O392" s="23">
        <v>160.0</v>
      </c>
      <c r="P392" s="24">
        <f t="shared" si="11"/>
        <v>448</v>
      </c>
      <c r="Q392" s="25">
        <v>4.0</v>
      </c>
      <c r="R392" s="17">
        <v>0.0</v>
      </c>
      <c r="S392" s="26">
        <v>2.0</v>
      </c>
      <c r="T392" s="17">
        <v>4.0</v>
      </c>
      <c r="U392" s="17">
        <v>4.0</v>
      </c>
      <c r="V392" s="17" t="s">
        <v>130</v>
      </c>
      <c r="W392" s="28" t="s">
        <v>76</v>
      </c>
      <c r="X392" s="28" t="s">
        <v>78</v>
      </c>
      <c r="Y392" s="24">
        <v>10.0</v>
      </c>
      <c r="Z392" s="17">
        <v>150.0</v>
      </c>
      <c r="AA392" s="17">
        <v>576.0</v>
      </c>
      <c r="AB392" s="17">
        <v>31.0</v>
      </c>
      <c r="AC392" s="20">
        <f t="shared" si="2"/>
        <v>71424</v>
      </c>
      <c r="AD392" s="30">
        <f t="shared" si="3"/>
        <v>18.26933333</v>
      </c>
      <c r="AE392" s="30">
        <f t="shared" si="10"/>
        <v>8184.661333</v>
      </c>
      <c r="AF392" s="30">
        <f t="shared" si="5"/>
        <v>1954.876243</v>
      </c>
      <c r="AG392" s="34">
        <v>1.0</v>
      </c>
      <c r="AH392" s="36"/>
      <c r="AI392" s="30">
        <f t="shared" si="6"/>
        <v>3278.688525</v>
      </c>
      <c r="AJ392" s="17">
        <v>4000.0</v>
      </c>
      <c r="AK392" s="30">
        <f t="shared" si="7"/>
        <v>13114.7541</v>
      </c>
      <c r="AL392" s="20">
        <f t="shared" si="8"/>
        <v>16000</v>
      </c>
    </row>
    <row r="393">
      <c r="A393" s="16" t="s">
        <v>1706</v>
      </c>
      <c r="B393" s="17" t="s">
        <v>165</v>
      </c>
      <c r="C393" s="17" t="s">
        <v>169</v>
      </c>
      <c r="D393" s="17" t="s">
        <v>1693</v>
      </c>
      <c r="E393" s="17" t="s">
        <v>1693</v>
      </c>
      <c r="F393" s="17" t="s">
        <v>103</v>
      </c>
      <c r="G393" s="19">
        <v>46188.0</v>
      </c>
      <c r="H393" s="17" t="s">
        <v>118</v>
      </c>
      <c r="I393" s="20" t="s">
        <v>1707</v>
      </c>
      <c r="J393" s="21" t="s">
        <v>1708</v>
      </c>
      <c r="K393" s="22" t="s">
        <v>1709</v>
      </c>
      <c r="L393" s="22" t="s">
        <v>1710</v>
      </c>
      <c r="M393" s="17">
        <v>2008.0</v>
      </c>
      <c r="N393" s="17">
        <v>17.0</v>
      </c>
      <c r="O393" s="23">
        <v>160.0</v>
      </c>
      <c r="P393" s="24">
        <f t="shared" si="11"/>
        <v>448</v>
      </c>
      <c r="Q393" s="25">
        <v>4.0</v>
      </c>
      <c r="R393" s="17">
        <v>0.0</v>
      </c>
      <c r="S393" s="26">
        <v>2.0</v>
      </c>
      <c r="T393" s="17">
        <v>4.0</v>
      </c>
      <c r="U393" s="17">
        <v>4.0</v>
      </c>
      <c r="V393" s="17" t="s">
        <v>130</v>
      </c>
      <c r="W393" s="28" t="s">
        <v>76</v>
      </c>
      <c r="X393" s="28" t="s">
        <v>78</v>
      </c>
      <c r="Y393" s="24">
        <v>10.0</v>
      </c>
      <c r="Z393" s="17">
        <v>150.0</v>
      </c>
      <c r="AA393" s="17">
        <v>576.0</v>
      </c>
      <c r="AB393" s="17">
        <v>31.0</v>
      </c>
      <c r="AC393" s="20">
        <f t="shared" si="2"/>
        <v>71424</v>
      </c>
      <c r="AD393" s="30">
        <f t="shared" si="3"/>
        <v>18.26933333</v>
      </c>
      <c r="AE393" s="30">
        <f t="shared" si="10"/>
        <v>8184.661333</v>
      </c>
      <c r="AF393" s="30">
        <f t="shared" si="5"/>
        <v>1954.876243</v>
      </c>
      <c r="AG393" s="34">
        <v>1.0</v>
      </c>
      <c r="AH393" s="36"/>
      <c r="AI393" s="30">
        <f t="shared" si="6"/>
        <v>3278.688525</v>
      </c>
      <c r="AJ393" s="17">
        <v>4000.0</v>
      </c>
      <c r="AK393" s="30">
        <f t="shared" si="7"/>
        <v>13114.7541</v>
      </c>
      <c r="AL393" s="20">
        <f t="shared" si="8"/>
        <v>16000</v>
      </c>
    </row>
    <row r="394">
      <c r="A394" s="16" t="s">
        <v>1711</v>
      </c>
      <c r="B394" s="17" t="s">
        <v>165</v>
      </c>
      <c r="C394" s="17" t="s">
        <v>169</v>
      </c>
      <c r="D394" s="17" t="s">
        <v>1693</v>
      </c>
      <c r="E394" s="17" t="s">
        <v>1693</v>
      </c>
      <c r="F394" s="17" t="s">
        <v>103</v>
      </c>
      <c r="G394" s="19">
        <v>46188.0</v>
      </c>
      <c r="H394" s="17" t="s">
        <v>118</v>
      </c>
      <c r="I394" s="20" t="s">
        <v>1707</v>
      </c>
      <c r="J394" s="21" t="s">
        <v>1712</v>
      </c>
      <c r="K394" s="22" t="s">
        <v>1713</v>
      </c>
      <c r="L394" s="22" t="s">
        <v>1714</v>
      </c>
      <c r="M394" s="17">
        <v>2009.0</v>
      </c>
      <c r="N394" s="17">
        <v>17.0</v>
      </c>
      <c r="O394" s="23">
        <v>160.0</v>
      </c>
      <c r="P394" s="24">
        <f t="shared" si="11"/>
        <v>448</v>
      </c>
      <c r="Q394" s="25">
        <v>4.0</v>
      </c>
      <c r="R394" s="17">
        <v>0.0</v>
      </c>
      <c r="S394" s="26">
        <v>2.0</v>
      </c>
      <c r="T394" s="17">
        <v>4.0</v>
      </c>
      <c r="U394" s="17">
        <v>4.0</v>
      </c>
      <c r="V394" s="17" t="s">
        <v>130</v>
      </c>
      <c r="W394" s="28" t="s">
        <v>76</v>
      </c>
      <c r="X394" s="28" t="s">
        <v>78</v>
      </c>
      <c r="Y394" s="24">
        <v>10.0</v>
      </c>
      <c r="Z394" s="17">
        <v>150.0</v>
      </c>
      <c r="AA394" s="17">
        <v>576.0</v>
      </c>
      <c r="AB394" s="17">
        <v>31.0</v>
      </c>
      <c r="AC394" s="20">
        <f t="shared" si="2"/>
        <v>71424</v>
      </c>
      <c r="AD394" s="30">
        <f t="shared" si="3"/>
        <v>18.26933333</v>
      </c>
      <c r="AE394" s="30">
        <f t="shared" si="10"/>
        <v>8184.661333</v>
      </c>
      <c r="AF394" s="30">
        <f t="shared" si="5"/>
        <v>1954.876243</v>
      </c>
      <c r="AG394" s="34">
        <v>1.0</v>
      </c>
      <c r="AH394" s="36"/>
      <c r="AI394" s="30">
        <f t="shared" si="6"/>
        <v>3278.688525</v>
      </c>
      <c r="AJ394" s="17">
        <v>4000.0</v>
      </c>
      <c r="AK394" s="30">
        <f t="shared" si="7"/>
        <v>13114.7541</v>
      </c>
      <c r="AL394" s="20">
        <f t="shared" si="8"/>
        <v>16000</v>
      </c>
    </row>
    <row r="395">
      <c r="A395" s="16" t="s">
        <v>1715</v>
      </c>
      <c r="B395" s="17" t="s">
        <v>165</v>
      </c>
      <c r="C395" s="17" t="s">
        <v>169</v>
      </c>
      <c r="D395" s="17" t="s">
        <v>1693</v>
      </c>
      <c r="E395" s="17" t="s">
        <v>1693</v>
      </c>
      <c r="F395" s="17" t="s">
        <v>103</v>
      </c>
      <c r="G395" s="19">
        <v>46188.0</v>
      </c>
      <c r="H395" s="17" t="s">
        <v>118</v>
      </c>
      <c r="I395" s="20" t="s">
        <v>1716</v>
      </c>
      <c r="J395" s="21" t="s">
        <v>1717</v>
      </c>
      <c r="K395" s="22" t="s">
        <v>1718</v>
      </c>
      <c r="L395" s="22" t="s">
        <v>1719</v>
      </c>
      <c r="M395" s="17">
        <v>2009.0</v>
      </c>
      <c r="N395" s="17">
        <v>17.0</v>
      </c>
      <c r="O395" s="23">
        <v>160.0</v>
      </c>
      <c r="P395" s="24">
        <f t="shared" si="11"/>
        <v>448</v>
      </c>
      <c r="Q395" s="25">
        <v>4.0</v>
      </c>
      <c r="R395" s="17">
        <v>0.0</v>
      </c>
      <c r="S395" s="26">
        <v>2.0</v>
      </c>
      <c r="T395" s="17">
        <v>4.0</v>
      </c>
      <c r="U395" s="17">
        <v>4.0</v>
      </c>
      <c r="V395" s="17" t="s">
        <v>130</v>
      </c>
      <c r="W395" s="28" t="s">
        <v>76</v>
      </c>
      <c r="X395" s="28" t="s">
        <v>78</v>
      </c>
      <c r="Y395" s="24">
        <v>10.0</v>
      </c>
      <c r="Z395" s="17">
        <v>150.0</v>
      </c>
      <c r="AA395" s="17">
        <v>576.0</v>
      </c>
      <c r="AB395" s="17">
        <v>31.0</v>
      </c>
      <c r="AC395" s="20">
        <f t="shared" si="2"/>
        <v>71424</v>
      </c>
      <c r="AD395" s="30">
        <f t="shared" si="3"/>
        <v>18.26933333</v>
      </c>
      <c r="AE395" s="30">
        <f t="shared" si="10"/>
        <v>8184.661333</v>
      </c>
      <c r="AF395" s="30">
        <f t="shared" si="5"/>
        <v>1954.876243</v>
      </c>
      <c r="AG395" s="34">
        <v>1.0</v>
      </c>
      <c r="AH395" s="36"/>
      <c r="AI395" s="30">
        <f t="shared" si="6"/>
        <v>3278.688525</v>
      </c>
      <c r="AJ395" s="17">
        <v>4000.0</v>
      </c>
      <c r="AK395" s="30">
        <f t="shared" si="7"/>
        <v>13114.7541</v>
      </c>
      <c r="AL395" s="20">
        <f t="shared" si="8"/>
        <v>16000</v>
      </c>
    </row>
    <row r="396">
      <c r="A396" s="16" t="s">
        <v>1715</v>
      </c>
      <c r="B396" s="17" t="s">
        <v>165</v>
      </c>
      <c r="C396" s="17" t="s">
        <v>169</v>
      </c>
      <c r="D396" s="17" t="s">
        <v>1693</v>
      </c>
      <c r="E396" s="17" t="s">
        <v>1693</v>
      </c>
      <c r="F396" s="17" t="s">
        <v>103</v>
      </c>
      <c r="G396" s="19">
        <v>46188.0</v>
      </c>
      <c r="H396" s="17" t="s">
        <v>118</v>
      </c>
      <c r="I396" s="20" t="s">
        <v>1716</v>
      </c>
      <c r="J396" s="21" t="s">
        <v>1720</v>
      </c>
      <c r="K396" s="22" t="s">
        <v>1721</v>
      </c>
      <c r="L396" s="22" t="s">
        <v>1722</v>
      </c>
      <c r="M396" s="17">
        <v>2009.0</v>
      </c>
      <c r="N396" s="17">
        <v>17.0</v>
      </c>
      <c r="O396" s="23">
        <v>160.0</v>
      </c>
      <c r="P396" s="24">
        <f t="shared" si="11"/>
        <v>448</v>
      </c>
      <c r="Q396" s="25">
        <v>4.0</v>
      </c>
      <c r="R396" s="17">
        <v>0.0</v>
      </c>
      <c r="S396" s="26">
        <v>2.0</v>
      </c>
      <c r="T396" s="17">
        <v>4.0</v>
      </c>
      <c r="U396" s="17">
        <v>4.0</v>
      </c>
      <c r="V396" s="17" t="s">
        <v>130</v>
      </c>
      <c r="W396" s="28" t="s">
        <v>76</v>
      </c>
      <c r="X396" s="28" t="s">
        <v>78</v>
      </c>
      <c r="Y396" s="24">
        <v>10.0</v>
      </c>
      <c r="Z396" s="17">
        <v>150.0</v>
      </c>
      <c r="AA396" s="17">
        <v>576.0</v>
      </c>
      <c r="AB396" s="17">
        <v>31.0</v>
      </c>
      <c r="AC396" s="20">
        <f t="shared" si="2"/>
        <v>71424</v>
      </c>
      <c r="AD396" s="30">
        <f t="shared" si="3"/>
        <v>18.26933333</v>
      </c>
      <c r="AE396" s="30">
        <f t="shared" si="10"/>
        <v>8184.661333</v>
      </c>
      <c r="AF396" s="30">
        <f t="shared" si="5"/>
        <v>1954.876243</v>
      </c>
      <c r="AG396" s="34">
        <v>1.0</v>
      </c>
      <c r="AH396" s="36"/>
      <c r="AI396" s="30">
        <f t="shared" si="6"/>
        <v>3278.688525</v>
      </c>
      <c r="AJ396" s="17">
        <v>4000.0</v>
      </c>
      <c r="AK396" s="30">
        <f t="shared" si="7"/>
        <v>13114.7541</v>
      </c>
      <c r="AL396" s="20">
        <f t="shared" si="8"/>
        <v>16000</v>
      </c>
    </row>
    <row r="397">
      <c r="A397" s="16" t="s">
        <v>1723</v>
      </c>
      <c r="B397" s="17" t="s">
        <v>165</v>
      </c>
      <c r="C397" s="17" t="s">
        <v>169</v>
      </c>
      <c r="D397" s="17" t="s">
        <v>1724</v>
      </c>
      <c r="E397" s="17" t="s">
        <v>1724</v>
      </c>
      <c r="F397" s="17" t="s">
        <v>103</v>
      </c>
      <c r="G397" s="19">
        <v>46188.0</v>
      </c>
      <c r="H397" s="17" t="s">
        <v>104</v>
      </c>
      <c r="I397" s="20" t="s">
        <v>1725</v>
      </c>
      <c r="J397" s="21" t="s">
        <v>1726</v>
      </c>
      <c r="K397" s="22" t="s">
        <v>1727</v>
      </c>
      <c r="L397" s="22" t="s">
        <v>1728</v>
      </c>
      <c r="M397" s="17">
        <v>2015.0</v>
      </c>
      <c r="N397" s="17">
        <v>12.0</v>
      </c>
      <c r="O397" s="23">
        <v>121.0</v>
      </c>
      <c r="P397" s="24">
        <f t="shared" si="11"/>
        <v>338.8</v>
      </c>
      <c r="Q397" s="25">
        <v>2.0</v>
      </c>
      <c r="R397" s="17">
        <v>0.0</v>
      </c>
      <c r="S397" s="26">
        <v>1.0</v>
      </c>
      <c r="T397" s="17">
        <v>2.0</v>
      </c>
      <c r="U397" s="17">
        <v>2.0</v>
      </c>
      <c r="V397" s="17" t="s">
        <v>130</v>
      </c>
      <c r="W397" s="28" t="s">
        <v>76</v>
      </c>
      <c r="X397" s="28" t="s">
        <v>78</v>
      </c>
      <c r="Y397" s="24">
        <v>10.0</v>
      </c>
      <c r="Z397" s="17">
        <v>150.0</v>
      </c>
      <c r="AA397" s="17">
        <v>576.0</v>
      </c>
      <c r="AB397" s="17">
        <v>31.0</v>
      </c>
      <c r="AC397" s="20">
        <f t="shared" si="2"/>
        <v>35712</v>
      </c>
      <c r="AD397" s="30">
        <f t="shared" si="3"/>
        <v>12.896</v>
      </c>
      <c r="AE397" s="30">
        <f t="shared" si="10"/>
        <v>4369.1648</v>
      </c>
      <c r="AF397" s="30">
        <f t="shared" si="5"/>
        <v>1831.013561</v>
      </c>
      <c r="AG397" s="34">
        <v>1.0</v>
      </c>
      <c r="AH397" s="36"/>
      <c r="AI397" s="30">
        <f t="shared" si="6"/>
        <v>3278.688525</v>
      </c>
      <c r="AJ397" s="17">
        <v>4000.0</v>
      </c>
      <c r="AK397" s="30">
        <f t="shared" si="7"/>
        <v>6557.377049</v>
      </c>
      <c r="AL397" s="20">
        <f t="shared" si="8"/>
        <v>8000</v>
      </c>
    </row>
    <row r="398">
      <c r="A398" s="16" t="s">
        <v>1723</v>
      </c>
      <c r="B398" s="17" t="s">
        <v>165</v>
      </c>
      <c r="C398" s="17" t="s">
        <v>169</v>
      </c>
      <c r="D398" s="17" t="s">
        <v>1724</v>
      </c>
      <c r="E398" s="17" t="s">
        <v>1724</v>
      </c>
      <c r="F398" s="17" t="s">
        <v>103</v>
      </c>
      <c r="G398" s="19">
        <v>46188.0</v>
      </c>
      <c r="H398" s="17" t="s">
        <v>104</v>
      </c>
      <c r="I398" s="20" t="s">
        <v>1725</v>
      </c>
      <c r="J398" s="21" t="s">
        <v>1729</v>
      </c>
      <c r="K398" s="22" t="s">
        <v>1730</v>
      </c>
      <c r="L398" s="22" t="s">
        <v>1731</v>
      </c>
      <c r="M398" s="17">
        <v>2015.0</v>
      </c>
      <c r="N398" s="17">
        <v>12.0</v>
      </c>
      <c r="O398" s="23">
        <v>121.0</v>
      </c>
      <c r="P398" s="24">
        <f t="shared" si="11"/>
        <v>338.8</v>
      </c>
      <c r="Q398" s="25">
        <v>2.0</v>
      </c>
      <c r="R398" s="17">
        <v>0.0</v>
      </c>
      <c r="S398" s="26">
        <v>1.0</v>
      </c>
      <c r="T398" s="17">
        <v>2.0</v>
      </c>
      <c r="U398" s="17">
        <v>2.0</v>
      </c>
      <c r="V398" s="17" t="s">
        <v>130</v>
      </c>
      <c r="W398" s="28" t="s">
        <v>76</v>
      </c>
      <c r="X398" s="28" t="s">
        <v>78</v>
      </c>
      <c r="Y398" s="24">
        <v>10.0</v>
      </c>
      <c r="Z398" s="17">
        <v>150.0</v>
      </c>
      <c r="AA398" s="17">
        <v>576.0</v>
      </c>
      <c r="AB398" s="17">
        <v>31.0</v>
      </c>
      <c r="AC398" s="20">
        <f t="shared" si="2"/>
        <v>35712</v>
      </c>
      <c r="AD398" s="30">
        <f t="shared" si="3"/>
        <v>12.896</v>
      </c>
      <c r="AE398" s="30">
        <f t="shared" si="10"/>
        <v>4369.1648</v>
      </c>
      <c r="AF398" s="30">
        <f t="shared" si="5"/>
        <v>1831.013561</v>
      </c>
      <c r="AG398" s="34">
        <v>1.0</v>
      </c>
      <c r="AH398" s="36"/>
      <c r="AI398" s="30">
        <f t="shared" si="6"/>
        <v>3278.688525</v>
      </c>
      <c r="AJ398" s="17">
        <v>4000.0</v>
      </c>
      <c r="AK398" s="30">
        <f t="shared" si="7"/>
        <v>6557.377049</v>
      </c>
      <c r="AL398" s="20">
        <f t="shared" si="8"/>
        <v>8000</v>
      </c>
    </row>
    <row r="399">
      <c r="A399" s="16" t="s">
        <v>1732</v>
      </c>
      <c r="B399" s="17" t="s">
        <v>165</v>
      </c>
      <c r="C399" s="17" t="s">
        <v>169</v>
      </c>
      <c r="D399" s="17" t="s">
        <v>1724</v>
      </c>
      <c r="E399" s="17" t="s">
        <v>1724</v>
      </c>
      <c r="F399" s="17" t="s">
        <v>103</v>
      </c>
      <c r="G399" s="19">
        <v>46205.0</v>
      </c>
      <c r="H399" s="17" t="s">
        <v>104</v>
      </c>
      <c r="I399" s="20" t="s">
        <v>1733</v>
      </c>
      <c r="J399" s="21" t="s">
        <v>1734</v>
      </c>
      <c r="K399" s="22" t="s">
        <v>1735</v>
      </c>
      <c r="L399" s="22" t="s">
        <v>1736</v>
      </c>
      <c r="M399" s="17">
        <v>2012.0</v>
      </c>
      <c r="N399" s="17">
        <v>17.0</v>
      </c>
      <c r="O399" s="23">
        <v>121.0</v>
      </c>
      <c r="P399" s="24">
        <f t="shared" si="11"/>
        <v>338.8</v>
      </c>
      <c r="Q399" s="25">
        <v>2.0</v>
      </c>
      <c r="R399" s="17">
        <v>0.0</v>
      </c>
      <c r="S399" s="26">
        <v>1.0</v>
      </c>
      <c r="T399" s="17">
        <v>2.0</v>
      </c>
      <c r="U399" s="17">
        <v>2.0</v>
      </c>
      <c r="V399" s="17" t="s">
        <v>130</v>
      </c>
      <c r="W399" s="28" t="s">
        <v>76</v>
      </c>
      <c r="X399" s="28" t="s">
        <v>78</v>
      </c>
      <c r="Y399" s="24">
        <v>10.0</v>
      </c>
      <c r="Z399" s="17">
        <v>150.0</v>
      </c>
      <c r="AA399" s="17">
        <v>576.0</v>
      </c>
      <c r="AB399" s="17">
        <v>31.0</v>
      </c>
      <c r="AC399" s="20">
        <f t="shared" si="2"/>
        <v>35712</v>
      </c>
      <c r="AD399" s="30">
        <f t="shared" si="3"/>
        <v>18.26933333</v>
      </c>
      <c r="AE399" s="30">
        <f t="shared" si="10"/>
        <v>6189.650133</v>
      </c>
      <c r="AF399" s="30">
        <f t="shared" si="5"/>
        <v>1292.480161</v>
      </c>
      <c r="AG399" s="34">
        <v>1.0</v>
      </c>
      <c r="AH399" s="36"/>
      <c r="AI399" s="30">
        <f t="shared" si="6"/>
        <v>3278.688525</v>
      </c>
      <c r="AJ399" s="17">
        <v>4000.0</v>
      </c>
      <c r="AK399" s="30">
        <f t="shared" si="7"/>
        <v>6557.377049</v>
      </c>
      <c r="AL399" s="20">
        <f t="shared" si="8"/>
        <v>8000</v>
      </c>
    </row>
    <row r="400">
      <c r="A400" s="16" t="s">
        <v>1732</v>
      </c>
      <c r="B400" s="17" t="s">
        <v>165</v>
      </c>
      <c r="C400" s="17" t="s">
        <v>169</v>
      </c>
      <c r="D400" s="17" t="s">
        <v>1724</v>
      </c>
      <c r="E400" s="17" t="s">
        <v>1724</v>
      </c>
      <c r="F400" s="17" t="s">
        <v>103</v>
      </c>
      <c r="G400" s="19">
        <v>46205.0</v>
      </c>
      <c r="H400" s="17" t="s">
        <v>104</v>
      </c>
      <c r="I400" s="20" t="s">
        <v>1733</v>
      </c>
      <c r="J400" s="21" t="s">
        <v>1737</v>
      </c>
      <c r="K400" s="22" t="s">
        <v>1738</v>
      </c>
      <c r="L400" s="22" t="s">
        <v>1739</v>
      </c>
      <c r="M400" s="17">
        <v>2015.0</v>
      </c>
      <c r="N400" s="17">
        <v>12.0</v>
      </c>
      <c r="O400" s="23">
        <v>121.0</v>
      </c>
      <c r="P400" s="24">
        <f t="shared" si="11"/>
        <v>338.8</v>
      </c>
      <c r="Q400" s="25">
        <v>2.0</v>
      </c>
      <c r="R400" s="17">
        <v>0.0</v>
      </c>
      <c r="S400" s="26">
        <v>1.0</v>
      </c>
      <c r="T400" s="17">
        <v>2.0</v>
      </c>
      <c r="U400" s="17">
        <v>2.0</v>
      </c>
      <c r="V400" s="17" t="s">
        <v>130</v>
      </c>
      <c r="W400" s="28" t="s">
        <v>76</v>
      </c>
      <c r="X400" s="28" t="s">
        <v>78</v>
      </c>
      <c r="Y400" s="24">
        <v>10.0</v>
      </c>
      <c r="Z400" s="17">
        <v>150.0</v>
      </c>
      <c r="AA400" s="17">
        <v>576.0</v>
      </c>
      <c r="AB400" s="17">
        <v>31.0</v>
      </c>
      <c r="AC400" s="20">
        <f t="shared" si="2"/>
        <v>35712</v>
      </c>
      <c r="AD400" s="30">
        <f t="shared" si="3"/>
        <v>12.896</v>
      </c>
      <c r="AE400" s="30">
        <f t="shared" si="10"/>
        <v>4369.1648</v>
      </c>
      <c r="AF400" s="30">
        <f t="shared" si="5"/>
        <v>1831.013561</v>
      </c>
      <c r="AG400" s="34">
        <v>1.0</v>
      </c>
      <c r="AH400" s="36"/>
      <c r="AI400" s="30">
        <f t="shared" si="6"/>
        <v>3278.688525</v>
      </c>
      <c r="AJ400" s="17">
        <v>4000.0</v>
      </c>
      <c r="AK400" s="30">
        <f t="shared" si="7"/>
        <v>6557.377049</v>
      </c>
      <c r="AL400" s="20">
        <f t="shared" si="8"/>
        <v>8000</v>
      </c>
    </row>
    <row r="401">
      <c r="A401" s="16" t="s">
        <v>1740</v>
      </c>
      <c r="B401" s="17" t="s">
        <v>165</v>
      </c>
      <c r="C401" s="17" t="s">
        <v>169</v>
      </c>
      <c r="D401" s="17" t="s">
        <v>1724</v>
      </c>
      <c r="E401" s="17" t="s">
        <v>1724</v>
      </c>
      <c r="F401" s="17" t="s">
        <v>103</v>
      </c>
      <c r="G401" s="19">
        <v>46199.0</v>
      </c>
      <c r="H401" s="17" t="s">
        <v>104</v>
      </c>
      <c r="I401" s="20" t="s">
        <v>1741</v>
      </c>
      <c r="J401" s="21" t="s">
        <v>1742</v>
      </c>
      <c r="K401" s="22" t="s">
        <v>1743</v>
      </c>
      <c r="L401" s="22" t="s">
        <v>1744</v>
      </c>
      <c r="M401" s="17">
        <v>2007.0</v>
      </c>
      <c r="N401" s="17">
        <v>10.0</v>
      </c>
      <c r="O401" s="23">
        <v>120.0</v>
      </c>
      <c r="P401" s="24">
        <f t="shared" si="11"/>
        <v>336</v>
      </c>
      <c r="Q401" s="25">
        <v>3.0</v>
      </c>
      <c r="R401" s="17">
        <v>3.0</v>
      </c>
      <c r="S401" s="26">
        <v>3.0</v>
      </c>
      <c r="T401" s="17">
        <v>0.0</v>
      </c>
      <c r="U401" s="17">
        <v>3.0</v>
      </c>
      <c r="V401" s="17" t="s">
        <v>130</v>
      </c>
      <c r="W401" s="28" t="s">
        <v>76</v>
      </c>
      <c r="X401" s="28" t="s">
        <v>78</v>
      </c>
      <c r="Y401" s="24">
        <v>10.0</v>
      </c>
      <c r="Z401" s="17">
        <v>150.0</v>
      </c>
      <c r="AA401" s="17">
        <v>576.0</v>
      </c>
      <c r="AB401" s="17">
        <v>31.0</v>
      </c>
      <c r="AC401" s="20">
        <f t="shared" si="2"/>
        <v>53568</v>
      </c>
      <c r="AD401" s="30">
        <f t="shared" si="3"/>
        <v>8.06</v>
      </c>
      <c r="AE401" s="30">
        <f t="shared" si="10"/>
        <v>2708.16</v>
      </c>
      <c r="AF401" s="30">
        <f t="shared" si="5"/>
        <v>4431.052818</v>
      </c>
      <c r="AG401" s="34">
        <v>1.0</v>
      </c>
      <c r="AH401" s="36"/>
      <c r="AI401" s="30">
        <f t="shared" si="6"/>
        <v>3278.688525</v>
      </c>
      <c r="AJ401" s="17">
        <v>4000.0</v>
      </c>
      <c r="AK401" s="30">
        <f t="shared" si="7"/>
        <v>9836.065574</v>
      </c>
      <c r="AL401" s="20">
        <f t="shared" si="8"/>
        <v>12000</v>
      </c>
    </row>
    <row r="402">
      <c r="A402" s="16" t="s">
        <v>1740</v>
      </c>
      <c r="B402" s="17" t="s">
        <v>165</v>
      </c>
      <c r="C402" s="17" t="s">
        <v>169</v>
      </c>
      <c r="D402" s="17" t="s">
        <v>1724</v>
      </c>
      <c r="E402" s="17" t="s">
        <v>1724</v>
      </c>
      <c r="F402" s="17" t="s">
        <v>103</v>
      </c>
      <c r="G402" s="19">
        <v>46199.0</v>
      </c>
      <c r="H402" s="17" t="s">
        <v>104</v>
      </c>
      <c r="I402" s="20" t="s">
        <v>1741</v>
      </c>
      <c r="J402" s="21" t="s">
        <v>1745</v>
      </c>
      <c r="K402" s="22" t="s">
        <v>1746</v>
      </c>
      <c r="L402" s="22" t="s">
        <v>1747</v>
      </c>
      <c r="M402" s="17">
        <v>2008.0</v>
      </c>
      <c r="N402" s="17">
        <v>10.0</v>
      </c>
      <c r="O402" s="23">
        <v>169.0</v>
      </c>
      <c r="P402" s="24">
        <f t="shared" si="11"/>
        <v>473.2</v>
      </c>
      <c r="Q402" s="25">
        <v>3.0</v>
      </c>
      <c r="R402" s="17">
        <v>3.0</v>
      </c>
      <c r="S402" s="26">
        <v>4.0</v>
      </c>
      <c r="T402" s="17">
        <v>0.0</v>
      </c>
      <c r="U402" s="17">
        <v>4.0</v>
      </c>
      <c r="V402" s="17" t="s">
        <v>130</v>
      </c>
      <c r="W402" s="28" t="s">
        <v>76</v>
      </c>
      <c r="X402" s="28" t="s">
        <v>78</v>
      </c>
      <c r="Y402" s="24">
        <v>10.0</v>
      </c>
      <c r="Z402" s="17">
        <v>150.0</v>
      </c>
      <c r="AA402" s="17">
        <v>576.0</v>
      </c>
      <c r="AB402" s="17">
        <v>31.0</v>
      </c>
      <c r="AC402" s="20">
        <f t="shared" si="2"/>
        <v>53568</v>
      </c>
      <c r="AD402" s="30">
        <f t="shared" si="3"/>
        <v>6.045</v>
      </c>
      <c r="AE402" s="30">
        <f t="shared" si="10"/>
        <v>2860.494</v>
      </c>
      <c r="AF402" s="30">
        <f t="shared" si="5"/>
        <v>4195.079591</v>
      </c>
      <c r="AG402" s="34">
        <v>1.0</v>
      </c>
      <c r="AH402" s="36"/>
      <c r="AI402" s="30">
        <f t="shared" si="6"/>
        <v>3278.688525</v>
      </c>
      <c r="AJ402" s="17">
        <v>4000.0</v>
      </c>
      <c r="AK402" s="30">
        <f t="shared" si="7"/>
        <v>9836.065574</v>
      </c>
      <c r="AL402" s="20">
        <f t="shared" si="8"/>
        <v>12000</v>
      </c>
    </row>
    <row r="403">
      <c r="A403" s="16" t="s">
        <v>1740</v>
      </c>
      <c r="B403" s="17" t="s">
        <v>165</v>
      </c>
      <c r="C403" s="17" t="s">
        <v>169</v>
      </c>
      <c r="D403" s="17" t="s">
        <v>1724</v>
      </c>
      <c r="E403" s="17" t="s">
        <v>1724</v>
      </c>
      <c r="F403" s="17" t="s">
        <v>103</v>
      </c>
      <c r="G403" s="19">
        <v>46199.0</v>
      </c>
      <c r="H403" s="17" t="s">
        <v>104</v>
      </c>
      <c r="I403" s="20" t="s">
        <v>1741</v>
      </c>
      <c r="J403" s="21" t="s">
        <v>1745</v>
      </c>
      <c r="K403" s="22" t="s">
        <v>1746</v>
      </c>
      <c r="L403" s="22" t="s">
        <v>1747</v>
      </c>
      <c r="M403" s="17">
        <v>2008.0</v>
      </c>
      <c r="N403" s="17">
        <v>10.0</v>
      </c>
      <c r="O403" s="23">
        <v>169.0</v>
      </c>
      <c r="P403" s="24">
        <f t="shared" si="11"/>
        <v>473.2</v>
      </c>
      <c r="Q403" s="25">
        <v>1.0</v>
      </c>
      <c r="R403" s="17">
        <v>1.0</v>
      </c>
      <c r="S403" s="26">
        <v>4.0</v>
      </c>
      <c r="T403" s="17">
        <v>0.0</v>
      </c>
      <c r="U403" s="17">
        <v>4.0</v>
      </c>
      <c r="V403" s="17" t="s">
        <v>130</v>
      </c>
      <c r="W403" s="28" t="s">
        <v>76</v>
      </c>
      <c r="X403" s="28" t="s">
        <v>78</v>
      </c>
      <c r="Y403" s="24">
        <v>10.0</v>
      </c>
      <c r="Z403" s="17">
        <v>150.0</v>
      </c>
      <c r="AA403" s="17">
        <v>576.0</v>
      </c>
      <c r="AB403" s="17">
        <v>31.0</v>
      </c>
      <c r="AC403" s="20">
        <f t="shared" si="2"/>
        <v>17856</v>
      </c>
      <c r="AD403" s="30">
        <f t="shared" si="3"/>
        <v>2.015</v>
      </c>
      <c r="AE403" s="30">
        <f t="shared" si="10"/>
        <v>953.498</v>
      </c>
      <c r="AF403" s="30">
        <f t="shared" si="5"/>
        <v>4195.079591</v>
      </c>
      <c r="AG403" s="34">
        <v>1.0</v>
      </c>
      <c r="AH403" s="36"/>
      <c r="AI403" s="30">
        <f t="shared" si="6"/>
        <v>3278.688525</v>
      </c>
      <c r="AJ403" s="17">
        <v>4000.0</v>
      </c>
      <c r="AK403" s="30">
        <f t="shared" si="7"/>
        <v>3278.688525</v>
      </c>
      <c r="AL403" s="20">
        <f t="shared" si="8"/>
        <v>4000</v>
      </c>
    </row>
    <row r="404">
      <c r="A404" s="16" t="s">
        <v>1748</v>
      </c>
      <c r="B404" s="17" t="s">
        <v>165</v>
      </c>
      <c r="C404" s="17" t="s">
        <v>169</v>
      </c>
      <c r="D404" s="17" t="s">
        <v>1724</v>
      </c>
      <c r="E404" s="17" t="s">
        <v>1724</v>
      </c>
      <c r="F404" s="17" t="s">
        <v>103</v>
      </c>
      <c r="G404" s="19">
        <v>46199.0</v>
      </c>
      <c r="H404" s="17" t="s">
        <v>104</v>
      </c>
      <c r="I404" s="20" t="s">
        <v>1749</v>
      </c>
      <c r="J404" s="21" t="s">
        <v>1750</v>
      </c>
      <c r="K404" s="22" t="s">
        <v>1751</v>
      </c>
      <c r="L404" s="22" t="s">
        <v>1752</v>
      </c>
      <c r="M404" s="17">
        <v>2008.0</v>
      </c>
      <c r="N404" s="17">
        <v>10.0</v>
      </c>
      <c r="O404" s="23">
        <v>110.0</v>
      </c>
      <c r="P404" s="24">
        <f t="shared" si="11"/>
        <v>308</v>
      </c>
      <c r="Q404" s="25">
        <v>3.0</v>
      </c>
      <c r="R404" s="17">
        <v>3.0</v>
      </c>
      <c r="S404" s="26">
        <v>3.0</v>
      </c>
      <c r="T404" s="17">
        <v>0.0</v>
      </c>
      <c r="U404" s="17">
        <v>3.0</v>
      </c>
      <c r="V404" s="17" t="s">
        <v>130</v>
      </c>
      <c r="W404" s="28" t="s">
        <v>76</v>
      </c>
      <c r="X404" s="28" t="s">
        <v>78</v>
      </c>
      <c r="Y404" s="24">
        <v>10.0</v>
      </c>
      <c r="Z404" s="17">
        <v>150.0</v>
      </c>
      <c r="AA404" s="17">
        <v>576.0</v>
      </c>
      <c r="AB404" s="17">
        <v>31.0</v>
      </c>
      <c r="AC404" s="20">
        <f t="shared" si="2"/>
        <v>53568</v>
      </c>
      <c r="AD404" s="30">
        <f t="shared" si="3"/>
        <v>8.06</v>
      </c>
      <c r="AE404" s="30">
        <f t="shared" si="10"/>
        <v>2482.48</v>
      </c>
      <c r="AF404" s="30">
        <f t="shared" si="5"/>
        <v>4833.875802</v>
      </c>
      <c r="AG404" s="34">
        <v>1.0</v>
      </c>
      <c r="AH404" s="36"/>
      <c r="AI404" s="30">
        <f t="shared" si="6"/>
        <v>3278.688525</v>
      </c>
      <c r="AJ404" s="17">
        <v>4000.0</v>
      </c>
      <c r="AK404" s="30">
        <f t="shared" si="7"/>
        <v>9836.065574</v>
      </c>
      <c r="AL404" s="20">
        <f t="shared" si="8"/>
        <v>12000</v>
      </c>
    </row>
    <row r="405">
      <c r="A405" s="16" t="s">
        <v>1748</v>
      </c>
      <c r="B405" s="17" t="s">
        <v>165</v>
      </c>
      <c r="C405" s="17" t="s">
        <v>169</v>
      </c>
      <c r="D405" s="17" t="s">
        <v>1724</v>
      </c>
      <c r="E405" s="17" t="s">
        <v>1724</v>
      </c>
      <c r="F405" s="17" t="s">
        <v>103</v>
      </c>
      <c r="G405" s="19">
        <v>46199.0</v>
      </c>
      <c r="H405" s="17" t="s">
        <v>104</v>
      </c>
      <c r="I405" s="20" t="s">
        <v>1749</v>
      </c>
      <c r="J405" s="21" t="s">
        <v>1753</v>
      </c>
      <c r="K405" s="22" t="s">
        <v>1754</v>
      </c>
      <c r="L405" s="22" t="s">
        <v>1755</v>
      </c>
      <c r="M405" s="17">
        <v>2007.0</v>
      </c>
      <c r="N405" s="17">
        <v>10.0</v>
      </c>
      <c r="O405" s="23">
        <v>119.0</v>
      </c>
      <c r="P405" s="24">
        <f t="shared" si="11"/>
        <v>333.2</v>
      </c>
      <c r="Q405" s="25">
        <v>3.0</v>
      </c>
      <c r="R405" s="17">
        <v>3.0</v>
      </c>
      <c r="S405" s="26">
        <v>3.0</v>
      </c>
      <c r="T405" s="17">
        <v>0.0</v>
      </c>
      <c r="U405" s="17">
        <v>3.0</v>
      </c>
      <c r="V405" s="17" t="s">
        <v>130</v>
      </c>
      <c r="W405" s="28" t="s">
        <v>76</v>
      </c>
      <c r="X405" s="28" t="s">
        <v>78</v>
      </c>
      <c r="Y405" s="24">
        <v>10.0</v>
      </c>
      <c r="Z405" s="17">
        <v>150.0</v>
      </c>
      <c r="AA405" s="17">
        <v>576.0</v>
      </c>
      <c r="AB405" s="17">
        <v>31.0</v>
      </c>
      <c r="AC405" s="20">
        <f t="shared" si="2"/>
        <v>53568</v>
      </c>
      <c r="AD405" s="30">
        <f t="shared" si="3"/>
        <v>8.06</v>
      </c>
      <c r="AE405" s="30">
        <f t="shared" si="10"/>
        <v>2685.592</v>
      </c>
      <c r="AF405" s="30">
        <f t="shared" si="5"/>
        <v>4468.288556</v>
      </c>
      <c r="AG405" s="34">
        <v>1.0</v>
      </c>
      <c r="AH405" s="36"/>
      <c r="AI405" s="30">
        <f t="shared" si="6"/>
        <v>3278.688525</v>
      </c>
      <c r="AJ405" s="17">
        <v>4000.0</v>
      </c>
      <c r="AK405" s="30">
        <f t="shared" si="7"/>
        <v>9836.065574</v>
      </c>
      <c r="AL405" s="20">
        <f t="shared" si="8"/>
        <v>12000</v>
      </c>
    </row>
    <row r="406">
      <c r="A406" s="16" t="s">
        <v>1756</v>
      </c>
      <c r="B406" s="17" t="s">
        <v>165</v>
      </c>
      <c r="C406" s="17" t="s">
        <v>169</v>
      </c>
      <c r="D406" s="17" t="s">
        <v>1724</v>
      </c>
      <c r="E406" s="17" t="s">
        <v>1724</v>
      </c>
      <c r="F406" s="17" t="s">
        <v>103</v>
      </c>
      <c r="G406" s="19">
        <v>46199.0</v>
      </c>
      <c r="H406" s="17" t="s">
        <v>118</v>
      </c>
      <c r="I406" s="20" t="s">
        <v>1757</v>
      </c>
      <c r="J406" s="21" t="s">
        <v>1758</v>
      </c>
      <c r="K406" s="22" t="s">
        <v>1759</v>
      </c>
      <c r="L406" s="22" t="s">
        <v>1760</v>
      </c>
      <c r="M406" s="17">
        <v>2004.0</v>
      </c>
      <c r="N406" s="17">
        <v>10.0</v>
      </c>
      <c r="O406" s="23">
        <v>118.0</v>
      </c>
      <c r="P406" s="24">
        <f t="shared" si="11"/>
        <v>330.4</v>
      </c>
      <c r="Q406" s="25">
        <v>3.0</v>
      </c>
      <c r="R406" s="17">
        <v>3.0</v>
      </c>
      <c r="S406" s="26">
        <v>3.0</v>
      </c>
      <c r="T406" s="17">
        <v>3.0</v>
      </c>
      <c r="U406" s="17">
        <v>3.0</v>
      </c>
      <c r="V406" s="17" t="s">
        <v>130</v>
      </c>
      <c r="W406" s="28" t="s">
        <v>76</v>
      </c>
      <c r="X406" s="28" t="s">
        <v>78</v>
      </c>
      <c r="Y406" s="24">
        <v>10.0</v>
      </c>
      <c r="Z406" s="17">
        <v>150.0</v>
      </c>
      <c r="AA406" s="17">
        <v>576.0</v>
      </c>
      <c r="AB406" s="17">
        <v>31.0</v>
      </c>
      <c r="AC406" s="20">
        <f t="shared" si="2"/>
        <v>53568</v>
      </c>
      <c r="AD406" s="30">
        <f t="shared" si="3"/>
        <v>18.80666667</v>
      </c>
      <c r="AE406" s="30">
        <f t="shared" si="10"/>
        <v>6213.722667</v>
      </c>
      <c r="AF406" s="30">
        <f t="shared" si="5"/>
        <v>1931.209461</v>
      </c>
      <c r="AG406" s="34">
        <v>1.0</v>
      </c>
      <c r="AH406" s="36"/>
      <c r="AI406" s="30">
        <f t="shared" si="6"/>
        <v>3278.688525</v>
      </c>
      <c r="AJ406" s="17">
        <v>4000.0</v>
      </c>
      <c r="AK406" s="30">
        <f t="shared" si="7"/>
        <v>9836.065574</v>
      </c>
      <c r="AL406" s="20">
        <f t="shared" si="8"/>
        <v>12000</v>
      </c>
    </row>
    <row r="407">
      <c r="A407" s="16" t="s">
        <v>1756</v>
      </c>
      <c r="B407" s="17" t="s">
        <v>165</v>
      </c>
      <c r="C407" s="17" t="s">
        <v>169</v>
      </c>
      <c r="D407" s="17" t="s">
        <v>1724</v>
      </c>
      <c r="E407" s="17" t="s">
        <v>1724</v>
      </c>
      <c r="F407" s="17" t="s">
        <v>103</v>
      </c>
      <c r="G407" s="19">
        <v>46199.0</v>
      </c>
      <c r="H407" s="17" t="s">
        <v>118</v>
      </c>
      <c r="I407" s="20" t="s">
        <v>1757</v>
      </c>
      <c r="J407" s="21" t="s">
        <v>1761</v>
      </c>
      <c r="K407" s="22" t="s">
        <v>1762</v>
      </c>
      <c r="L407" s="22" t="s">
        <v>1763</v>
      </c>
      <c r="M407" s="17">
        <v>2004.0</v>
      </c>
      <c r="N407" s="17">
        <v>10.0</v>
      </c>
      <c r="O407" s="23">
        <v>79.0</v>
      </c>
      <c r="P407" s="24">
        <f t="shared" si="11"/>
        <v>221.2</v>
      </c>
      <c r="Q407" s="25">
        <v>2.0</v>
      </c>
      <c r="R407" s="17">
        <v>2.0</v>
      </c>
      <c r="S407" s="26">
        <v>2.0</v>
      </c>
      <c r="T407" s="17">
        <v>0.0</v>
      </c>
      <c r="U407" s="17">
        <v>2.0</v>
      </c>
      <c r="V407" s="17" t="s">
        <v>130</v>
      </c>
      <c r="W407" s="28" t="s">
        <v>76</v>
      </c>
      <c r="X407" s="28" t="s">
        <v>78</v>
      </c>
      <c r="Y407" s="24">
        <v>10.0</v>
      </c>
      <c r="Z407" s="17">
        <v>150.0</v>
      </c>
      <c r="AA407" s="17">
        <v>576.0</v>
      </c>
      <c r="AB407" s="17">
        <v>31.0</v>
      </c>
      <c r="AC407" s="20">
        <f t="shared" si="2"/>
        <v>35712</v>
      </c>
      <c r="AD407" s="30">
        <f t="shared" si="3"/>
        <v>8.06</v>
      </c>
      <c r="AE407" s="30">
        <f t="shared" si="10"/>
        <v>1782.872</v>
      </c>
      <c r="AF407" s="30">
        <f t="shared" si="5"/>
        <v>4487.142094</v>
      </c>
      <c r="AG407" s="34">
        <v>1.0</v>
      </c>
      <c r="AH407" s="36"/>
      <c r="AI407" s="30">
        <f t="shared" si="6"/>
        <v>3278.688525</v>
      </c>
      <c r="AJ407" s="17">
        <v>4000.0</v>
      </c>
      <c r="AK407" s="30">
        <f t="shared" si="7"/>
        <v>6557.377049</v>
      </c>
      <c r="AL407" s="20">
        <f t="shared" si="8"/>
        <v>8000</v>
      </c>
    </row>
    <row r="408">
      <c r="A408" s="16" t="s">
        <v>1764</v>
      </c>
      <c r="B408" s="17" t="s">
        <v>165</v>
      </c>
      <c r="C408" s="17" t="s">
        <v>169</v>
      </c>
      <c r="D408" s="17" t="s">
        <v>1724</v>
      </c>
      <c r="E408" s="17" t="s">
        <v>1724</v>
      </c>
      <c r="F408" s="17" t="s">
        <v>103</v>
      </c>
      <c r="G408" s="19">
        <v>46199.0</v>
      </c>
      <c r="H408" s="17" t="s">
        <v>118</v>
      </c>
      <c r="I408" s="20" t="s">
        <v>1765</v>
      </c>
      <c r="J408" s="21" t="s">
        <v>1766</v>
      </c>
      <c r="K408" s="22" t="s">
        <v>1767</v>
      </c>
      <c r="L408" s="22" t="s">
        <v>1768</v>
      </c>
      <c r="M408" s="17">
        <v>2005.0</v>
      </c>
      <c r="N408" s="17">
        <v>10.0</v>
      </c>
      <c r="O408" s="23">
        <v>80.0</v>
      </c>
      <c r="P408" s="24">
        <f t="shared" si="11"/>
        <v>224</v>
      </c>
      <c r="Q408" s="25">
        <v>2.0</v>
      </c>
      <c r="R408" s="17">
        <v>2.0</v>
      </c>
      <c r="S408" s="26">
        <v>2.0</v>
      </c>
      <c r="T408" s="17">
        <v>0.0</v>
      </c>
      <c r="U408" s="17">
        <v>2.0</v>
      </c>
      <c r="V408" s="17" t="s">
        <v>130</v>
      </c>
      <c r="W408" s="28" t="s">
        <v>76</v>
      </c>
      <c r="X408" s="28" t="s">
        <v>78</v>
      </c>
      <c r="Y408" s="24">
        <v>10.0</v>
      </c>
      <c r="Z408" s="17">
        <v>150.0</v>
      </c>
      <c r="AA408" s="17">
        <v>576.0</v>
      </c>
      <c r="AB408" s="17">
        <v>31.0</v>
      </c>
      <c r="AC408" s="20">
        <f t="shared" si="2"/>
        <v>35712</v>
      </c>
      <c r="AD408" s="30">
        <f t="shared" si="3"/>
        <v>8.06</v>
      </c>
      <c r="AE408" s="30">
        <f t="shared" si="10"/>
        <v>1805.44</v>
      </c>
      <c r="AF408" s="30">
        <f t="shared" si="5"/>
        <v>4431.052818</v>
      </c>
      <c r="AG408" s="34">
        <v>1.0</v>
      </c>
      <c r="AH408" s="36"/>
      <c r="AI408" s="30">
        <f t="shared" si="6"/>
        <v>3278.688525</v>
      </c>
      <c r="AJ408" s="17">
        <v>4000.0</v>
      </c>
      <c r="AK408" s="30">
        <f t="shared" si="7"/>
        <v>6557.377049</v>
      </c>
      <c r="AL408" s="20">
        <f t="shared" si="8"/>
        <v>8000</v>
      </c>
    </row>
    <row r="409">
      <c r="A409" s="16" t="s">
        <v>1764</v>
      </c>
      <c r="B409" s="17" t="s">
        <v>165</v>
      </c>
      <c r="C409" s="17" t="s">
        <v>169</v>
      </c>
      <c r="D409" s="17" t="s">
        <v>1724</v>
      </c>
      <c r="E409" s="17" t="s">
        <v>1724</v>
      </c>
      <c r="F409" s="17" t="s">
        <v>103</v>
      </c>
      <c r="G409" s="19">
        <v>46199.0</v>
      </c>
      <c r="H409" s="17" t="s">
        <v>118</v>
      </c>
      <c r="I409" s="20" t="s">
        <v>1765</v>
      </c>
      <c r="J409" s="21" t="s">
        <v>1769</v>
      </c>
      <c r="K409" s="22" t="s">
        <v>1770</v>
      </c>
      <c r="L409" s="22" t="s">
        <v>1771</v>
      </c>
      <c r="M409" s="17">
        <v>2001.0</v>
      </c>
      <c r="N409" s="17">
        <v>10.0</v>
      </c>
      <c r="O409" s="23">
        <v>80.0</v>
      </c>
      <c r="P409" s="24">
        <f t="shared" si="11"/>
        <v>224</v>
      </c>
      <c r="Q409" s="25">
        <v>2.0</v>
      </c>
      <c r="R409" s="17">
        <v>2.0</v>
      </c>
      <c r="S409" s="26">
        <v>2.0</v>
      </c>
      <c r="T409" s="17">
        <v>0.0</v>
      </c>
      <c r="U409" s="17">
        <v>2.0</v>
      </c>
      <c r="V409" s="17" t="s">
        <v>130</v>
      </c>
      <c r="W409" s="28" t="s">
        <v>76</v>
      </c>
      <c r="X409" s="28" t="s">
        <v>78</v>
      </c>
      <c r="Y409" s="24">
        <v>10.0</v>
      </c>
      <c r="Z409" s="17">
        <v>150.0</v>
      </c>
      <c r="AA409" s="17">
        <v>576.0</v>
      </c>
      <c r="AB409" s="17">
        <v>31.0</v>
      </c>
      <c r="AC409" s="20">
        <f t="shared" si="2"/>
        <v>35712</v>
      </c>
      <c r="AD409" s="30">
        <f t="shared" si="3"/>
        <v>8.06</v>
      </c>
      <c r="AE409" s="30">
        <f t="shared" si="10"/>
        <v>1805.44</v>
      </c>
      <c r="AF409" s="30">
        <f t="shared" si="5"/>
        <v>4431.052818</v>
      </c>
      <c r="AG409" s="34">
        <v>1.0</v>
      </c>
      <c r="AH409" s="36"/>
      <c r="AI409" s="30">
        <f t="shared" si="6"/>
        <v>3278.688525</v>
      </c>
      <c r="AJ409" s="17">
        <v>4000.0</v>
      </c>
      <c r="AK409" s="30">
        <f t="shared" si="7"/>
        <v>6557.377049</v>
      </c>
      <c r="AL409" s="20">
        <f t="shared" si="8"/>
        <v>8000</v>
      </c>
    </row>
    <row r="410">
      <c r="A410" s="16" t="s">
        <v>1772</v>
      </c>
      <c r="B410" s="17" t="s">
        <v>165</v>
      </c>
      <c r="C410" s="17" t="s">
        <v>169</v>
      </c>
      <c r="D410" s="17" t="s">
        <v>1724</v>
      </c>
      <c r="E410" s="17" t="s">
        <v>1724</v>
      </c>
      <c r="F410" s="17" t="s">
        <v>103</v>
      </c>
      <c r="G410" s="19">
        <v>46199.0</v>
      </c>
      <c r="H410" s="17" t="s">
        <v>118</v>
      </c>
      <c r="I410" s="20" t="s">
        <v>1773</v>
      </c>
      <c r="J410" s="21" t="s">
        <v>1774</v>
      </c>
      <c r="K410" s="22" t="s">
        <v>1775</v>
      </c>
      <c r="L410" s="22" t="s">
        <v>1776</v>
      </c>
      <c r="M410" s="17">
        <v>2003.0</v>
      </c>
      <c r="N410" s="17">
        <v>10.0</v>
      </c>
      <c r="O410" s="23">
        <v>119.0</v>
      </c>
      <c r="P410" s="24">
        <f t="shared" si="11"/>
        <v>333.2</v>
      </c>
      <c r="Q410" s="25">
        <v>3.0</v>
      </c>
      <c r="R410" s="17">
        <v>3.0</v>
      </c>
      <c r="S410" s="26">
        <v>3.0</v>
      </c>
      <c r="T410" s="17">
        <v>0.0</v>
      </c>
      <c r="U410" s="17">
        <v>3.0</v>
      </c>
      <c r="V410" s="17" t="s">
        <v>130</v>
      </c>
      <c r="W410" s="28" t="s">
        <v>76</v>
      </c>
      <c r="X410" s="28" t="s">
        <v>78</v>
      </c>
      <c r="Y410" s="24">
        <v>10.0</v>
      </c>
      <c r="Z410" s="17">
        <v>150.0</v>
      </c>
      <c r="AA410" s="17">
        <v>576.0</v>
      </c>
      <c r="AB410" s="17">
        <v>31.0</v>
      </c>
      <c r="AC410" s="20">
        <f t="shared" si="2"/>
        <v>53568</v>
      </c>
      <c r="AD410" s="30">
        <f t="shared" si="3"/>
        <v>8.06</v>
      </c>
      <c r="AE410" s="30">
        <f t="shared" si="10"/>
        <v>2685.592</v>
      </c>
      <c r="AF410" s="30">
        <f t="shared" si="5"/>
        <v>4468.288556</v>
      </c>
      <c r="AG410" s="34">
        <v>1.0</v>
      </c>
      <c r="AH410" s="36"/>
      <c r="AI410" s="30">
        <f t="shared" si="6"/>
        <v>3278.688525</v>
      </c>
      <c r="AJ410" s="17">
        <v>4000.0</v>
      </c>
      <c r="AK410" s="30">
        <f t="shared" si="7"/>
        <v>9836.065574</v>
      </c>
      <c r="AL410" s="20">
        <f t="shared" si="8"/>
        <v>12000</v>
      </c>
    </row>
    <row r="411">
      <c r="A411" s="16" t="s">
        <v>1772</v>
      </c>
      <c r="B411" s="17" t="s">
        <v>165</v>
      </c>
      <c r="C411" s="17" t="s">
        <v>169</v>
      </c>
      <c r="D411" s="17" t="s">
        <v>1724</v>
      </c>
      <c r="E411" s="17" t="s">
        <v>1724</v>
      </c>
      <c r="F411" s="17" t="s">
        <v>103</v>
      </c>
      <c r="G411" s="19">
        <v>46199.0</v>
      </c>
      <c r="H411" s="17" t="s">
        <v>118</v>
      </c>
      <c r="I411" s="20" t="s">
        <v>1773</v>
      </c>
      <c r="J411" s="21" t="s">
        <v>1777</v>
      </c>
      <c r="K411" s="22" t="s">
        <v>1778</v>
      </c>
      <c r="L411" s="22" t="s">
        <v>1779</v>
      </c>
      <c r="M411" s="17">
        <v>2003.0</v>
      </c>
      <c r="N411" s="17">
        <v>10.0</v>
      </c>
      <c r="O411" s="23">
        <v>82.0</v>
      </c>
      <c r="P411" s="24">
        <f t="shared" si="11"/>
        <v>229.6</v>
      </c>
      <c r="Q411" s="25">
        <v>2.0</v>
      </c>
      <c r="R411" s="17">
        <v>2.0</v>
      </c>
      <c r="S411" s="26">
        <v>2.0</v>
      </c>
      <c r="T411" s="17">
        <v>0.0</v>
      </c>
      <c r="U411" s="17">
        <v>2.0</v>
      </c>
      <c r="V411" s="17" t="s">
        <v>130</v>
      </c>
      <c r="W411" s="28" t="s">
        <v>76</v>
      </c>
      <c r="X411" s="28" t="s">
        <v>78</v>
      </c>
      <c r="Y411" s="24">
        <v>10.0</v>
      </c>
      <c r="Z411" s="17">
        <v>150.0</v>
      </c>
      <c r="AA411" s="17">
        <v>576.0</v>
      </c>
      <c r="AB411" s="17">
        <v>31.0</v>
      </c>
      <c r="AC411" s="20">
        <f t="shared" si="2"/>
        <v>35712</v>
      </c>
      <c r="AD411" s="30">
        <f t="shared" si="3"/>
        <v>8.06</v>
      </c>
      <c r="AE411" s="30">
        <f t="shared" si="10"/>
        <v>1850.576</v>
      </c>
      <c r="AF411" s="30">
        <f t="shared" si="5"/>
        <v>4322.978359</v>
      </c>
      <c r="AG411" s="34">
        <v>1.0</v>
      </c>
      <c r="AH411" s="36"/>
      <c r="AI411" s="30">
        <f t="shared" si="6"/>
        <v>3278.688525</v>
      </c>
      <c r="AJ411" s="17">
        <v>4000.0</v>
      </c>
      <c r="AK411" s="30">
        <f t="shared" si="7"/>
        <v>6557.377049</v>
      </c>
      <c r="AL411" s="20">
        <f t="shared" si="8"/>
        <v>8000</v>
      </c>
    </row>
    <row r="412">
      <c r="A412" s="16" t="s">
        <v>1780</v>
      </c>
      <c r="B412" s="17" t="s">
        <v>165</v>
      </c>
      <c r="C412" s="17" t="s">
        <v>169</v>
      </c>
      <c r="D412" s="17" t="s">
        <v>1724</v>
      </c>
      <c r="E412" s="17" t="s">
        <v>1724</v>
      </c>
      <c r="F412" s="17" t="s">
        <v>103</v>
      </c>
      <c r="G412" s="19">
        <v>46205.0</v>
      </c>
      <c r="H412" s="17" t="s">
        <v>104</v>
      </c>
      <c r="I412" s="20" t="s">
        <v>1781</v>
      </c>
      <c r="J412" s="21" t="s">
        <v>1782</v>
      </c>
      <c r="K412" s="22" t="s">
        <v>1783</v>
      </c>
      <c r="L412" s="22" t="s">
        <v>1784</v>
      </c>
      <c r="M412" s="17">
        <v>2022.0</v>
      </c>
      <c r="N412" s="17">
        <v>10.0</v>
      </c>
      <c r="O412" s="23">
        <v>195.0</v>
      </c>
      <c r="P412" s="24">
        <f t="shared" si="11"/>
        <v>546</v>
      </c>
      <c r="Q412" s="25">
        <v>3.0</v>
      </c>
      <c r="R412" s="17">
        <v>0.0</v>
      </c>
      <c r="S412" s="26">
        <v>3.0</v>
      </c>
      <c r="T412" s="17">
        <v>3.0</v>
      </c>
      <c r="U412" s="17">
        <v>3.0</v>
      </c>
      <c r="V412" s="17" t="s">
        <v>130</v>
      </c>
      <c r="W412" s="28" t="s">
        <v>76</v>
      </c>
      <c r="X412" s="28" t="s">
        <v>78</v>
      </c>
      <c r="Y412" s="24">
        <v>10.0</v>
      </c>
      <c r="Z412" s="17">
        <v>150.0</v>
      </c>
      <c r="AA412" s="17">
        <v>576.0</v>
      </c>
      <c r="AB412" s="17">
        <v>31.0</v>
      </c>
      <c r="AC412" s="20">
        <f t="shared" si="2"/>
        <v>53568</v>
      </c>
      <c r="AD412" s="30">
        <f t="shared" si="3"/>
        <v>10.74666667</v>
      </c>
      <c r="AE412" s="30">
        <f t="shared" si="10"/>
        <v>5867.68</v>
      </c>
      <c r="AF412" s="30">
        <f t="shared" si="5"/>
        <v>2045.101301</v>
      </c>
      <c r="AG412" s="34">
        <v>1.0</v>
      </c>
      <c r="AH412" s="36"/>
      <c r="AI412" s="30">
        <f t="shared" si="6"/>
        <v>3278.688525</v>
      </c>
      <c r="AJ412" s="17">
        <v>4000.0</v>
      </c>
      <c r="AK412" s="30">
        <f t="shared" si="7"/>
        <v>9836.065574</v>
      </c>
      <c r="AL412" s="20">
        <f t="shared" si="8"/>
        <v>12000</v>
      </c>
    </row>
    <row r="413">
      <c r="A413" s="16" t="s">
        <v>1785</v>
      </c>
      <c r="B413" s="17" t="s">
        <v>165</v>
      </c>
      <c r="C413" s="17" t="s">
        <v>169</v>
      </c>
      <c r="D413" s="17" t="s">
        <v>1724</v>
      </c>
      <c r="E413" s="17" t="s">
        <v>1724</v>
      </c>
      <c r="F413" s="17" t="s">
        <v>103</v>
      </c>
      <c r="G413" s="19">
        <v>46205.0</v>
      </c>
      <c r="H413" s="17" t="s">
        <v>104</v>
      </c>
      <c r="I413" s="20" t="s">
        <v>1786</v>
      </c>
      <c r="J413" s="21" t="s">
        <v>1787</v>
      </c>
      <c r="K413" s="22" t="s">
        <v>1788</v>
      </c>
      <c r="L413" s="22" t="s">
        <v>1789</v>
      </c>
      <c r="M413" s="17">
        <v>2022.0</v>
      </c>
      <c r="N413" s="17">
        <v>10.0</v>
      </c>
      <c r="O413" s="23">
        <v>195.0</v>
      </c>
      <c r="P413" s="24">
        <f t="shared" si="11"/>
        <v>546</v>
      </c>
      <c r="Q413" s="25">
        <v>3.0</v>
      </c>
      <c r="R413" s="17">
        <v>0.0</v>
      </c>
      <c r="S413" s="26">
        <v>3.0</v>
      </c>
      <c r="T413" s="17">
        <v>3.0</v>
      </c>
      <c r="U413" s="17">
        <v>3.0</v>
      </c>
      <c r="V413" s="17" t="s">
        <v>130</v>
      </c>
      <c r="W413" s="28" t="s">
        <v>76</v>
      </c>
      <c r="X413" s="28" t="s">
        <v>78</v>
      </c>
      <c r="Y413" s="24">
        <v>10.0</v>
      </c>
      <c r="Z413" s="17">
        <v>150.0</v>
      </c>
      <c r="AA413" s="17">
        <v>576.0</v>
      </c>
      <c r="AB413" s="17">
        <v>31.0</v>
      </c>
      <c r="AC413" s="20">
        <f t="shared" si="2"/>
        <v>53568</v>
      </c>
      <c r="AD413" s="30">
        <f t="shared" si="3"/>
        <v>10.74666667</v>
      </c>
      <c r="AE413" s="30">
        <f t="shared" si="10"/>
        <v>5867.68</v>
      </c>
      <c r="AF413" s="30">
        <f t="shared" si="5"/>
        <v>2045.101301</v>
      </c>
      <c r="AG413" s="34">
        <v>1.0</v>
      </c>
      <c r="AH413" s="36"/>
      <c r="AI413" s="30">
        <f t="shared" si="6"/>
        <v>3278.688525</v>
      </c>
      <c r="AJ413" s="17">
        <v>4000.0</v>
      </c>
      <c r="AK413" s="30">
        <f t="shared" si="7"/>
        <v>9836.065574</v>
      </c>
      <c r="AL413" s="20">
        <f t="shared" si="8"/>
        <v>12000</v>
      </c>
    </row>
    <row r="414">
      <c r="A414" s="16" t="s">
        <v>1790</v>
      </c>
      <c r="B414" s="17" t="s">
        <v>165</v>
      </c>
      <c r="C414" s="17" t="s">
        <v>169</v>
      </c>
      <c r="D414" s="17" t="s">
        <v>1791</v>
      </c>
      <c r="E414" s="54" t="s">
        <v>1792</v>
      </c>
      <c r="F414" s="17" t="s">
        <v>103</v>
      </c>
      <c r="G414" s="19">
        <v>46205.0</v>
      </c>
      <c r="H414" s="17" t="s">
        <v>104</v>
      </c>
      <c r="I414" s="20" t="s">
        <v>1793</v>
      </c>
      <c r="J414" s="21" t="s">
        <v>1794</v>
      </c>
      <c r="K414" s="22" t="s">
        <v>1795</v>
      </c>
      <c r="L414" s="22" t="s">
        <v>1796</v>
      </c>
      <c r="M414" s="17">
        <v>2026.0</v>
      </c>
      <c r="N414" s="17">
        <v>21.0</v>
      </c>
      <c r="O414" s="23">
        <v>180.0</v>
      </c>
      <c r="P414" s="24">
        <f t="shared" ref="P414:P415" si="12">180*2.8</f>
        <v>504</v>
      </c>
      <c r="Q414" s="25">
        <v>3.0</v>
      </c>
      <c r="R414" s="17">
        <v>1.0</v>
      </c>
      <c r="S414" s="26">
        <v>1.0</v>
      </c>
      <c r="T414" s="17">
        <v>2.0</v>
      </c>
      <c r="U414" s="17">
        <v>2.0</v>
      </c>
      <c r="V414" s="17" t="s">
        <v>130</v>
      </c>
      <c r="W414" s="28" t="s">
        <v>76</v>
      </c>
      <c r="X414" s="28" t="s">
        <v>78</v>
      </c>
      <c r="Y414" s="24">
        <v>10.0</v>
      </c>
      <c r="Z414" s="17">
        <v>150.0</v>
      </c>
      <c r="AA414" s="17">
        <v>576.0</v>
      </c>
      <c r="AB414" s="17">
        <v>31.0</v>
      </c>
      <c r="AC414" s="20">
        <f t="shared" si="2"/>
        <v>53568</v>
      </c>
      <c r="AD414" s="30">
        <f t="shared" si="3"/>
        <v>30.628</v>
      </c>
      <c r="AE414" s="30">
        <f t="shared" si="10"/>
        <v>15436.512</v>
      </c>
      <c r="AF414" s="30">
        <f t="shared" si="5"/>
        <v>777.3776874</v>
      </c>
      <c r="AG414" s="34">
        <v>1.0</v>
      </c>
      <c r="AH414" s="36"/>
      <c r="AI414" s="30">
        <f t="shared" si="6"/>
        <v>3278.688525</v>
      </c>
      <c r="AJ414" s="17">
        <v>4000.0</v>
      </c>
      <c r="AK414" s="30">
        <f t="shared" si="7"/>
        <v>9836.065574</v>
      </c>
      <c r="AL414" s="20">
        <f t="shared" si="8"/>
        <v>12000</v>
      </c>
    </row>
    <row r="415">
      <c r="A415" s="16" t="s">
        <v>1790</v>
      </c>
      <c r="B415" s="17" t="s">
        <v>165</v>
      </c>
      <c r="C415" s="17" t="s">
        <v>169</v>
      </c>
      <c r="D415" s="17" t="s">
        <v>1791</v>
      </c>
      <c r="E415" s="54" t="s">
        <v>1792</v>
      </c>
      <c r="F415" s="17" t="s">
        <v>103</v>
      </c>
      <c r="G415" s="19">
        <v>46205.0</v>
      </c>
      <c r="H415" s="17" t="s">
        <v>104</v>
      </c>
      <c r="I415" s="20" t="s">
        <v>1793</v>
      </c>
      <c r="J415" s="21" t="s">
        <v>1797</v>
      </c>
      <c r="K415" s="22" t="s">
        <v>1798</v>
      </c>
      <c r="L415" s="22" t="s">
        <v>1799</v>
      </c>
      <c r="M415" s="17">
        <v>2026.0</v>
      </c>
      <c r="N415" s="17">
        <v>21.0</v>
      </c>
      <c r="O415" s="23">
        <v>180.0</v>
      </c>
      <c r="P415" s="24">
        <f t="shared" si="12"/>
        <v>504</v>
      </c>
      <c r="Q415" s="25">
        <v>3.0</v>
      </c>
      <c r="R415" s="17">
        <v>1.0</v>
      </c>
      <c r="S415" s="26">
        <v>1.0</v>
      </c>
      <c r="T415" s="17">
        <v>2.0</v>
      </c>
      <c r="U415" s="17">
        <v>2.0</v>
      </c>
      <c r="V415" s="17" t="s">
        <v>130</v>
      </c>
      <c r="W415" s="28" t="s">
        <v>76</v>
      </c>
      <c r="X415" s="28" t="s">
        <v>78</v>
      </c>
      <c r="Y415" s="24">
        <v>10.0</v>
      </c>
      <c r="Z415" s="17">
        <v>150.0</v>
      </c>
      <c r="AA415" s="17">
        <v>576.0</v>
      </c>
      <c r="AB415" s="17">
        <v>31.0</v>
      </c>
      <c r="AC415" s="20">
        <f t="shared" si="2"/>
        <v>53568</v>
      </c>
      <c r="AD415" s="30">
        <f t="shared" si="3"/>
        <v>30.628</v>
      </c>
      <c r="AE415" s="30">
        <f t="shared" si="10"/>
        <v>15436.512</v>
      </c>
      <c r="AF415" s="30">
        <f t="shared" si="5"/>
        <v>777.3776874</v>
      </c>
      <c r="AG415" s="34">
        <v>1.0</v>
      </c>
      <c r="AH415" s="36"/>
      <c r="AI415" s="30">
        <f t="shared" si="6"/>
        <v>3278.688525</v>
      </c>
      <c r="AJ415" s="17">
        <v>4000.0</v>
      </c>
      <c r="AK415" s="30">
        <f t="shared" si="7"/>
        <v>9836.065574</v>
      </c>
      <c r="AL415" s="20">
        <f t="shared" si="8"/>
        <v>12000</v>
      </c>
    </row>
    <row r="416">
      <c r="A416" s="16" t="s">
        <v>1800</v>
      </c>
      <c r="B416" s="17" t="s">
        <v>165</v>
      </c>
      <c r="C416" s="17" t="s">
        <v>169</v>
      </c>
      <c r="D416" s="17" t="s">
        <v>1724</v>
      </c>
      <c r="E416" s="17" t="s">
        <v>1724</v>
      </c>
      <c r="F416" s="17" t="s">
        <v>103</v>
      </c>
      <c r="G416" s="19">
        <v>46205.0</v>
      </c>
      <c r="H416" s="17" t="s">
        <v>104</v>
      </c>
      <c r="I416" s="20" t="s">
        <v>1801</v>
      </c>
      <c r="J416" s="21" t="s">
        <v>1802</v>
      </c>
      <c r="K416" s="22" t="s">
        <v>1803</v>
      </c>
      <c r="L416" s="22" t="s">
        <v>1804</v>
      </c>
      <c r="M416" s="17">
        <v>2021.0</v>
      </c>
      <c r="N416" s="17">
        <v>10.0</v>
      </c>
      <c r="O416" s="23">
        <v>216.0</v>
      </c>
      <c r="P416" s="24">
        <f>216*2.8</f>
        <v>604.8</v>
      </c>
      <c r="Q416" s="25">
        <v>5.0</v>
      </c>
      <c r="R416" s="17">
        <v>5.0</v>
      </c>
      <c r="S416" s="26">
        <v>3.0</v>
      </c>
      <c r="T416" s="17">
        <v>0.0</v>
      </c>
      <c r="U416" s="17">
        <v>3.0</v>
      </c>
      <c r="V416" s="17" t="s">
        <v>130</v>
      </c>
      <c r="W416" s="28" t="s">
        <v>76</v>
      </c>
      <c r="X416" s="28" t="s">
        <v>78</v>
      </c>
      <c r="Y416" s="24">
        <v>10.0</v>
      </c>
      <c r="Z416" s="17">
        <v>150.0</v>
      </c>
      <c r="AA416" s="17">
        <v>576.0</v>
      </c>
      <c r="AB416" s="17">
        <v>31.0</v>
      </c>
      <c r="AC416" s="20">
        <f t="shared" si="2"/>
        <v>89280</v>
      </c>
      <c r="AD416" s="30">
        <f t="shared" si="3"/>
        <v>13.43333333</v>
      </c>
      <c r="AE416" s="30">
        <f t="shared" si="10"/>
        <v>8124.48</v>
      </c>
      <c r="AF416" s="30">
        <f t="shared" si="5"/>
        <v>2461.69601</v>
      </c>
      <c r="AG416" s="34">
        <v>1.0</v>
      </c>
      <c r="AH416" s="36"/>
      <c r="AI416" s="30">
        <f t="shared" si="6"/>
        <v>3278.688525</v>
      </c>
      <c r="AJ416" s="17">
        <v>4000.0</v>
      </c>
      <c r="AK416" s="30">
        <f t="shared" si="7"/>
        <v>16393.44262</v>
      </c>
      <c r="AL416" s="20">
        <f t="shared" si="8"/>
        <v>20000</v>
      </c>
    </row>
    <row r="417">
      <c r="A417" s="16" t="s">
        <v>1805</v>
      </c>
      <c r="B417" s="17" t="s">
        <v>165</v>
      </c>
      <c r="C417" s="17" t="s">
        <v>169</v>
      </c>
      <c r="D417" s="17" t="s">
        <v>1791</v>
      </c>
      <c r="E417" s="54" t="s">
        <v>1792</v>
      </c>
      <c r="F417" s="17" t="s">
        <v>103</v>
      </c>
      <c r="G417" s="19">
        <v>46205.0</v>
      </c>
      <c r="H417" s="17" t="s">
        <v>104</v>
      </c>
      <c r="I417" s="17" t="s">
        <v>1806</v>
      </c>
      <c r="J417" s="21" t="s">
        <v>1807</v>
      </c>
      <c r="K417" s="22" t="s">
        <v>1808</v>
      </c>
      <c r="L417" s="22" t="s">
        <v>1809</v>
      </c>
      <c r="M417" s="17">
        <v>2025.0</v>
      </c>
      <c r="N417" s="17">
        <v>27.0</v>
      </c>
      <c r="O417" s="23">
        <v>188.0</v>
      </c>
      <c r="P417" s="24">
        <f>188*2.8</f>
        <v>526.4</v>
      </c>
      <c r="Q417" s="25">
        <v>4.0</v>
      </c>
      <c r="R417" s="17">
        <v>1.0</v>
      </c>
      <c r="S417" s="26">
        <v>1.0</v>
      </c>
      <c r="T417" s="17">
        <v>3.0</v>
      </c>
      <c r="U417" s="17">
        <v>3.0</v>
      </c>
      <c r="V417" s="17" t="s">
        <v>130</v>
      </c>
      <c r="W417" s="28" t="s">
        <v>76</v>
      </c>
      <c r="X417" s="28" t="s">
        <v>78</v>
      </c>
      <c r="Y417" s="24">
        <v>10.0</v>
      </c>
      <c r="Z417" s="17">
        <v>150.0</v>
      </c>
      <c r="AA417" s="17">
        <v>576.0</v>
      </c>
      <c r="AB417" s="17">
        <v>31.0</v>
      </c>
      <c r="AC417" s="20">
        <f t="shared" si="2"/>
        <v>71424</v>
      </c>
      <c r="AD417" s="30">
        <f t="shared" si="3"/>
        <v>37.076</v>
      </c>
      <c r="AE417" s="30">
        <f t="shared" si="10"/>
        <v>19516.8064</v>
      </c>
      <c r="AF417" s="30">
        <f t="shared" si="5"/>
        <v>819.8062568</v>
      </c>
      <c r="AG417" s="34">
        <v>1.0</v>
      </c>
      <c r="AH417" s="36"/>
      <c r="AI417" s="30">
        <f t="shared" si="6"/>
        <v>3278.688525</v>
      </c>
      <c r="AJ417" s="17">
        <v>4000.0</v>
      </c>
      <c r="AK417" s="30">
        <f t="shared" si="7"/>
        <v>13114.7541</v>
      </c>
      <c r="AL417" s="20">
        <f t="shared" si="8"/>
        <v>16000</v>
      </c>
    </row>
    <row r="418">
      <c r="A418" s="16" t="s">
        <v>1810</v>
      </c>
      <c r="B418" s="17" t="s">
        <v>165</v>
      </c>
      <c r="C418" s="17" t="s">
        <v>169</v>
      </c>
      <c r="D418" s="17" t="s">
        <v>1791</v>
      </c>
      <c r="E418" s="54" t="s">
        <v>1792</v>
      </c>
      <c r="F418" s="17" t="s">
        <v>103</v>
      </c>
      <c r="G418" s="19">
        <v>46205.0</v>
      </c>
      <c r="H418" s="17" t="s">
        <v>104</v>
      </c>
      <c r="I418" s="17" t="s">
        <v>1811</v>
      </c>
      <c r="J418" s="21" t="s">
        <v>1812</v>
      </c>
      <c r="K418" s="22" t="s">
        <v>1813</v>
      </c>
      <c r="L418" s="22" t="s">
        <v>1814</v>
      </c>
      <c r="M418" s="17">
        <v>2025.0</v>
      </c>
      <c r="N418" s="17">
        <v>27.0</v>
      </c>
      <c r="O418" s="23">
        <v>185.0</v>
      </c>
      <c r="P418" s="24">
        <f>185*2.8</f>
        <v>518</v>
      </c>
      <c r="Q418" s="25">
        <v>4.0</v>
      </c>
      <c r="R418" s="17">
        <v>1.0</v>
      </c>
      <c r="S418" s="26">
        <v>1.0</v>
      </c>
      <c r="T418" s="17">
        <v>3.0</v>
      </c>
      <c r="U418" s="17">
        <v>3.0</v>
      </c>
      <c r="V418" s="17" t="s">
        <v>130</v>
      </c>
      <c r="W418" s="28" t="s">
        <v>76</v>
      </c>
      <c r="X418" s="28" t="s">
        <v>78</v>
      </c>
      <c r="Y418" s="24">
        <v>10.0</v>
      </c>
      <c r="Z418" s="17">
        <v>150.0</v>
      </c>
      <c r="AA418" s="17">
        <v>576.0</v>
      </c>
      <c r="AB418" s="17">
        <v>31.0</v>
      </c>
      <c r="AC418" s="20">
        <f t="shared" si="2"/>
        <v>71424</v>
      </c>
      <c r="AD418" s="30">
        <f t="shared" si="3"/>
        <v>37.076</v>
      </c>
      <c r="AE418" s="30">
        <f t="shared" si="10"/>
        <v>19205.368</v>
      </c>
      <c r="AF418" s="30">
        <f t="shared" si="5"/>
        <v>833.1004123</v>
      </c>
      <c r="AG418" s="34">
        <v>1.0</v>
      </c>
      <c r="AH418" s="36"/>
      <c r="AI418" s="30">
        <f t="shared" si="6"/>
        <v>3278.688525</v>
      </c>
      <c r="AJ418" s="17">
        <v>4000.0</v>
      </c>
      <c r="AK418" s="30">
        <f t="shared" si="7"/>
        <v>13114.7541</v>
      </c>
      <c r="AL418" s="20">
        <f t="shared" si="8"/>
        <v>16000</v>
      </c>
    </row>
    <row r="419">
      <c r="A419" s="16" t="s">
        <v>1815</v>
      </c>
      <c r="B419" s="17" t="s">
        <v>165</v>
      </c>
      <c r="C419" s="17" t="s">
        <v>169</v>
      </c>
      <c r="D419" s="17" t="s">
        <v>1791</v>
      </c>
      <c r="E419" s="54" t="s">
        <v>1792</v>
      </c>
      <c r="F419" s="17" t="s">
        <v>103</v>
      </c>
      <c r="G419" s="19">
        <v>46205.0</v>
      </c>
      <c r="H419" s="17" t="s">
        <v>104</v>
      </c>
      <c r="I419" s="20" t="s">
        <v>1816</v>
      </c>
      <c r="J419" s="21" t="s">
        <v>1817</v>
      </c>
      <c r="K419" s="22" t="s">
        <v>1818</v>
      </c>
      <c r="L419" s="22" t="s">
        <v>1819</v>
      </c>
      <c r="M419" s="17">
        <v>2008.0</v>
      </c>
      <c r="N419" s="17">
        <v>10.0</v>
      </c>
      <c r="O419" s="23">
        <v>120.0</v>
      </c>
      <c r="P419" s="24">
        <f>120*2.8</f>
        <v>336</v>
      </c>
      <c r="Q419" s="25">
        <v>3.0</v>
      </c>
      <c r="R419" s="17">
        <v>0.0</v>
      </c>
      <c r="S419" s="26">
        <v>3.0</v>
      </c>
      <c r="T419" s="17">
        <v>3.0</v>
      </c>
      <c r="U419" s="17">
        <v>3.0</v>
      </c>
      <c r="V419" s="17" t="s">
        <v>130</v>
      </c>
      <c r="W419" s="28" t="s">
        <v>76</v>
      </c>
      <c r="X419" s="28" t="s">
        <v>78</v>
      </c>
      <c r="Y419" s="24">
        <v>10.0</v>
      </c>
      <c r="Z419" s="17">
        <v>150.0</v>
      </c>
      <c r="AA419" s="17">
        <v>576.0</v>
      </c>
      <c r="AB419" s="17">
        <v>31.0</v>
      </c>
      <c r="AC419" s="20">
        <f t="shared" si="2"/>
        <v>53568</v>
      </c>
      <c r="AD419" s="30">
        <f t="shared" si="3"/>
        <v>10.74666667</v>
      </c>
      <c r="AE419" s="30">
        <f t="shared" si="10"/>
        <v>3610.88</v>
      </c>
      <c r="AF419" s="30">
        <f t="shared" si="5"/>
        <v>3323.289614</v>
      </c>
      <c r="AG419" s="34">
        <v>1.0</v>
      </c>
      <c r="AH419" s="36"/>
      <c r="AI419" s="30">
        <f t="shared" si="6"/>
        <v>3278.688525</v>
      </c>
      <c r="AJ419" s="17">
        <v>4000.0</v>
      </c>
      <c r="AK419" s="30">
        <f t="shared" si="7"/>
        <v>9836.065574</v>
      </c>
      <c r="AL419" s="20">
        <f t="shared" si="8"/>
        <v>12000</v>
      </c>
    </row>
    <row r="420">
      <c r="A420" s="25" t="s">
        <v>1820</v>
      </c>
      <c r="B420" s="17" t="s">
        <v>165</v>
      </c>
      <c r="C420" s="17" t="s">
        <v>169</v>
      </c>
      <c r="D420" s="17" t="s">
        <v>1792</v>
      </c>
      <c r="E420" s="54" t="s">
        <v>1792</v>
      </c>
      <c r="F420" s="17" t="s">
        <v>103</v>
      </c>
      <c r="G420" s="19">
        <v>46205.0</v>
      </c>
      <c r="H420" s="17" t="s">
        <v>104</v>
      </c>
      <c r="I420" s="20" t="s">
        <v>1821</v>
      </c>
      <c r="J420" s="21" t="s">
        <v>1822</v>
      </c>
      <c r="K420" s="22" t="s">
        <v>1823</v>
      </c>
      <c r="L420" s="22" t="s">
        <v>1824</v>
      </c>
      <c r="M420" s="17">
        <v>2015.0</v>
      </c>
      <c r="N420" s="17">
        <v>12.0</v>
      </c>
      <c r="O420" s="23">
        <v>143.0</v>
      </c>
      <c r="P420" s="24">
        <f>143*2.8</f>
        <v>400.4</v>
      </c>
      <c r="Q420" s="25">
        <v>2.0</v>
      </c>
      <c r="R420" s="17">
        <v>0.0</v>
      </c>
      <c r="S420" s="26">
        <v>1.0</v>
      </c>
      <c r="T420" s="17">
        <v>2.0</v>
      </c>
      <c r="U420" s="17">
        <v>2.0</v>
      </c>
      <c r="V420" s="17" t="s">
        <v>130</v>
      </c>
      <c r="W420" s="28" t="s">
        <v>76</v>
      </c>
      <c r="X420" s="28" t="s">
        <v>78</v>
      </c>
      <c r="Y420" s="24">
        <v>10.0</v>
      </c>
      <c r="Z420" s="17">
        <v>150.0</v>
      </c>
      <c r="AA420" s="17">
        <v>576.0</v>
      </c>
      <c r="AB420" s="17">
        <v>31.0</v>
      </c>
      <c r="AC420" s="20">
        <f t="shared" si="2"/>
        <v>35712</v>
      </c>
      <c r="AD420" s="30">
        <f t="shared" si="3"/>
        <v>12.896</v>
      </c>
      <c r="AE420" s="30">
        <f t="shared" si="10"/>
        <v>5163.5584</v>
      </c>
      <c r="AF420" s="30">
        <f t="shared" si="5"/>
        <v>1549.319167</v>
      </c>
      <c r="AG420" s="34">
        <v>1.0</v>
      </c>
      <c r="AH420" s="36"/>
      <c r="AI420" s="30">
        <f t="shared" si="6"/>
        <v>3278.688525</v>
      </c>
      <c r="AJ420" s="17">
        <v>4000.0</v>
      </c>
      <c r="AK420" s="30">
        <f t="shared" si="7"/>
        <v>6557.377049</v>
      </c>
      <c r="AL420" s="20">
        <f t="shared" si="8"/>
        <v>8000</v>
      </c>
    </row>
    <row r="421">
      <c r="A421" s="25" t="s">
        <v>1820</v>
      </c>
      <c r="B421" s="17" t="s">
        <v>165</v>
      </c>
      <c r="C421" s="17" t="s">
        <v>169</v>
      </c>
      <c r="D421" s="17" t="s">
        <v>1792</v>
      </c>
      <c r="E421" s="54" t="s">
        <v>1792</v>
      </c>
      <c r="F421" s="17" t="s">
        <v>103</v>
      </c>
      <c r="G421" s="19">
        <v>46205.0</v>
      </c>
      <c r="H421" s="17" t="s">
        <v>104</v>
      </c>
      <c r="I421" s="20" t="s">
        <v>1821</v>
      </c>
      <c r="J421" s="21" t="s">
        <v>1825</v>
      </c>
      <c r="K421" s="22" t="s">
        <v>1826</v>
      </c>
      <c r="L421" s="22" t="s">
        <v>1827</v>
      </c>
      <c r="M421" s="17">
        <v>2014.0</v>
      </c>
      <c r="N421" s="17">
        <v>12.0</v>
      </c>
      <c r="O421" s="23">
        <v>110.0</v>
      </c>
      <c r="P421" s="24">
        <f>110*2.8</f>
        <v>308</v>
      </c>
      <c r="Q421" s="25">
        <v>2.0</v>
      </c>
      <c r="R421" s="17">
        <v>0.0</v>
      </c>
      <c r="S421" s="26">
        <v>1.0</v>
      </c>
      <c r="T421" s="17">
        <v>2.0</v>
      </c>
      <c r="U421" s="17">
        <v>2.0</v>
      </c>
      <c r="V421" s="17" t="s">
        <v>130</v>
      </c>
      <c r="W421" s="28" t="s">
        <v>76</v>
      </c>
      <c r="X421" s="28" t="s">
        <v>78</v>
      </c>
      <c r="Y421" s="24">
        <v>10.0</v>
      </c>
      <c r="Z421" s="17">
        <v>150.0</v>
      </c>
      <c r="AA421" s="17">
        <v>576.0</v>
      </c>
      <c r="AB421" s="17">
        <v>31.0</v>
      </c>
      <c r="AC421" s="20">
        <f t="shared" si="2"/>
        <v>35712</v>
      </c>
      <c r="AD421" s="30">
        <f t="shared" si="3"/>
        <v>12.896</v>
      </c>
      <c r="AE421" s="30">
        <f t="shared" si="10"/>
        <v>3971.968</v>
      </c>
      <c r="AF421" s="30">
        <f t="shared" si="5"/>
        <v>2014.114917</v>
      </c>
      <c r="AG421" s="34">
        <v>1.0</v>
      </c>
      <c r="AH421" s="36"/>
      <c r="AI421" s="30">
        <f t="shared" si="6"/>
        <v>3278.688525</v>
      </c>
      <c r="AJ421" s="17">
        <v>4000.0</v>
      </c>
      <c r="AK421" s="30">
        <f t="shared" si="7"/>
        <v>6557.377049</v>
      </c>
      <c r="AL421" s="20">
        <f t="shared" si="8"/>
        <v>8000</v>
      </c>
    </row>
    <row r="422">
      <c r="A422" s="16" t="s">
        <v>1828</v>
      </c>
      <c r="B422" s="17" t="s">
        <v>165</v>
      </c>
      <c r="C422" s="17" t="s">
        <v>169</v>
      </c>
      <c r="D422" s="17" t="s">
        <v>1724</v>
      </c>
      <c r="E422" s="17" t="s">
        <v>1724</v>
      </c>
      <c r="F422" s="17" t="s">
        <v>103</v>
      </c>
      <c r="G422" s="19">
        <v>46205.0</v>
      </c>
      <c r="H422" s="17" t="s">
        <v>104</v>
      </c>
      <c r="I422" s="20" t="s">
        <v>1829</v>
      </c>
      <c r="J422" s="21" t="s">
        <v>1830</v>
      </c>
      <c r="K422" s="22" t="s">
        <v>1831</v>
      </c>
      <c r="L422" s="22" t="s">
        <v>1832</v>
      </c>
      <c r="M422" s="17">
        <v>2004.0</v>
      </c>
      <c r="N422" s="17">
        <v>9.0</v>
      </c>
      <c r="O422" s="23">
        <v>72.0</v>
      </c>
      <c r="P422" s="24">
        <f>72*2.8</f>
        <v>201.6</v>
      </c>
      <c r="Q422" s="25">
        <v>1.0</v>
      </c>
      <c r="R422" s="17">
        <v>1.0</v>
      </c>
      <c r="S422" s="26">
        <v>1.0</v>
      </c>
      <c r="T422" s="17">
        <v>0.0</v>
      </c>
      <c r="U422" s="17">
        <v>1.0</v>
      </c>
      <c r="V422" s="17" t="s">
        <v>130</v>
      </c>
      <c r="W422" s="28" t="s">
        <v>76</v>
      </c>
      <c r="X422" s="28" t="s">
        <v>78</v>
      </c>
      <c r="Y422" s="24">
        <v>10.0</v>
      </c>
      <c r="Z422" s="17">
        <v>150.0</v>
      </c>
      <c r="AA422" s="17">
        <v>576.0</v>
      </c>
      <c r="AB422" s="17">
        <v>31.0</v>
      </c>
      <c r="AC422" s="20">
        <f t="shared" si="2"/>
        <v>17856</v>
      </c>
      <c r="AD422" s="30">
        <f t="shared" si="3"/>
        <v>8.06</v>
      </c>
      <c r="AE422" s="30">
        <f t="shared" si="10"/>
        <v>1624.896</v>
      </c>
      <c r="AF422" s="30">
        <f t="shared" si="5"/>
        <v>2461.69601</v>
      </c>
      <c r="AG422" s="34">
        <v>1.0</v>
      </c>
      <c r="AH422" s="36"/>
      <c r="AI422" s="30">
        <f t="shared" si="6"/>
        <v>3278.688525</v>
      </c>
      <c r="AJ422" s="17">
        <v>4000.0</v>
      </c>
      <c r="AK422" s="30">
        <f t="shared" si="7"/>
        <v>3278.688525</v>
      </c>
      <c r="AL422" s="20">
        <f t="shared" si="8"/>
        <v>4000</v>
      </c>
    </row>
    <row r="423">
      <c r="A423" s="16" t="s">
        <v>1833</v>
      </c>
      <c r="B423" s="17" t="s">
        <v>165</v>
      </c>
      <c r="C423" s="17" t="s">
        <v>169</v>
      </c>
      <c r="D423" s="17" t="s">
        <v>1791</v>
      </c>
      <c r="E423" s="54" t="s">
        <v>1792</v>
      </c>
      <c r="F423" s="17" t="s">
        <v>103</v>
      </c>
      <c r="G423" s="19">
        <v>46205.0</v>
      </c>
      <c r="H423" s="17" t="s">
        <v>104</v>
      </c>
      <c r="I423" s="20" t="s">
        <v>1834</v>
      </c>
      <c r="J423" s="21" t="s">
        <v>1835</v>
      </c>
      <c r="K423" s="22" t="s">
        <v>1836</v>
      </c>
      <c r="L423" s="22" t="s">
        <v>1837</v>
      </c>
      <c r="M423" s="17">
        <v>2008.0</v>
      </c>
      <c r="N423" s="17">
        <v>10.0</v>
      </c>
      <c r="O423" s="23">
        <v>135.0</v>
      </c>
      <c r="P423" s="24">
        <f>135*2.8</f>
        <v>378</v>
      </c>
      <c r="Q423" s="25">
        <v>4.0</v>
      </c>
      <c r="R423" s="17">
        <v>4.0</v>
      </c>
      <c r="S423" s="26">
        <v>4.0</v>
      </c>
      <c r="T423" s="17">
        <v>0.0</v>
      </c>
      <c r="U423" s="17">
        <v>4.0</v>
      </c>
      <c r="V423" s="17" t="s">
        <v>130</v>
      </c>
      <c r="W423" s="28" t="s">
        <v>76</v>
      </c>
      <c r="X423" s="28" t="s">
        <v>78</v>
      </c>
      <c r="Y423" s="24">
        <v>10.0</v>
      </c>
      <c r="Z423" s="17">
        <v>150.0</v>
      </c>
      <c r="AA423" s="17">
        <v>576.0</v>
      </c>
      <c r="AB423" s="17">
        <v>31.0</v>
      </c>
      <c r="AC423" s="20">
        <f t="shared" si="2"/>
        <v>71424</v>
      </c>
      <c r="AD423" s="30">
        <f t="shared" si="3"/>
        <v>8.06</v>
      </c>
      <c r="AE423" s="30">
        <f t="shared" si="10"/>
        <v>3046.68</v>
      </c>
      <c r="AF423" s="30">
        <f t="shared" si="5"/>
        <v>5251.618155</v>
      </c>
      <c r="AG423" s="34">
        <v>1.0</v>
      </c>
      <c r="AH423" s="36"/>
      <c r="AI423" s="30">
        <f t="shared" si="6"/>
        <v>3278.688525</v>
      </c>
      <c r="AJ423" s="17">
        <v>4000.0</v>
      </c>
      <c r="AK423" s="30">
        <f t="shared" si="7"/>
        <v>13114.7541</v>
      </c>
      <c r="AL423" s="20">
        <f t="shared" si="8"/>
        <v>16000</v>
      </c>
    </row>
    <row r="424">
      <c r="A424" s="16" t="s">
        <v>1838</v>
      </c>
      <c r="B424" s="17" t="s">
        <v>165</v>
      </c>
      <c r="C424" s="17" t="s">
        <v>169</v>
      </c>
      <c r="D424" s="17" t="s">
        <v>1791</v>
      </c>
      <c r="E424" s="54" t="s">
        <v>1792</v>
      </c>
      <c r="F424" s="17" t="s">
        <v>103</v>
      </c>
      <c r="G424" s="19">
        <v>46205.0</v>
      </c>
      <c r="H424" s="17" t="s">
        <v>104</v>
      </c>
      <c r="I424" s="17" t="s">
        <v>1839</v>
      </c>
      <c r="J424" s="21" t="s">
        <v>1840</v>
      </c>
      <c r="K424" s="28" t="s">
        <v>1841</v>
      </c>
      <c r="L424" s="28" t="s">
        <v>1842</v>
      </c>
      <c r="M424" s="17">
        <v>2007.0</v>
      </c>
      <c r="N424" s="17">
        <v>19.0</v>
      </c>
      <c r="O424" s="23">
        <v>616.0</v>
      </c>
      <c r="P424" s="24">
        <f t="shared" ref="P424:P426" si="13">616*2.8</f>
        <v>1724.8</v>
      </c>
      <c r="Q424" s="25">
        <v>8.0</v>
      </c>
      <c r="R424" s="17">
        <v>4.0</v>
      </c>
      <c r="S424" s="26">
        <v>11.0</v>
      </c>
      <c r="T424" s="17">
        <v>4.0</v>
      </c>
      <c r="U424" s="17">
        <v>22.0</v>
      </c>
      <c r="V424" s="17" t="s">
        <v>130</v>
      </c>
      <c r="W424" s="28" t="s">
        <v>76</v>
      </c>
      <c r="X424" s="28" t="s">
        <v>78</v>
      </c>
      <c r="Y424" s="24">
        <v>10.0</v>
      </c>
      <c r="Z424" s="17">
        <v>150.0</v>
      </c>
      <c r="AA424" s="17">
        <v>576.0</v>
      </c>
      <c r="AB424" s="17">
        <v>31.0</v>
      </c>
      <c r="AC424" s="20">
        <f t="shared" si="2"/>
        <v>142848</v>
      </c>
      <c r="AD424" s="30">
        <f t="shared" si="3"/>
        <v>6.643393939</v>
      </c>
      <c r="AE424" s="30">
        <f t="shared" si="10"/>
        <v>11458.52587</v>
      </c>
      <c r="AF424" s="30">
        <f t="shared" si="5"/>
        <v>2792.680348</v>
      </c>
      <c r="AG424" s="34">
        <v>1.0</v>
      </c>
      <c r="AH424" s="36"/>
      <c r="AI424" s="30">
        <f t="shared" si="6"/>
        <v>3278.688525</v>
      </c>
      <c r="AJ424" s="17">
        <v>4000.0</v>
      </c>
      <c r="AK424" s="30">
        <f t="shared" si="7"/>
        <v>26229.5082</v>
      </c>
      <c r="AL424" s="20">
        <f t="shared" si="8"/>
        <v>32000</v>
      </c>
    </row>
    <row r="425">
      <c r="A425" s="16" t="s">
        <v>1843</v>
      </c>
      <c r="B425" s="17" t="s">
        <v>165</v>
      </c>
      <c r="C425" s="17" t="s">
        <v>169</v>
      </c>
      <c r="D425" s="17" t="s">
        <v>1791</v>
      </c>
      <c r="E425" s="54" t="s">
        <v>1792</v>
      </c>
      <c r="F425" s="17" t="s">
        <v>103</v>
      </c>
      <c r="G425" s="19">
        <v>46205.0</v>
      </c>
      <c r="H425" s="17" t="s">
        <v>104</v>
      </c>
      <c r="I425" s="17" t="s">
        <v>1844</v>
      </c>
      <c r="J425" s="21" t="s">
        <v>1840</v>
      </c>
      <c r="K425" s="28" t="s">
        <v>1841</v>
      </c>
      <c r="L425" s="28" t="s">
        <v>1842</v>
      </c>
      <c r="M425" s="17">
        <v>2007.0</v>
      </c>
      <c r="N425" s="17">
        <v>19.0</v>
      </c>
      <c r="O425" s="23">
        <v>616.0</v>
      </c>
      <c r="P425" s="24">
        <f t="shared" si="13"/>
        <v>1724.8</v>
      </c>
      <c r="Q425" s="25">
        <v>8.0</v>
      </c>
      <c r="R425" s="17">
        <v>4.0</v>
      </c>
      <c r="S425" s="26">
        <v>11.0</v>
      </c>
      <c r="T425" s="17">
        <v>4.0</v>
      </c>
      <c r="U425" s="17">
        <v>22.0</v>
      </c>
      <c r="V425" s="17" t="s">
        <v>130</v>
      </c>
      <c r="W425" s="28" t="s">
        <v>76</v>
      </c>
      <c r="X425" s="28" t="s">
        <v>78</v>
      </c>
      <c r="Y425" s="24">
        <v>10.0</v>
      </c>
      <c r="Z425" s="17">
        <v>150.0</v>
      </c>
      <c r="AA425" s="17">
        <v>576.0</v>
      </c>
      <c r="AB425" s="17">
        <v>31.0</v>
      </c>
      <c r="AC425" s="20">
        <f t="shared" si="2"/>
        <v>142848</v>
      </c>
      <c r="AD425" s="30">
        <f t="shared" si="3"/>
        <v>6.643393939</v>
      </c>
      <c r="AE425" s="30">
        <f t="shared" si="10"/>
        <v>11458.52587</v>
      </c>
      <c r="AF425" s="30">
        <f t="shared" si="5"/>
        <v>2792.680348</v>
      </c>
      <c r="AG425" s="34">
        <v>1.0</v>
      </c>
      <c r="AH425" s="36"/>
      <c r="AI425" s="30">
        <f t="shared" si="6"/>
        <v>3278.688525</v>
      </c>
      <c r="AJ425" s="17">
        <v>4000.0</v>
      </c>
      <c r="AK425" s="30">
        <f t="shared" si="7"/>
        <v>26229.5082</v>
      </c>
      <c r="AL425" s="20">
        <f t="shared" si="8"/>
        <v>32000</v>
      </c>
    </row>
    <row r="426">
      <c r="A426" s="16" t="s">
        <v>1845</v>
      </c>
      <c r="B426" s="17" t="s">
        <v>165</v>
      </c>
      <c r="C426" s="17" t="s">
        <v>169</v>
      </c>
      <c r="D426" s="17" t="s">
        <v>1791</v>
      </c>
      <c r="E426" s="54" t="s">
        <v>1792</v>
      </c>
      <c r="F426" s="17" t="s">
        <v>103</v>
      </c>
      <c r="G426" s="19">
        <v>46205.0</v>
      </c>
      <c r="H426" s="17" t="s">
        <v>104</v>
      </c>
      <c r="I426" s="17" t="s">
        <v>1846</v>
      </c>
      <c r="J426" s="21" t="s">
        <v>1840</v>
      </c>
      <c r="K426" s="28" t="s">
        <v>1841</v>
      </c>
      <c r="L426" s="28" t="s">
        <v>1842</v>
      </c>
      <c r="M426" s="17">
        <v>2007.0</v>
      </c>
      <c r="N426" s="17">
        <v>19.0</v>
      </c>
      <c r="O426" s="23">
        <v>616.0</v>
      </c>
      <c r="P426" s="24">
        <f t="shared" si="13"/>
        <v>1724.8</v>
      </c>
      <c r="Q426" s="25">
        <v>6.0</v>
      </c>
      <c r="R426" s="17">
        <v>3.0</v>
      </c>
      <c r="S426" s="26">
        <v>11.0</v>
      </c>
      <c r="T426" s="17">
        <v>3.0</v>
      </c>
      <c r="U426" s="17">
        <v>22.0</v>
      </c>
      <c r="V426" s="17" t="s">
        <v>130</v>
      </c>
      <c r="W426" s="28" t="s">
        <v>76</v>
      </c>
      <c r="X426" s="28" t="s">
        <v>78</v>
      </c>
      <c r="Y426" s="24">
        <v>10.0</v>
      </c>
      <c r="Z426" s="17">
        <v>150.0</v>
      </c>
      <c r="AA426" s="17">
        <v>576.0</v>
      </c>
      <c r="AB426" s="17">
        <v>31.0</v>
      </c>
      <c r="AC426" s="20">
        <f t="shared" si="2"/>
        <v>107136</v>
      </c>
      <c r="AD426" s="30">
        <f t="shared" si="3"/>
        <v>4.982545455</v>
      </c>
      <c r="AE426" s="30">
        <f t="shared" si="10"/>
        <v>8593.8944</v>
      </c>
      <c r="AF426" s="30">
        <f t="shared" si="5"/>
        <v>2792.680348</v>
      </c>
      <c r="AG426" s="34">
        <v>1.0</v>
      </c>
      <c r="AH426" s="36"/>
      <c r="AI426" s="30">
        <f t="shared" si="6"/>
        <v>3278.688525</v>
      </c>
      <c r="AJ426" s="17">
        <v>4000.0</v>
      </c>
      <c r="AK426" s="30">
        <f t="shared" si="7"/>
        <v>19672.13115</v>
      </c>
      <c r="AL426" s="20">
        <f t="shared" si="8"/>
        <v>24000</v>
      </c>
    </row>
    <row r="427">
      <c r="A427" s="16" t="s">
        <v>1847</v>
      </c>
      <c r="B427" s="17" t="s">
        <v>165</v>
      </c>
      <c r="C427" s="17" t="s">
        <v>169</v>
      </c>
      <c r="D427" s="17" t="s">
        <v>1375</v>
      </c>
      <c r="E427" s="96" t="s">
        <v>1375</v>
      </c>
      <c r="F427" s="17" t="s">
        <v>103</v>
      </c>
      <c r="G427" s="19">
        <v>46205.0</v>
      </c>
      <c r="H427" s="17" t="s">
        <v>104</v>
      </c>
      <c r="I427" s="17" t="s">
        <v>1848</v>
      </c>
      <c r="J427" s="21" t="s">
        <v>1849</v>
      </c>
      <c r="K427" s="28" t="s">
        <v>1850</v>
      </c>
      <c r="L427" s="28" t="s">
        <v>1851</v>
      </c>
      <c r="M427" s="17">
        <v>2008.0</v>
      </c>
      <c r="N427" s="17">
        <v>14.0</v>
      </c>
      <c r="O427" s="23">
        <v>128.0</v>
      </c>
      <c r="P427" s="24">
        <f>128*2.8</f>
        <v>358.4</v>
      </c>
      <c r="Q427" s="25">
        <v>2.0</v>
      </c>
      <c r="R427" s="17">
        <v>2.0</v>
      </c>
      <c r="S427" s="26">
        <v>2.0</v>
      </c>
      <c r="T427" s="17">
        <v>0.0</v>
      </c>
      <c r="U427" s="17">
        <v>4.0</v>
      </c>
      <c r="V427" s="17" t="s">
        <v>130</v>
      </c>
      <c r="W427" s="28" t="s">
        <v>76</v>
      </c>
      <c r="X427" s="28" t="s">
        <v>78</v>
      </c>
      <c r="Y427" s="24">
        <v>10.0</v>
      </c>
      <c r="Z427" s="17">
        <v>150.0</v>
      </c>
      <c r="AA427" s="17">
        <v>576.0</v>
      </c>
      <c r="AB427" s="17">
        <v>31.0</v>
      </c>
      <c r="AC427" s="20">
        <f t="shared" si="2"/>
        <v>35712</v>
      </c>
      <c r="AD427" s="30">
        <f t="shared" si="3"/>
        <v>8.06</v>
      </c>
      <c r="AE427" s="30">
        <f t="shared" si="10"/>
        <v>2888.704</v>
      </c>
      <c r="AF427" s="30">
        <f t="shared" si="5"/>
        <v>2769.408011</v>
      </c>
      <c r="AG427" s="34">
        <v>1.0</v>
      </c>
      <c r="AH427" s="36"/>
      <c r="AI427" s="30">
        <f t="shared" si="6"/>
        <v>3278.688525</v>
      </c>
      <c r="AJ427" s="17">
        <v>4000.0</v>
      </c>
      <c r="AK427" s="30">
        <f t="shared" si="7"/>
        <v>6557.377049</v>
      </c>
      <c r="AL427" s="20">
        <f t="shared" si="8"/>
        <v>8000</v>
      </c>
    </row>
    <row r="428">
      <c r="A428" s="16" t="s">
        <v>1852</v>
      </c>
      <c r="B428" s="17" t="s">
        <v>165</v>
      </c>
      <c r="C428" s="17" t="s">
        <v>169</v>
      </c>
      <c r="D428" s="17" t="s">
        <v>1791</v>
      </c>
      <c r="E428" s="54" t="s">
        <v>1792</v>
      </c>
      <c r="F428" s="17" t="s">
        <v>103</v>
      </c>
      <c r="G428" s="19">
        <v>46205.0</v>
      </c>
      <c r="H428" s="17" t="s">
        <v>104</v>
      </c>
      <c r="I428" s="17" t="s">
        <v>1853</v>
      </c>
      <c r="J428" s="21" t="s">
        <v>1854</v>
      </c>
      <c r="K428" s="28" t="s">
        <v>1855</v>
      </c>
      <c r="L428" s="28" t="s">
        <v>1856</v>
      </c>
      <c r="M428" s="17">
        <v>2000.0</v>
      </c>
      <c r="N428" s="17">
        <v>12.0</v>
      </c>
      <c r="O428" s="23">
        <v>118.0</v>
      </c>
      <c r="P428" s="24">
        <f>118*2.8</f>
        <v>330.4</v>
      </c>
      <c r="Q428" s="25">
        <v>4.0</v>
      </c>
      <c r="R428" s="17">
        <v>0.0</v>
      </c>
      <c r="S428" s="26">
        <v>2.0</v>
      </c>
      <c r="T428" s="17">
        <v>4.0</v>
      </c>
      <c r="U428" s="17">
        <v>4.0</v>
      </c>
      <c r="V428" s="17" t="s">
        <v>130</v>
      </c>
      <c r="W428" s="28" t="s">
        <v>76</v>
      </c>
      <c r="X428" s="28" t="s">
        <v>78</v>
      </c>
      <c r="Y428" s="24">
        <v>10.0</v>
      </c>
      <c r="Z428" s="17">
        <v>150.0</v>
      </c>
      <c r="AA428" s="17">
        <v>576.0</v>
      </c>
      <c r="AB428" s="17">
        <v>31.0</v>
      </c>
      <c r="AC428" s="20">
        <f t="shared" si="2"/>
        <v>71424</v>
      </c>
      <c r="AD428" s="30">
        <f t="shared" si="3"/>
        <v>12.896</v>
      </c>
      <c r="AE428" s="30">
        <f t="shared" si="10"/>
        <v>4260.8384</v>
      </c>
      <c r="AF428" s="30">
        <f t="shared" si="5"/>
        <v>3755.129507</v>
      </c>
      <c r="AG428" s="34">
        <v>1.0</v>
      </c>
      <c r="AH428" s="36"/>
      <c r="AI428" s="30">
        <f t="shared" si="6"/>
        <v>3278.688525</v>
      </c>
      <c r="AJ428" s="17">
        <v>4000.0</v>
      </c>
      <c r="AK428" s="30">
        <f t="shared" si="7"/>
        <v>13114.7541</v>
      </c>
      <c r="AL428" s="20">
        <f t="shared" si="8"/>
        <v>16000</v>
      </c>
    </row>
    <row r="429">
      <c r="A429" s="41" t="s">
        <v>1857</v>
      </c>
      <c r="B429" s="42" t="s">
        <v>165</v>
      </c>
      <c r="C429" s="42" t="s">
        <v>169</v>
      </c>
      <c r="D429" s="42" t="s">
        <v>1472</v>
      </c>
      <c r="E429" s="42" t="s">
        <v>1473</v>
      </c>
      <c r="F429" s="17" t="s">
        <v>103</v>
      </c>
      <c r="G429" s="19">
        <v>46246.0</v>
      </c>
      <c r="H429" s="17" t="s">
        <v>104</v>
      </c>
      <c r="I429" s="42" t="s">
        <v>1858</v>
      </c>
      <c r="J429" s="44" t="s">
        <v>1859</v>
      </c>
      <c r="K429" s="45" t="s">
        <v>1860</v>
      </c>
      <c r="L429" s="45" t="s">
        <v>1861</v>
      </c>
      <c r="M429" s="42">
        <v>2010.0</v>
      </c>
      <c r="N429" s="42">
        <v>11.0</v>
      </c>
      <c r="O429" s="47">
        <v>167.0</v>
      </c>
      <c r="P429" s="48">
        <f>167*2.8</f>
        <v>467.6</v>
      </c>
      <c r="Q429" s="41">
        <v>8.0</v>
      </c>
      <c r="R429" s="42">
        <v>4.0</v>
      </c>
      <c r="S429" s="49">
        <v>4.0</v>
      </c>
      <c r="T429" s="42">
        <v>4.0</v>
      </c>
      <c r="U429" s="42">
        <v>4.0</v>
      </c>
      <c r="V429" s="42" t="s">
        <v>130</v>
      </c>
      <c r="W429" s="45" t="s">
        <v>76</v>
      </c>
      <c r="X429" s="45" t="s">
        <v>78</v>
      </c>
      <c r="Y429" s="48">
        <v>10.0</v>
      </c>
      <c r="Z429" s="42">
        <v>150.0</v>
      </c>
      <c r="AA429" s="42">
        <v>576.0</v>
      </c>
      <c r="AB429" s="42">
        <v>31.0</v>
      </c>
      <c r="AC429" s="43">
        <f t="shared" si="2"/>
        <v>142848</v>
      </c>
      <c r="AD429" s="50">
        <f t="shared" si="3"/>
        <v>19.88133333</v>
      </c>
      <c r="AE429" s="50">
        <f t="shared" si="10"/>
        <v>9296.511467</v>
      </c>
      <c r="AF429" s="50">
        <f t="shared" si="5"/>
        <v>3442.151404</v>
      </c>
      <c r="AG429" s="51">
        <v>1.0</v>
      </c>
      <c r="AH429" s="52"/>
      <c r="AI429" s="50">
        <f t="shared" si="6"/>
        <v>3278.688525</v>
      </c>
      <c r="AJ429" s="42">
        <v>4000.0</v>
      </c>
      <c r="AK429" s="50">
        <f t="shared" si="7"/>
        <v>26229.5082</v>
      </c>
      <c r="AL429" s="43">
        <f t="shared" si="8"/>
        <v>32000</v>
      </c>
    </row>
    <row r="430">
      <c r="A430" s="41" t="s">
        <v>1862</v>
      </c>
      <c r="B430" s="42" t="s">
        <v>165</v>
      </c>
      <c r="C430" s="42" t="s">
        <v>169</v>
      </c>
      <c r="D430" s="42" t="s">
        <v>1375</v>
      </c>
      <c r="E430" s="42" t="s">
        <v>1375</v>
      </c>
      <c r="F430" s="17" t="s">
        <v>103</v>
      </c>
      <c r="G430" s="19">
        <v>46246.0</v>
      </c>
      <c r="H430" s="17" t="s">
        <v>104</v>
      </c>
      <c r="I430" s="42" t="s">
        <v>1863</v>
      </c>
      <c r="J430" s="44" t="s">
        <v>1864</v>
      </c>
      <c r="K430" s="45" t="s">
        <v>1865</v>
      </c>
      <c r="L430" s="45" t="s">
        <v>1866</v>
      </c>
      <c r="M430" s="42">
        <v>2005.0</v>
      </c>
      <c r="N430" s="42">
        <v>9.0</v>
      </c>
      <c r="O430" s="47">
        <v>116.0</v>
      </c>
      <c r="P430" s="48">
        <f>116*2.8</f>
        <v>324.8</v>
      </c>
      <c r="Q430" s="41">
        <v>5.0</v>
      </c>
      <c r="R430" s="42">
        <v>5.0</v>
      </c>
      <c r="S430" s="49">
        <v>5.0</v>
      </c>
      <c r="T430" s="42">
        <v>0.0</v>
      </c>
      <c r="U430" s="42">
        <v>5.0</v>
      </c>
      <c r="V430" s="42" t="s">
        <v>130</v>
      </c>
      <c r="W430" s="45" t="s">
        <v>76</v>
      </c>
      <c r="X430" s="45" t="s">
        <v>78</v>
      </c>
      <c r="Y430" s="48">
        <v>10.0</v>
      </c>
      <c r="Z430" s="42">
        <v>150.0</v>
      </c>
      <c r="AA430" s="42">
        <v>576.0</v>
      </c>
      <c r="AB430" s="42">
        <v>31.0</v>
      </c>
      <c r="AC430" s="43">
        <f t="shared" si="2"/>
        <v>89280</v>
      </c>
      <c r="AD430" s="50">
        <f t="shared" si="3"/>
        <v>8.06</v>
      </c>
      <c r="AE430" s="50">
        <f t="shared" si="10"/>
        <v>2617.888</v>
      </c>
      <c r="AF430" s="50">
        <f t="shared" si="5"/>
        <v>7639.746238</v>
      </c>
      <c r="AG430" s="51">
        <v>1.0</v>
      </c>
      <c r="AH430" s="52"/>
      <c r="AI430" s="50">
        <f t="shared" si="6"/>
        <v>3278.688525</v>
      </c>
      <c r="AJ430" s="42">
        <v>4000.0</v>
      </c>
      <c r="AK430" s="50">
        <f t="shared" si="7"/>
        <v>16393.44262</v>
      </c>
      <c r="AL430" s="43">
        <f t="shared" si="8"/>
        <v>20000</v>
      </c>
    </row>
    <row r="431">
      <c r="A431" s="41" t="s">
        <v>1867</v>
      </c>
      <c r="B431" s="42" t="s">
        <v>165</v>
      </c>
      <c r="C431" s="42" t="s">
        <v>169</v>
      </c>
      <c r="D431" s="42" t="s">
        <v>1791</v>
      </c>
      <c r="E431" s="42"/>
      <c r="F431" s="17" t="s">
        <v>103</v>
      </c>
      <c r="G431" s="19">
        <v>46246.0</v>
      </c>
      <c r="H431" s="17" t="s">
        <v>104</v>
      </c>
      <c r="I431" s="42" t="s">
        <v>1868</v>
      </c>
      <c r="J431" s="44" t="s">
        <v>1869</v>
      </c>
      <c r="K431" s="45" t="s">
        <v>1870</v>
      </c>
      <c r="L431" s="45" t="s">
        <v>1871</v>
      </c>
      <c r="M431" s="42">
        <v>2006.0</v>
      </c>
      <c r="N431" s="42">
        <v>10.0</v>
      </c>
      <c r="O431" s="47">
        <v>216.0</v>
      </c>
      <c r="P431" s="48">
        <f>216*2.8</f>
        <v>604.8</v>
      </c>
      <c r="Q431" s="41">
        <v>12.0</v>
      </c>
      <c r="R431" s="42">
        <v>6.0</v>
      </c>
      <c r="S431" s="49">
        <v>6.0</v>
      </c>
      <c r="T431" s="42">
        <v>6.0</v>
      </c>
      <c r="U431" s="42">
        <v>6.0</v>
      </c>
      <c r="V431" s="42" t="s">
        <v>130</v>
      </c>
      <c r="W431" s="45" t="s">
        <v>76</v>
      </c>
      <c r="X431" s="45" t="s">
        <v>78</v>
      </c>
      <c r="Y431" s="48">
        <v>10.0</v>
      </c>
      <c r="Z431" s="42">
        <v>150.0</v>
      </c>
      <c r="AA431" s="42">
        <v>576.0</v>
      </c>
      <c r="AB431" s="42">
        <v>31.0</v>
      </c>
      <c r="AC431" s="43">
        <f t="shared" si="2"/>
        <v>214272</v>
      </c>
      <c r="AD431" s="50">
        <f t="shared" si="3"/>
        <v>18.80666667</v>
      </c>
      <c r="AE431" s="50">
        <f t="shared" si="10"/>
        <v>11374.272</v>
      </c>
      <c r="AF431" s="50">
        <f t="shared" si="5"/>
        <v>4220.050303</v>
      </c>
      <c r="AG431" s="51">
        <v>1.0</v>
      </c>
      <c r="AH431" s="52"/>
      <c r="AI431" s="50">
        <f t="shared" si="6"/>
        <v>3278.688525</v>
      </c>
      <c r="AJ431" s="42">
        <v>4000.0</v>
      </c>
      <c r="AK431" s="50">
        <f t="shared" si="7"/>
        <v>39344.2623</v>
      </c>
      <c r="AL431" s="43">
        <f t="shared" si="8"/>
        <v>48000</v>
      </c>
    </row>
    <row r="432">
      <c r="A432" s="41" t="s">
        <v>1872</v>
      </c>
      <c r="B432" s="42" t="s">
        <v>165</v>
      </c>
      <c r="C432" s="42" t="s">
        <v>169</v>
      </c>
      <c r="D432" s="42" t="s">
        <v>1472</v>
      </c>
      <c r="E432" s="42"/>
      <c r="F432" s="17" t="s">
        <v>103</v>
      </c>
      <c r="G432" s="19">
        <v>46246.0</v>
      </c>
      <c r="H432" s="17" t="s">
        <v>104</v>
      </c>
      <c r="I432" s="42" t="s">
        <v>1873</v>
      </c>
      <c r="J432" s="44" t="s">
        <v>1874</v>
      </c>
      <c r="K432" s="45" t="s">
        <v>1875</v>
      </c>
      <c r="L432" s="45" t="s">
        <v>1876</v>
      </c>
      <c r="M432" s="42">
        <v>2005.0</v>
      </c>
      <c r="N432" s="42">
        <v>9.0</v>
      </c>
      <c r="O432" s="47">
        <v>36.0</v>
      </c>
      <c r="P432" s="48">
        <f>36*2.8</f>
        <v>100.8</v>
      </c>
      <c r="Q432" s="41">
        <v>1.0</v>
      </c>
      <c r="R432" s="42">
        <v>1.0</v>
      </c>
      <c r="S432" s="49">
        <v>1.0</v>
      </c>
      <c r="T432" s="42">
        <v>0.0</v>
      </c>
      <c r="U432" s="42">
        <v>1.0</v>
      </c>
      <c r="V432" s="42" t="s">
        <v>130</v>
      </c>
      <c r="W432" s="45" t="s">
        <v>76</v>
      </c>
      <c r="X432" s="45" t="s">
        <v>78</v>
      </c>
      <c r="Y432" s="48">
        <v>10.0</v>
      </c>
      <c r="Z432" s="42">
        <v>150.0</v>
      </c>
      <c r="AA432" s="42">
        <v>576.0</v>
      </c>
      <c r="AB432" s="42">
        <v>31.0</v>
      </c>
      <c r="AC432" s="43">
        <f t="shared" si="2"/>
        <v>17856</v>
      </c>
      <c r="AD432" s="50">
        <f t="shared" si="3"/>
        <v>8.06</v>
      </c>
      <c r="AE432" s="50">
        <f t="shared" si="10"/>
        <v>812.448</v>
      </c>
      <c r="AF432" s="50">
        <f t="shared" si="5"/>
        <v>4923.39202</v>
      </c>
      <c r="AG432" s="51">
        <v>1.0</v>
      </c>
      <c r="AH432" s="52"/>
      <c r="AI432" s="50">
        <f t="shared" si="6"/>
        <v>3278.688525</v>
      </c>
      <c r="AJ432" s="42">
        <v>4000.0</v>
      </c>
      <c r="AK432" s="50">
        <f t="shared" si="7"/>
        <v>3278.688525</v>
      </c>
      <c r="AL432" s="43">
        <f t="shared" si="8"/>
        <v>4000</v>
      </c>
    </row>
    <row r="433">
      <c r="A433" s="16" t="s">
        <v>1877</v>
      </c>
      <c r="B433" s="17" t="s">
        <v>193</v>
      </c>
      <c r="C433" s="17" t="s">
        <v>194</v>
      </c>
      <c r="D433" s="17" t="s">
        <v>1878</v>
      </c>
      <c r="E433" s="54" t="s">
        <v>1879</v>
      </c>
      <c r="F433" s="17" t="s">
        <v>63</v>
      </c>
      <c r="G433" s="19">
        <v>45961.0</v>
      </c>
      <c r="H433" s="17" t="s">
        <v>65</v>
      </c>
      <c r="I433" s="20" t="s">
        <v>1880</v>
      </c>
      <c r="J433" s="21" t="s">
        <v>1881</v>
      </c>
      <c r="K433" s="22" t="s">
        <v>1882</v>
      </c>
      <c r="L433" s="22" t="s">
        <v>1883</v>
      </c>
      <c r="M433" s="17">
        <v>2019.0</v>
      </c>
      <c r="N433" s="17">
        <v>25.0</v>
      </c>
      <c r="O433" s="23">
        <v>264.0</v>
      </c>
      <c r="P433" s="24">
        <f t="shared" ref="P433:P754" si="14">O433*2.8</f>
        <v>739.2</v>
      </c>
      <c r="Q433" s="25">
        <v>1.0</v>
      </c>
      <c r="R433" s="17">
        <v>1.0</v>
      </c>
      <c r="S433" s="26">
        <v>1.0</v>
      </c>
      <c r="T433" s="17">
        <v>0.0</v>
      </c>
      <c r="U433" s="17">
        <v>4.0</v>
      </c>
      <c r="V433" s="17" t="s">
        <v>75</v>
      </c>
      <c r="W433" s="28" t="s">
        <v>76</v>
      </c>
      <c r="X433" s="28" t="s">
        <v>78</v>
      </c>
      <c r="Y433" s="24">
        <v>10.0</v>
      </c>
      <c r="Z433" s="17">
        <v>150.0</v>
      </c>
      <c r="AA433" s="17">
        <v>576.0</v>
      </c>
      <c r="AB433" s="17">
        <v>31.0</v>
      </c>
      <c r="AC433" s="20">
        <f t="shared" si="2"/>
        <v>17856</v>
      </c>
      <c r="AD433" s="30">
        <f t="shared" si="3"/>
        <v>8.06</v>
      </c>
      <c r="AE433" s="30">
        <f t="shared" si="10"/>
        <v>5957.952</v>
      </c>
      <c r="AF433" s="30">
        <f t="shared" si="5"/>
        <v>671.3716391</v>
      </c>
      <c r="AG433" s="34">
        <v>1.0</v>
      </c>
      <c r="AH433" s="36"/>
      <c r="AI433" s="30">
        <f t="shared" si="6"/>
        <v>3278.688525</v>
      </c>
      <c r="AJ433" s="17">
        <v>4000.0</v>
      </c>
      <c r="AK433" s="30">
        <f t="shared" si="7"/>
        <v>3278.688525</v>
      </c>
      <c r="AL433" s="20">
        <f t="shared" si="8"/>
        <v>4000</v>
      </c>
    </row>
    <row r="434">
      <c r="A434" s="16" t="s">
        <v>1877</v>
      </c>
      <c r="B434" s="17" t="s">
        <v>193</v>
      </c>
      <c r="C434" s="17" t="s">
        <v>194</v>
      </c>
      <c r="D434" s="17" t="s">
        <v>1878</v>
      </c>
      <c r="E434" s="54" t="s">
        <v>1879</v>
      </c>
      <c r="F434" s="17" t="s">
        <v>63</v>
      </c>
      <c r="G434" s="19">
        <v>45961.0</v>
      </c>
      <c r="H434" s="17" t="s">
        <v>65</v>
      </c>
      <c r="I434" s="20" t="s">
        <v>1880</v>
      </c>
      <c r="J434" s="21" t="s">
        <v>1884</v>
      </c>
      <c r="K434" s="22" t="s">
        <v>1885</v>
      </c>
      <c r="L434" s="22" t="s">
        <v>1886</v>
      </c>
      <c r="M434" s="17">
        <v>2021.0</v>
      </c>
      <c r="N434" s="17">
        <v>25.0</v>
      </c>
      <c r="O434" s="23">
        <v>264.0</v>
      </c>
      <c r="P434" s="24">
        <f t="shared" si="14"/>
        <v>739.2</v>
      </c>
      <c r="Q434" s="25">
        <v>1.0</v>
      </c>
      <c r="R434" s="17">
        <v>1.0</v>
      </c>
      <c r="S434" s="26">
        <v>1.0</v>
      </c>
      <c r="T434" s="17">
        <v>0.0</v>
      </c>
      <c r="U434" s="17">
        <v>4.0</v>
      </c>
      <c r="V434" s="17" t="s">
        <v>75</v>
      </c>
      <c r="W434" s="28" t="s">
        <v>76</v>
      </c>
      <c r="X434" s="28" t="s">
        <v>78</v>
      </c>
      <c r="Y434" s="24">
        <v>10.0</v>
      </c>
      <c r="Z434" s="17">
        <v>150.0</v>
      </c>
      <c r="AA434" s="17">
        <v>576.0</v>
      </c>
      <c r="AB434" s="17">
        <v>31.0</v>
      </c>
      <c r="AC434" s="20">
        <f t="shared" si="2"/>
        <v>17856</v>
      </c>
      <c r="AD434" s="30">
        <f t="shared" si="3"/>
        <v>8.06</v>
      </c>
      <c r="AE434" s="30">
        <f t="shared" si="10"/>
        <v>5957.952</v>
      </c>
      <c r="AF434" s="30">
        <f t="shared" si="5"/>
        <v>671.3716391</v>
      </c>
      <c r="AG434" s="34">
        <v>1.0</v>
      </c>
      <c r="AH434" s="36"/>
      <c r="AI434" s="30">
        <f t="shared" si="6"/>
        <v>3278.688525</v>
      </c>
      <c r="AJ434" s="17">
        <v>4000.0</v>
      </c>
      <c r="AK434" s="30">
        <f t="shared" si="7"/>
        <v>3278.688525</v>
      </c>
      <c r="AL434" s="20">
        <f t="shared" si="8"/>
        <v>4000</v>
      </c>
    </row>
    <row r="435">
      <c r="A435" s="16" t="s">
        <v>1887</v>
      </c>
      <c r="B435" s="17" t="s">
        <v>193</v>
      </c>
      <c r="C435" s="17" t="s">
        <v>194</v>
      </c>
      <c r="D435" s="17" t="s">
        <v>1878</v>
      </c>
      <c r="E435" s="54" t="s">
        <v>1879</v>
      </c>
      <c r="F435" s="17" t="s">
        <v>103</v>
      </c>
      <c r="G435" s="19">
        <v>45961.0</v>
      </c>
      <c r="H435" s="17" t="s">
        <v>65</v>
      </c>
      <c r="I435" s="20" t="s">
        <v>1888</v>
      </c>
      <c r="J435" s="21" t="s">
        <v>1889</v>
      </c>
      <c r="K435" s="22" t="s">
        <v>1890</v>
      </c>
      <c r="L435" s="22" t="s">
        <v>1891</v>
      </c>
      <c r="M435" s="17">
        <v>2019.0</v>
      </c>
      <c r="N435" s="17">
        <v>19.0</v>
      </c>
      <c r="O435" s="23">
        <v>162.0</v>
      </c>
      <c r="P435" s="24">
        <f t="shared" si="14"/>
        <v>453.6</v>
      </c>
      <c r="Q435" s="25">
        <v>1.0</v>
      </c>
      <c r="R435" s="17">
        <v>1.0</v>
      </c>
      <c r="S435" s="26">
        <v>1.0</v>
      </c>
      <c r="T435" s="17">
        <v>0.0</v>
      </c>
      <c r="U435" s="17">
        <v>3.0</v>
      </c>
      <c r="V435" s="17" t="s">
        <v>75</v>
      </c>
      <c r="W435" s="28" t="s">
        <v>76</v>
      </c>
      <c r="X435" s="28" t="s">
        <v>78</v>
      </c>
      <c r="Y435" s="24">
        <v>10.0</v>
      </c>
      <c r="Z435" s="17">
        <v>150.0</v>
      </c>
      <c r="AA435" s="17">
        <v>576.0</v>
      </c>
      <c r="AB435" s="17">
        <v>31.0</v>
      </c>
      <c r="AC435" s="20">
        <f t="shared" si="2"/>
        <v>17856</v>
      </c>
      <c r="AD435" s="30">
        <f t="shared" si="3"/>
        <v>8.06</v>
      </c>
      <c r="AE435" s="30">
        <f t="shared" si="10"/>
        <v>3656.016</v>
      </c>
      <c r="AF435" s="30">
        <f t="shared" si="5"/>
        <v>1094.087116</v>
      </c>
      <c r="AG435" s="34">
        <v>1.0</v>
      </c>
      <c r="AH435" s="36"/>
      <c r="AI435" s="30">
        <f t="shared" si="6"/>
        <v>3278.688525</v>
      </c>
      <c r="AJ435" s="17">
        <v>4000.0</v>
      </c>
      <c r="AK435" s="30">
        <f t="shared" si="7"/>
        <v>3278.688525</v>
      </c>
      <c r="AL435" s="20">
        <f t="shared" si="8"/>
        <v>4000</v>
      </c>
    </row>
    <row r="436">
      <c r="A436" s="16" t="s">
        <v>1887</v>
      </c>
      <c r="B436" s="17" t="s">
        <v>193</v>
      </c>
      <c r="C436" s="17" t="s">
        <v>194</v>
      </c>
      <c r="D436" s="17" t="s">
        <v>1878</v>
      </c>
      <c r="E436" s="54" t="s">
        <v>1879</v>
      </c>
      <c r="F436" s="17" t="s">
        <v>103</v>
      </c>
      <c r="G436" s="19">
        <v>45961.0</v>
      </c>
      <c r="H436" s="17" t="s">
        <v>65</v>
      </c>
      <c r="I436" s="20" t="s">
        <v>1888</v>
      </c>
      <c r="J436" s="21" t="s">
        <v>1892</v>
      </c>
      <c r="K436" s="22" t="s">
        <v>1893</v>
      </c>
      <c r="L436" s="22" t="s">
        <v>1894</v>
      </c>
      <c r="M436" s="17">
        <v>2019.0</v>
      </c>
      <c r="N436" s="17">
        <v>19.0</v>
      </c>
      <c r="O436" s="23">
        <v>162.0</v>
      </c>
      <c r="P436" s="24">
        <f t="shared" si="14"/>
        <v>453.6</v>
      </c>
      <c r="Q436" s="25">
        <v>1.0</v>
      </c>
      <c r="R436" s="17">
        <v>1.0</v>
      </c>
      <c r="S436" s="26">
        <v>1.0</v>
      </c>
      <c r="T436" s="17">
        <v>0.0</v>
      </c>
      <c r="U436" s="17">
        <v>3.0</v>
      </c>
      <c r="V436" s="17" t="s">
        <v>75</v>
      </c>
      <c r="W436" s="28" t="s">
        <v>76</v>
      </c>
      <c r="X436" s="28" t="s">
        <v>78</v>
      </c>
      <c r="Y436" s="24">
        <v>10.0</v>
      </c>
      <c r="Z436" s="17">
        <v>150.0</v>
      </c>
      <c r="AA436" s="17">
        <v>576.0</v>
      </c>
      <c r="AB436" s="17">
        <v>31.0</v>
      </c>
      <c r="AC436" s="20">
        <f t="shared" si="2"/>
        <v>17856</v>
      </c>
      <c r="AD436" s="30">
        <f t="shared" si="3"/>
        <v>8.06</v>
      </c>
      <c r="AE436" s="30">
        <f t="shared" si="10"/>
        <v>3656.016</v>
      </c>
      <c r="AF436" s="30">
        <f t="shared" si="5"/>
        <v>1094.087116</v>
      </c>
      <c r="AG436" s="34">
        <v>1.0</v>
      </c>
      <c r="AH436" s="36"/>
      <c r="AI436" s="30">
        <f t="shared" si="6"/>
        <v>3278.688525</v>
      </c>
      <c r="AJ436" s="17">
        <v>4000.0</v>
      </c>
      <c r="AK436" s="30">
        <f t="shared" si="7"/>
        <v>3278.688525</v>
      </c>
      <c r="AL436" s="20">
        <f t="shared" si="8"/>
        <v>4000</v>
      </c>
    </row>
    <row r="437">
      <c r="A437" s="16" t="s">
        <v>1887</v>
      </c>
      <c r="B437" s="17" t="s">
        <v>193</v>
      </c>
      <c r="C437" s="17" t="s">
        <v>194</v>
      </c>
      <c r="D437" s="17" t="s">
        <v>1878</v>
      </c>
      <c r="E437" s="54" t="s">
        <v>1879</v>
      </c>
      <c r="F437" s="17" t="s">
        <v>103</v>
      </c>
      <c r="G437" s="19">
        <v>45961.0</v>
      </c>
      <c r="H437" s="17" t="s">
        <v>65</v>
      </c>
      <c r="I437" s="20" t="s">
        <v>1888</v>
      </c>
      <c r="J437" s="21" t="s">
        <v>1895</v>
      </c>
      <c r="K437" s="22" t="s">
        <v>1896</v>
      </c>
      <c r="L437" s="22" t="s">
        <v>1897</v>
      </c>
      <c r="M437" s="17">
        <v>2019.0</v>
      </c>
      <c r="N437" s="17">
        <v>23.0</v>
      </c>
      <c r="O437" s="23">
        <v>308.0</v>
      </c>
      <c r="P437" s="24">
        <f t="shared" si="14"/>
        <v>862.4</v>
      </c>
      <c r="Q437" s="25">
        <v>1.0</v>
      </c>
      <c r="R437" s="17">
        <v>1.0</v>
      </c>
      <c r="S437" s="26">
        <v>1.0</v>
      </c>
      <c r="T437" s="17">
        <v>0.0</v>
      </c>
      <c r="U437" s="17">
        <v>4.0</v>
      </c>
      <c r="V437" s="17" t="s">
        <v>75</v>
      </c>
      <c r="W437" s="28" t="s">
        <v>76</v>
      </c>
      <c r="X437" s="28" t="s">
        <v>78</v>
      </c>
      <c r="Y437" s="24">
        <v>10.0</v>
      </c>
      <c r="Z437" s="17">
        <v>150.0</v>
      </c>
      <c r="AA437" s="17">
        <v>576.0</v>
      </c>
      <c r="AB437" s="17">
        <v>31.0</v>
      </c>
      <c r="AC437" s="20">
        <f t="shared" si="2"/>
        <v>17856</v>
      </c>
      <c r="AD437" s="30">
        <f t="shared" si="3"/>
        <v>8.06</v>
      </c>
      <c r="AE437" s="30">
        <f t="shared" si="10"/>
        <v>6950.944</v>
      </c>
      <c r="AF437" s="30">
        <f t="shared" si="5"/>
        <v>575.461405</v>
      </c>
      <c r="AG437" s="34">
        <v>1.0</v>
      </c>
      <c r="AH437" s="36"/>
      <c r="AI437" s="30">
        <f t="shared" si="6"/>
        <v>3278.688525</v>
      </c>
      <c r="AJ437" s="17">
        <v>4000.0</v>
      </c>
      <c r="AK437" s="30">
        <f t="shared" si="7"/>
        <v>3278.688525</v>
      </c>
      <c r="AL437" s="20">
        <f t="shared" si="8"/>
        <v>4000</v>
      </c>
    </row>
    <row r="438">
      <c r="A438" s="16" t="s">
        <v>1887</v>
      </c>
      <c r="B438" s="17" t="s">
        <v>193</v>
      </c>
      <c r="C438" s="17" t="s">
        <v>194</v>
      </c>
      <c r="D438" s="17" t="s">
        <v>1878</v>
      </c>
      <c r="E438" s="54" t="s">
        <v>1879</v>
      </c>
      <c r="F438" s="17" t="s">
        <v>103</v>
      </c>
      <c r="G438" s="19">
        <v>45961.0</v>
      </c>
      <c r="H438" s="17" t="s">
        <v>65</v>
      </c>
      <c r="I438" s="20" t="s">
        <v>1888</v>
      </c>
      <c r="J438" s="21" t="s">
        <v>1898</v>
      </c>
      <c r="K438" s="22" t="s">
        <v>1899</v>
      </c>
      <c r="L438" s="22" t="s">
        <v>1900</v>
      </c>
      <c r="M438" s="17">
        <v>2021.0</v>
      </c>
      <c r="N438" s="17">
        <v>25.0</v>
      </c>
      <c r="O438" s="23">
        <v>263.0</v>
      </c>
      <c r="P438" s="24">
        <f t="shared" si="14"/>
        <v>736.4</v>
      </c>
      <c r="Q438" s="25">
        <v>1.0</v>
      </c>
      <c r="R438" s="17">
        <v>1.0</v>
      </c>
      <c r="S438" s="26">
        <v>1.0</v>
      </c>
      <c r="T438" s="17">
        <v>0.0</v>
      </c>
      <c r="U438" s="17">
        <v>4.0</v>
      </c>
      <c r="V438" s="17" t="s">
        <v>75</v>
      </c>
      <c r="W438" s="28" t="s">
        <v>76</v>
      </c>
      <c r="X438" s="28" t="s">
        <v>78</v>
      </c>
      <c r="Y438" s="24">
        <v>10.0</v>
      </c>
      <c r="Z438" s="17">
        <v>150.0</v>
      </c>
      <c r="AA438" s="17">
        <v>576.0</v>
      </c>
      <c r="AB438" s="17">
        <v>31.0</v>
      </c>
      <c r="AC438" s="20">
        <f t="shared" si="2"/>
        <v>17856</v>
      </c>
      <c r="AD438" s="30">
        <f t="shared" si="3"/>
        <v>8.06</v>
      </c>
      <c r="AE438" s="30">
        <f t="shared" si="10"/>
        <v>5935.384</v>
      </c>
      <c r="AF438" s="30">
        <f t="shared" si="5"/>
        <v>673.924383</v>
      </c>
      <c r="AG438" s="34">
        <v>1.0</v>
      </c>
      <c r="AH438" s="36"/>
      <c r="AI438" s="30">
        <f t="shared" si="6"/>
        <v>3278.688525</v>
      </c>
      <c r="AJ438" s="17">
        <v>4000.0</v>
      </c>
      <c r="AK438" s="30">
        <f t="shared" si="7"/>
        <v>3278.688525</v>
      </c>
      <c r="AL438" s="20">
        <f t="shared" si="8"/>
        <v>4000</v>
      </c>
    </row>
    <row r="439">
      <c r="A439" s="16" t="s">
        <v>1887</v>
      </c>
      <c r="B439" s="17" t="s">
        <v>193</v>
      </c>
      <c r="C439" s="17" t="s">
        <v>194</v>
      </c>
      <c r="D439" s="17" t="s">
        <v>1878</v>
      </c>
      <c r="E439" s="54" t="s">
        <v>1879</v>
      </c>
      <c r="F439" s="17" t="s">
        <v>103</v>
      </c>
      <c r="G439" s="19">
        <v>45961.0</v>
      </c>
      <c r="H439" s="17" t="s">
        <v>65</v>
      </c>
      <c r="I439" s="20" t="s">
        <v>1888</v>
      </c>
      <c r="J439" s="21" t="s">
        <v>1901</v>
      </c>
      <c r="K439" s="22" t="s">
        <v>1902</v>
      </c>
      <c r="L439" s="22" t="s">
        <v>1903</v>
      </c>
      <c r="M439" s="17">
        <v>2018.0</v>
      </c>
      <c r="N439" s="17">
        <v>19.0</v>
      </c>
      <c r="O439" s="23">
        <v>162.0</v>
      </c>
      <c r="P439" s="24">
        <f t="shared" si="14"/>
        <v>453.6</v>
      </c>
      <c r="Q439" s="25">
        <v>1.0</v>
      </c>
      <c r="R439" s="17">
        <v>1.0</v>
      </c>
      <c r="S439" s="26">
        <v>1.0</v>
      </c>
      <c r="T439" s="17">
        <v>0.0</v>
      </c>
      <c r="U439" s="17">
        <v>2.0</v>
      </c>
      <c r="V439" s="17" t="s">
        <v>75</v>
      </c>
      <c r="W439" s="28" t="s">
        <v>76</v>
      </c>
      <c r="X439" s="28" t="s">
        <v>78</v>
      </c>
      <c r="Y439" s="24">
        <v>10.0</v>
      </c>
      <c r="Z439" s="17">
        <v>150.0</v>
      </c>
      <c r="AA439" s="17">
        <v>576.0</v>
      </c>
      <c r="AB439" s="17">
        <v>31.0</v>
      </c>
      <c r="AC439" s="20">
        <f t="shared" si="2"/>
        <v>17856</v>
      </c>
      <c r="AD439" s="30">
        <f t="shared" si="3"/>
        <v>8.06</v>
      </c>
      <c r="AE439" s="30">
        <f t="shared" si="10"/>
        <v>3656.016</v>
      </c>
      <c r="AF439" s="30">
        <f t="shared" si="5"/>
        <v>1094.087116</v>
      </c>
      <c r="AG439" s="34">
        <v>1.0</v>
      </c>
      <c r="AH439" s="36"/>
      <c r="AI439" s="30">
        <f t="shared" si="6"/>
        <v>3278.688525</v>
      </c>
      <c r="AJ439" s="17">
        <v>4000.0</v>
      </c>
      <c r="AK439" s="30">
        <f t="shared" si="7"/>
        <v>3278.688525</v>
      </c>
      <c r="AL439" s="20">
        <f t="shared" si="8"/>
        <v>4000</v>
      </c>
    </row>
    <row r="440">
      <c r="A440" s="16" t="s">
        <v>1887</v>
      </c>
      <c r="B440" s="17" t="s">
        <v>193</v>
      </c>
      <c r="C440" s="17" t="s">
        <v>194</v>
      </c>
      <c r="D440" s="17" t="s">
        <v>1878</v>
      </c>
      <c r="E440" s="54" t="s">
        <v>1879</v>
      </c>
      <c r="F440" s="17" t="s">
        <v>103</v>
      </c>
      <c r="G440" s="19">
        <v>45961.0</v>
      </c>
      <c r="H440" s="17" t="s">
        <v>65</v>
      </c>
      <c r="I440" s="20" t="s">
        <v>1888</v>
      </c>
      <c r="J440" s="21" t="s">
        <v>1904</v>
      </c>
      <c r="K440" s="22" t="s">
        <v>1905</v>
      </c>
      <c r="L440" s="22" t="s">
        <v>1906</v>
      </c>
      <c r="M440" s="17">
        <v>2022.0</v>
      </c>
      <c r="N440" s="17">
        <v>23.0</v>
      </c>
      <c r="O440" s="23">
        <v>308.0</v>
      </c>
      <c r="P440" s="24">
        <f t="shared" si="14"/>
        <v>862.4</v>
      </c>
      <c r="Q440" s="25">
        <v>1.0</v>
      </c>
      <c r="R440" s="17">
        <v>1.0</v>
      </c>
      <c r="S440" s="26">
        <v>1.0</v>
      </c>
      <c r="T440" s="17">
        <v>0.0</v>
      </c>
      <c r="U440" s="17">
        <v>2.0</v>
      </c>
      <c r="V440" s="17" t="s">
        <v>75</v>
      </c>
      <c r="W440" s="28" t="s">
        <v>76</v>
      </c>
      <c r="X440" s="28" t="s">
        <v>78</v>
      </c>
      <c r="Y440" s="24">
        <v>10.0</v>
      </c>
      <c r="Z440" s="17">
        <v>150.0</v>
      </c>
      <c r="AA440" s="17">
        <v>576.0</v>
      </c>
      <c r="AB440" s="17">
        <v>31.0</v>
      </c>
      <c r="AC440" s="20">
        <f t="shared" si="2"/>
        <v>17856</v>
      </c>
      <c r="AD440" s="30">
        <f t="shared" si="3"/>
        <v>8.06</v>
      </c>
      <c r="AE440" s="30">
        <f t="shared" si="10"/>
        <v>6950.944</v>
      </c>
      <c r="AF440" s="30">
        <f t="shared" si="5"/>
        <v>575.461405</v>
      </c>
      <c r="AG440" s="34">
        <v>1.0</v>
      </c>
      <c r="AH440" s="36"/>
      <c r="AI440" s="30">
        <f t="shared" si="6"/>
        <v>3278.688525</v>
      </c>
      <c r="AJ440" s="17">
        <v>4000.0</v>
      </c>
      <c r="AK440" s="30">
        <f t="shared" si="7"/>
        <v>3278.688525</v>
      </c>
      <c r="AL440" s="20">
        <f t="shared" si="8"/>
        <v>4000</v>
      </c>
    </row>
    <row r="441">
      <c r="A441" s="16" t="s">
        <v>1907</v>
      </c>
      <c r="B441" s="17" t="s">
        <v>193</v>
      </c>
      <c r="C441" s="17" t="s">
        <v>194</v>
      </c>
      <c r="D441" s="17" t="s">
        <v>1878</v>
      </c>
      <c r="E441" s="17" t="s">
        <v>1908</v>
      </c>
      <c r="F441" s="17" t="s">
        <v>63</v>
      </c>
      <c r="G441" s="19">
        <v>45974.0</v>
      </c>
      <c r="H441" s="17" t="s">
        <v>65</v>
      </c>
      <c r="I441" s="20" t="s">
        <v>1909</v>
      </c>
      <c r="J441" s="21" t="s">
        <v>1910</v>
      </c>
      <c r="K441" s="22" t="s">
        <v>1911</v>
      </c>
      <c r="L441" s="22" t="s">
        <v>1912</v>
      </c>
      <c r="M441" s="17">
        <v>2018.0</v>
      </c>
      <c r="N441" s="17">
        <v>19.0</v>
      </c>
      <c r="O441" s="23">
        <v>162.0</v>
      </c>
      <c r="P441" s="24">
        <f t="shared" si="14"/>
        <v>453.6</v>
      </c>
      <c r="Q441" s="25">
        <v>1.0</v>
      </c>
      <c r="R441" s="17">
        <v>1.0</v>
      </c>
      <c r="S441" s="26">
        <v>1.0</v>
      </c>
      <c r="T441" s="17">
        <v>0.0</v>
      </c>
      <c r="U441" s="17">
        <v>2.0</v>
      </c>
      <c r="V441" s="17" t="s">
        <v>75</v>
      </c>
      <c r="W441" s="28" t="s">
        <v>76</v>
      </c>
      <c r="X441" s="28" t="s">
        <v>78</v>
      </c>
      <c r="Y441" s="24">
        <v>10.0</v>
      </c>
      <c r="Z441" s="17">
        <v>150.0</v>
      </c>
      <c r="AA441" s="17">
        <v>576.0</v>
      </c>
      <c r="AB441" s="17">
        <v>31.0</v>
      </c>
      <c r="AC441" s="20">
        <f t="shared" si="2"/>
        <v>17856</v>
      </c>
      <c r="AD441" s="30">
        <f t="shared" si="3"/>
        <v>8.06</v>
      </c>
      <c r="AE441" s="30">
        <f t="shared" si="10"/>
        <v>3656.016</v>
      </c>
      <c r="AF441" s="30">
        <f t="shared" si="5"/>
        <v>1094.087116</v>
      </c>
      <c r="AG441" s="34">
        <v>1.0</v>
      </c>
      <c r="AH441" s="36"/>
      <c r="AI441" s="30">
        <f t="shared" si="6"/>
        <v>3278.688525</v>
      </c>
      <c r="AJ441" s="17">
        <v>4000.0</v>
      </c>
      <c r="AK441" s="30">
        <f t="shared" si="7"/>
        <v>3278.688525</v>
      </c>
      <c r="AL441" s="20">
        <f t="shared" si="8"/>
        <v>4000</v>
      </c>
    </row>
    <row r="442">
      <c r="A442" s="16" t="s">
        <v>1913</v>
      </c>
      <c r="B442" s="17" t="s">
        <v>193</v>
      </c>
      <c r="C442" s="17" t="s">
        <v>216</v>
      </c>
      <c r="D442" s="17" t="s">
        <v>1914</v>
      </c>
      <c r="E442" s="17" t="s">
        <v>1908</v>
      </c>
      <c r="F442" s="17" t="s">
        <v>103</v>
      </c>
      <c r="G442" s="19">
        <v>45974.0</v>
      </c>
      <c r="H442" s="17" t="s">
        <v>65</v>
      </c>
      <c r="I442" s="20" t="s">
        <v>1615</v>
      </c>
      <c r="J442" s="21" t="s">
        <v>1915</v>
      </c>
      <c r="K442" s="22" t="s">
        <v>1916</v>
      </c>
      <c r="L442" s="22" t="s">
        <v>1917</v>
      </c>
      <c r="M442" s="17">
        <v>2023.0</v>
      </c>
      <c r="N442" s="17">
        <v>16.0</v>
      </c>
      <c r="O442" s="23">
        <v>176.0</v>
      </c>
      <c r="P442" s="24">
        <f t="shared" si="14"/>
        <v>492.8</v>
      </c>
      <c r="Q442" s="25">
        <v>1.0</v>
      </c>
      <c r="R442" s="17">
        <v>1.0</v>
      </c>
      <c r="S442" s="26">
        <v>1.0</v>
      </c>
      <c r="T442" s="17">
        <v>0.0</v>
      </c>
      <c r="U442" s="17">
        <v>3.0</v>
      </c>
      <c r="V442" s="17" t="s">
        <v>75</v>
      </c>
      <c r="W442" s="28" t="s">
        <v>76</v>
      </c>
      <c r="X442" s="28" t="s">
        <v>78</v>
      </c>
      <c r="Y442" s="24">
        <v>10.0</v>
      </c>
      <c r="Z442" s="17">
        <v>150.0</v>
      </c>
      <c r="AA442" s="17">
        <v>576.0</v>
      </c>
      <c r="AB442" s="17">
        <v>31.0</v>
      </c>
      <c r="AC442" s="20">
        <f t="shared" si="2"/>
        <v>17856</v>
      </c>
      <c r="AD442" s="30">
        <f t="shared" si="3"/>
        <v>8.06</v>
      </c>
      <c r="AE442" s="30">
        <f t="shared" si="10"/>
        <v>3971.968</v>
      </c>
      <c r="AF442" s="30">
        <f t="shared" si="5"/>
        <v>1007.057459</v>
      </c>
      <c r="AG442" s="34">
        <v>1.0</v>
      </c>
      <c r="AH442" s="36"/>
      <c r="AI442" s="30">
        <f t="shared" si="6"/>
        <v>3278.688525</v>
      </c>
      <c r="AJ442" s="17">
        <v>4000.0</v>
      </c>
      <c r="AK442" s="30">
        <f t="shared" si="7"/>
        <v>3278.688525</v>
      </c>
      <c r="AL442" s="20">
        <f t="shared" si="8"/>
        <v>4000</v>
      </c>
    </row>
    <row r="443">
      <c r="A443" s="16" t="s">
        <v>1913</v>
      </c>
      <c r="B443" s="17" t="s">
        <v>193</v>
      </c>
      <c r="C443" s="17" t="s">
        <v>216</v>
      </c>
      <c r="D443" s="17" t="s">
        <v>1914</v>
      </c>
      <c r="E443" s="17" t="s">
        <v>1908</v>
      </c>
      <c r="F443" s="17" t="s">
        <v>103</v>
      </c>
      <c r="G443" s="19">
        <v>45974.0</v>
      </c>
      <c r="H443" s="17" t="s">
        <v>65</v>
      </c>
      <c r="I443" s="20" t="s">
        <v>1615</v>
      </c>
      <c r="J443" s="21" t="s">
        <v>1918</v>
      </c>
      <c r="K443" s="22" t="s">
        <v>1919</v>
      </c>
      <c r="L443" s="22" t="s">
        <v>1920</v>
      </c>
      <c r="M443" s="17">
        <v>2022.0</v>
      </c>
      <c r="N443" s="17">
        <v>9.0</v>
      </c>
      <c r="O443" s="23">
        <v>69.0</v>
      </c>
      <c r="P443" s="24">
        <f t="shared" si="14"/>
        <v>193.2</v>
      </c>
      <c r="Q443" s="25">
        <v>1.0</v>
      </c>
      <c r="R443" s="17">
        <v>1.0</v>
      </c>
      <c r="S443" s="26">
        <v>1.0</v>
      </c>
      <c r="T443" s="17">
        <v>0.0</v>
      </c>
      <c r="U443" s="17">
        <v>2.0</v>
      </c>
      <c r="V443" s="17" t="s">
        <v>75</v>
      </c>
      <c r="W443" s="28" t="s">
        <v>76</v>
      </c>
      <c r="X443" s="28" t="s">
        <v>78</v>
      </c>
      <c r="Y443" s="24">
        <v>10.0</v>
      </c>
      <c r="Z443" s="17">
        <v>150.0</v>
      </c>
      <c r="AA443" s="17">
        <v>576.0</v>
      </c>
      <c r="AB443" s="17">
        <v>31.0</v>
      </c>
      <c r="AC443" s="20">
        <f t="shared" si="2"/>
        <v>17856</v>
      </c>
      <c r="AD443" s="30">
        <f t="shared" si="3"/>
        <v>8.06</v>
      </c>
      <c r="AE443" s="30">
        <f t="shared" si="10"/>
        <v>1557.192</v>
      </c>
      <c r="AF443" s="30">
        <f t="shared" si="5"/>
        <v>2568.726271</v>
      </c>
      <c r="AG443" s="34">
        <v>1.0</v>
      </c>
      <c r="AH443" s="36"/>
      <c r="AI443" s="30">
        <f t="shared" si="6"/>
        <v>3278.688525</v>
      </c>
      <c r="AJ443" s="17">
        <v>4000.0</v>
      </c>
      <c r="AK443" s="30">
        <f t="shared" si="7"/>
        <v>3278.688525</v>
      </c>
      <c r="AL443" s="20">
        <f t="shared" si="8"/>
        <v>4000</v>
      </c>
    </row>
    <row r="444">
      <c r="A444" s="16" t="s">
        <v>1913</v>
      </c>
      <c r="B444" s="17" t="s">
        <v>193</v>
      </c>
      <c r="C444" s="17" t="s">
        <v>216</v>
      </c>
      <c r="D444" s="17" t="s">
        <v>1914</v>
      </c>
      <c r="E444" s="17" t="s">
        <v>1908</v>
      </c>
      <c r="F444" s="17" t="s">
        <v>103</v>
      </c>
      <c r="G444" s="19">
        <v>45974.0</v>
      </c>
      <c r="H444" s="17" t="s">
        <v>65</v>
      </c>
      <c r="I444" s="20" t="s">
        <v>1615</v>
      </c>
      <c r="J444" s="21" t="s">
        <v>1921</v>
      </c>
      <c r="K444" s="22" t="s">
        <v>1922</v>
      </c>
      <c r="L444" s="22" t="s">
        <v>1923</v>
      </c>
      <c r="M444" s="17">
        <v>2019.0</v>
      </c>
      <c r="N444" s="17">
        <v>9.0</v>
      </c>
      <c r="O444" s="23">
        <v>75.0</v>
      </c>
      <c r="P444" s="24">
        <f t="shared" si="14"/>
        <v>210</v>
      </c>
      <c r="Q444" s="25">
        <v>1.0</v>
      </c>
      <c r="R444" s="17">
        <v>1.0</v>
      </c>
      <c r="S444" s="26">
        <v>1.0</v>
      </c>
      <c r="T444" s="17">
        <v>0.0</v>
      </c>
      <c r="U444" s="17">
        <v>2.0</v>
      </c>
      <c r="V444" s="17" t="s">
        <v>75</v>
      </c>
      <c r="W444" s="28" t="s">
        <v>76</v>
      </c>
      <c r="X444" s="28" t="s">
        <v>78</v>
      </c>
      <c r="Y444" s="24">
        <v>10.0</v>
      </c>
      <c r="Z444" s="17">
        <v>150.0</v>
      </c>
      <c r="AA444" s="17">
        <v>576.0</v>
      </c>
      <c r="AB444" s="17">
        <v>31.0</v>
      </c>
      <c r="AC444" s="20">
        <f t="shared" si="2"/>
        <v>17856</v>
      </c>
      <c r="AD444" s="30">
        <f t="shared" si="3"/>
        <v>8.06</v>
      </c>
      <c r="AE444" s="30">
        <f t="shared" si="10"/>
        <v>1692.6</v>
      </c>
      <c r="AF444" s="30">
        <f t="shared" si="5"/>
        <v>2363.22817</v>
      </c>
      <c r="AG444" s="34">
        <v>1.0</v>
      </c>
      <c r="AH444" s="36"/>
      <c r="AI444" s="30">
        <f t="shared" si="6"/>
        <v>3278.688525</v>
      </c>
      <c r="AJ444" s="17">
        <v>4000.0</v>
      </c>
      <c r="AK444" s="30">
        <f t="shared" si="7"/>
        <v>3278.688525</v>
      </c>
      <c r="AL444" s="20">
        <f t="shared" si="8"/>
        <v>4000</v>
      </c>
    </row>
    <row r="445">
      <c r="A445" s="16" t="s">
        <v>1913</v>
      </c>
      <c r="B445" s="17" t="s">
        <v>193</v>
      </c>
      <c r="C445" s="17" t="s">
        <v>216</v>
      </c>
      <c r="D445" s="17" t="s">
        <v>1914</v>
      </c>
      <c r="E445" s="17" t="s">
        <v>1908</v>
      </c>
      <c r="F445" s="17" t="s">
        <v>103</v>
      </c>
      <c r="G445" s="19">
        <v>45974.0</v>
      </c>
      <c r="H445" s="17" t="s">
        <v>65</v>
      </c>
      <c r="I445" s="20" t="s">
        <v>1615</v>
      </c>
      <c r="J445" s="21" t="s">
        <v>1924</v>
      </c>
      <c r="K445" s="22" t="s">
        <v>1925</v>
      </c>
      <c r="L445" s="22" t="s">
        <v>1926</v>
      </c>
      <c r="M445" s="17">
        <v>2022.0</v>
      </c>
      <c r="N445" s="17">
        <v>9.0</v>
      </c>
      <c r="O445" s="23">
        <v>63.0</v>
      </c>
      <c r="P445" s="24">
        <f t="shared" si="14"/>
        <v>176.4</v>
      </c>
      <c r="Q445" s="25">
        <v>1.0</v>
      </c>
      <c r="R445" s="17">
        <v>1.0</v>
      </c>
      <c r="S445" s="26">
        <v>1.0</v>
      </c>
      <c r="T445" s="17">
        <v>0.0</v>
      </c>
      <c r="U445" s="17">
        <v>3.0</v>
      </c>
      <c r="V445" s="17" t="s">
        <v>75</v>
      </c>
      <c r="W445" s="28" t="s">
        <v>76</v>
      </c>
      <c r="X445" s="28" t="s">
        <v>78</v>
      </c>
      <c r="Y445" s="24">
        <v>10.0</v>
      </c>
      <c r="Z445" s="17">
        <v>150.0</v>
      </c>
      <c r="AA445" s="17">
        <v>576.0</v>
      </c>
      <c r="AB445" s="17">
        <v>31.0</v>
      </c>
      <c r="AC445" s="20">
        <f t="shared" si="2"/>
        <v>17856</v>
      </c>
      <c r="AD445" s="30">
        <f t="shared" si="3"/>
        <v>8.06</v>
      </c>
      <c r="AE445" s="30">
        <f t="shared" si="10"/>
        <v>1421.784</v>
      </c>
      <c r="AF445" s="30">
        <f t="shared" si="5"/>
        <v>2813.366869</v>
      </c>
      <c r="AG445" s="34">
        <v>1.0</v>
      </c>
      <c r="AH445" s="36"/>
      <c r="AI445" s="30">
        <f t="shared" si="6"/>
        <v>3278.688525</v>
      </c>
      <c r="AJ445" s="17">
        <v>4000.0</v>
      </c>
      <c r="AK445" s="30">
        <f t="shared" si="7"/>
        <v>3278.688525</v>
      </c>
      <c r="AL445" s="20">
        <f t="shared" si="8"/>
        <v>4000</v>
      </c>
    </row>
    <row r="446">
      <c r="A446" s="16" t="s">
        <v>1913</v>
      </c>
      <c r="B446" s="17" t="s">
        <v>193</v>
      </c>
      <c r="C446" s="17" t="s">
        <v>216</v>
      </c>
      <c r="D446" s="17" t="s">
        <v>1914</v>
      </c>
      <c r="E446" s="17" t="s">
        <v>1908</v>
      </c>
      <c r="F446" s="17" t="s">
        <v>103</v>
      </c>
      <c r="G446" s="19">
        <v>45974.0</v>
      </c>
      <c r="H446" s="17" t="s">
        <v>65</v>
      </c>
      <c r="I446" s="20" t="s">
        <v>1615</v>
      </c>
      <c r="J446" s="21" t="s">
        <v>1927</v>
      </c>
      <c r="K446" s="22" t="s">
        <v>1928</v>
      </c>
      <c r="L446" s="22" t="s">
        <v>1929</v>
      </c>
      <c r="M446" s="17">
        <v>2018.0</v>
      </c>
      <c r="N446" s="17">
        <v>9.0</v>
      </c>
      <c r="O446" s="23">
        <v>72.0</v>
      </c>
      <c r="P446" s="24">
        <f t="shared" si="14"/>
        <v>201.6</v>
      </c>
      <c r="Q446" s="25">
        <v>1.0</v>
      </c>
      <c r="R446" s="17">
        <v>1.0</v>
      </c>
      <c r="S446" s="26">
        <v>1.0</v>
      </c>
      <c r="T446" s="17">
        <v>0.0</v>
      </c>
      <c r="U446" s="17">
        <v>2.0</v>
      </c>
      <c r="V446" s="17" t="s">
        <v>75</v>
      </c>
      <c r="W446" s="28" t="s">
        <v>76</v>
      </c>
      <c r="X446" s="28" t="s">
        <v>78</v>
      </c>
      <c r="Y446" s="24">
        <v>10.0</v>
      </c>
      <c r="Z446" s="17">
        <v>150.0</v>
      </c>
      <c r="AA446" s="17">
        <v>576.0</v>
      </c>
      <c r="AB446" s="17">
        <v>31.0</v>
      </c>
      <c r="AC446" s="20">
        <f t="shared" si="2"/>
        <v>17856</v>
      </c>
      <c r="AD446" s="30">
        <f t="shared" si="3"/>
        <v>8.06</v>
      </c>
      <c r="AE446" s="30">
        <f t="shared" si="10"/>
        <v>1624.896</v>
      </c>
      <c r="AF446" s="30">
        <f t="shared" si="5"/>
        <v>2461.69601</v>
      </c>
      <c r="AG446" s="34">
        <v>1.0</v>
      </c>
      <c r="AH446" s="36"/>
      <c r="AI446" s="30">
        <f t="shared" si="6"/>
        <v>3278.688525</v>
      </c>
      <c r="AJ446" s="17">
        <v>4000.0</v>
      </c>
      <c r="AK446" s="30">
        <f t="shared" si="7"/>
        <v>3278.688525</v>
      </c>
      <c r="AL446" s="20">
        <f t="shared" si="8"/>
        <v>4000</v>
      </c>
    </row>
    <row r="447">
      <c r="A447" s="16" t="s">
        <v>1913</v>
      </c>
      <c r="B447" s="17" t="s">
        <v>193</v>
      </c>
      <c r="C447" s="17" t="s">
        <v>216</v>
      </c>
      <c r="D447" s="17" t="s">
        <v>1914</v>
      </c>
      <c r="E447" s="17" t="s">
        <v>1908</v>
      </c>
      <c r="F447" s="17" t="s">
        <v>103</v>
      </c>
      <c r="G447" s="19">
        <v>45974.0</v>
      </c>
      <c r="H447" s="17" t="s">
        <v>65</v>
      </c>
      <c r="I447" s="20" t="s">
        <v>1615</v>
      </c>
      <c r="J447" s="21" t="s">
        <v>1930</v>
      </c>
      <c r="K447" s="22" t="s">
        <v>1931</v>
      </c>
      <c r="L447" s="22" t="s">
        <v>1932</v>
      </c>
      <c r="M447" s="17">
        <v>2019.0</v>
      </c>
      <c r="N447" s="17">
        <v>14.0</v>
      </c>
      <c r="O447" s="23">
        <v>306.0</v>
      </c>
      <c r="P447" s="24">
        <f t="shared" si="14"/>
        <v>856.8</v>
      </c>
      <c r="Q447" s="25">
        <v>2.0</v>
      </c>
      <c r="R447" s="17">
        <v>2.0</v>
      </c>
      <c r="S447" s="26">
        <v>2.0</v>
      </c>
      <c r="T447" s="17">
        <v>0.0</v>
      </c>
      <c r="U447" s="17">
        <v>3.0</v>
      </c>
      <c r="V447" s="17" t="s">
        <v>75</v>
      </c>
      <c r="W447" s="28" t="s">
        <v>76</v>
      </c>
      <c r="X447" s="28" t="s">
        <v>78</v>
      </c>
      <c r="Y447" s="24">
        <v>10.0</v>
      </c>
      <c r="Z447" s="17">
        <v>150.0</v>
      </c>
      <c r="AA447" s="17">
        <v>576.0</v>
      </c>
      <c r="AB447" s="17">
        <v>31.0</v>
      </c>
      <c r="AC447" s="20">
        <f t="shared" si="2"/>
        <v>35712</v>
      </c>
      <c r="AD447" s="30">
        <f t="shared" si="3"/>
        <v>8.06</v>
      </c>
      <c r="AE447" s="30">
        <f t="shared" si="10"/>
        <v>6905.808</v>
      </c>
      <c r="AF447" s="30">
        <f t="shared" si="5"/>
        <v>1158.445181</v>
      </c>
      <c r="AG447" s="34">
        <v>1.0</v>
      </c>
      <c r="AH447" s="36"/>
      <c r="AI447" s="30">
        <f t="shared" si="6"/>
        <v>3278.688525</v>
      </c>
      <c r="AJ447" s="17">
        <v>4000.0</v>
      </c>
      <c r="AK447" s="30">
        <f t="shared" si="7"/>
        <v>6557.377049</v>
      </c>
      <c r="AL447" s="20">
        <f t="shared" si="8"/>
        <v>8000</v>
      </c>
    </row>
    <row r="448">
      <c r="A448" s="16" t="s">
        <v>1913</v>
      </c>
      <c r="B448" s="17" t="s">
        <v>193</v>
      </c>
      <c r="C448" s="17" t="s">
        <v>216</v>
      </c>
      <c r="D448" s="17" t="s">
        <v>1914</v>
      </c>
      <c r="E448" s="17" t="s">
        <v>1908</v>
      </c>
      <c r="F448" s="17" t="s">
        <v>103</v>
      </c>
      <c r="G448" s="19">
        <v>45974.0</v>
      </c>
      <c r="H448" s="17" t="s">
        <v>65</v>
      </c>
      <c r="I448" s="20" t="s">
        <v>1615</v>
      </c>
      <c r="J448" s="21" t="s">
        <v>1933</v>
      </c>
      <c r="K448" s="22" t="s">
        <v>1934</v>
      </c>
      <c r="L448" s="22" t="s">
        <v>1935</v>
      </c>
      <c r="M448" s="17">
        <v>2016.0</v>
      </c>
      <c r="N448" s="17">
        <v>9.0</v>
      </c>
      <c r="O448" s="23">
        <v>308.0</v>
      </c>
      <c r="P448" s="24">
        <f t="shared" si="14"/>
        <v>862.4</v>
      </c>
      <c r="Q448" s="25">
        <v>5.0</v>
      </c>
      <c r="R448" s="17">
        <v>5.0</v>
      </c>
      <c r="S448" s="26">
        <v>5.0</v>
      </c>
      <c r="T448" s="17">
        <v>0.0</v>
      </c>
      <c r="U448" s="17">
        <v>5.0</v>
      </c>
      <c r="V448" s="17" t="s">
        <v>75</v>
      </c>
      <c r="W448" s="28" t="s">
        <v>76</v>
      </c>
      <c r="X448" s="28" t="s">
        <v>78</v>
      </c>
      <c r="Y448" s="24">
        <v>10.0</v>
      </c>
      <c r="Z448" s="17">
        <v>150.0</v>
      </c>
      <c r="AA448" s="17">
        <v>576.0</v>
      </c>
      <c r="AB448" s="17">
        <v>31.0</v>
      </c>
      <c r="AC448" s="20">
        <f t="shared" si="2"/>
        <v>89280</v>
      </c>
      <c r="AD448" s="30">
        <f t="shared" si="3"/>
        <v>8.06</v>
      </c>
      <c r="AE448" s="30">
        <f t="shared" si="10"/>
        <v>6950.944</v>
      </c>
      <c r="AF448" s="30">
        <f t="shared" si="5"/>
        <v>2877.307025</v>
      </c>
      <c r="AG448" s="34">
        <v>1.0</v>
      </c>
      <c r="AH448" s="36"/>
      <c r="AI448" s="30">
        <f t="shared" si="6"/>
        <v>3278.688525</v>
      </c>
      <c r="AJ448" s="17">
        <v>4000.0</v>
      </c>
      <c r="AK448" s="30">
        <f t="shared" si="7"/>
        <v>16393.44262</v>
      </c>
      <c r="AL448" s="20">
        <f t="shared" si="8"/>
        <v>20000</v>
      </c>
    </row>
    <row r="449">
      <c r="A449" s="16" t="s">
        <v>1936</v>
      </c>
      <c r="B449" s="17" t="s">
        <v>193</v>
      </c>
      <c r="C449" s="17" t="s">
        <v>194</v>
      </c>
      <c r="D449" s="17" t="s">
        <v>1878</v>
      </c>
      <c r="E449" s="17" t="s">
        <v>1937</v>
      </c>
      <c r="F449" s="17" t="s">
        <v>103</v>
      </c>
      <c r="G449" s="19">
        <v>45974.0</v>
      </c>
      <c r="H449" s="17" t="s">
        <v>104</v>
      </c>
      <c r="I449" s="20" t="s">
        <v>1938</v>
      </c>
      <c r="J449" s="21" t="s">
        <v>1939</v>
      </c>
      <c r="K449" s="22" t="s">
        <v>1940</v>
      </c>
      <c r="L449" s="22" t="s">
        <v>1941</v>
      </c>
      <c r="M449" s="17">
        <v>2024.0</v>
      </c>
      <c r="N449" s="17">
        <v>24.0</v>
      </c>
      <c r="O449" s="23">
        <v>384.0</v>
      </c>
      <c r="P449" s="24">
        <f t="shared" si="14"/>
        <v>1075.2</v>
      </c>
      <c r="Q449" s="25">
        <v>12.0</v>
      </c>
      <c r="R449" s="17">
        <v>12.0</v>
      </c>
      <c r="S449" s="26">
        <v>12.0</v>
      </c>
      <c r="T449" s="17">
        <v>0.0</v>
      </c>
      <c r="U449" s="17">
        <v>3.0</v>
      </c>
      <c r="V449" s="17" t="s">
        <v>75</v>
      </c>
      <c r="W449" s="28" t="s">
        <v>76</v>
      </c>
      <c r="X449" s="28" t="s">
        <v>78</v>
      </c>
      <c r="Y449" s="24">
        <v>10.0</v>
      </c>
      <c r="Z449" s="17">
        <v>150.0</v>
      </c>
      <c r="AA449" s="17">
        <v>576.0</v>
      </c>
      <c r="AB449" s="17">
        <v>31.0</v>
      </c>
      <c r="AC449" s="20">
        <f t="shared" si="2"/>
        <v>214272</v>
      </c>
      <c r="AD449" s="30">
        <f t="shared" si="3"/>
        <v>8.06</v>
      </c>
      <c r="AE449" s="30">
        <f t="shared" si="10"/>
        <v>8666.112</v>
      </c>
      <c r="AF449" s="30">
        <f t="shared" si="5"/>
        <v>5538.816023</v>
      </c>
      <c r="AG449" s="34">
        <v>1.0</v>
      </c>
      <c r="AH449" s="36"/>
      <c r="AI449" s="30">
        <f t="shared" si="6"/>
        <v>3278.688525</v>
      </c>
      <c r="AJ449" s="17">
        <v>4000.0</v>
      </c>
      <c r="AK449" s="30">
        <f t="shared" si="7"/>
        <v>39344.2623</v>
      </c>
      <c r="AL449" s="20">
        <f t="shared" si="8"/>
        <v>48000</v>
      </c>
    </row>
    <row r="450">
      <c r="A450" s="16" t="s">
        <v>1942</v>
      </c>
      <c r="B450" s="17" t="s">
        <v>193</v>
      </c>
      <c r="C450" s="17" t="s">
        <v>194</v>
      </c>
      <c r="D450" s="17" t="s">
        <v>1878</v>
      </c>
      <c r="E450" s="17" t="s">
        <v>1879</v>
      </c>
      <c r="F450" s="17" t="s">
        <v>103</v>
      </c>
      <c r="G450" s="19">
        <v>45974.0</v>
      </c>
      <c r="H450" s="17" t="s">
        <v>104</v>
      </c>
      <c r="I450" s="20" t="s">
        <v>1943</v>
      </c>
      <c r="J450" s="21" t="s">
        <v>1944</v>
      </c>
      <c r="K450" s="22" t="s">
        <v>1945</v>
      </c>
      <c r="L450" s="22" t="s">
        <v>1946</v>
      </c>
      <c r="M450" s="17">
        <v>2013.0</v>
      </c>
      <c r="N450" s="17">
        <v>9.0</v>
      </c>
      <c r="O450" s="23">
        <v>71.0</v>
      </c>
      <c r="P450" s="24">
        <f t="shared" si="14"/>
        <v>198.8</v>
      </c>
      <c r="Q450" s="25">
        <v>2.0</v>
      </c>
      <c r="R450" s="17">
        <v>1.0</v>
      </c>
      <c r="S450" s="26">
        <v>1.0</v>
      </c>
      <c r="T450" s="17">
        <v>1.0</v>
      </c>
      <c r="U450" s="17">
        <v>1.0</v>
      </c>
      <c r="V450" s="17" t="s">
        <v>75</v>
      </c>
      <c r="W450" s="28" t="s">
        <v>76</v>
      </c>
      <c r="X450" s="28" t="s">
        <v>78</v>
      </c>
      <c r="Y450" s="24">
        <v>10.0</v>
      </c>
      <c r="Z450" s="17">
        <v>150.0</v>
      </c>
      <c r="AA450" s="17">
        <v>576.0</v>
      </c>
      <c r="AB450" s="17">
        <v>31.0</v>
      </c>
      <c r="AC450" s="20">
        <f t="shared" si="2"/>
        <v>35712</v>
      </c>
      <c r="AD450" s="30">
        <f t="shared" si="3"/>
        <v>17.732</v>
      </c>
      <c r="AE450" s="30">
        <f t="shared" si="10"/>
        <v>3525.1216</v>
      </c>
      <c r="AF450" s="30">
        <f t="shared" si="5"/>
        <v>2269.425259</v>
      </c>
      <c r="AG450" s="34">
        <v>1.0</v>
      </c>
      <c r="AH450" s="36"/>
      <c r="AI450" s="30">
        <f t="shared" si="6"/>
        <v>3278.688525</v>
      </c>
      <c r="AJ450" s="17">
        <v>4000.0</v>
      </c>
      <c r="AK450" s="30">
        <f t="shared" si="7"/>
        <v>6557.377049</v>
      </c>
      <c r="AL450" s="20">
        <f t="shared" si="8"/>
        <v>8000</v>
      </c>
    </row>
    <row r="451">
      <c r="A451" s="16" t="s">
        <v>1942</v>
      </c>
      <c r="B451" s="17" t="s">
        <v>193</v>
      </c>
      <c r="C451" s="17" t="s">
        <v>194</v>
      </c>
      <c r="D451" s="17" t="s">
        <v>1878</v>
      </c>
      <c r="E451" s="17" t="s">
        <v>1879</v>
      </c>
      <c r="F451" s="17" t="s">
        <v>103</v>
      </c>
      <c r="G451" s="19">
        <v>45974.0</v>
      </c>
      <c r="H451" s="17" t="s">
        <v>104</v>
      </c>
      <c r="I451" s="20" t="s">
        <v>1943</v>
      </c>
      <c r="J451" s="21" t="s">
        <v>1947</v>
      </c>
      <c r="K451" s="22" t="s">
        <v>1948</v>
      </c>
      <c r="L451" s="22" t="s">
        <v>1949</v>
      </c>
      <c r="M451" s="17">
        <v>2014.0</v>
      </c>
      <c r="N451" s="17">
        <v>9.0</v>
      </c>
      <c r="O451" s="23">
        <v>73.0</v>
      </c>
      <c r="P451" s="24">
        <f t="shared" si="14"/>
        <v>204.4</v>
      </c>
      <c r="Q451" s="25">
        <v>2.0</v>
      </c>
      <c r="R451" s="17">
        <v>1.0</v>
      </c>
      <c r="S451" s="26">
        <v>1.0</v>
      </c>
      <c r="T451" s="17">
        <v>1.0</v>
      </c>
      <c r="U451" s="17">
        <v>1.0</v>
      </c>
      <c r="V451" s="17" t="s">
        <v>75</v>
      </c>
      <c r="W451" s="28" t="s">
        <v>76</v>
      </c>
      <c r="X451" s="28" t="s">
        <v>78</v>
      </c>
      <c r="Y451" s="24">
        <v>10.0</v>
      </c>
      <c r="Z451" s="17">
        <v>150.0</v>
      </c>
      <c r="AA451" s="17">
        <v>576.0</v>
      </c>
      <c r="AB451" s="17">
        <v>31.0</v>
      </c>
      <c r="AC451" s="20">
        <f t="shared" si="2"/>
        <v>35712</v>
      </c>
      <c r="AD451" s="30">
        <f t="shared" si="3"/>
        <v>17.732</v>
      </c>
      <c r="AE451" s="30">
        <f t="shared" si="10"/>
        <v>3624.4208</v>
      </c>
      <c r="AF451" s="30">
        <f t="shared" si="5"/>
        <v>2207.249224</v>
      </c>
      <c r="AG451" s="34">
        <v>1.0</v>
      </c>
      <c r="AH451" s="36"/>
      <c r="AI451" s="30">
        <f t="shared" si="6"/>
        <v>3278.688525</v>
      </c>
      <c r="AJ451" s="17">
        <v>4000.0</v>
      </c>
      <c r="AK451" s="30">
        <f t="shared" si="7"/>
        <v>6557.377049</v>
      </c>
      <c r="AL451" s="20">
        <f t="shared" si="8"/>
        <v>8000</v>
      </c>
    </row>
    <row r="452">
      <c r="A452" s="16" t="s">
        <v>1942</v>
      </c>
      <c r="B452" s="17" t="s">
        <v>193</v>
      </c>
      <c r="C452" s="17" t="s">
        <v>194</v>
      </c>
      <c r="D452" s="17" t="s">
        <v>1878</v>
      </c>
      <c r="E452" s="17" t="s">
        <v>1879</v>
      </c>
      <c r="F452" s="17" t="s">
        <v>103</v>
      </c>
      <c r="G452" s="19">
        <v>45974.0</v>
      </c>
      <c r="H452" s="17" t="s">
        <v>104</v>
      </c>
      <c r="I452" s="20" t="s">
        <v>1943</v>
      </c>
      <c r="J452" s="21" t="s">
        <v>1950</v>
      </c>
      <c r="K452" s="22" t="s">
        <v>1951</v>
      </c>
      <c r="L452" s="22" t="s">
        <v>1952</v>
      </c>
      <c r="M452" s="17">
        <v>2015.0</v>
      </c>
      <c r="N452" s="17">
        <v>9.0</v>
      </c>
      <c r="O452" s="23">
        <v>68.0</v>
      </c>
      <c r="P452" s="24">
        <f t="shared" si="14"/>
        <v>190.4</v>
      </c>
      <c r="Q452" s="25">
        <v>2.0</v>
      </c>
      <c r="R452" s="17">
        <v>1.0</v>
      </c>
      <c r="S452" s="26">
        <v>1.0</v>
      </c>
      <c r="T452" s="17">
        <v>1.0</v>
      </c>
      <c r="U452" s="17">
        <v>1.0</v>
      </c>
      <c r="V452" s="17" t="s">
        <v>75</v>
      </c>
      <c r="W452" s="28" t="s">
        <v>76</v>
      </c>
      <c r="X452" s="28" t="s">
        <v>78</v>
      </c>
      <c r="Y452" s="24">
        <v>10.0</v>
      </c>
      <c r="Z452" s="17">
        <v>150.0</v>
      </c>
      <c r="AA452" s="17">
        <v>576.0</v>
      </c>
      <c r="AB452" s="17">
        <v>31.0</v>
      </c>
      <c r="AC452" s="20">
        <f t="shared" si="2"/>
        <v>35712</v>
      </c>
      <c r="AD452" s="30">
        <f t="shared" si="3"/>
        <v>17.732</v>
      </c>
      <c r="AE452" s="30">
        <f t="shared" si="10"/>
        <v>3376.1728</v>
      </c>
      <c r="AF452" s="30">
        <f t="shared" si="5"/>
        <v>2369.546962</v>
      </c>
      <c r="AG452" s="34">
        <v>1.0</v>
      </c>
      <c r="AH452" s="36"/>
      <c r="AI452" s="30">
        <f t="shared" si="6"/>
        <v>3278.688525</v>
      </c>
      <c r="AJ452" s="17">
        <v>4000.0</v>
      </c>
      <c r="AK452" s="30">
        <f t="shared" si="7"/>
        <v>6557.377049</v>
      </c>
      <c r="AL452" s="20">
        <f t="shared" si="8"/>
        <v>8000</v>
      </c>
    </row>
    <row r="453">
      <c r="A453" s="16" t="s">
        <v>1953</v>
      </c>
      <c r="B453" s="17" t="s">
        <v>193</v>
      </c>
      <c r="C453" s="17" t="s">
        <v>194</v>
      </c>
      <c r="D453" s="17" t="s">
        <v>1878</v>
      </c>
      <c r="E453" s="17" t="s">
        <v>1879</v>
      </c>
      <c r="F453" s="17" t="s">
        <v>103</v>
      </c>
      <c r="G453" s="19">
        <v>45974.0</v>
      </c>
      <c r="H453" s="17" t="s">
        <v>118</v>
      </c>
      <c r="I453" s="20" t="s">
        <v>1954</v>
      </c>
      <c r="J453" s="21" t="s">
        <v>1955</v>
      </c>
      <c r="K453" s="22" t="s">
        <v>1956</v>
      </c>
      <c r="L453" s="22" t="s">
        <v>1957</v>
      </c>
      <c r="M453" s="17">
        <v>2013.0</v>
      </c>
      <c r="N453" s="17">
        <v>22.0</v>
      </c>
      <c r="O453" s="23">
        <v>817.0</v>
      </c>
      <c r="P453" s="24">
        <f t="shared" si="14"/>
        <v>2287.6</v>
      </c>
      <c r="Q453" s="25">
        <v>16.0</v>
      </c>
      <c r="R453" s="17">
        <v>16.0</v>
      </c>
      <c r="S453" s="26">
        <v>16.0</v>
      </c>
      <c r="T453" s="17">
        <v>0.0</v>
      </c>
      <c r="U453" s="17">
        <v>14.0</v>
      </c>
      <c r="V453" s="17" t="s">
        <v>75</v>
      </c>
      <c r="W453" s="28" t="s">
        <v>76</v>
      </c>
      <c r="X453" s="28" t="s">
        <v>78</v>
      </c>
      <c r="Y453" s="24">
        <v>10.0</v>
      </c>
      <c r="Z453" s="17">
        <v>150.0</v>
      </c>
      <c r="AA453" s="17">
        <v>576.0</v>
      </c>
      <c r="AB453" s="17">
        <v>31.0</v>
      </c>
      <c r="AC453" s="20">
        <f t="shared" si="2"/>
        <v>285696</v>
      </c>
      <c r="AD453" s="30">
        <f t="shared" si="3"/>
        <v>8.06</v>
      </c>
      <c r="AE453" s="30">
        <f t="shared" si="10"/>
        <v>18438.056</v>
      </c>
      <c r="AF453" s="30">
        <f t="shared" si="5"/>
        <v>3471.081767</v>
      </c>
      <c r="AG453" s="34">
        <v>1.0</v>
      </c>
      <c r="AH453" s="36"/>
      <c r="AI453" s="30">
        <f t="shared" si="6"/>
        <v>3278.688525</v>
      </c>
      <c r="AJ453" s="17">
        <v>4000.0</v>
      </c>
      <c r="AK453" s="30">
        <f t="shared" si="7"/>
        <v>52459.01639</v>
      </c>
      <c r="AL453" s="20">
        <f t="shared" si="8"/>
        <v>64000</v>
      </c>
    </row>
    <row r="454">
      <c r="A454" s="16" t="s">
        <v>1958</v>
      </c>
      <c r="B454" s="17" t="s">
        <v>193</v>
      </c>
      <c r="C454" s="17" t="s">
        <v>194</v>
      </c>
      <c r="D454" s="17" t="s">
        <v>1878</v>
      </c>
      <c r="E454" s="17" t="s">
        <v>1879</v>
      </c>
      <c r="F454" s="17" t="s">
        <v>103</v>
      </c>
      <c r="G454" s="19">
        <v>45974.0</v>
      </c>
      <c r="H454" s="17" t="s">
        <v>104</v>
      </c>
      <c r="I454" s="20" t="s">
        <v>1959</v>
      </c>
      <c r="J454" s="21" t="s">
        <v>1960</v>
      </c>
      <c r="K454" s="22" t="s">
        <v>1961</v>
      </c>
      <c r="L454" s="22" t="s">
        <v>1962</v>
      </c>
      <c r="M454" s="17">
        <v>2013.0</v>
      </c>
      <c r="N454" s="17">
        <v>22.0</v>
      </c>
      <c r="O454" s="23">
        <v>574.0</v>
      </c>
      <c r="P454" s="24">
        <f t="shared" si="14"/>
        <v>1607.2</v>
      </c>
      <c r="Q454" s="25">
        <v>10.0</v>
      </c>
      <c r="R454" s="17">
        <v>10.0</v>
      </c>
      <c r="S454" s="26">
        <v>10.0</v>
      </c>
      <c r="T454" s="17">
        <v>0.0</v>
      </c>
      <c r="U454" s="17">
        <v>15.0</v>
      </c>
      <c r="V454" s="17" t="s">
        <v>75</v>
      </c>
      <c r="W454" s="28" t="s">
        <v>76</v>
      </c>
      <c r="X454" s="28" t="s">
        <v>78</v>
      </c>
      <c r="Y454" s="24">
        <v>10.0</v>
      </c>
      <c r="Z454" s="17">
        <v>150.0</v>
      </c>
      <c r="AA454" s="17">
        <v>576.0</v>
      </c>
      <c r="AB454" s="17">
        <v>31.0</v>
      </c>
      <c r="AC454" s="20">
        <f t="shared" si="2"/>
        <v>178560</v>
      </c>
      <c r="AD454" s="30">
        <f t="shared" si="3"/>
        <v>8.06</v>
      </c>
      <c r="AE454" s="30">
        <f t="shared" si="10"/>
        <v>12954.032</v>
      </c>
      <c r="AF454" s="30">
        <f t="shared" si="5"/>
        <v>3087.841685</v>
      </c>
      <c r="AG454" s="34">
        <v>1.0</v>
      </c>
      <c r="AH454" s="36"/>
      <c r="AI454" s="30">
        <f t="shared" si="6"/>
        <v>3278.688525</v>
      </c>
      <c r="AJ454" s="17">
        <v>4000.0</v>
      </c>
      <c r="AK454" s="30">
        <f t="shared" si="7"/>
        <v>32786.88525</v>
      </c>
      <c r="AL454" s="20">
        <f t="shared" si="8"/>
        <v>40000</v>
      </c>
    </row>
    <row r="455">
      <c r="A455" s="16" t="s">
        <v>1963</v>
      </c>
      <c r="B455" s="17" t="s">
        <v>193</v>
      </c>
      <c r="C455" s="17" t="s">
        <v>194</v>
      </c>
      <c r="D455" s="17" t="s">
        <v>101</v>
      </c>
      <c r="E455" s="17" t="s">
        <v>1964</v>
      </c>
      <c r="F455" s="17" t="s">
        <v>103</v>
      </c>
      <c r="G455" s="19">
        <v>45974.0</v>
      </c>
      <c r="H455" s="17" t="s">
        <v>104</v>
      </c>
      <c r="I455" s="20" t="s">
        <v>1965</v>
      </c>
      <c r="J455" s="21" t="s">
        <v>1966</v>
      </c>
      <c r="K455" s="22" t="s">
        <v>1967</v>
      </c>
      <c r="L455" s="22" t="s">
        <v>1968</v>
      </c>
      <c r="M455" s="17">
        <v>2023.0</v>
      </c>
      <c r="N455" s="17">
        <v>9.0</v>
      </c>
      <c r="O455" s="23">
        <v>134.0</v>
      </c>
      <c r="P455" s="24">
        <f t="shared" si="14"/>
        <v>375.2</v>
      </c>
      <c r="Q455" s="25">
        <v>4.0</v>
      </c>
      <c r="R455" s="17">
        <v>4.0</v>
      </c>
      <c r="S455" s="26">
        <v>4.0</v>
      </c>
      <c r="T455" s="17">
        <v>0.0</v>
      </c>
      <c r="U455" s="17">
        <v>4.0</v>
      </c>
      <c r="V455" s="17" t="s">
        <v>75</v>
      </c>
      <c r="W455" s="28" t="s">
        <v>76</v>
      </c>
      <c r="X455" s="28" t="s">
        <v>78</v>
      </c>
      <c r="Y455" s="24">
        <v>10.0</v>
      </c>
      <c r="Z455" s="17">
        <v>150.0</v>
      </c>
      <c r="AA455" s="17">
        <v>576.0</v>
      </c>
      <c r="AB455" s="17">
        <v>31.0</v>
      </c>
      <c r="AC455" s="20">
        <f t="shared" si="2"/>
        <v>71424</v>
      </c>
      <c r="AD455" s="30">
        <f t="shared" si="3"/>
        <v>8.06</v>
      </c>
      <c r="AE455" s="30">
        <f t="shared" si="10"/>
        <v>3024.112</v>
      </c>
      <c r="AF455" s="30">
        <f t="shared" si="5"/>
        <v>5290.809335</v>
      </c>
      <c r="AG455" s="34">
        <v>1.0</v>
      </c>
      <c r="AH455" s="36"/>
      <c r="AI455" s="30">
        <f t="shared" si="6"/>
        <v>3278.688525</v>
      </c>
      <c r="AJ455" s="17">
        <v>4000.0</v>
      </c>
      <c r="AK455" s="30">
        <f t="shared" si="7"/>
        <v>13114.7541</v>
      </c>
      <c r="AL455" s="20">
        <f t="shared" si="8"/>
        <v>16000</v>
      </c>
    </row>
    <row r="456">
      <c r="A456" s="16" t="s">
        <v>1963</v>
      </c>
      <c r="B456" s="17" t="s">
        <v>193</v>
      </c>
      <c r="C456" s="17" t="s">
        <v>194</v>
      </c>
      <c r="D456" s="17" t="s">
        <v>101</v>
      </c>
      <c r="E456" s="17" t="s">
        <v>1964</v>
      </c>
      <c r="F456" s="17" t="s">
        <v>103</v>
      </c>
      <c r="G456" s="19">
        <v>45974.0</v>
      </c>
      <c r="H456" s="17" t="s">
        <v>104</v>
      </c>
      <c r="I456" s="20" t="s">
        <v>1965</v>
      </c>
      <c r="J456" s="21" t="s">
        <v>1969</v>
      </c>
      <c r="K456" s="22" t="s">
        <v>1970</v>
      </c>
      <c r="L456" s="22" t="s">
        <v>1971</v>
      </c>
      <c r="M456" s="17">
        <v>2025.0</v>
      </c>
      <c r="N456" s="17">
        <v>9.0</v>
      </c>
      <c r="O456" s="23">
        <v>127.0</v>
      </c>
      <c r="P456" s="24">
        <f t="shared" si="14"/>
        <v>355.6</v>
      </c>
      <c r="Q456" s="25">
        <v>3.0</v>
      </c>
      <c r="R456" s="17">
        <v>3.0</v>
      </c>
      <c r="S456" s="26">
        <v>3.0</v>
      </c>
      <c r="T456" s="17">
        <v>0.0</v>
      </c>
      <c r="U456" s="17">
        <v>3.0</v>
      </c>
      <c r="V456" s="17" t="s">
        <v>75</v>
      </c>
      <c r="W456" s="28" t="s">
        <v>76</v>
      </c>
      <c r="X456" s="28" t="s">
        <v>78</v>
      </c>
      <c r="Y456" s="24">
        <v>10.0</v>
      </c>
      <c r="Z456" s="17">
        <v>150.0</v>
      </c>
      <c r="AA456" s="17">
        <v>576.0</v>
      </c>
      <c r="AB456" s="17">
        <v>31.0</v>
      </c>
      <c r="AC456" s="20">
        <f t="shared" si="2"/>
        <v>53568</v>
      </c>
      <c r="AD456" s="30">
        <f t="shared" si="3"/>
        <v>8.06</v>
      </c>
      <c r="AE456" s="30">
        <f t="shared" si="10"/>
        <v>2866.136</v>
      </c>
      <c r="AF456" s="30">
        <f t="shared" si="5"/>
        <v>4186.82156</v>
      </c>
      <c r="AG456" s="34">
        <v>1.0</v>
      </c>
      <c r="AH456" s="36"/>
      <c r="AI456" s="30">
        <f t="shared" si="6"/>
        <v>3278.688525</v>
      </c>
      <c r="AJ456" s="17">
        <v>4000.0</v>
      </c>
      <c r="AK456" s="30">
        <f t="shared" si="7"/>
        <v>9836.065574</v>
      </c>
      <c r="AL456" s="20">
        <f t="shared" si="8"/>
        <v>12000</v>
      </c>
    </row>
    <row r="457">
      <c r="A457" s="16" t="s">
        <v>1972</v>
      </c>
      <c r="B457" s="17" t="s">
        <v>193</v>
      </c>
      <c r="C457" s="17" t="s">
        <v>194</v>
      </c>
      <c r="D457" s="17" t="s">
        <v>101</v>
      </c>
      <c r="E457" s="17" t="s">
        <v>1964</v>
      </c>
      <c r="F457" s="17" t="s">
        <v>63</v>
      </c>
      <c r="G457" s="19">
        <v>45992.0</v>
      </c>
      <c r="H457" s="17" t="s">
        <v>65</v>
      </c>
      <c r="I457" s="20" t="s">
        <v>1973</v>
      </c>
      <c r="J457" s="21" t="s">
        <v>1974</v>
      </c>
      <c r="K457" s="22" t="s">
        <v>1975</v>
      </c>
      <c r="L457" s="22" t="s">
        <v>1976</v>
      </c>
      <c r="M457" s="17">
        <v>2021.0</v>
      </c>
      <c r="N457" s="17">
        <v>19.0</v>
      </c>
      <c r="O457" s="23">
        <v>108.0</v>
      </c>
      <c r="P457" s="24">
        <f t="shared" si="14"/>
        <v>302.4</v>
      </c>
      <c r="Q457" s="25">
        <v>1.0</v>
      </c>
      <c r="R457" s="17">
        <v>1.0</v>
      </c>
      <c r="S457" s="26">
        <v>1.0</v>
      </c>
      <c r="T457" s="17">
        <v>0.0</v>
      </c>
      <c r="U457" s="17">
        <v>2.0</v>
      </c>
      <c r="V457" s="17" t="s">
        <v>75</v>
      </c>
      <c r="W457" s="28" t="s">
        <v>76</v>
      </c>
      <c r="X457" s="28" t="s">
        <v>78</v>
      </c>
      <c r="Y457" s="24">
        <v>10.0</v>
      </c>
      <c r="Z457" s="17">
        <v>150.0</v>
      </c>
      <c r="AA457" s="17">
        <v>576.0</v>
      </c>
      <c r="AB457" s="17">
        <v>31.0</v>
      </c>
      <c r="AC457" s="20">
        <f t="shared" si="2"/>
        <v>17856</v>
      </c>
      <c r="AD457" s="30">
        <f t="shared" si="3"/>
        <v>8.06</v>
      </c>
      <c r="AE457" s="30">
        <f t="shared" si="10"/>
        <v>2437.344</v>
      </c>
      <c r="AF457" s="30">
        <f t="shared" si="5"/>
        <v>1641.130673</v>
      </c>
      <c r="AG457" s="34">
        <v>1.0</v>
      </c>
      <c r="AH457" s="36"/>
      <c r="AI457" s="30">
        <f t="shared" si="6"/>
        <v>3278.688525</v>
      </c>
      <c r="AJ457" s="17">
        <v>4000.0</v>
      </c>
      <c r="AK457" s="30">
        <f t="shared" si="7"/>
        <v>3278.688525</v>
      </c>
      <c r="AL457" s="20">
        <f t="shared" si="8"/>
        <v>4000</v>
      </c>
    </row>
    <row r="458">
      <c r="A458" s="16" t="s">
        <v>1972</v>
      </c>
      <c r="B458" s="17" t="s">
        <v>193</v>
      </c>
      <c r="C458" s="17" t="s">
        <v>194</v>
      </c>
      <c r="D458" s="17" t="s">
        <v>101</v>
      </c>
      <c r="E458" s="17" t="s">
        <v>1964</v>
      </c>
      <c r="F458" s="17" t="s">
        <v>63</v>
      </c>
      <c r="G458" s="19">
        <v>45992.0</v>
      </c>
      <c r="H458" s="17" t="s">
        <v>65</v>
      </c>
      <c r="I458" s="20" t="s">
        <v>1973</v>
      </c>
      <c r="J458" s="21" t="s">
        <v>1977</v>
      </c>
      <c r="K458" s="22" t="s">
        <v>1978</v>
      </c>
      <c r="L458" s="22" t="s">
        <v>1979</v>
      </c>
      <c r="M458" s="17">
        <v>2022.0</v>
      </c>
      <c r="N458" s="17">
        <v>19.0</v>
      </c>
      <c r="O458" s="23">
        <v>108.0</v>
      </c>
      <c r="P458" s="24">
        <f t="shared" si="14"/>
        <v>302.4</v>
      </c>
      <c r="Q458" s="25">
        <v>1.0</v>
      </c>
      <c r="R458" s="17">
        <v>1.0</v>
      </c>
      <c r="S458" s="26">
        <v>1.0</v>
      </c>
      <c r="T458" s="17">
        <v>0.0</v>
      </c>
      <c r="U458" s="17">
        <v>2.0</v>
      </c>
      <c r="V458" s="17" t="s">
        <v>75</v>
      </c>
      <c r="W458" s="28" t="s">
        <v>76</v>
      </c>
      <c r="X458" s="28" t="s">
        <v>78</v>
      </c>
      <c r="Y458" s="24">
        <v>10.0</v>
      </c>
      <c r="Z458" s="17">
        <v>150.0</v>
      </c>
      <c r="AA458" s="17">
        <v>576.0</v>
      </c>
      <c r="AB458" s="17">
        <v>31.0</v>
      </c>
      <c r="AC458" s="20">
        <f t="shared" si="2"/>
        <v>17856</v>
      </c>
      <c r="AD458" s="30">
        <f t="shared" si="3"/>
        <v>8.06</v>
      </c>
      <c r="AE458" s="30">
        <f t="shared" si="10"/>
        <v>2437.344</v>
      </c>
      <c r="AF458" s="30">
        <f t="shared" si="5"/>
        <v>1641.130673</v>
      </c>
      <c r="AG458" s="34">
        <v>1.0</v>
      </c>
      <c r="AH458" s="36"/>
      <c r="AI458" s="30">
        <f t="shared" si="6"/>
        <v>3278.688525</v>
      </c>
      <c r="AJ458" s="17">
        <v>4000.0</v>
      </c>
      <c r="AK458" s="30">
        <f t="shared" si="7"/>
        <v>3278.688525</v>
      </c>
      <c r="AL458" s="20">
        <f t="shared" si="8"/>
        <v>4000</v>
      </c>
    </row>
    <row r="459">
      <c r="A459" s="16" t="s">
        <v>1980</v>
      </c>
      <c r="B459" s="17" t="s">
        <v>193</v>
      </c>
      <c r="C459" s="17" t="s">
        <v>194</v>
      </c>
      <c r="D459" s="17" t="s">
        <v>1878</v>
      </c>
      <c r="E459" s="17" t="s">
        <v>1937</v>
      </c>
      <c r="F459" s="17" t="s">
        <v>103</v>
      </c>
      <c r="G459" s="19">
        <v>45992.0</v>
      </c>
      <c r="H459" s="17" t="s">
        <v>65</v>
      </c>
      <c r="I459" s="20" t="s">
        <v>1981</v>
      </c>
      <c r="J459" s="21" t="s">
        <v>1982</v>
      </c>
      <c r="K459" s="22" t="s">
        <v>1983</v>
      </c>
      <c r="L459" s="22" t="s">
        <v>1984</v>
      </c>
      <c r="M459" s="17">
        <v>2020.0</v>
      </c>
      <c r="N459" s="17">
        <v>19.0</v>
      </c>
      <c r="O459" s="23">
        <v>324.0</v>
      </c>
      <c r="P459" s="24">
        <f t="shared" si="14"/>
        <v>907.2</v>
      </c>
      <c r="Q459" s="25">
        <v>2.0</v>
      </c>
      <c r="R459" s="17">
        <v>2.0</v>
      </c>
      <c r="S459" s="26">
        <v>2.0</v>
      </c>
      <c r="T459" s="17">
        <v>0.0</v>
      </c>
      <c r="U459" s="17">
        <v>4.0</v>
      </c>
      <c r="V459" s="17" t="s">
        <v>75</v>
      </c>
      <c r="W459" s="28" t="s">
        <v>76</v>
      </c>
      <c r="X459" s="28" t="s">
        <v>78</v>
      </c>
      <c r="Y459" s="24">
        <v>10.0</v>
      </c>
      <c r="Z459" s="17">
        <v>150.0</v>
      </c>
      <c r="AA459" s="17">
        <v>576.0</v>
      </c>
      <c r="AB459" s="17">
        <v>31.0</v>
      </c>
      <c r="AC459" s="20">
        <f t="shared" si="2"/>
        <v>35712</v>
      </c>
      <c r="AD459" s="30">
        <f t="shared" si="3"/>
        <v>8.06</v>
      </c>
      <c r="AE459" s="30">
        <f t="shared" si="10"/>
        <v>7312.032</v>
      </c>
      <c r="AF459" s="30">
        <f t="shared" si="5"/>
        <v>1094.087116</v>
      </c>
      <c r="AG459" s="34">
        <v>1.0</v>
      </c>
      <c r="AH459" s="36"/>
      <c r="AI459" s="30">
        <f t="shared" si="6"/>
        <v>3278.688525</v>
      </c>
      <c r="AJ459" s="17">
        <v>4000.0</v>
      </c>
      <c r="AK459" s="30">
        <f t="shared" si="7"/>
        <v>6557.377049</v>
      </c>
      <c r="AL459" s="20">
        <f t="shared" si="8"/>
        <v>8000</v>
      </c>
    </row>
    <row r="460">
      <c r="A460" s="16" t="s">
        <v>1985</v>
      </c>
      <c r="B460" s="17" t="s">
        <v>193</v>
      </c>
      <c r="C460" s="17" t="s">
        <v>194</v>
      </c>
      <c r="D460" s="17" t="s">
        <v>162</v>
      </c>
      <c r="E460" s="54" t="s">
        <v>1986</v>
      </c>
      <c r="F460" s="17" t="s">
        <v>103</v>
      </c>
      <c r="G460" s="19">
        <v>45993.0</v>
      </c>
      <c r="H460" s="17" t="s">
        <v>118</v>
      </c>
      <c r="I460" s="20" t="s">
        <v>1987</v>
      </c>
      <c r="J460" s="21" t="s">
        <v>1988</v>
      </c>
      <c r="K460" s="22" t="s">
        <v>1989</v>
      </c>
      <c r="L460" s="22" t="s">
        <v>1990</v>
      </c>
      <c r="M460" s="17">
        <v>2006.0</v>
      </c>
      <c r="N460" s="17">
        <v>16.0</v>
      </c>
      <c r="O460" s="23">
        <v>96.0</v>
      </c>
      <c r="P460" s="24">
        <f t="shared" si="14"/>
        <v>268.8</v>
      </c>
      <c r="Q460" s="25">
        <v>1.0</v>
      </c>
      <c r="R460" s="17">
        <v>1.0</v>
      </c>
      <c r="S460" s="26">
        <v>1.0</v>
      </c>
      <c r="T460" s="17">
        <v>0.0</v>
      </c>
      <c r="U460" s="17">
        <v>2.0</v>
      </c>
      <c r="V460" s="17" t="s">
        <v>75</v>
      </c>
      <c r="W460" s="28" t="s">
        <v>76</v>
      </c>
      <c r="X460" s="28" t="s">
        <v>78</v>
      </c>
      <c r="Y460" s="24">
        <v>10.0</v>
      </c>
      <c r="Z460" s="17">
        <v>150.0</v>
      </c>
      <c r="AA460" s="17">
        <v>576.0</v>
      </c>
      <c r="AB460" s="17">
        <v>31.0</v>
      </c>
      <c r="AC460" s="20">
        <f t="shared" si="2"/>
        <v>17856</v>
      </c>
      <c r="AD460" s="30">
        <f t="shared" si="3"/>
        <v>8.06</v>
      </c>
      <c r="AE460" s="30">
        <f t="shared" si="10"/>
        <v>2166.528</v>
      </c>
      <c r="AF460" s="30">
        <f t="shared" si="5"/>
        <v>1846.272008</v>
      </c>
      <c r="AG460" s="34">
        <v>1.0</v>
      </c>
      <c r="AH460" s="36"/>
      <c r="AI460" s="30">
        <f t="shared" si="6"/>
        <v>3278.688525</v>
      </c>
      <c r="AJ460" s="17">
        <v>4000.0</v>
      </c>
      <c r="AK460" s="30">
        <f t="shared" si="7"/>
        <v>3278.688525</v>
      </c>
      <c r="AL460" s="20">
        <f t="shared" si="8"/>
        <v>4000</v>
      </c>
    </row>
    <row r="461">
      <c r="A461" s="16" t="s">
        <v>1985</v>
      </c>
      <c r="B461" s="17" t="s">
        <v>193</v>
      </c>
      <c r="C461" s="17" t="s">
        <v>194</v>
      </c>
      <c r="D461" s="17" t="s">
        <v>162</v>
      </c>
      <c r="E461" s="54" t="s">
        <v>1986</v>
      </c>
      <c r="F461" s="17" t="s">
        <v>103</v>
      </c>
      <c r="G461" s="19">
        <v>45993.0</v>
      </c>
      <c r="H461" s="17" t="s">
        <v>118</v>
      </c>
      <c r="I461" s="20" t="s">
        <v>1987</v>
      </c>
      <c r="J461" s="21" t="s">
        <v>1991</v>
      </c>
      <c r="K461" s="22" t="s">
        <v>1992</v>
      </c>
      <c r="L461" s="22" t="s">
        <v>1993</v>
      </c>
      <c r="M461" s="17">
        <v>2006.0</v>
      </c>
      <c r="N461" s="17">
        <v>16.0</v>
      </c>
      <c r="O461" s="23">
        <v>128.0</v>
      </c>
      <c r="P461" s="24">
        <f t="shared" si="14"/>
        <v>358.4</v>
      </c>
      <c r="Q461" s="25">
        <v>1.0</v>
      </c>
      <c r="R461" s="17">
        <v>1.0</v>
      </c>
      <c r="S461" s="26">
        <v>1.0</v>
      </c>
      <c r="T461" s="17">
        <v>0.0</v>
      </c>
      <c r="U461" s="17">
        <v>2.0</v>
      </c>
      <c r="V461" s="17" t="s">
        <v>75</v>
      </c>
      <c r="W461" s="28" t="s">
        <v>76</v>
      </c>
      <c r="X461" s="28" t="s">
        <v>78</v>
      </c>
      <c r="Y461" s="24">
        <v>10.0</v>
      </c>
      <c r="Z461" s="17">
        <v>150.0</v>
      </c>
      <c r="AA461" s="17">
        <v>576.0</v>
      </c>
      <c r="AB461" s="17">
        <v>31.0</v>
      </c>
      <c r="AC461" s="20">
        <f t="shared" si="2"/>
        <v>17856</v>
      </c>
      <c r="AD461" s="30">
        <f t="shared" si="3"/>
        <v>8.06</v>
      </c>
      <c r="AE461" s="30">
        <f t="shared" si="10"/>
        <v>2888.704</v>
      </c>
      <c r="AF461" s="30">
        <f t="shared" si="5"/>
        <v>1384.704006</v>
      </c>
      <c r="AG461" s="34">
        <v>1.0</v>
      </c>
      <c r="AH461" s="36"/>
      <c r="AI461" s="30">
        <f t="shared" si="6"/>
        <v>3278.688525</v>
      </c>
      <c r="AJ461" s="17">
        <v>4000.0</v>
      </c>
      <c r="AK461" s="30">
        <f t="shared" si="7"/>
        <v>3278.688525</v>
      </c>
      <c r="AL461" s="20">
        <f t="shared" si="8"/>
        <v>4000</v>
      </c>
    </row>
    <row r="462">
      <c r="A462" s="16" t="s">
        <v>1994</v>
      </c>
      <c r="B462" s="17" t="s">
        <v>193</v>
      </c>
      <c r="C462" s="17" t="s">
        <v>194</v>
      </c>
      <c r="D462" s="17" t="s">
        <v>162</v>
      </c>
      <c r="E462" s="54" t="s">
        <v>1986</v>
      </c>
      <c r="F462" s="17" t="s">
        <v>103</v>
      </c>
      <c r="G462" s="19">
        <v>45993.0</v>
      </c>
      <c r="H462" s="17" t="s">
        <v>118</v>
      </c>
      <c r="I462" s="17" t="s">
        <v>1995</v>
      </c>
      <c r="J462" s="21" t="s">
        <v>1996</v>
      </c>
      <c r="K462" s="28" t="s">
        <v>1997</v>
      </c>
      <c r="L462" s="28" t="s">
        <v>1998</v>
      </c>
      <c r="M462" s="17">
        <v>2003.0</v>
      </c>
      <c r="N462" s="17">
        <v>10.0</v>
      </c>
      <c r="O462" s="23">
        <v>78.0</v>
      </c>
      <c r="P462" s="24">
        <f t="shared" si="14"/>
        <v>218.4</v>
      </c>
      <c r="Q462" s="25">
        <v>2.0</v>
      </c>
      <c r="R462" s="17">
        <v>2.0</v>
      </c>
      <c r="S462" s="26">
        <v>2.0</v>
      </c>
      <c r="T462" s="17">
        <v>0.0</v>
      </c>
      <c r="U462" s="17">
        <v>2.0</v>
      </c>
      <c r="V462" s="17" t="s">
        <v>130</v>
      </c>
      <c r="W462" s="28" t="s">
        <v>76</v>
      </c>
      <c r="X462" s="28" t="s">
        <v>78</v>
      </c>
      <c r="Y462" s="24">
        <v>10.0</v>
      </c>
      <c r="Z462" s="17">
        <v>150.0</v>
      </c>
      <c r="AA462" s="17">
        <v>576.0</v>
      </c>
      <c r="AB462" s="17">
        <v>31.0</v>
      </c>
      <c r="AC462" s="20">
        <f t="shared" si="2"/>
        <v>35712</v>
      </c>
      <c r="AD462" s="30">
        <f t="shared" si="3"/>
        <v>8.06</v>
      </c>
      <c r="AE462" s="30">
        <f t="shared" si="10"/>
        <v>1760.304</v>
      </c>
      <c r="AF462" s="30">
        <f t="shared" si="5"/>
        <v>4544.669557</v>
      </c>
      <c r="AG462" s="34">
        <v>1.0</v>
      </c>
      <c r="AH462" s="36"/>
      <c r="AI462" s="30">
        <f t="shared" si="6"/>
        <v>3278.688525</v>
      </c>
      <c r="AJ462" s="17">
        <v>4000.0</v>
      </c>
      <c r="AK462" s="30">
        <f t="shared" si="7"/>
        <v>6557.377049</v>
      </c>
      <c r="AL462" s="20">
        <f t="shared" si="8"/>
        <v>8000</v>
      </c>
    </row>
    <row r="463">
      <c r="A463" s="16" t="s">
        <v>1999</v>
      </c>
      <c r="B463" s="17" t="s">
        <v>193</v>
      </c>
      <c r="C463" s="17" t="s">
        <v>194</v>
      </c>
      <c r="D463" s="17" t="s">
        <v>162</v>
      </c>
      <c r="E463" s="54" t="s">
        <v>1986</v>
      </c>
      <c r="F463" s="17" t="s">
        <v>103</v>
      </c>
      <c r="G463" s="19">
        <v>45993.0</v>
      </c>
      <c r="H463" s="17" t="s">
        <v>118</v>
      </c>
      <c r="I463" s="20" t="s">
        <v>2000</v>
      </c>
      <c r="J463" s="21" t="s">
        <v>2001</v>
      </c>
      <c r="K463" s="22" t="s">
        <v>2002</v>
      </c>
      <c r="L463" s="22" t="s">
        <v>2003</v>
      </c>
      <c r="M463" s="17">
        <v>2008.0</v>
      </c>
      <c r="N463" s="17">
        <v>10.0</v>
      </c>
      <c r="O463" s="23">
        <v>289.0</v>
      </c>
      <c r="P463" s="24">
        <f t="shared" si="14"/>
        <v>809.2</v>
      </c>
      <c r="Q463" s="25">
        <v>7.0</v>
      </c>
      <c r="R463" s="17">
        <v>7.0</v>
      </c>
      <c r="S463" s="26">
        <v>7.0</v>
      </c>
      <c r="T463" s="17">
        <v>0.0</v>
      </c>
      <c r="U463" s="17">
        <v>7.0</v>
      </c>
      <c r="V463" s="17" t="s">
        <v>75</v>
      </c>
      <c r="W463" s="28" t="s">
        <v>76</v>
      </c>
      <c r="X463" s="28" t="s">
        <v>78</v>
      </c>
      <c r="Y463" s="24">
        <v>10.0</v>
      </c>
      <c r="Z463" s="17">
        <v>150.0</v>
      </c>
      <c r="AA463" s="17">
        <v>576.0</v>
      </c>
      <c r="AB463" s="17">
        <v>31.0</v>
      </c>
      <c r="AC463" s="20">
        <f t="shared" si="2"/>
        <v>124992</v>
      </c>
      <c r="AD463" s="30">
        <f t="shared" si="3"/>
        <v>8.06</v>
      </c>
      <c r="AE463" s="30">
        <f t="shared" si="10"/>
        <v>6522.152</v>
      </c>
      <c r="AF463" s="30">
        <f t="shared" si="5"/>
        <v>4293.061554</v>
      </c>
      <c r="AG463" s="34">
        <v>1.0</v>
      </c>
      <c r="AH463" s="36"/>
      <c r="AI463" s="30">
        <f t="shared" si="6"/>
        <v>3278.688525</v>
      </c>
      <c r="AJ463" s="17">
        <v>4000.0</v>
      </c>
      <c r="AK463" s="30">
        <f t="shared" si="7"/>
        <v>22950.81967</v>
      </c>
      <c r="AL463" s="20">
        <f t="shared" si="8"/>
        <v>28000</v>
      </c>
    </row>
    <row r="464">
      <c r="A464" s="16" t="s">
        <v>2005</v>
      </c>
      <c r="B464" s="17" t="s">
        <v>193</v>
      </c>
      <c r="C464" s="17" t="s">
        <v>194</v>
      </c>
      <c r="D464" s="17" t="s">
        <v>162</v>
      </c>
      <c r="E464" s="54" t="s">
        <v>1986</v>
      </c>
      <c r="F464" s="17" t="s">
        <v>103</v>
      </c>
      <c r="G464" s="19">
        <v>45993.0</v>
      </c>
      <c r="H464" s="17" t="s">
        <v>118</v>
      </c>
      <c r="I464" s="20" t="s">
        <v>2006</v>
      </c>
      <c r="J464" s="21" t="s">
        <v>2007</v>
      </c>
      <c r="K464" s="22" t="s">
        <v>2008</v>
      </c>
      <c r="L464" s="22" t="s">
        <v>2009</v>
      </c>
      <c r="M464" s="17">
        <v>2008.0</v>
      </c>
      <c r="N464" s="17">
        <v>16.0</v>
      </c>
      <c r="O464" s="23">
        <v>96.0</v>
      </c>
      <c r="P464" s="24">
        <f t="shared" si="14"/>
        <v>268.8</v>
      </c>
      <c r="Q464" s="25">
        <v>1.0</v>
      </c>
      <c r="R464" s="17">
        <v>1.0</v>
      </c>
      <c r="S464" s="26">
        <v>1.0</v>
      </c>
      <c r="T464" s="17">
        <v>0.0</v>
      </c>
      <c r="U464" s="17">
        <v>2.0</v>
      </c>
      <c r="V464" s="17" t="s">
        <v>75</v>
      </c>
      <c r="W464" s="28" t="s">
        <v>76</v>
      </c>
      <c r="X464" s="28" t="s">
        <v>78</v>
      </c>
      <c r="Y464" s="24">
        <v>10.0</v>
      </c>
      <c r="Z464" s="17">
        <v>150.0</v>
      </c>
      <c r="AA464" s="17">
        <v>576.0</v>
      </c>
      <c r="AB464" s="17">
        <v>31.0</v>
      </c>
      <c r="AC464" s="20">
        <f t="shared" si="2"/>
        <v>17856</v>
      </c>
      <c r="AD464" s="30">
        <f t="shared" si="3"/>
        <v>8.06</v>
      </c>
      <c r="AE464" s="30">
        <f t="shared" si="10"/>
        <v>2166.528</v>
      </c>
      <c r="AF464" s="30">
        <f t="shared" si="5"/>
        <v>1846.272008</v>
      </c>
      <c r="AG464" s="34">
        <v>1.0</v>
      </c>
      <c r="AH464" s="36"/>
      <c r="AI464" s="30">
        <f t="shared" si="6"/>
        <v>3278.688525</v>
      </c>
      <c r="AJ464" s="17">
        <v>4000.0</v>
      </c>
      <c r="AK464" s="30">
        <f t="shared" si="7"/>
        <v>3278.688525</v>
      </c>
      <c r="AL464" s="20">
        <f t="shared" si="8"/>
        <v>4000</v>
      </c>
    </row>
    <row r="465">
      <c r="A465" s="16" t="s">
        <v>2010</v>
      </c>
      <c r="B465" s="17" t="s">
        <v>193</v>
      </c>
      <c r="C465" s="17" t="s">
        <v>194</v>
      </c>
      <c r="D465" s="17" t="s">
        <v>162</v>
      </c>
      <c r="E465" s="54" t="s">
        <v>1986</v>
      </c>
      <c r="F465" s="17" t="s">
        <v>103</v>
      </c>
      <c r="G465" s="19">
        <v>45993.0</v>
      </c>
      <c r="H465" s="17" t="s">
        <v>118</v>
      </c>
      <c r="I465" s="20" t="s">
        <v>2006</v>
      </c>
      <c r="J465" s="21" t="s">
        <v>2011</v>
      </c>
      <c r="K465" s="22" t="s">
        <v>2012</v>
      </c>
      <c r="L465" s="22" t="s">
        <v>2013</v>
      </c>
      <c r="M465" s="17">
        <v>2008.0</v>
      </c>
      <c r="N465" s="17">
        <v>10.0</v>
      </c>
      <c r="O465" s="23">
        <v>197.0</v>
      </c>
      <c r="P465" s="24">
        <f t="shared" si="14"/>
        <v>551.6</v>
      </c>
      <c r="Q465" s="25">
        <v>5.0</v>
      </c>
      <c r="R465" s="17">
        <v>5.0</v>
      </c>
      <c r="S465" s="26">
        <v>5.0</v>
      </c>
      <c r="T465" s="17">
        <v>0.0</v>
      </c>
      <c r="U465" s="17">
        <v>5.0</v>
      </c>
      <c r="V465" s="17" t="s">
        <v>75</v>
      </c>
      <c r="W465" s="28" t="s">
        <v>76</v>
      </c>
      <c r="X465" s="28" t="s">
        <v>78</v>
      </c>
      <c r="Y465" s="24">
        <v>10.0</v>
      </c>
      <c r="Z465" s="17">
        <v>150.0</v>
      </c>
      <c r="AA465" s="17">
        <v>576.0</v>
      </c>
      <c r="AB465" s="17">
        <v>31.0</v>
      </c>
      <c r="AC465" s="20">
        <f t="shared" si="2"/>
        <v>89280</v>
      </c>
      <c r="AD465" s="30">
        <f t="shared" si="3"/>
        <v>8.06</v>
      </c>
      <c r="AE465" s="30">
        <f t="shared" si="10"/>
        <v>4445.896</v>
      </c>
      <c r="AF465" s="30">
        <f t="shared" si="5"/>
        <v>4498.53078</v>
      </c>
      <c r="AG465" s="34">
        <v>1.0</v>
      </c>
      <c r="AH465" s="36"/>
      <c r="AI465" s="30">
        <f t="shared" si="6"/>
        <v>3278.688525</v>
      </c>
      <c r="AJ465" s="17">
        <v>4000.0</v>
      </c>
      <c r="AK465" s="30">
        <f t="shared" si="7"/>
        <v>16393.44262</v>
      </c>
      <c r="AL465" s="20">
        <f t="shared" si="8"/>
        <v>20000</v>
      </c>
    </row>
    <row r="466">
      <c r="A466" s="16" t="s">
        <v>2014</v>
      </c>
      <c r="B466" s="17" t="s">
        <v>193</v>
      </c>
      <c r="C466" s="17" t="s">
        <v>194</v>
      </c>
      <c r="D466" s="17" t="s">
        <v>162</v>
      </c>
      <c r="E466" s="54" t="s">
        <v>1986</v>
      </c>
      <c r="F466" s="17" t="s">
        <v>103</v>
      </c>
      <c r="G466" s="19">
        <v>46071.0</v>
      </c>
      <c r="H466" s="17" t="s">
        <v>104</v>
      </c>
      <c r="I466" s="20" t="s">
        <v>2016</v>
      </c>
      <c r="J466" s="21" t="s">
        <v>2017</v>
      </c>
      <c r="K466" s="22" t="s">
        <v>2018</v>
      </c>
      <c r="L466" s="22" t="s">
        <v>2019</v>
      </c>
      <c r="M466" s="17">
        <v>2004.0</v>
      </c>
      <c r="N466" s="17">
        <v>10.0</v>
      </c>
      <c r="O466" s="23">
        <v>120.0</v>
      </c>
      <c r="P466" s="24">
        <f t="shared" si="14"/>
        <v>336</v>
      </c>
      <c r="Q466" s="25">
        <v>3.0</v>
      </c>
      <c r="R466" s="17">
        <v>3.0</v>
      </c>
      <c r="S466" s="26">
        <v>3.0</v>
      </c>
      <c r="T466" s="17">
        <v>0.0</v>
      </c>
      <c r="U466" s="17">
        <v>3.0</v>
      </c>
      <c r="V466" s="17" t="s">
        <v>130</v>
      </c>
      <c r="W466" s="28" t="s">
        <v>76</v>
      </c>
      <c r="X466" s="28" t="s">
        <v>78</v>
      </c>
      <c r="Y466" s="24">
        <v>10.0</v>
      </c>
      <c r="Z466" s="17">
        <v>150.0</v>
      </c>
      <c r="AA466" s="17">
        <v>576.0</v>
      </c>
      <c r="AB466" s="17">
        <v>31.0</v>
      </c>
      <c r="AC466" s="20">
        <f t="shared" si="2"/>
        <v>53568</v>
      </c>
      <c r="AD466" s="30">
        <f t="shared" si="3"/>
        <v>8.06</v>
      </c>
      <c r="AE466" s="30">
        <f t="shared" si="10"/>
        <v>2708.16</v>
      </c>
      <c r="AF466" s="30">
        <f t="shared" si="5"/>
        <v>4431.052818</v>
      </c>
      <c r="AG466" s="34">
        <v>1.0</v>
      </c>
      <c r="AH466" s="36"/>
      <c r="AI466" s="30">
        <f t="shared" si="6"/>
        <v>3278.688525</v>
      </c>
      <c r="AJ466" s="17">
        <v>4000.0</v>
      </c>
      <c r="AK466" s="30">
        <f t="shared" si="7"/>
        <v>9836.065574</v>
      </c>
      <c r="AL466" s="20">
        <f t="shared" si="8"/>
        <v>12000</v>
      </c>
    </row>
    <row r="467">
      <c r="A467" s="16" t="s">
        <v>2021</v>
      </c>
      <c r="B467" s="17" t="s">
        <v>193</v>
      </c>
      <c r="C467" s="17" t="s">
        <v>194</v>
      </c>
      <c r="D467" s="17" t="s">
        <v>162</v>
      </c>
      <c r="E467" s="54" t="s">
        <v>1986</v>
      </c>
      <c r="F467" s="17" t="s">
        <v>103</v>
      </c>
      <c r="G467" s="19">
        <v>46071.0</v>
      </c>
      <c r="H467" s="17" t="s">
        <v>104</v>
      </c>
      <c r="I467" s="20" t="s">
        <v>2022</v>
      </c>
      <c r="J467" s="21" t="s">
        <v>2023</v>
      </c>
      <c r="K467" s="22" t="s">
        <v>2024</v>
      </c>
      <c r="L467" s="22" t="s">
        <v>2025</v>
      </c>
      <c r="M467" s="17">
        <v>2004.0</v>
      </c>
      <c r="N467" s="17">
        <v>10.0</v>
      </c>
      <c r="O467" s="23">
        <v>239.0</v>
      </c>
      <c r="P467" s="24">
        <f t="shared" si="14"/>
        <v>669.2</v>
      </c>
      <c r="Q467" s="25">
        <v>6.0</v>
      </c>
      <c r="R467" s="17">
        <v>6.0</v>
      </c>
      <c r="S467" s="26">
        <v>6.0</v>
      </c>
      <c r="T467" s="17">
        <v>0.0</v>
      </c>
      <c r="U467" s="17">
        <v>6.0</v>
      </c>
      <c r="V467" s="17" t="s">
        <v>130</v>
      </c>
      <c r="W467" s="28" t="s">
        <v>76</v>
      </c>
      <c r="X467" s="28" t="s">
        <v>78</v>
      </c>
      <c r="Y467" s="24">
        <v>10.0</v>
      </c>
      <c r="Z467" s="17">
        <v>150.0</v>
      </c>
      <c r="AA467" s="17">
        <v>576.0</v>
      </c>
      <c r="AB467" s="17">
        <v>31.0</v>
      </c>
      <c r="AC467" s="20">
        <f t="shared" si="2"/>
        <v>107136</v>
      </c>
      <c r="AD467" s="30">
        <f t="shared" si="3"/>
        <v>8.06</v>
      </c>
      <c r="AE467" s="30">
        <f t="shared" si="10"/>
        <v>5393.752</v>
      </c>
      <c r="AF467" s="30">
        <f t="shared" si="5"/>
        <v>4449.592788</v>
      </c>
      <c r="AG467" s="34">
        <v>1.0</v>
      </c>
      <c r="AH467" s="36"/>
      <c r="AI467" s="30">
        <f t="shared" si="6"/>
        <v>3278.688525</v>
      </c>
      <c r="AJ467" s="17">
        <v>4000.0</v>
      </c>
      <c r="AK467" s="30">
        <f t="shared" si="7"/>
        <v>19672.13115</v>
      </c>
      <c r="AL467" s="20">
        <f t="shared" si="8"/>
        <v>24000</v>
      </c>
    </row>
    <row r="468">
      <c r="A468" s="16" t="s">
        <v>2026</v>
      </c>
      <c r="B468" s="17" t="s">
        <v>193</v>
      </c>
      <c r="C468" s="17" t="s">
        <v>194</v>
      </c>
      <c r="D468" s="17" t="s">
        <v>162</v>
      </c>
      <c r="E468" s="54" t="s">
        <v>1986</v>
      </c>
      <c r="F468" s="17" t="s">
        <v>103</v>
      </c>
      <c r="G468" s="19">
        <v>45993.0</v>
      </c>
      <c r="H468" s="17" t="s">
        <v>104</v>
      </c>
      <c r="I468" s="20" t="s">
        <v>2027</v>
      </c>
      <c r="J468" s="21" t="s">
        <v>2028</v>
      </c>
      <c r="K468" s="22" t="s">
        <v>2029</v>
      </c>
      <c r="L468" s="22" t="s">
        <v>2030</v>
      </c>
      <c r="M468" s="17">
        <v>2010.0</v>
      </c>
      <c r="N468" s="17">
        <v>10.0</v>
      </c>
      <c r="O468" s="23">
        <v>36.0</v>
      </c>
      <c r="P468" s="24">
        <f t="shared" si="14"/>
        <v>100.8</v>
      </c>
      <c r="Q468" s="25">
        <v>4.0</v>
      </c>
      <c r="R468" s="17">
        <v>4.0</v>
      </c>
      <c r="S468" s="26">
        <v>4.0</v>
      </c>
      <c r="T468" s="17">
        <v>0.0</v>
      </c>
      <c r="U468" s="17">
        <v>4.0</v>
      </c>
      <c r="V468" s="17" t="s">
        <v>75</v>
      </c>
      <c r="W468" s="28" t="s">
        <v>76</v>
      </c>
      <c r="X468" s="28" t="s">
        <v>78</v>
      </c>
      <c r="Y468" s="24">
        <v>10.0</v>
      </c>
      <c r="Z468" s="17">
        <v>150.0</v>
      </c>
      <c r="AA468" s="17">
        <v>576.0</v>
      </c>
      <c r="AB468" s="17">
        <v>31.0</v>
      </c>
      <c r="AC468" s="20">
        <f t="shared" si="2"/>
        <v>71424</v>
      </c>
      <c r="AD468" s="30">
        <f t="shared" si="3"/>
        <v>8.06</v>
      </c>
      <c r="AE468" s="30">
        <f t="shared" si="10"/>
        <v>812.448</v>
      </c>
      <c r="AF468" s="30">
        <f t="shared" si="5"/>
        <v>19693.56808</v>
      </c>
      <c r="AG468" s="34">
        <v>1.0</v>
      </c>
      <c r="AH468" s="36"/>
      <c r="AI468" s="30">
        <f t="shared" si="6"/>
        <v>3278.688525</v>
      </c>
      <c r="AJ468" s="17">
        <v>4000.0</v>
      </c>
      <c r="AK468" s="30">
        <f t="shared" si="7"/>
        <v>13114.7541</v>
      </c>
      <c r="AL468" s="20">
        <f t="shared" si="8"/>
        <v>16000</v>
      </c>
    </row>
    <row r="469">
      <c r="A469" s="16" t="s">
        <v>2026</v>
      </c>
      <c r="B469" s="17" t="s">
        <v>193</v>
      </c>
      <c r="C469" s="17" t="s">
        <v>194</v>
      </c>
      <c r="D469" s="17" t="s">
        <v>162</v>
      </c>
      <c r="E469" s="54" t="s">
        <v>1986</v>
      </c>
      <c r="F469" s="17" t="s">
        <v>103</v>
      </c>
      <c r="G469" s="19">
        <v>45993.0</v>
      </c>
      <c r="H469" s="17" t="s">
        <v>104</v>
      </c>
      <c r="I469" s="20" t="s">
        <v>2027</v>
      </c>
      <c r="J469" s="21" t="s">
        <v>2032</v>
      </c>
      <c r="K469" s="22" t="s">
        <v>2033</v>
      </c>
      <c r="L469" s="22" t="s">
        <v>2034</v>
      </c>
      <c r="M469" s="17">
        <v>2010.0</v>
      </c>
      <c r="N469" s="17">
        <v>10.0</v>
      </c>
      <c r="O469" s="23">
        <v>120.0</v>
      </c>
      <c r="P469" s="24">
        <f t="shared" si="14"/>
        <v>336</v>
      </c>
      <c r="Q469" s="25">
        <v>2.0</v>
      </c>
      <c r="R469" s="17">
        <v>2.0</v>
      </c>
      <c r="S469" s="26">
        <v>2.0</v>
      </c>
      <c r="T469" s="17">
        <v>0.0</v>
      </c>
      <c r="U469" s="17">
        <v>2.0</v>
      </c>
      <c r="V469" s="17" t="s">
        <v>75</v>
      </c>
      <c r="W469" s="28" t="s">
        <v>76</v>
      </c>
      <c r="X469" s="28" t="s">
        <v>78</v>
      </c>
      <c r="Y469" s="24">
        <v>10.0</v>
      </c>
      <c r="Z469" s="17">
        <v>150.0</v>
      </c>
      <c r="AA469" s="17">
        <v>576.0</v>
      </c>
      <c r="AB469" s="17">
        <v>31.0</v>
      </c>
      <c r="AC469" s="20">
        <f t="shared" si="2"/>
        <v>35712</v>
      </c>
      <c r="AD469" s="30">
        <f t="shared" si="3"/>
        <v>8.06</v>
      </c>
      <c r="AE469" s="30">
        <f t="shared" si="10"/>
        <v>2708.16</v>
      </c>
      <c r="AF469" s="30">
        <f t="shared" si="5"/>
        <v>2954.035212</v>
      </c>
      <c r="AG469" s="34">
        <v>1.0</v>
      </c>
      <c r="AH469" s="36"/>
      <c r="AI469" s="30">
        <f t="shared" si="6"/>
        <v>3278.688525</v>
      </c>
      <c r="AJ469" s="17">
        <v>4000.0</v>
      </c>
      <c r="AK469" s="30">
        <f t="shared" si="7"/>
        <v>6557.377049</v>
      </c>
      <c r="AL469" s="20">
        <f t="shared" si="8"/>
        <v>8000</v>
      </c>
    </row>
    <row r="470">
      <c r="A470" s="16" t="s">
        <v>2035</v>
      </c>
      <c r="B470" s="17" t="s">
        <v>193</v>
      </c>
      <c r="C470" s="17" t="s">
        <v>194</v>
      </c>
      <c r="D470" s="17" t="s">
        <v>162</v>
      </c>
      <c r="E470" s="54" t="s">
        <v>1986</v>
      </c>
      <c r="F470" s="17" t="s">
        <v>103</v>
      </c>
      <c r="G470" s="19">
        <v>45993.0</v>
      </c>
      <c r="H470" s="17" t="s">
        <v>104</v>
      </c>
      <c r="I470" s="20" t="s">
        <v>2036</v>
      </c>
      <c r="J470" s="21" t="s">
        <v>2037</v>
      </c>
      <c r="K470" s="22" t="s">
        <v>2038</v>
      </c>
      <c r="L470" s="22" t="s">
        <v>2039</v>
      </c>
      <c r="M470" s="17">
        <v>2010.0</v>
      </c>
      <c r="N470" s="17">
        <v>10.0</v>
      </c>
      <c r="O470" s="23">
        <v>120.0</v>
      </c>
      <c r="P470" s="24">
        <f t="shared" si="14"/>
        <v>336</v>
      </c>
      <c r="Q470" s="25">
        <v>2.0</v>
      </c>
      <c r="R470" s="17">
        <v>2.0</v>
      </c>
      <c r="S470" s="26">
        <v>2.0</v>
      </c>
      <c r="T470" s="17">
        <v>0.0</v>
      </c>
      <c r="U470" s="17">
        <v>2.0</v>
      </c>
      <c r="V470" s="17" t="s">
        <v>75</v>
      </c>
      <c r="W470" s="28" t="s">
        <v>76</v>
      </c>
      <c r="X470" s="28" t="s">
        <v>78</v>
      </c>
      <c r="Y470" s="24">
        <v>10.0</v>
      </c>
      <c r="Z470" s="17">
        <v>150.0</v>
      </c>
      <c r="AA470" s="17">
        <v>576.0</v>
      </c>
      <c r="AB470" s="17">
        <v>31.0</v>
      </c>
      <c r="AC470" s="20">
        <f t="shared" si="2"/>
        <v>35712</v>
      </c>
      <c r="AD470" s="30">
        <f t="shared" si="3"/>
        <v>8.06</v>
      </c>
      <c r="AE470" s="30">
        <f t="shared" si="10"/>
        <v>2708.16</v>
      </c>
      <c r="AF470" s="30">
        <f t="shared" si="5"/>
        <v>2954.035212</v>
      </c>
      <c r="AG470" s="34">
        <v>1.0</v>
      </c>
      <c r="AH470" s="36"/>
      <c r="AI470" s="30">
        <f t="shared" si="6"/>
        <v>3278.688525</v>
      </c>
      <c r="AJ470" s="17">
        <v>4000.0</v>
      </c>
      <c r="AK470" s="30">
        <f t="shared" si="7"/>
        <v>6557.377049</v>
      </c>
      <c r="AL470" s="20">
        <f t="shared" si="8"/>
        <v>8000</v>
      </c>
    </row>
    <row r="471">
      <c r="A471" s="16" t="s">
        <v>2035</v>
      </c>
      <c r="B471" s="17" t="s">
        <v>193</v>
      </c>
      <c r="C471" s="17" t="s">
        <v>194</v>
      </c>
      <c r="D471" s="17" t="s">
        <v>162</v>
      </c>
      <c r="E471" s="54" t="s">
        <v>1986</v>
      </c>
      <c r="F471" s="17" t="s">
        <v>103</v>
      </c>
      <c r="G471" s="19">
        <v>45993.0</v>
      </c>
      <c r="H471" s="17" t="s">
        <v>104</v>
      </c>
      <c r="I471" s="20" t="s">
        <v>2036</v>
      </c>
      <c r="J471" s="21" t="s">
        <v>2042</v>
      </c>
      <c r="K471" s="22" t="s">
        <v>2043</v>
      </c>
      <c r="L471" s="22" t="s">
        <v>2044</v>
      </c>
      <c r="M471" s="17">
        <v>2010.0</v>
      </c>
      <c r="N471" s="17">
        <v>16.0</v>
      </c>
      <c r="O471" s="23">
        <v>128.0</v>
      </c>
      <c r="P471" s="24">
        <f t="shared" si="14"/>
        <v>358.4</v>
      </c>
      <c r="Q471" s="25">
        <v>1.0</v>
      </c>
      <c r="R471" s="17">
        <v>1.0</v>
      </c>
      <c r="S471" s="26">
        <v>1.0</v>
      </c>
      <c r="T471" s="17">
        <v>0.0</v>
      </c>
      <c r="U471" s="17">
        <v>2.0</v>
      </c>
      <c r="V471" s="17" t="s">
        <v>75</v>
      </c>
      <c r="W471" s="28" t="s">
        <v>76</v>
      </c>
      <c r="X471" s="28" t="s">
        <v>78</v>
      </c>
      <c r="Y471" s="24">
        <v>10.0</v>
      </c>
      <c r="Z471" s="17">
        <v>150.0</v>
      </c>
      <c r="AA471" s="17">
        <v>576.0</v>
      </c>
      <c r="AB471" s="17">
        <v>31.0</v>
      </c>
      <c r="AC471" s="20">
        <f t="shared" si="2"/>
        <v>17856</v>
      </c>
      <c r="AD471" s="30">
        <f t="shared" si="3"/>
        <v>8.06</v>
      </c>
      <c r="AE471" s="30">
        <f t="shared" si="10"/>
        <v>2888.704</v>
      </c>
      <c r="AF471" s="30">
        <f t="shared" si="5"/>
        <v>1384.704006</v>
      </c>
      <c r="AG471" s="34">
        <v>1.0</v>
      </c>
      <c r="AH471" s="36"/>
      <c r="AI471" s="30">
        <f t="shared" si="6"/>
        <v>3278.688525</v>
      </c>
      <c r="AJ471" s="17">
        <v>4000.0</v>
      </c>
      <c r="AK471" s="30">
        <f t="shared" si="7"/>
        <v>3278.688525</v>
      </c>
      <c r="AL471" s="20">
        <f t="shared" si="8"/>
        <v>4000</v>
      </c>
    </row>
    <row r="472">
      <c r="A472" s="16" t="s">
        <v>2035</v>
      </c>
      <c r="B472" s="17" t="s">
        <v>193</v>
      </c>
      <c r="C472" s="17" t="s">
        <v>194</v>
      </c>
      <c r="D472" s="17" t="s">
        <v>162</v>
      </c>
      <c r="E472" s="54" t="s">
        <v>1986</v>
      </c>
      <c r="F472" s="17" t="s">
        <v>103</v>
      </c>
      <c r="G472" s="19">
        <v>45993.0</v>
      </c>
      <c r="H472" s="17" t="s">
        <v>104</v>
      </c>
      <c r="I472" s="20" t="s">
        <v>2036</v>
      </c>
      <c r="J472" s="21" t="s">
        <v>2045</v>
      </c>
      <c r="K472" s="22" t="s">
        <v>2046</v>
      </c>
      <c r="L472" s="22" t="s">
        <v>2047</v>
      </c>
      <c r="M472" s="17">
        <v>2010.0</v>
      </c>
      <c r="N472" s="17">
        <v>16.0</v>
      </c>
      <c r="O472" s="23">
        <v>128.0</v>
      </c>
      <c r="P472" s="24">
        <f t="shared" si="14"/>
        <v>358.4</v>
      </c>
      <c r="Q472" s="25">
        <v>1.0</v>
      </c>
      <c r="R472" s="17">
        <v>1.0</v>
      </c>
      <c r="S472" s="26">
        <v>1.0</v>
      </c>
      <c r="T472" s="17">
        <v>0.0</v>
      </c>
      <c r="U472" s="17">
        <v>2.0</v>
      </c>
      <c r="V472" s="17" t="s">
        <v>75</v>
      </c>
      <c r="W472" s="28" t="s">
        <v>76</v>
      </c>
      <c r="X472" s="28" t="s">
        <v>78</v>
      </c>
      <c r="Y472" s="24">
        <v>10.0</v>
      </c>
      <c r="Z472" s="17">
        <v>150.0</v>
      </c>
      <c r="AA472" s="17">
        <v>576.0</v>
      </c>
      <c r="AB472" s="17">
        <v>31.0</v>
      </c>
      <c r="AC472" s="20">
        <f t="shared" si="2"/>
        <v>17856</v>
      </c>
      <c r="AD472" s="30">
        <f t="shared" si="3"/>
        <v>8.06</v>
      </c>
      <c r="AE472" s="30">
        <f t="shared" si="10"/>
        <v>2888.704</v>
      </c>
      <c r="AF472" s="30">
        <f t="shared" si="5"/>
        <v>1384.704006</v>
      </c>
      <c r="AG472" s="34">
        <v>1.0</v>
      </c>
      <c r="AH472" s="36"/>
      <c r="AI472" s="30">
        <f t="shared" si="6"/>
        <v>3278.688525</v>
      </c>
      <c r="AJ472" s="17">
        <v>4000.0</v>
      </c>
      <c r="AK472" s="30">
        <f t="shared" si="7"/>
        <v>3278.688525</v>
      </c>
      <c r="AL472" s="20">
        <f t="shared" si="8"/>
        <v>4000</v>
      </c>
    </row>
    <row r="473">
      <c r="A473" s="16" t="s">
        <v>2048</v>
      </c>
      <c r="B473" s="17" t="s">
        <v>193</v>
      </c>
      <c r="C473" s="17" t="s">
        <v>194</v>
      </c>
      <c r="D473" s="17" t="s">
        <v>162</v>
      </c>
      <c r="E473" s="17" t="s">
        <v>2049</v>
      </c>
      <c r="F473" s="17" t="s">
        <v>103</v>
      </c>
      <c r="G473" s="19">
        <v>45993.0</v>
      </c>
      <c r="H473" s="17" t="s">
        <v>118</v>
      </c>
      <c r="I473" s="17" t="s">
        <v>2050</v>
      </c>
      <c r="J473" s="21" t="s">
        <v>2051</v>
      </c>
      <c r="K473" s="28" t="s">
        <v>2052</v>
      </c>
      <c r="L473" s="28" t="s">
        <v>2053</v>
      </c>
      <c r="M473" s="17">
        <v>1992.0</v>
      </c>
      <c r="N473" s="17">
        <v>9.0</v>
      </c>
      <c r="O473" s="23">
        <v>107.0</v>
      </c>
      <c r="P473" s="24">
        <f t="shared" si="14"/>
        <v>299.6</v>
      </c>
      <c r="Q473" s="25">
        <v>1.0</v>
      </c>
      <c r="R473" s="17">
        <v>1.0</v>
      </c>
      <c r="S473" s="26">
        <v>1.0</v>
      </c>
      <c r="T473" s="17">
        <v>0.0</v>
      </c>
      <c r="U473" s="17">
        <v>1.0</v>
      </c>
      <c r="V473" s="17" t="s">
        <v>130</v>
      </c>
      <c r="W473" s="28" t="s">
        <v>76</v>
      </c>
      <c r="X473" s="28" t="s">
        <v>78</v>
      </c>
      <c r="Y473" s="24">
        <v>10.0</v>
      </c>
      <c r="Z473" s="17">
        <v>150.0</v>
      </c>
      <c r="AA473" s="17">
        <v>576.0</v>
      </c>
      <c r="AB473" s="17">
        <v>31.0</v>
      </c>
      <c r="AC473" s="20">
        <f t="shared" si="2"/>
        <v>17856</v>
      </c>
      <c r="AD473" s="30">
        <f t="shared" si="3"/>
        <v>8.06</v>
      </c>
      <c r="AE473" s="30">
        <f t="shared" si="10"/>
        <v>2414.776</v>
      </c>
      <c r="AF473" s="30">
        <f t="shared" si="5"/>
        <v>1656.468343</v>
      </c>
      <c r="AG473" s="34">
        <v>1.0</v>
      </c>
      <c r="AH473" s="36"/>
      <c r="AI473" s="30">
        <f t="shared" si="6"/>
        <v>3278.688525</v>
      </c>
      <c r="AJ473" s="17">
        <v>4000.0</v>
      </c>
      <c r="AK473" s="30">
        <f t="shared" si="7"/>
        <v>3278.688525</v>
      </c>
      <c r="AL473" s="20">
        <f t="shared" si="8"/>
        <v>4000</v>
      </c>
    </row>
    <row r="474">
      <c r="A474" s="16" t="s">
        <v>2054</v>
      </c>
      <c r="B474" s="17" t="s">
        <v>193</v>
      </c>
      <c r="C474" s="17" t="s">
        <v>194</v>
      </c>
      <c r="D474" s="17" t="s">
        <v>162</v>
      </c>
      <c r="E474" s="17" t="s">
        <v>2049</v>
      </c>
      <c r="F474" s="17" t="s">
        <v>103</v>
      </c>
      <c r="G474" s="19">
        <v>45993.0</v>
      </c>
      <c r="H474" s="17" t="s">
        <v>118</v>
      </c>
      <c r="I474" s="20" t="s">
        <v>2055</v>
      </c>
      <c r="J474" s="21" t="s">
        <v>2056</v>
      </c>
      <c r="K474" s="22" t="s">
        <v>2057</v>
      </c>
      <c r="L474" s="22" t="s">
        <v>2058</v>
      </c>
      <c r="M474" s="17">
        <v>2006.0</v>
      </c>
      <c r="N474" s="17">
        <v>17.0</v>
      </c>
      <c r="O474" s="23">
        <v>385.0</v>
      </c>
      <c r="P474" s="24">
        <f t="shared" si="14"/>
        <v>1078</v>
      </c>
      <c r="Q474" s="25">
        <v>7.0</v>
      </c>
      <c r="R474" s="17">
        <v>7.0</v>
      </c>
      <c r="S474" s="26">
        <v>7.0</v>
      </c>
      <c r="T474" s="17">
        <v>0.0</v>
      </c>
      <c r="U474" s="17">
        <v>7.0</v>
      </c>
      <c r="V474" s="17" t="s">
        <v>75</v>
      </c>
      <c r="W474" s="28" t="s">
        <v>76</v>
      </c>
      <c r="X474" s="28" t="s">
        <v>78</v>
      </c>
      <c r="Y474" s="24">
        <v>10.0</v>
      </c>
      <c r="Z474" s="17">
        <v>150.0</v>
      </c>
      <c r="AA474" s="17">
        <v>576.0</v>
      </c>
      <c r="AB474" s="17">
        <v>31.0</v>
      </c>
      <c r="AC474" s="20">
        <f t="shared" si="2"/>
        <v>124992</v>
      </c>
      <c r="AD474" s="30">
        <f t="shared" si="3"/>
        <v>8.06</v>
      </c>
      <c r="AE474" s="30">
        <f t="shared" si="10"/>
        <v>8688.68</v>
      </c>
      <c r="AF474" s="30">
        <f t="shared" si="5"/>
        <v>3222.583868</v>
      </c>
      <c r="AG474" s="34">
        <v>1.0</v>
      </c>
      <c r="AH474" s="36"/>
      <c r="AI474" s="30">
        <f t="shared" si="6"/>
        <v>3278.688525</v>
      </c>
      <c r="AJ474" s="17">
        <v>4000.0</v>
      </c>
      <c r="AK474" s="30">
        <f t="shared" si="7"/>
        <v>22950.81967</v>
      </c>
      <c r="AL474" s="20">
        <f t="shared" si="8"/>
        <v>28000</v>
      </c>
    </row>
    <row r="475">
      <c r="A475" s="16" t="s">
        <v>2059</v>
      </c>
      <c r="B475" s="17" t="s">
        <v>193</v>
      </c>
      <c r="C475" s="17" t="s">
        <v>194</v>
      </c>
      <c r="D475" s="17" t="s">
        <v>162</v>
      </c>
      <c r="E475" s="17" t="s">
        <v>2060</v>
      </c>
      <c r="F475" s="17" t="s">
        <v>103</v>
      </c>
      <c r="G475" s="19">
        <v>45993.0</v>
      </c>
      <c r="H475" s="17" t="s">
        <v>118</v>
      </c>
      <c r="I475" s="20" t="s">
        <v>2061</v>
      </c>
      <c r="J475" s="21" t="s">
        <v>2062</v>
      </c>
      <c r="K475" s="22" t="s">
        <v>2063</v>
      </c>
      <c r="L475" s="22" t="s">
        <v>2064</v>
      </c>
      <c r="M475" s="17">
        <v>2006.0</v>
      </c>
      <c r="N475" s="17">
        <v>10.0</v>
      </c>
      <c r="O475" s="23">
        <v>120.0</v>
      </c>
      <c r="P475" s="24">
        <f t="shared" si="14"/>
        <v>336</v>
      </c>
      <c r="Q475" s="25">
        <v>3.0</v>
      </c>
      <c r="R475" s="17">
        <v>3.0</v>
      </c>
      <c r="S475" s="26">
        <v>3.0</v>
      </c>
      <c r="T475" s="17">
        <v>0.0</v>
      </c>
      <c r="U475" s="17">
        <v>3.0</v>
      </c>
      <c r="V475" s="17" t="s">
        <v>75</v>
      </c>
      <c r="W475" s="28" t="s">
        <v>76</v>
      </c>
      <c r="X475" s="28" t="s">
        <v>78</v>
      </c>
      <c r="Y475" s="24">
        <v>10.0</v>
      </c>
      <c r="Z475" s="17">
        <v>150.0</v>
      </c>
      <c r="AA475" s="17">
        <v>576.0</v>
      </c>
      <c r="AB475" s="17">
        <v>31.0</v>
      </c>
      <c r="AC475" s="20">
        <f t="shared" si="2"/>
        <v>53568</v>
      </c>
      <c r="AD475" s="30">
        <f t="shared" si="3"/>
        <v>8.06</v>
      </c>
      <c r="AE475" s="30">
        <f t="shared" si="10"/>
        <v>2708.16</v>
      </c>
      <c r="AF475" s="30">
        <f t="shared" si="5"/>
        <v>4431.052818</v>
      </c>
      <c r="AG475" s="34">
        <v>1.0</v>
      </c>
      <c r="AH475" s="36"/>
      <c r="AI475" s="30">
        <f t="shared" si="6"/>
        <v>3278.688525</v>
      </c>
      <c r="AJ475" s="17">
        <v>4000.0</v>
      </c>
      <c r="AK475" s="30">
        <f t="shared" si="7"/>
        <v>9836.065574</v>
      </c>
      <c r="AL475" s="20">
        <f t="shared" si="8"/>
        <v>12000</v>
      </c>
    </row>
    <row r="476">
      <c r="A476" s="16" t="s">
        <v>2059</v>
      </c>
      <c r="B476" s="17" t="s">
        <v>193</v>
      </c>
      <c r="C476" s="17" t="s">
        <v>194</v>
      </c>
      <c r="D476" s="17" t="s">
        <v>162</v>
      </c>
      <c r="E476" s="17" t="s">
        <v>2060</v>
      </c>
      <c r="F476" s="17" t="s">
        <v>103</v>
      </c>
      <c r="G476" s="19">
        <v>45993.0</v>
      </c>
      <c r="H476" s="17" t="s">
        <v>118</v>
      </c>
      <c r="I476" s="17" t="s">
        <v>2061</v>
      </c>
      <c r="J476" s="21" t="s">
        <v>2066</v>
      </c>
      <c r="K476" s="22" t="s">
        <v>2067</v>
      </c>
      <c r="L476" s="22" t="s">
        <v>2068</v>
      </c>
      <c r="M476" s="17">
        <v>2006.0</v>
      </c>
      <c r="N476" s="17">
        <v>10.0</v>
      </c>
      <c r="O476" s="23">
        <v>43.0</v>
      </c>
      <c r="P476" s="24">
        <f t="shared" si="14"/>
        <v>120.4</v>
      </c>
      <c r="Q476" s="25">
        <v>3.0</v>
      </c>
      <c r="R476" s="17">
        <v>3.0</v>
      </c>
      <c r="S476" s="26">
        <v>3.0</v>
      </c>
      <c r="T476" s="17">
        <v>0.0</v>
      </c>
      <c r="U476" s="17">
        <v>3.0</v>
      </c>
      <c r="V476" s="17" t="s">
        <v>75</v>
      </c>
      <c r="W476" s="28" t="s">
        <v>76</v>
      </c>
      <c r="X476" s="28" t="s">
        <v>78</v>
      </c>
      <c r="Y476" s="24">
        <v>10.0</v>
      </c>
      <c r="Z476" s="17">
        <v>150.0</v>
      </c>
      <c r="AA476" s="17">
        <v>576.0</v>
      </c>
      <c r="AB476" s="17">
        <v>31.0</v>
      </c>
      <c r="AC476" s="20">
        <f t="shared" si="2"/>
        <v>53568</v>
      </c>
      <c r="AD476" s="30">
        <f t="shared" si="3"/>
        <v>8.06</v>
      </c>
      <c r="AE476" s="30">
        <f t="shared" si="10"/>
        <v>970.424</v>
      </c>
      <c r="AF476" s="30">
        <f t="shared" si="5"/>
        <v>12365.72879</v>
      </c>
      <c r="AG476" s="34">
        <v>1.0</v>
      </c>
      <c r="AH476" s="36"/>
      <c r="AI476" s="30">
        <f t="shared" si="6"/>
        <v>3278.688525</v>
      </c>
      <c r="AJ476" s="17">
        <v>4000.0</v>
      </c>
      <c r="AK476" s="30">
        <f t="shared" si="7"/>
        <v>9836.065574</v>
      </c>
      <c r="AL476" s="20">
        <f t="shared" si="8"/>
        <v>12000</v>
      </c>
    </row>
    <row r="477">
      <c r="A477" s="16" t="s">
        <v>2074</v>
      </c>
      <c r="B477" s="17" t="s">
        <v>193</v>
      </c>
      <c r="C477" s="17" t="s">
        <v>194</v>
      </c>
      <c r="D477" s="17" t="s">
        <v>162</v>
      </c>
      <c r="E477" s="17" t="s">
        <v>2060</v>
      </c>
      <c r="F477" s="17" t="s">
        <v>103</v>
      </c>
      <c r="G477" s="19">
        <v>45993.0</v>
      </c>
      <c r="H477" s="17" t="s">
        <v>118</v>
      </c>
      <c r="I477" s="20" t="s">
        <v>2075</v>
      </c>
      <c r="J477" s="21" t="s">
        <v>2076</v>
      </c>
      <c r="K477" s="22" t="s">
        <v>2077</v>
      </c>
      <c r="L477" s="22" t="s">
        <v>2078</v>
      </c>
      <c r="M477" s="17">
        <v>2010.0</v>
      </c>
      <c r="N477" s="17">
        <v>24.0</v>
      </c>
      <c r="O477" s="23">
        <v>375.0</v>
      </c>
      <c r="P477" s="24">
        <f t="shared" si="14"/>
        <v>1050</v>
      </c>
      <c r="Q477" s="25">
        <v>4.0</v>
      </c>
      <c r="R477" s="17">
        <v>4.0</v>
      </c>
      <c r="S477" s="26">
        <v>4.0</v>
      </c>
      <c r="T477" s="17">
        <v>0.0</v>
      </c>
      <c r="U477" s="17">
        <v>4.0</v>
      </c>
      <c r="V477" s="17" t="s">
        <v>130</v>
      </c>
      <c r="W477" s="28" t="s">
        <v>76</v>
      </c>
      <c r="X477" s="28" t="s">
        <v>78</v>
      </c>
      <c r="Y477" s="24">
        <v>10.0</v>
      </c>
      <c r="Z477" s="17">
        <v>150.0</v>
      </c>
      <c r="AA477" s="17">
        <v>576.0</v>
      </c>
      <c r="AB477" s="17">
        <v>31.0</v>
      </c>
      <c r="AC477" s="20">
        <f t="shared" si="2"/>
        <v>71424</v>
      </c>
      <c r="AD477" s="30">
        <f t="shared" si="3"/>
        <v>8.06</v>
      </c>
      <c r="AE477" s="30">
        <f t="shared" si="10"/>
        <v>8463</v>
      </c>
      <c r="AF477" s="30">
        <f t="shared" si="5"/>
        <v>1890.582536</v>
      </c>
      <c r="AG477" s="34">
        <v>1.0</v>
      </c>
      <c r="AH477" s="36"/>
      <c r="AI477" s="30">
        <f t="shared" si="6"/>
        <v>3278.688525</v>
      </c>
      <c r="AJ477" s="17">
        <v>4000.0</v>
      </c>
      <c r="AK477" s="30">
        <f t="shared" si="7"/>
        <v>13114.7541</v>
      </c>
      <c r="AL477" s="20">
        <f t="shared" si="8"/>
        <v>16000</v>
      </c>
    </row>
    <row r="478">
      <c r="A478" s="16" t="s">
        <v>2079</v>
      </c>
      <c r="B478" s="17" t="s">
        <v>193</v>
      </c>
      <c r="C478" s="17" t="s">
        <v>194</v>
      </c>
      <c r="D478" s="17" t="s">
        <v>162</v>
      </c>
      <c r="E478" s="17" t="s">
        <v>2060</v>
      </c>
      <c r="F478" s="17" t="s">
        <v>63</v>
      </c>
      <c r="G478" s="19">
        <v>45993.0</v>
      </c>
      <c r="H478" s="17" t="s">
        <v>118</v>
      </c>
      <c r="I478" s="20" t="s">
        <v>2080</v>
      </c>
      <c r="J478" s="21" t="s">
        <v>2081</v>
      </c>
      <c r="K478" s="22" t="s">
        <v>2082</v>
      </c>
      <c r="L478" s="22" t="s">
        <v>2083</v>
      </c>
      <c r="M478" s="17">
        <v>2009.0</v>
      </c>
      <c r="N478" s="17">
        <v>16.0</v>
      </c>
      <c r="O478" s="23">
        <v>96.0</v>
      </c>
      <c r="P478" s="24">
        <f t="shared" si="14"/>
        <v>268.8</v>
      </c>
      <c r="Q478" s="25">
        <v>1.0</v>
      </c>
      <c r="R478" s="17">
        <v>1.0</v>
      </c>
      <c r="S478" s="26">
        <v>1.0</v>
      </c>
      <c r="T478" s="17">
        <v>0.0</v>
      </c>
      <c r="U478" s="17">
        <v>2.0</v>
      </c>
      <c r="V478" s="17" t="s">
        <v>130</v>
      </c>
      <c r="W478" s="28" t="s">
        <v>76</v>
      </c>
      <c r="X478" s="28" t="s">
        <v>78</v>
      </c>
      <c r="Y478" s="24">
        <v>10.0</v>
      </c>
      <c r="Z478" s="17">
        <v>150.0</v>
      </c>
      <c r="AA478" s="17">
        <v>576.0</v>
      </c>
      <c r="AB478" s="17">
        <v>31.0</v>
      </c>
      <c r="AC478" s="20">
        <f t="shared" si="2"/>
        <v>17856</v>
      </c>
      <c r="AD478" s="30">
        <f t="shared" si="3"/>
        <v>8.06</v>
      </c>
      <c r="AE478" s="30">
        <f t="shared" si="10"/>
        <v>2166.528</v>
      </c>
      <c r="AF478" s="30">
        <f t="shared" si="5"/>
        <v>1846.272008</v>
      </c>
      <c r="AG478" s="34">
        <v>1.0</v>
      </c>
      <c r="AH478" s="36"/>
      <c r="AI478" s="30">
        <f t="shared" si="6"/>
        <v>3278.688525</v>
      </c>
      <c r="AJ478" s="17">
        <v>4000.0</v>
      </c>
      <c r="AK478" s="30">
        <f t="shared" si="7"/>
        <v>3278.688525</v>
      </c>
      <c r="AL478" s="20">
        <f t="shared" si="8"/>
        <v>4000</v>
      </c>
    </row>
    <row r="479">
      <c r="A479" s="16" t="s">
        <v>2079</v>
      </c>
      <c r="B479" s="17" t="s">
        <v>193</v>
      </c>
      <c r="C479" s="17" t="s">
        <v>194</v>
      </c>
      <c r="D479" s="17" t="s">
        <v>162</v>
      </c>
      <c r="E479" s="17" t="s">
        <v>2060</v>
      </c>
      <c r="F479" s="17" t="s">
        <v>63</v>
      </c>
      <c r="G479" s="19">
        <v>45993.0</v>
      </c>
      <c r="H479" s="17" t="s">
        <v>118</v>
      </c>
      <c r="I479" s="20" t="s">
        <v>2080</v>
      </c>
      <c r="J479" s="21" t="s">
        <v>2084</v>
      </c>
      <c r="K479" s="22" t="s">
        <v>2085</v>
      </c>
      <c r="L479" s="22" t="s">
        <v>2086</v>
      </c>
      <c r="M479" s="17">
        <v>2009.0</v>
      </c>
      <c r="N479" s="17">
        <v>16.0</v>
      </c>
      <c r="O479" s="23">
        <v>96.0</v>
      </c>
      <c r="P479" s="24">
        <f t="shared" si="14"/>
        <v>268.8</v>
      </c>
      <c r="Q479" s="25">
        <v>1.0</v>
      </c>
      <c r="R479" s="17">
        <v>1.0</v>
      </c>
      <c r="S479" s="26">
        <v>1.0</v>
      </c>
      <c r="T479" s="17">
        <v>0.0</v>
      </c>
      <c r="U479" s="17">
        <v>2.0</v>
      </c>
      <c r="V479" s="17" t="s">
        <v>130</v>
      </c>
      <c r="W479" s="28" t="s">
        <v>76</v>
      </c>
      <c r="X479" s="28" t="s">
        <v>78</v>
      </c>
      <c r="Y479" s="24">
        <v>10.0</v>
      </c>
      <c r="Z479" s="17">
        <v>150.0</v>
      </c>
      <c r="AA479" s="17">
        <v>576.0</v>
      </c>
      <c r="AB479" s="17">
        <v>31.0</v>
      </c>
      <c r="AC479" s="20">
        <f t="shared" si="2"/>
        <v>17856</v>
      </c>
      <c r="AD479" s="30">
        <f t="shared" si="3"/>
        <v>8.06</v>
      </c>
      <c r="AE479" s="30">
        <f t="shared" si="10"/>
        <v>2166.528</v>
      </c>
      <c r="AF479" s="30">
        <f t="shared" si="5"/>
        <v>1846.272008</v>
      </c>
      <c r="AG479" s="34">
        <v>1.0</v>
      </c>
      <c r="AH479" s="36"/>
      <c r="AI479" s="30">
        <f t="shared" si="6"/>
        <v>3278.688525</v>
      </c>
      <c r="AJ479" s="17">
        <v>4000.0</v>
      </c>
      <c r="AK479" s="30">
        <f t="shared" si="7"/>
        <v>3278.688525</v>
      </c>
      <c r="AL479" s="20">
        <f t="shared" si="8"/>
        <v>4000</v>
      </c>
    </row>
    <row r="480">
      <c r="A480" s="16" t="s">
        <v>2087</v>
      </c>
      <c r="B480" s="17" t="s">
        <v>193</v>
      </c>
      <c r="C480" s="17" t="s">
        <v>194</v>
      </c>
      <c r="D480" s="17" t="s">
        <v>162</v>
      </c>
      <c r="E480" s="17" t="s">
        <v>2060</v>
      </c>
      <c r="F480" s="17" t="s">
        <v>63</v>
      </c>
      <c r="G480" s="19">
        <v>45993.0</v>
      </c>
      <c r="H480" s="17" t="s">
        <v>118</v>
      </c>
      <c r="I480" s="20" t="s">
        <v>2088</v>
      </c>
      <c r="J480" s="21" t="s">
        <v>2089</v>
      </c>
      <c r="K480" s="22" t="s">
        <v>2090</v>
      </c>
      <c r="L480" s="22" t="s">
        <v>2091</v>
      </c>
      <c r="M480" s="17">
        <v>2009.0</v>
      </c>
      <c r="N480" s="17">
        <v>16.0</v>
      </c>
      <c r="O480" s="23">
        <v>161.0</v>
      </c>
      <c r="P480" s="24">
        <f t="shared" si="14"/>
        <v>450.8</v>
      </c>
      <c r="Q480" s="25">
        <v>1.0</v>
      </c>
      <c r="R480" s="17">
        <v>1.0</v>
      </c>
      <c r="S480" s="26">
        <v>1.0</v>
      </c>
      <c r="T480" s="17">
        <v>0.0</v>
      </c>
      <c r="U480" s="17">
        <v>2.0</v>
      </c>
      <c r="V480" s="17" t="s">
        <v>130</v>
      </c>
      <c r="W480" s="28" t="s">
        <v>76</v>
      </c>
      <c r="X480" s="28" t="s">
        <v>78</v>
      </c>
      <c r="Y480" s="24">
        <v>10.0</v>
      </c>
      <c r="Z480" s="17">
        <v>150.0</v>
      </c>
      <c r="AA480" s="17">
        <v>576.0</v>
      </c>
      <c r="AB480" s="17">
        <v>31.0</v>
      </c>
      <c r="AC480" s="20">
        <f t="shared" si="2"/>
        <v>17856</v>
      </c>
      <c r="AD480" s="30">
        <f t="shared" si="3"/>
        <v>8.06</v>
      </c>
      <c r="AE480" s="30">
        <f t="shared" si="10"/>
        <v>3633.448</v>
      </c>
      <c r="AF480" s="30">
        <f t="shared" si="5"/>
        <v>1100.882688</v>
      </c>
      <c r="AG480" s="34">
        <v>1.0</v>
      </c>
      <c r="AH480" s="36"/>
      <c r="AI480" s="30">
        <f t="shared" si="6"/>
        <v>3278.688525</v>
      </c>
      <c r="AJ480" s="17">
        <v>4000.0</v>
      </c>
      <c r="AK480" s="30">
        <f t="shared" si="7"/>
        <v>3278.688525</v>
      </c>
      <c r="AL480" s="20">
        <f t="shared" si="8"/>
        <v>4000</v>
      </c>
    </row>
    <row r="481">
      <c r="A481" s="16" t="s">
        <v>2092</v>
      </c>
      <c r="B481" s="17" t="s">
        <v>193</v>
      </c>
      <c r="C481" s="17" t="s">
        <v>194</v>
      </c>
      <c r="D481" s="17" t="s">
        <v>162</v>
      </c>
      <c r="E481" s="17" t="s">
        <v>2060</v>
      </c>
      <c r="F481" s="17" t="s">
        <v>103</v>
      </c>
      <c r="G481" s="19">
        <v>45993.0</v>
      </c>
      <c r="H481" s="17" t="s">
        <v>118</v>
      </c>
      <c r="I481" s="20" t="s">
        <v>2093</v>
      </c>
      <c r="J481" s="21" t="s">
        <v>2094</v>
      </c>
      <c r="K481" s="22" t="s">
        <v>2095</v>
      </c>
      <c r="L481" s="22" t="s">
        <v>2096</v>
      </c>
      <c r="M481" s="17">
        <v>2010.0</v>
      </c>
      <c r="N481" s="17">
        <v>18.0</v>
      </c>
      <c r="O481" s="23">
        <v>394.0</v>
      </c>
      <c r="P481" s="24">
        <f t="shared" si="14"/>
        <v>1103.2</v>
      </c>
      <c r="Q481" s="25">
        <v>5.0</v>
      </c>
      <c r="R481" s="17">
        <v>5.0</v>
      </c>
      <c r="S481" s="26">
        <v>5.0</v>
      </c>
      <c r="T481" s="17">
        <v>0.0</v>
      </c>
      <c r="U481" s="17">
        <v>5.0</v>
      </c>
      <c r="V481" s="17" t="s">
        <v>130</v>
      </c>
      <c r="W481" s="28" t="s">
        <v>76</v>
      </c>
      <c r="X481" s="28" t="s">
        <v>78</v>
      </c>
      <c r="Y481" s="24">
        <v>10.0</v>
      </c>
      <c r="Z481" s="17">
        <v>150.0</v>
      </c>
      <c r="AA481" s="17">
        <v>576.0</v>
      </c>
      <c r="AB481" s="17">
        <v>31.0</v>
      </c>
      <c r="AC481" s="20">
        <f t="shared" si="2"/>
        <v>89280</v>
      </c>
      <c r="AD481" s="30">
        <f t="shared" si="3"/>
        <v>8.06</v>
      </c>
      <c r="AE481" s="30">
        <f t="shared" si="10"/>
        <v>8891.792</v>
      </c>
      <c r="AF481" s="30">
        <f t="shared" si="5"/>
        <v>2249.26539</v>
      </c>
      <c r="AG481" s="34">
        <v>1.0</v>
      </c>
      <c r="AH481" s="36"/>
      <c r="AI481" s="30">
        <f t="shared" si="6"/>
        <v>3278.688525</v>
      </c>
      <c r="AJ481" s="17">
        <v>4000.0</v>
      </c>
      <c r="AK481" s="30">
        <f t="shared" si="7"/>
        <v>16393.44262</v>
      </c>
      <c r="AL481" s="20">
        <f t="shared" si="8"/>
        <v>20000</v>
      </c>
    </row>
    <row r="482">
      <c r="A482" s="16" t="s">
        <v>2097</v>
      </c>
      <c r="B482" s="17" t="s">
        <v>193</v>
      </c>
      <c r="C482" s="17" t="s">
        <v>194</v>
      </c>
      <c r="D482" s="17" t="s">
        <v>162</v>
      </c>
      <c r="E482" s="17" t="s">
        <v>2060</v>
      </c>
      <c r="F482" s="17" t="s">
        <v>103</v>
      </c>
      <c r="G482" s="19">
        <v>46233.0</v>
      </c>
      <c r="H482" s="17" t="s">
        <v>118</v>
      </c>
      <c r="I482" s="20" t="s">
        <v>2098</v>
      </c>
      <c r="J482" s="21" t="s">
        <v>2099</v>
      </c>
      <c r="K482" s="28" t="s">
        <v>2100</v>
      </c>
      <c r="L482" s="28" t="s">
        <v>2101</v>
      </c>
      <c r="M482" s="17">
        <v>2004.0</v>
      </c>
      <c r="N482" s="17">
        <v>16.0</v>
      </c>
      <c r="O482" s="23">
        <v>128.0</v>
      </c>
      <c r="P482" s="24">
        <f t="shared" si="14"/>
        <v>358.4</v>
      </c>
      <c r="Q482" s="25">
        <v>1.0</v>
      </c>
      <c r="R482" s="17">
        <v>1.0</v>
      </c>
      <c r="S482" s="26">
        <v>2.0</v>
      </c>
      <c r="T482" s="17">
        <v>0.0</v>
      </c>
      <c r="U482" s="17">
        <v>2.0</v>
      </c>
      <c r="V482" s="17" t="s">
        <v>130</v>
      </c>
      <c r="W482" s="28" t="s">
        <v>76</v>
      </c>
      <c r="X482" s="28" t="s">
        <v>78</v>
      </c>
      <c r="Y482" s="24">
        <v>10.0</v>
      </c>
      <c r="Z482" s="17">
        <v>150.0</v>
      </c>
      <c r="AA482" s="17">
        <v>576.0</v>
      </c>
      <c r="AB482" s="17">
        <v>31.0</v>
      </c>
      <c r="AC482" s="20">
        <f t="shared" si="2"/>
        <v>17856</v>
      </c>
      <c r="AD482" s="30">
        <f t="shared" si="3"/>
        <v>4.03</v>
      </c>
      <c r="AE482" s="30">
        <f t="shared" si="10"/>
        <v>1444.352</v>
      </c>
      <c r="AF482" s="30">
        <f t="shared" si="5"/>
        <v>2769.408011</v>
      </c>
      <c r="AG482" s="34">
        <v>1.0</v>
      </c>
      <c r="AH482" s="36"/>
      <c r="AI482" s="30">
        <f t="shared" si="6"/>
        <v>3278.688525</v>
      </c>
      <c r="AJ482" s="17">
        <v>4000.0</v>
      </c>
      <c r="AK482" s="30">
        <f t="shared" si="7"/>
        <v>3278.688525</v>
      </c>
      <c r="AL482" s="20">
        <f t="shared" si="8"/>
        <v>4000</v>
      </c>
    </row>
    <row r="483">
      <c r="A483" s="16" t="s">
        <v>2097</v>
      </c>
      <c r="B483" s="17" t="s">
        <v>193</v>
      </c>
      <c r="C483" s="17" t="s">
        <v>194</v>
      </c>
      <c r="D483" s="17" t="s">
        <v>162</v>
      </c>
      <c r="E483" s="17" t="s">
        <v>2060</v>
      </c>
      <c r="F483" s="17" t="s">
        <v>103</v>
      </c>
      <c r="G483" s="19">
        <v>46233.0</v>
      </c>
      <c r="H483" s="17" t="s">
        <v>118</v>
      </c>
      <c r="I483" s="20" t="s">
        <v>2098</v>
      </c>
      <c r="J483" s="21" t="s">
        <v>2104</v>
      </c>
      <c r="K483" s="28" t="s">
        <v>2106</v>
      </c>
      <c r="L483" s="28" t="s">
        <v>2107</v>
      </c>
      <c r="M483" s="17">
        <v>2004.0</v>
      </c>
      <c r="N483" s="17">
        <v>16.0</v>
      </c>
      <c r="O483" s="23">
        <v>128.0</v>
      </c>
      <c r="P483" s="24">
        <f t="shared" si="14"/>
        <v>358.4</v>
      </c>
      <c r="Q483" s="25">
        <v>1.0</v>
      </c>
      <c r="R483" s="17">
        <v>1.0</v>
      </c>
      <c r="S483" s="26">
        <v>1.0</v>
      </c>
      <c r="T483" s="17">
        <v>0.0</v>
      </c>
      <c r="U483" s="17">
        <v>2.0</v>
      </c>
      <c r="V483" s="17" t="s">
        <v>130</v>
      </c>
      <c r="W483" s="28" t="s">
        <v>76</v>
      </c>
      <c r="X483" s="28" t="s">
        <v>78</v>
      </c>
      <c r="Y483" s="24">
        <v>10.0</v>
      </c>
      <c r="Z483" s="17">
        <v>150.0</v>
      </c>
      <c r="AA483" s="17">
        <v>576.0</v>
      </c>
      <c r="AB483" s="17">
        <v>31.0</v>
      </c>
      <c r="AC483" s="20">
        <f t="shared" si="2"/>
        <v>17856</v>
      </c>
      <c r="AD483" s="30">
        <f t="shared" si="3"/>
        <v>8.06</v>
      </c>
      <c r="AE483" s="30">
        <f t="shared" si="10"/>
        <v>2888.704</v>
      </c>
      <c r="AF483" s="30">
        <f t="shared" si="5"/>
        <v>1384.704006</v>
      </c>
      <c r="AG483" s="34">
        <v>1.0</v>
      </c>
      <c r="AH483" s="36"/>
      <c r="AI483" s="30">
        <f t="shared" si="6"/>
        <v>3278.688525</v>
      </c>
      <c r="AJ483" s="17">
        <v>4000.0</v>
      </c>
      <c r="AK483" s="30">
        <f t="shared" si="7"/>
        <v>3278.688525</v>
      </c>
      <c r="AL483" s="20">
        <f t="shared" si="8"/>
        <v>4000</v>
      </c>
    </row>
    <row r="484">
      <c r="A484" s="16" t="s">
        <v>2112</v>
      </c>
      <c r="B484" s="17" t="s">
        <v>193</v>
      </c>
      <c r="C484" s="17" t="s">
        <v>194</v>
      </c>
      <c r="D484" s="17" t="s">
        <v>162</v>
      </c>
      <c r="E484" s="17" t="s">
        <v>2060</v>
      </c>
      <c r="F484" s="17" t="s">
        <v>103</v>
      </c>
      <c r="G484" s="19">
        <v>46233.0</v>
      </c>
      <c r="H484" s="17" t="s">
        <v>118</v>
      </c>
      <c r="I484" s="20" t="s">
        <v>2113</v>
      </c>
      <c r="J484" s="21" t="s">
        <v>2114</v>
      </c>
      <c r="K484" s="28" t="s">
        <v>2115</v>
      </c>
      <c r="L484" s="28" t="s">
        <v>2116</v>
      </c>
      <c r="M484" s="17">
        <v>2004.0</v>
      </c>
      <c r="N484" s="17">
        <v>16.0</v>
      </c>
      <c r="O484" s="23">
        <v>128.0</v>
      </c>
      <c r="P484" s="24">
        <f t="shared" si="14"/>
        <v>358.4</v>
      </c>
      <c r="Q484" s="25">
        <v>1.0</v>
      </c>
      <c r="R484" s="17">
        <v>1.0</v>
      </c>
      <c r="S484" s="26">
        <v>1.0</v>
      </c>
      <c r="T484" s="17">
        <v>0.0</v>
      </c>
      <c r="U484" s="17">
        <v>2.0</v>
      </c>
      <c r="V484" s="17" t="s">
        <v>130</v>
      </c>
      <c r="W484" s="28" t="s">
        <v>76</v>
      </c>
      <c r="X484" s="28" t="s">
        <v>78</v>
      </c>
      <c r="Y484" s="24">
        <v>10.0</v>
      </c>
      <c r="Z484" s="17">
        <v>150.0</v>
      </c>
      <c r="AA484" s="17">
        <v>576.0</v>
      </c>
      <c r="AB484" s="17">
        <v>31.0</v>
      </c>
      <c r="AC484" s="20">
        <f t="shared" si="2"/>
        <v>17856</v>
      </c>
      <c r="AD484" s="30">
        <f t="shared" si="3"/>
        <v>8.06</v>
      </c>
      <c r="AE484" s="30">
        <f t="shared" si="10"/>
        <v>2888.704</v>
      </c>
      <c r="AF484" s="30">
        <f t="shared" si="5"/>
        <v>1384.704006</v>
      </c>
      <c r="AG484" s="34">
        <v>1.0</v>
      </c>
      <c r="AH484" s="36"/>
      <c r="AI484" s="30">
        <f t="shared" si="6"/>
        <v>3278.688525</v>
      </c>
      <c r="AJ484" s="17">
        <v>4000.0</v>
      </c>
      <c r="AK484" s="30">
        <f t="shared" si="7"/>
        <v>3278.688525</v>
      </c>
      <c r="AL484" s="20">
        <f t="shared" si="8"/>
        <v>4000</v>
      </c>
    </row>
    <row r="485">
      <c r="A485" s="16" t="s">
        <v>2121</v>
      </c>
      <c r="B485" s="17" t="s">
        <v>193</v>
      </c>
      <c r="C485" s="17" t="s">
        <v>194</v>
      </c>
      <c r="D485" s="17" t="s">
        <v>162</v>
      </c>
      <c r="E485" s="17" t="s">
        <v>2060</v>
      </c>
      <c r="F485" s="17" t="s">
        <v>103</v>
      </c>
      <c r="G485" s="19">
        <v>45993.0</v>
      </c>
      <c r="H485" s="17" t="s">
        <v>118</v>
      </c>
      <c r="I485" s="20" t="s">
        <v>2123</v>
      </c>
      <c r="J485" s="21" t="s">
        <v>2125</v>
      </c>
      <c r="K485" s="22" t="s">
        <v>2126</v>
      </c>
      <c r="L485" s="22" t="s">
        <v>2127</v>
      </c>
      <c r="M485" s="17">
        <v>2006.0</v>
      </c>
      <c r="N485" s="17">
        <v>10.0</v>
      </c>
      <c r="O485" s="23">
        <v>120.0</v>
      </c>
      <c r="P485" s="24">
        <f t="shared" si="14"/>
        <v>336</v>
      </c>
      <c r="Q485" s="25">
        <v>3.0</v>
      </c>
      <c r="R485" s="17">
        <v>3.0</v>
      </c>
      <c r="S485" s="26">
        <v>3.0</v>
      </c>
      <c r="T485" s="17">
        <v>0.0</v>
      </c>
      <c r="U485" s="17">
        <v>3.0</v>
      </c>
      <c r="V485" s="17" t="s">
        <v>75</v>
      </c>
      <c r="W485" s="28" t="s">
        <v>76</v>
      </c>
      <c r="X485" s="28" t="s">
        <v>78</v>
      </c>
      <c r="Y485" s="24">
        <v>10.0</v>
      </c>
      <c r="Z485" s="17">
        <v>150.0</v>
      </c>
      <c r="AA485" s="17">
        <v>576.0</v>
      </c>
      <c r="AB485" s="17">
        <v>31.0</v>
      </c>
      <c r="AC485" s="20">
        <f t="shared" si="2"/>
        <v>53568</v>
      </c>
      <c r="AD485" s="30">
        <f t="shared" si="3"/>
        <v>8.06</v>
      </c>
      <c r="AE485" s="30">
        <f t="shared" si="10"/>
        <v>2708.16</v>
      </c>
      <c r="AF485" s="30">
        <f t="shared" si="5"/>
        <v>4431.052818</v>
      </c>
      <c r="AG485" s="34">
        <v>1.0</v>
      </c>
      <c r="AH485" s="36"/>
      <c r="AI485" s="30">
        <f t="shared" si="6"/>
        <v>3278.688525</v>
      </c>
      <c r="AJ485" s="17">
        <v>4000.0</v>
      </c>
      <c r="AK485" s="30">
        <f t="shared" si="7"/>
        <v>9836.065574</v>
      </c>
      <c r="AL485" s="20">
        <f t="shared" si="8"/>
        <v>12000</v>
      </c>
    </row>
    <row r="486">
      <c r="A486" s="16" t="s">
        <v>2130</v>
      </c>
      <c r="B486" s="17" t="s">
        <v>193</v>
      </c>
      <c r="C486" s="17" t="s">
        <v>194</v>
      </c>
      <c r="D486" s="17" t="s">
        <v>162</v>
      </c>
      <c r="E486" s="17" t="s">
        <v>2132</v>
      </c>
      <c r="F486" s="17" t="s">
        <v>103</v>
      </c>
      <c r="G486" s="19">
        <v>45993.0</v>
      </c>
      <c r="H486" s="17" t="s">
        <v>118</v>
      </c>
      <c r="I486" s="20" t="s">
        <v>2133</v>
      </c>
      <c r="J486" s="21" t="s">
        <v>2134</v>
      </c>
      <c r="K486" s="22" t="s">
        <v>2135</v>
      </c>
      <c r="L486" s="22" t="s">
        <v>2136</v>
      </c>
      <c r="M486" s="17">
        <v>2022.0</v>
      </c>
      <c r="N486" s="17">
        <v>18.0</v>
      </c>
      <c r="O486" s="23">
        <v>240.0</v>
      </c>
      <c r="P486" s="24">
        <f t="shared" si="14"/>
        <v>672</v>
      </c>
      <c r="Q486" s="25">
        <v>9.0</v>
      </c>
      <c r="R486" s="17">
        <v>9.0</v>
      </c>
      <c r="S486" s="26">
        <v>18.0</v>
      </c>
      <c r="T486" s="17">
        <v>0.0</v>
      </c>
      <c r="U486" s="17">
        <v>17.0</v>
      </c>
      <c r="V486" s="17" t="s">
        <v>75</v>
      </c>
      <c r="W486" s="28" t="s">
        <v>76</v>
      </c>
      <c r="X486" s="28" t="s">
        <v>78</v>
      </c>
      <c r="Y486" s="24">
        <v>10.0</v>
      </c>
      <c r="Z486" s="17">
        <v>150.0</v>
      </c>
      <c r="AA486" s="17">
        <v>576.0</v>
      </c>
      <c r="AB486" s="17">
        <v>31.0</v>
      </c>
      <c r="AC486" s="20">
        <f t="shared" si="2"/>
        <v>160704</v>
      </c>
      <c r="AD486" s="30">
        <f t="shared" si="3"/>
        <v>4.03</v>
      </c>
      <c r="AE486" s="30">
        <f t="shared" si="10"/>
        <v>2708.16</v>
      </c>
      <c r="AF486" s="30">
        <f t="shared" si="5"/>
        <v>13293.15845</v>
      </c>
      <c r="AG486" s="34">
        <v>1.0</v>
      </c>
      <c r="AH486" s="36"/>
      <c r="AI486" s="30">
        <f t="shared" si="6"/>
        <v>3278.688525</v>
      </c>
      <c r="AJ486" s="17">
        <v>4000.0</v>
      </c>
      <c r="AK486" s="30">
        <f t="shared" si="7"/>
        <v>29508.19672</v>
      </c>
      <c r="AL486" s="20">
        <f t="shared" si="8"/>
        <v>36000</v>
      </c>
    </row>
    <row r="487">
      <c r="A487" s="16" t="s">
        <v>2139</v>
      </c>
      <c r="B487" s="17" t="s">
        <v>193</v>
      </c>
      <c r="C487" s="17" t="s">
        <v>194</v>
      </c>
      <c r="D487" s="17" t="s">
        <v>162</v>
      </c>
      <c r="E487" s="17" t="s">
        <v>2132</v>
      </c>
      <c r="F487" s="17" t="s">
        <v>103</v>
      </c>
      <c r="G487" s="19">
        <v>45993.0</v>
      </c>
      <c r="H487" s="17" t="s">
        <v>118</v>
      </c>
      <c r="I487" s="20" t="s">
        <v>2143</v>
      </c>
      <c r="J487" s="21" t="s">
        <v>2144</v>
      </c>
      <c r="K487" s="22" t="s">
        <v>2135</v>
      </c>
      <c r="L487" s="22" t="s">
        <v>2136</v>
      </c>
      <c r="M487" s="17">
        <v>2022.0</v>
      </c>
      <c r="N487" s="17">
        <v>18.0</v>
      </c>
      <c r="O487" s="23">
        <v>287.0</v>
      </c>
      <c r="P487" s="24">
        <f t="shared" si="14"/>
        <v>803.6</v>
      </c>
      <c r="Q487" s="25">
        <v>9.0</v>
      </c>
      <c r="R487" s="17">
        <v>9.0</v>
      </c>
      <c r="S487" s="26">
        <v>18.0</v>
      </c>
      <c r="T487" s="17">
        <v>0.0</v>
      </c>
      <c r="U487" s="17">
        <v>17.0</v>
      </c>
      <c r="V487" s="17" t="s">
        <v>75</v>
      </c>
      <c r="W487" s="28" t="s">
        <v>76</v>
      </c>
      <c r="X487" s="28" t="s">
        <v>78</v>
      </c>
      <c r="Y487" s="24">
        <v>10.0</v>
      </c>
      <c r="Z487" s="17">
        <v>150.0</v>
      </c>
      <c r="AA487" s="17">
        <v>576.0</v>
      </c>
      <c r="AB487" s="17">
        <v>31.0</v>
      </c>
      <c r="AC487" s="20">
        <f t="shared" si="2"/>
        <v>160704</v>
      </c>
      <c r="AD487" s="30">
        <f t="shared" si="3"/>
        <v>4.03</v>
      </c>
      <c r="AE487" s="30">
        <f t="shared" si="10"/>
        <v>3238.508</v>
      </c>
      <c r="AF487" s="30">
        <f t="shared" si="5"/>
        <v>11116.23007</v>
      </c>
      <c r="AG487" s="34">
        <v>1.0</v>
      </c>
      <c r="AH487" s="36"/>
      <c r="AI487" s="30">
        <f t="shared" si="6"/>
        <v>3278.688525</v>
      </c>
      <c r="AJ487" s="17">
        <v>4000.0</v>
      </c>
      <c r="AK487" s="30">
        <f t="shared" si="7"/>
        <v>29508.19672</v>
      </c>
      <c r="AL487" s="20">
        <f t="shared" si="8"/>
        <v>36000</v>
      </c>
    </row>
    <row r="488">
      <c r="A488" s="16" t="s">
        <v>2152</v>
      </c>
      <c r="B488" s="17" t="s">
        <v>193</v>
      </c>
      <c r="C488" s="17" t="s">
        <v>194</v>
      </c>
      <c r="D488" s="17" t="s">
        <v>162</v>
      </c>
      <c r="E488" s="17" t="s">
        <v>2132</v>
      </c>
      <c r="F488" s="17" t="s">
        <v>103</v>
      </c>
      <c r="G488" s="19">
        <v>45993.0</v>
      </c>
      <c r="H488" s="17" t="s">
        <v>118</v>
      </c>
      <c r="I488" s="20" t="s">
        <v>2153</v>
      </c>
      <c r="J488" s="21" t="s">
        <v>2154</v>
      </c>
      <c r="K488" s="22" t="s">
        <v>2155</v>
      </c>
      <c r="L488" s="22" t="s">
        <v>2156</v>
      </c>
      <c r="M488" s="17">
        <v>2022.0</v>
      </c>
      <c r="N488" s="17">
        <v>8.0</v>
      </c>
      <c r="O488" s="23">
        <v>101.0</v>
      </c>
      <c r="P488" s="24">
        <f t="shared" si="14"/>
        <v>282.8</v>
      </c>
      <c r="Q488" s="25">
        <v>6.0</v>
      </c>
      <c r="R488" s="17">
        <v>6.0</v>
      </c>
      <c r="S488" s="26">
        <v>6.0</v>
      </c>
      <c r="T488" s="17">
        <v>0.0</v>
      </c>
      <c r="U488" s="17">
        <v>6.0</v>
      </c>
      <c r="V488" s="17" t="s">
        <v>75</v>
      </c>
      <c r="W488" s="28" t="s">
        <v>76</v>
      </c>
      <c r="X488" s="28" t="s">
        <v>78</v>
      </c>
      <c r="Y488" s="24">
        <v>10.0</v>
      </c>
      <c r="Z488" s="17">
        <v>150.0</v>
      </c>
      <c r="AA488" s="17">
        <v>576.0</v>
      </c>
      <c r="AB488" s="17">
        <v>31.0</v>
      </c>
      <c r="AC488" s="20">
        <f t="shared" si="2"/>
        <v>107136</v>
      </c>
      <c r="AD488" s="30">
        <f t="shared" si="3"/>
        <v>8.06</v>
      </c>
      <c r="AE488" s="30">
        <f t="shared" si="10"/>
        <v>2279.368</v>
      </c>
      <c r="AF488" s="30">
        <f t="shared" si="5"/>
        <v>10529.23442</v>
      </c>
      <c r="AG488" s="34">
        <v>1.0</v>
      </c>
      <c r="AH488" s="36"/>
      <c r="AI488" s="30">
        <f t="shared" si="6"/>
        <v>3278.688525</v>
      </c>
      <c r="AJ488" s="17">
        <v>4000.0</v>
      </c>
      <c r="AK488" s="30">
        <f t="shared" si="7"/>
        <v>19672.13115</v>
      </c>
      <c r="AL488" s="20">
        <f t="shared" si="8"/>
        <v>24000</v>
      </c>
    </row>
    <row r="489">
      <c r="A489" s="16" t="s">
        <v>2157</v>
      </c>
      <c r="B489" s="17" t="s">
        <v>193</v>
      </c>
      <c r="C489" s="17" t="s">
        <v>194</v>
      </c>
      <c r="D489" s="17" t="s">
        <v>162</v>
      </c>
      <c r="E489" s="17" t="s">
        <v>2132</v>
      </c>
      <c r="F489" s="17" t="s">
        <v>103</v>
      </c>
      <c r="G489" s="19">
        <v>46183.0</v>
      </c>
      <c r="H489" s="17" t="s">
        <v>118</v>
      </c>
      <c r="I489" s="20" t="s">
        <v>2158</v>
      </c>
      <c r="J489" s="21" t="s">
        <v>2159</v>
      </c>
      <c r="K489" s="22" t="s">
        <v>2160</v>
      </c>
      <c r="L489" s="22" t="s">
        <v>2161</v>
      </c>
      <c r="M489" s="17">
        <v>2021.0</v>
      </c>
      <c r="N489" s="17">
        <v>18.0</v>
      </c>
      <c r="O489" s="23">
        <v>528.0</v>
      </c>
      <c r="P489" s="24">
        <f t="shared" si="14"/>
        <v>1478.4</v>
      </c>
      <c r="Q489" s="25">
        <v>19.0</v>
      </c>
      <c r="R489" s="17">
        <v>0.0</v>
      </c>
      <c r="S489" s="26">
        <v>18.0</v>
      </c>
      <c r="T489" s="17">
        <v>19.0</v>
      </c>
      <c r="U489" s="17">
        <v>19.0</v>
      </c>
      <c r="V489" s="17" t="s">
        <v>130</v>
      </c>
      <c r="W489" s="28" t="s">
        <v>76</v>
      </c>
      <c r="X489" s="28" t="s">
        <v>78</v>
      </c>
      <c r="Y489" s="24">
        <v>10.0</v>
      </c>
      <c r="Z489" s="17">
        <v>150.0</v>
      </c>
      <c r="AA489" s="17">
        <v>576.0</v>
      </c>
      <c r="AB489" s="17">
        <v>31.0</v>
      </c>
      <c r="AC489" s="20">
        <f t="shared" si="2"/>
        <v>339264</v>
      </c>
      <c r="AD489" s="30">
        <f t="shared" si="3"/>
        <v>19.344</v>
      </c>
      <c r="AE489" s="30">
        <f t="shared" si="10"/>
        <v>28598.1696</v>
      </c>
      <c r="AF489" s="30">
        <f t="shared" si="5"/>
        <v>2657.512738</v>
      </c>
      <c r="AG489" s="34">
        <v>1.0</v>
      </c>
      <c r="AH489" s="36"/>
      <c r="AI489" s="30">
        <f t="shared" si="6"/>
        <v>3278.688525</v>
      </c>
      <c r="AJ489" s="17">
        <v>4000.0</v>
      </c>
      <c r="AK489" s="30">
        <f t="shared" si="7"/>
        <v>62295.08197</v>
      </c>
      <c r="AL489" s="20">
        <f t="shared" si="8"/>
        <v>76000</v>
      </c>
    </row>
    <row r="490">
      <c r="A490" s="16" t="s">
        <v>2162</v>
      </c>
      <c r="B490" s="17" t="s">
        <v>193</v>
      </c>
      <c r="C490" s="17" t="s">
        <v>194</v>
      </c>
      <c r="D490" s="17" t="s">
        <v>162</v>
      </c>
      <c r="E490" s="17" t="s">
        <v>2163</v>
      </c>
      <c r="F490" s="17" t="s">
        <v>103</v>
      </c>
      <c r="G490" s="19">
        <v>45993.0</v>
      </c>
      <c r="H490" s="17" t="s">
        <v>65</v>
      </c>
      <c r="I490" s="20" t="s">
        <v>2164</v>
      </c>
      <c r="J490" s="21" t="s">
        <v>2165</v>
      </c>
      <c r="K490" s="22" t="s">
        <v>2166</v>
      </c>
      <c r="L490" s="22" t="s">
        <v>2167</v>
      </c>
      <c r="M490" s="17">
        <v>2020.0</v>
      </c>
      <c r="N490" s="17">
        <v>24.0</v>
      </c>
      <c r="O490" s="23">
        <v>630.0</v>
      </c>
      <c r="P490" s="24">
        <f t="shared" si="14"/>
        <v>1764</v>
      </c>
      <c r="Q490" s="25">
        <v>9.0</v>
      </c>
      <c r="R490" s="17">
        <v>0.0</v>
      </c>
      <c r="S490" s="26">
        <v>9.0</v>
      </c>
      <c r="T490" s="17">
        <v>9.0</v>
      </c>
      <c r="U490" s="17">
        <v>9.0</v>
      </c>
      <c r="V490" s="17" t="s">
        <v>75</v>
      </c>
      <c r="W490" s="28" t="s">
        <v>76</v>
      </c>
      <c r="X490" s="28" t="s">
        <v>78</v>
      </c>
      <c r="Y490" s="24">
        <v>10.0</v>
      </c>
      <c r="Z490" s="17">
        <v>150.0</v>
      </c>
      <c r="AA490" s="17">
        <v>576.0</v>
      </c>
      <c r="AB490" s="17">
        <v>31.0</v>
      </c>
      <c r="AC490" s="20">
        <f t="shared" si="2"/>
        <v>160704</v>
      </c>
      <c r="AD490" s="30">
        <f t="shared" si="3"/>
        <v>25.792</v>
      </c>
      <c r="AE490" s="30">
        <f t="shared" si="10"/>
        <v>45497.088</v>
      </c>
      <c r="AF490" s="30">
        <f t="shared" si="5"/>
        <v>791.2594318</v>
      </c>
      <c r="AG490" s="34">
        <v>1.0</v>
      </c>
      <c r="AH490" s="36"/>
      <c r="AI490" s="30">
        <f t="shared" si="6"/>
        <v>3278.688525</v>
      </c>
      <c r="AJ490" s="17">
        <v>4000.0</v>
      </c>
      <c r="AK490" s="30">
        <f t="shared" si="7"/>
        <v>29508.19672</v>
      </c>
      <c r="AL490" s="20">
        <f t="shared" si="8"/>
        <v>36000</v>
      </c>
    </row>
    <row r="491">
      <c r="A491" s="16" t="s">
        <v>2168</v>
      </c>
      <c r="B491" s="17" t="s">
        <v>193</v>
      </c>
      <c r="C491" s="17" t="s">
        <v>194</v>
      </c>
      <c r="D491" s="17" t="s">
        <v>162</v>
      </c>
      <c r="E491" s="17" t="s">
        <v>1986</v>
      </c>
      <c r="F491" s="17" t="s">
        <v>103</v>
      </c>
      <c r="G491" s="19">
        <v>45993.0</v>
      </c>
      <c r="H491" s="17" t="s">
        <v>65</v>
      </c>
      <c r="I491" s="20" t="s">
        <v>2171</v>
      </c>
      <c r="J491" s="21" t="s">
        <v>2172</v>
      </c>
      <c r="K491" s="22" t="s">
        <v>2166</v>
      </c>
      <c r="L491" s="22" t="s">
        <v>2167</v>
      </c>
      <c r="M491" s="17">
        <v>2018.0</v>
      </c>
      <c r="N491" s="17">
        <v>18.0</v>
      </c>
      <c r="O491" s="23">
        <v>245.0</v>
      </c>
      <c r="P491" s="24">
        <f t="shared" si="14"/>
        <v>686</v>
      </c>
      <c r="Q491" s="25">
        <v>3.0</v>
      </c>
      <c r="R491" s="17">
        <v>3.0</v>
      </c>
      <c r="S491" s="26">
        <v>3.0</v>
      </c>
      <c r="T491" s="17">
        <v>0.0</v>
      </c>
      <c r="U491" s="17">
        <v>6.0</v>
      </c>
      <c r="V491" s="17" t="s">
        <v>75</v>
      </c>
      <c r="W491" s="28" t="s">
        <v>76</v>
      </c>
      <c r="X491" s="28" t="s">
        <v>78</v>
      </c>
      <c r="Y491" s="24">
        <v>10.0</v>
      </c>
      <c r="Z491" s="17">
        <v>150.0</v>
      </c>
      <c r="AA491" s="17">
        <v>576.0</v>
      </c>
      <c r="AB491" s="17">
        <v>31.0</v>
      </c>
      <c r="AC491" s="20">
        <f t="shared" si="2"/>
        <v>53568</v>
      </c>
      <c r="AD491" s="30">
        <f t="shared" si="3"/>
        <v>8.06</v>
      </c>
      <c r="AE491" s="30">
        <f t="shared" si="10"/>
        <v>5529.16</v>
      </c>
      <c r="AF491" s="30">
        <f t="shared" si="5"/>
        <v>2170.311584</v>
      </c>
      <c r="AG491" s="34">
        <v>1.0</v>
      </c>
      <c r="AH491" s="36"/>
      <c r="AI491" s="30">
        <f t="shared" si="6"/>
        <v>3278.688525</v>
      </c>
      <c r="AJ491" s="17">
        <v>4000.0</v>
      </c>
      <c r="AK491" s="30">
        <f t="shared" si="7"/>
        <v>9836.065574</v>
      </c>
      <c r="AL491" s="20">
        <f t="shared" si="8"/>
        <v>12000</v>
      </c>
    </row>
    <row r="492">
      <c r="A492" s="16" t="s">
        <v>2168</v>
      </c>
      <c r="B492" s="17" t="s">
        <v>193</v>
      </c>
      <c r="C492" s="17" t="s">
        <v>194</v>
      </c>
      <c r="D492" s="17" t="s">
        <v>162</v>
      </c>
      <c r="E492" s="17" t="s">
        <v>1986</v>
      </c>
      <c r="F492" s="17" t="s">
        <v>103</v>
      </c>
      <c r="G492" s="19">
        <v>45993.0</v>
      </c>
      <c r="H492" s="17" t="s">
        <v>65</v>
      </c>
      <c r="I492" s="20" t="s">
        <v>2171</v>
      </c>
      <c r="J492" s="21" t="s">
        <v>2177</v>
      </c>
      <c r="K492" s="22" t="s">
        <v>2178</v>
      </c>
      <c r="L492" s="22" t="s">
        <v>2179</v>
      </c>
      <c r="M492" s="17">
        <v>2018.0</v>
      </c>
      <c r="N492" s="17">
        <v>18.0</v>
      </c>
      <c r="O492" s="23">
        <v>262.0</v>
      </c>
      <c r="P492" s="24">
        <f t="shared" si="14"/>
        <v>733.6</v>
      </c>
      <c r="Q492" s="25">
        <v>3.0</v>
      </c>
      <c r="R492" s="17">
        <v>3.0</v>
      </c>
      <c r="S492" s="26">
        <v>3.0</v>
      </c>
      <c r="T492" s="17">
        <v>0.0</v>
      </c>
      <c r="U492" s="17">
        <v>6.0</v>
      </c>
      <c r="V492" s="17" t="s">
        <v>75</v>
      </c>
      <c r="W492" s="28" t="s">
        <v>76</v>
      </c>
      <c r="X492" s="28" t="s">
        <v>78</v>
      </c>
      <c r="Y492" s="24">
        <v>10.0</v>
      </c>
      <c r="Z492" s="17">
        <v>150.0</v>
      </c>
      <c r="AA492" s="17">
        <v>576.0</v>
      </c>
      <c r="AB492" s="17">
        <v>31.0</v>
      </c>
      <c r="AC492" s="20">
        <f t="shared" si="2"/>
        <v>53568</v>
      </c>
      <c r="AD492" s="30">
        <f t="shared" si="3"/>
        <v>8.06</v>
      </c>
      <c r="AE492" s="30">
        <f t="shared" si="10"/>
        <v>5912.816</v>
      </c>
      <c r="AF492" s="30">
        <f t="shared" si="5"/>
        <v>2029.48984</v>
      </c>
      <c r="AG492" s="34">
        <v>1.0</v>
      </c>
      <c r="AH492" s="36"/>
      <c r="AI492" s="30">
        <f t="shared" si="6"/>
        <v>3278.688525</v>
      </c>
      <c r="AJ492" s="17">
        <v>4000.0</v>
      </c>
      <c r="AK492" s="30">
        <f t="shared" si="7"/>
        <v>9836.065574</v>
      </c>
      <c r="AL492" s="20">
        <f t="shared" si="8"/>
        <v>12000</v>
      </c>
    </row>
    <row r="493">
      <c r="A493" s="16" t="s">
        <v>2180</v>
      </c>
      <c r="B493" s="17" t="s">
        <v>193</v>
      </c>
      <c r="C493" s="17" t="s">
        <v>194</v>
      </c>
      <c r="D493" s="17" t="s">
        <v>162</v>
      </c>
      <c r="E493" s="17" t="s">
        <v>1986</v>
      </c>
      <c r="F493" s="17" t="s">
        <v>103</v>
      </c>
      <c r="G493" s="19">
        <v>45993.0</v>
      </c>
      <c r="H493" s="17" t="s">
        <v>65</v>
      </c>
      <c r="I493" s="20" t="s">
        <v>2181</v>
      </c>
      <c r="J493" s="21" t="s">
        <v>2182</v>
      </c>
      <c r="K493" s="22" t="s">
        <v>2183</v>
      </c>
      <c r="L493" s="22" t="s">
        <v>2184</v>
      </c>
      <c r="M493" s="17">
        <v>2018.0</v>
      </c>
      <c r="N493" s="17">
        <v>18.0</v>
      </c>
      <c r="O493" s="23">
        <v>178.0</v>
      </c>
      <c r="P493" s="24">
        <f t="shared" si="14"/>
        <v>498.4</v>
      </c>
      <c r="Q493" s="25">
        <v>2.0</v>
      </c>
      <c r="R493" s="17">
        <v>2.0</v>
      </c>
      <c r="S493" s="26">
        <v>2.0</v>
      </c>
      <c r="T493" s="17">
        <v>0.0</v>
      </c>
      <c r="U493" s="17">
        <v>4.0</v>
      </c>
      <c r="V493" s="17" t="s">
        <v>75</v>
      </c>
      <c r="W493" s="28" t="s">
        <v>76</v>
      </c>
      <c r="X493" s="28" t="s">
        <v>78</v>
      </c>
      <c r="Y493" s="24">
        <v>10.0</v>
      </c>
      <c r="Z493" s="17">
        <v>150.0</v>
      </c>
      <c r="AA493" s="17">
        <v>576.0</v>
      </c>
      <c r="AB493" s="17">
        <v>31.0</v>
      </c>
      <c r="AC493" s="20">
        <f t="shared" si="2"/>
        <v>35712</v>
      </c>
      <c r="AD493" s="30">
        <f t="shared" si="3"/>
        <v>8.06</v>
      </c>
      <c r="AE493" s="30">
        <f t="shared" si="10"/>
        <v>4017.104</v>
      </c>
      <c r="AF493" s="30">
        <f t="shared" si="5"/>
        <v>1991.484413</v>
      </c>
      <c r="AG493" s="34">
        <v>1.0</v>
      </c>
      <c r="AH493" s="36"/>
      <c r="AI493" s="30">
        <f t="shared" si="6"/>
        <v>3278.688525</v>
      </c>
      <c r="AJ493" s="17">
        <v>4000.0</v>
      </c>
      <c r="AK493" s="30">
        <f t="shared" si="7"/>
        <v>6557.377049</v>
      </c>
      <c r="AL493" s="20">
        <f t="shared" si="8"/>
        <v>8000</v>
      </c>
    </row>
    <row r="494">
      <c r="A494" s="16" t="s">
        <v>2180</v>
      </c>
      <c r="B494" s="17" t="s">
        <v>193</v>
      </c>
      <c r="C494" s="17" t="s">
        <v>194</v>
      </c>
      <c r="D494" s="17" t="s">
        <v>162</v>
      </c>
      <c r="E494" s="17" t="s">
        <v>1986</v>
      </c>
      <c r="F494" s="17" t="s">
        <v>103</v>
      </c>
      <c r="G494" s="19">
        <v>45993.0</v>
      </c>
      <c r="H494" s="17" t="s">
        <v>65</v>
      </c>
      <c r="I494" s="20" t="s">
        <v>2181</v>
      </c>
      <c r="J494" s="21" t="s">
        <v>2185</v>
      </c>
      <c r="K494" s="22" t="s">
        <v>2186</v>
      </c>
      <c r="L494" s="22" t="s">
        <v>2187</v>
      </c>
      <c r="M494" s="17">
        <v>2018.0</v>
      </c>
      <c r="N494" s="17">
        <v>18.0</v>
      </c>
      <c r="O494" s="23">
        <v>107.0</v>
      </c>
      <c r="P494" s="24">
        <f t="shared" si="14"/>
        <v>299.6</v>
      </c>
      <c r="Q494" s="25">
        <v>1.0</v>
      </c>
      <c r="R494" s="17">
        <v>1.0</v>
      </c>
      <c r="S494" s="26">
        <v>1.0</v>
      </c>
      <c r="T494" s="17">
        <v>0.0</v>
      </c>
      <c r="U494" s="17">
        <v>2.0</v>
      </c>
      <c r="V494" s="17" t="s">
        <v>75</v>
      </c>
      <c r="W494" s="28" t="s">
        <v>76</v>
      </c>
      <c r="X494" s="28" t="s">
        <v>78</v>
      </c>
      <c r="Y494" s="24">
        <v>10.0</v>
      </c>
      <c r="Z494" s="17">
        <v>150.0</v>
      </c>
      <c r="AA494" s="17">
        <v>576.0</v>
      </c>
      <c r="AB494" s="17">
        <v>31.0</v>
      </c>
      <c r="AC494" s="20">
        <f t="shared" si="2"/>
        <v>17856</v>
      </c>
      <c r="AD494" s="30">
        <f t="shared" si="3"/>
        <v>8.06</v>
      </c>
      <c r="AE494" s="30">
        <f t="shared" si="10"/>
        <v>2414.776</v>
      </c>
      <c r="AF494" s="30">
        <f t="shared" si="5"/>
        <v>1656.468343</v>
      </c>
      <c r="AG494" s="34">
        <v>1.0</v>
      </c>
      <c r="AH494" s="36"/>
      <c r="AI494" s="30">
        <f t="shared" si="6"/>
        <v>3278.688525</v>
      </c>
      <c r="AJ494" s="17">
        <v>4000.0</v>
      </c>
      <c r="AK494" s="30">
        <f t="shared" si="7"/>
        <v>3278.688525</v>
      </c>
      <c r="AL494" s="20">
        <f t="shared" si="8"/>
        <v>4000</v>
      </c>
    </row>
    <row r="495">
      <c r="A495" s="16" t="s">
        <v>2180</v>
      </c>
      <c r="B495" s="17" t="s">
        <v>193</v>
      </c>
      <c r="C495" s="17" t="s">
        <v>194</v>
      </c>
      <c r="D495" s="17" t="s">
        <v>162</v>
      </c>
      <c r="E495" s="17" t="s">
        <v>1986</v>
      </c>
      <c r="F495" s="17" t="s">
        <v>103</v>
      </c>
      <c r="G495" s="19">
        <v>45993.0</v>
      </c>
      <c r="H495" s="17" t="s">
        <v>65</v>
      </c>
      <c r="I495" s="20" t="s">
        <v>2181</v>
      </c>
      <c r="J495" s="21" t="s">
        <v>2188</v>
      </c>
      <c r="K495" s="22" t="s">
        <v>2189</v>
      </c>
      <c r="L495" s="22" t="s">
        <v>2190</v>
      </c>
      <c r="M495" s="17">
        <v>2018.0</v>
      </c>
      <c r="N495" s="17">
        <v>18.0</v>
      </c>
      <c r="O495" s="23">
        <v>107.0</v>
      </c>
      <c r="P495" s="24">
        <f t="shared" si="14"/>
        <v>299.6</v>
      </c>
      <c r="Q495" s="25">
        <v>1.0</v>
      </c>
      <c r="R495" s="17">
        <v>1.0</v>
      </c>
      <c r="S495" s="26">
        <v>1.0</v>
      </c>
      <c r="T495" s="17">
        <v>0.0</v>
      </c>
      <c r="U495" s="17">
        <v>2.0</v>
      </c>
      <c r="V495" s="17" t="s">
        <v>75</v>
      </c>
      <c r="W495" s="28" t="s">
        <v>76</v>
      </c>
      <c r="X495" s="28" t="s">
        <v>78</v>
      </c>
      <c r="Y495" s="24">
        <v>10.0</v>
      </c>
      <c r="Z495" s="17">
        <v>150.0</v>
      </c>
      <c r="AA495" s="17">
        <v>576.0</v>
      </c>
      <c r="AB495" s="17">
        <v>31.0</v>
      </c>
      <c r="AC495" s="20">
        <f t="shared" si="2"/>
        <v>17856</v>
      </c>
      <c r="AD495" s="30">
        <f t="shared" si="3"/>
        <v>8.06</v>
      </c>
      <c r="AE495" s="30">
        <f t="shared" si="10"/>
        <v>2414.776</v>
      </c>
      <c r="AF495" s="30">
        <f t="shared" si="5"/>
        <v>1656.468343</v>
      </c>
      <c r="AG495" s="34">
        <v>1.0</v>
      </c>
      <c r="AH495" s="36"/>
      <c r="AI495" s="30">
        <f t="shared" si="6"/>
        <v>3278.688525</v>
      </c>
      <c r="AJ495" s="17">
        <v>4000.0</v>
      </c>
      <c r="AK495" s="30">
        <f t="shared" si="7"/>
        <v>3278.688525</v>
      </c>
      <c r="AL495" s="20">
        <f t="shared" si="8"/>
        <v>4000</v>
      </c>
    </row>
    <row r="496">
      <c r="A496" s="16" t="s">
        <v>2180</v>
      </c>
      <c r="B496" s="17" t="s">
        <v>193</v>
      </c>
      <c r="C496" s="17" t="s">
        <v>194</v>
      </c>
      <c r="D496" s="17" t="s">
        <v>162</v>
      </c>
      <c r="E496" s="17" t="s">
        <v>1986</v>
      </c>
      <c r="F496" s="17" t="s">
        <v>103</v>
      </c>
      <c r="G496" s="19">
        <v>45993.0</v>
      </c>
      <c r="H496" s="17" t="s">
        <v>65</v>
      </c>
      <c r="I496" s="20" t="s">
        <v>2181</v>
      </c>
      <c r="J496" s="21" t="s">
        <v>2191</v>
      </c>
      <c r="K496" s="22" t="s">
        <v>2192</v>
      </c>
      <c r="L496" s="22" t="s">
        <v>2193</v>
      </c>
      <c r="M496" s="17">
        <v>2018.0</v>
      </c>
      <c r="N496" s="17">
        <v>18.0</v>
      </c>
      <c r="O496" s="23">
        <v>107.0</v>
      </c>
      <c r="P496" s="24">
        <f t="shared" si="14"/>
        <v>299.6</v>
      </c>
      <c r="Q496" s="25">
        <v>1.0</v>
      </c>
      <c r="R496" s="17">
        <v>1.0</v>
      </c>
      <c r="S496" s="26">
        <v>1.0</v>
      </c>
      <c r="T496" s="17">
        <v>0.0</v>
      </c>
      <c r="U496" s="17">
        <v>2.0</v>
      </c>
      <c r="V496" s="17" t="s">
        <v>75</v>
      </c>
      <c r="W496" s="28" t="s">
        <v>76</v>
      </c>
      <c r="X496" s="28" t="s">
        <v>78</v>
      </c>
      <c r="Y496" s="24">
        <v>10.0</v>
      </c>
      <c r="Z496" s="17">
        <v>150.0</v>
      </c>
      <c r="AA496" s="17">
        <v>576.0</v>
      </c>
      <c r="AB496" s="17">
        <v>31.0</v>
      </c>
      <c r="AC496" s="20">
        <f t="shared" si="2"/>
        <v>17856</v>
      </c>
      <c r="AD496" s="30">
        <f t="shared" si="3"/>
        <v>8.06</v>
      </c>
      <c r="AE496" s="30">
        <f t="shared" si="10"/>
        <v>2414.776</v>
      </c>
      <c r="AF496" s="30">
        <f t="shared" si="5"/>
        <v>1656.468343</v>
      </c>
      <c r="AG496" s="34">
        <v>1.0</v>
      </c>
      <c r="AH496" s="36"/>
      <c r="AI496" s="30">
        <f t="shared" si="6"/>
        <v>3278.688525</v>
      </c>
      <c r="AJ496" s="17">
        <v>4000.0</v>
      </c>
      <c r="AK496" s="30">
        <f t="shared" si="7"/>
        <v>3278.688525</v>
      </c>
      <c r="AL496" s="20">
        <f t="shared" si="8"/>
        <v>4000</v>
      </c>
    </row>
    <row r="497">
      <c r="A497" s="16" t="s">
        <v>2194</v>
      </c>
      <c r="B497" s="17" t="s">
        <v>193</v>
      </c>
      <c r="C497" s="17" t="s">
        <v>194</v>
      </c>
      <c r="D497" s="17" t="s">
        <v>162</v>
      </c>
      <c r="E497" s="17" t="s">
        <v>1986</v>
      </c>
      <c r="F497" s="17" t="s">
        <v>63</v>
      </c>
      <c r="G497" s="19">
        <v>45993.0</v>
      </c>
      <c r="H497" s="17" t="s">
        <v>65</v>
      </c>
      <c r="I497" s="20" t="s">
        <v>2195</v>
      </c>
      <c r="J497" s="21" t="s">
        <v>2196</v>
      </c>
      <c r="K497" s="22" t="s">
        <v>2189</v>
      </c>
      <c r="L497" s="22" t="s">
        <v>2190</v>
      </c>
      <c r="M497" s="17">
        <v>2019.0</v>
      </c>
      <c r="N497" s="17">
        <v>20.0</v>
      </c>
      <c r="O497" s="23">
        <v>108.0</v>
      </c>
      <c r="P497" s="24">
        <f t="shared" si="14"/>
        <v>302.4</v>
      </c>
      <c r="Q497" s="25">
        <v>1.0</v>
      </c>
      <c r="R497" s="17">
        <v>1.0</v>
      </c>
      <c r="S497" s="26">
        <v>1.0</v>
      </c>
      <c r="T497" s="17">
        <v>0.0</v>
      </c>
      <c r="U497" s="17">
        <v>3.0</v>
      </c>
      <c r="V497" s="17" t="s">
        <v>75</v>
      </c>
      <c r="W497" s="28" t="s">
        <v>76</v>
      </c>
      <c r="X497" s="28" t="s">
        <v>78</v>
      </c>
      <c r="Y497" s="24">
        <v>10.0</v>
      </c>
      <c r="Z497" s="17">
        <v>150.0</v>
      </c>
      <c r="AA497" s="17">
        <v>576.0</v>
      </c>
      <c r="AB497" s="17">
        <v>31.0</v>
      </c>
      <c r="AC497" s="20">
        <f t="shared" si="2"/>
        <v>17856</v>
      </c>
      <c r="AD497" s="30">
        <f t="shared" si="3"/>
        <v>8.06</v>
      </c>
      <c r="AE497" s="30">
        <f t="shared" si="10"/>
        <v>2437.344</v>
      </c>
      <c r="AF497" s="30">
        <f t="shared" si="5"/>
        <v>1641.130673</v>
      </c>
      <c r="AG497" s="34">
        <v>1.0</v>
      </c>
      <c r="AH497" s="36"/>
      <c r="AI497" s="30">
        <f t="shared" si="6"/>
        <v>3278.688525</v>
      </c>
      <c r="AJ497" s="17">
        <v>4000.0</v>
      </c>
      <c r="AK497" s="30">
        <f t="shared" si="7"/>
        <v>3278.688525</v>
      </c>
      <c r="AL497" s="20">
        <f t="shared" si="8"/>
        <v>4000</v>
      </c>
    </row>
    <row r="498">
      <c r="A498" s="16" t="s">
        <v>2197</v>
      </c>
      <c r="B498" s="17" t="s">
        <v>193</v>
      </c>
      <c r="C498" s="17" t="s">
        <v>194</v>
      </c>
      <c r="D498" s="17" t="s">
        <v>1878</v>
      </c>
      <c r="E498" s="17" t="s">
        <v>1937</v>
      </c>
      <c r="F498" s="17" t="s">
        <v>103</v>
      </c>
      <c r="G498" s="19">
        <v>45993.0</v>
      </c>
      <c r="H498" s="17" t="s">
        <v>65</v>
      </c>
      <c r="I498" s="20" t="s">
        <v>2198</v>
      </c>
      <c r="J498" s="21" t="s">
        <v>2199</v>
      </c>
      <c r="K498" s="22" t="s">
        <v>2200</v>
      </c>
      <c r="L498" s="22" t="s">
        <v>2201</v>
      </c>
      <c r="M498" s="17">
        <v>2009.0</v>
      </c>
      <c r="N498" s="17">
        <v>17.0</v>
      </c>
      <c r="O498" s="23">
        <v>85.0</v>
      </c>
      <c r="P498" s="24">
        <f t="shared" si="14"/>
        <v>238</v>
      </c>
      <c r="Q498" s="25">
        <v>1.0</v>
      </c>
      <c r="R498" s="17">
        <v>1.0</v>
      </c>
      <c r="S498" s="26">
        <v>1.0</v>
      </c>
      <c r="T498" s="17">
        <v>0.0</v>
      </c>
      <c r="U498" s="17">
        <v>2.0</v>
      </c>
      <c r="V498" s="17" t="s">
        <v>75</v>
      </c>
      <c r="W498" s="28" t="s">
        <v>76</v>
      </c>
      <c r="X498" s="28" t="s">
        <v>78</v>
      </c>
      <c r="Y498" s="24">
        <v>10.0</v>
      </c>
      <c r="Z498" s="17">
        <v>150.0</v>
      </c>
      <c r="AA498" s="17">
        <v>576.0</v>
      </c>
      <c r="AB498" s="17">
        <v>31.0</v>
      </c>
      <c r="AC498" s="20">
        <f t="shared" si="2"/>
        <v>17856</v>
      </c>
      <c r="AD498" s="30">
        <f t="shared" si="3"/>
        <v>8.06</v>
      </c>
      <c r="AE498" s="30">
        <f t="shared" si="10"/>
        <v>1918.28</v>
      </c>
      <c r="AF498" s="30">
        <f t="shared" si="5"/>
        <v>2085.201326</v>
      </c>
      <c r="AG498" s="34">
        <v>1.0</v>
      </c>
      <c r="AH498" s="36"/>
      <c r="AI498" s="30">
        <f t="shared" si="6"/>
        <v>3278.688525</v>
      </c>
      <c r="AJ498" s="17">
        <v>4000.0</v>
      </c>
      <c r="AK498" s="30">
        <f t="shared" si="7"/>
        <v>3278.688525</v>
      </c>
      <c r="AL498" s="20">
        <f t="shared" si="8"/>
        <v>4000</v>
      </c>
    </row>
    <row r="499">
      <c r="A499" s="16" t="s">
        <v>2197</v>
      </c>
      <c r="B499" s="17" t="s">
        <v>193</v>
      </c>
      <c r="C499" s="17" t="s">
        <v>194</v>
      </c>
      <c r="D499" s="17" t="s">
        <v>1878</v>
      </c>
      <c r="E499" s="17" t="s">
        <v>1937</v>
      </c>
      <c r="F499" s="17" t="s">
        <v>103</v>
      </c>
      <c r="G499" s="19">
        <v>45993.0</v>
      </c>
      <c r="H499" s="17" t="s">
        <v>65</v>
      </c>
      <c r="I499" s="20" t="s">
        <v>2198</v>
      </c>
      <c r="J499" s="21" t="s">
        <v>2202</v>
      </c>
      <c r="K499" s="22" t="s">
        <v>2203</v>
      </c>
      <c r="L499" s="22" t="s">
        <v>2204</v>
      </c>
      <c r="M499" s="17">
        <v>2009.0</v>
      </c>
      <c r="N499" s="17">
        <v>18.0</v>
      </c>
      <c r="O499" s="23">
        <v>85.0</v>
      </c>
      <c r="P499" s="24">
        <f t="shared" si="14"/>
        <v>238</v>
      </c>
      <c r="Q499" s="25">
        <v>1.0</v>
      </c>
      <c r="R499" s="17">
        <v>1.0</v>
      </c>
      <c r="S499" s="26">
        <v>1.0</v>
      </c>
      <c r="T499" s="17">
        <v>0.0</v>
      </c>
      <c r="U499" s="17">
        <v>2.0</v>
      </c>
      <c r="V499" s="17" t="s">
        <v>75</v>
      </c>
      <c r="W499" s="28" t="s">
        <v>76</v>
      </c>
      <c r="X499" s="28" t="s">
        <v>78</v>
      </c>
      <c r="Y499" s="24">
        <v>10.0</v>
      </c>
      <c r="Z499" s="17">
        <v>150.0</v>
      </c>
      <c r="AA499" s="17">
        <v>576.0</v>
      </c>
      <c r="AB499" s="17">
        <v>31.0</v>
      </c>
      <c r="AC499" s="20">
        <f t="shared" si="2"/>
        <v>17856</v>
      </c>
      <c r="AD499" s="30">
        <f t="shared" si="3"/>
        <v>8.06</v>
      </c>
      <c r="AE499" s="30">
        <f t="shared" si="10"/>
        <v>1918.28</v>
      </c>
      <c r="AF499" s="30">
        <f t="shared" si="5"/>
        <v>2085.201326</v>
      </c>
      <c r="AG499" s="34">
        <v>1.0</v>
      </c>
      <c r="AH499" s="36"/>
      <c r="AI499" s="30">
        <f t="shared" si="6"/>
        <v>3278.688525</v>
      </c>
      <c r="AJ499" s="17">
        <v>4000.0</v>
      </c>
      <c r="AK499" s="30">
        <f t="shared" si="7"/>
        <v>3278.688525</v>
      </c>
      <c r="AL499" s="20">
        <f t="shared" si="8"/>
        <v>4000</v>
      </c>
    </row>
    <row r="500">
      <c r="A500" s="16" t="s">
        <v>2197</v>
      </c>
      <c r="B500" s="17" t="s">
        <v>193</v>
      </c>
      <c r="C500" s="17" t="s">
        <v>194</v>
      </c>
      <c r="D500" s="17" t="s">
        <v>1878</v>
      </c>
      <c r="E500" s="17" t="s">
        <v>1937</v>
      </c>
      <c r="F500" s="17" t="s">
        <v>103</v>
      </c>
      <c r="G500" s="19">
        <v>45993.0</v>
      </c>
      <c r="H500" s="17" t="s">
        <v>65</v>
      </c>
      <c r="I500" s="20" t="s">
        <v>2198</v>
      </c>
      <c r="J500" s="21" t="s">
        <v>2205</v>
      </c>
      <c r="K500" s="22" t="s">
        <v>2206</v>
      </c>
      <c r="L500" s="22" t="s">
        <v>2207</v>
      </c>
      <c r="M500" s="17">
        <v>2009.0</v>
      </c>
      <c r="N500" s="17">
        <v>18.0</v>
      </c>
      <c r="O500" s="23">
        <v>85.0</v>
      </c>
      <c r="P500" s="24">
        <f t="shared" si="14"/>
        <v>238</v>
      </c>
      <c r="Q500" s="25">
        <v>1.0</v>
      </c>
      <c r="R500" s="17">
        <v>1.0</v>
      </c>
      <c r="S500" s="26">
        <v>1.0</v>
      </c>
      <c r="T500" s="17">
        <v>0.0</v>
      </c>
      <c r="U500" s="17">
        <v>2.0</v>
      </c>
      <c r="V500" s="17" t="s">
        <v>75</v>
      </c>
      <c r="W500" s="28" t="s">
        <v>76</v>
      </c>
      <c r="X500" s="28" t="s">
        <v>78</v>
      </c>
      <c r="Y500" s="24">
        <v>10.0</v>
      </c>
      <c r="Z500" s="17">
        <v>150.0</v>
      </c>
      <c r="AA500" s="17">
        <v>576.0</v>
      </c>
      <c r="AB500" s="17">
        <v>31.0</v>
      </c>
      <c r="AC500" s="20">
        <f t="shared" si="2"/>
        <v>17856</v>
      </c>
      <c r="AD500" s="30">
        <f t="shared" si="3"/>
        <v>8.06</v>
      </c>
      <c r="AE500" s="30">
        <f t="shared" si="10"/>
        <v>1918.28</v>
      </c>
      <c r="AF500" s="30">
        <f t="shared" si="5"/>
        <v>2085.201326</v>
      </c>
      <c r="AG500" s="34">
        <v>1.0</v>
      </c>
      <c r="AH500" s="36"/>
      <c r="AI500" s="30">
        <f t="shared" si="6"/>
        <v>3278.688525</v>
      </c>
      <c r="AJ500" s="17">
        <v>4000.0</v>
      </c>
      <c r="AK500" s="30">
        <f t="shared" si="7"/>
        <v>3278.688525</v>
      </c>
      <c r="AL500" s="20">
        <f t="shared" si="8"/>
        <v>4000</v>
      </c>
    </row>
    <row r="501">
      <c r="A501" s="16" t="s">
        <v>2197</v>
      </c>
      <c r="B501" s="17" t="s">
        <v>193</v>
      </c>
      <c r="C501" s="17" t="s">
        <v>194</v>
      </c>
      <c r="D501" s="17" t="s">
        <v>1878</v>
      </c>
      <c r="E501" s="17" t="s">
        <v>1937</v>
      </c>
      <c r="F501" s="17" t="s">
        <v>103</v>
      </c>
      <c r="G501" s="19">
        <v>45993.0</v>
      </c>
      <c r="H501" s="17" t="s">
        <v>65</v>
      </c>
      <c r="I501" s="20" t="s">
        <v>2198</v>
      </c>
      <c r="J501" s="21" t="s">
        <v>2208</v>
      </c>
      <c r="K501" s="22" t="s">
        <v>2209</v>
      </c>
      <c r="L501" s="22" t="s">
        <v>2210</v>
      </c>
      <c r="M501" s="17">
        <v>2009.0</v>
      </c>
      <c r="N501" s="17">
        <v>18.0</v>
      </c>
      <c r="O501" s="23">
        <v>160.0</v>
      </c>
      <c r="P501" s="24">
        <f t="shared" si="14"/>
        <v>448</v>
      </c>
      <c r="Q501" s="25">
        <v>4.0</v>
      </c>
      <c r="R501" s="17">
        <v>4.0</v>
      </c>
      <c r="S501" s="26">
        <v>4.0</v>
      </c>
      <c r="T501" s="17">
        <v>0.0</v>
      </c>
      <c r="U501" s="17">
        <v>4.0</v>
      </c>
      <c r="V501" s="17" t="s">
        <v>75</v>
      </c>
      <c r="W501" s="28" t="s">
        <v>76</v>
      </c>
      <c r="X501" s="28" t="s">
        <v>78</v>
      </c>
      <c r="Y501" s="24">
        <v>10.0</v>
      </c>
      <c r="Z501" s="17">
        <v>150.0</v>
      </c>
      <c r="AA501" s="17">
        <v>576.0</v>
      </c>
      <c r="AB501" s="17">
        <v>31.0</v>
      </c>
      <c r="AC501" s="20">
        <f t="shared" si="2"/>
        <v>71424</v>
      </c>
      <c r="AD501" s="30">
        <f t="shared" si="3"/>
        <v>8.06</v>
      </c>
      <c r="AE501" s="30">
        <f t="shared" si="10"/>
        <v>3610.88</v>
      </c>
      <c r="AF501" s="30">
        <f t="shared" si="5"/>
        <v>4431.052818</v>
      </c>
      <c r="AG501" s="34">
        <v>1.0</v>
      </c>
      <c r="AH501" s="36"/>
      <c r="AI501" s="30">
        <f t="shared" si="6"/>
        <v>3278.688525</v>
      </c>
      <c r="AJ501" s="17">
        <v>4000.0</v>
      </c>
      <c r="AK501" s="30">
        <f t="shared" si="7"/>
        <v>13114.7541</v>
      </c>
      <c r="AL501" s="20">
        <f t="shared" si="8"/>
        <v>16000</v>
      </c>
    </row>
    <row r="502">
      <c r="A502" s="16" t="s">
        <v>2197</v>
      </c>
      <c r="B502" s="17" t="s">
        <v>193</v>
      </c>
      <c r="C502" s="17" t="s">
        <v>194</v>
      </c>
      <c r="D502" s="17" t="s">
        <v>1878</v>
      </c>
      <c r="E502" s="17" t="s">
        <v>1937</v>
      </c>
      <c r="F502" s="17" t="s">
        <v>103</v>
      </c>
      <c r="G502" s="19">
        <v>45993.0</v>
      </c>
      <c r="H502" s="17" t="s">
        <v>65</v>
      </c>
      <c r="I502" s="20" t="s">
        <v>2198</v>
      </c>
      <c r="J502" s="21" t="s">
        <v>2211</v>
      </c>
      <c r="K502" s="22" t="s">
        <v>2212</v>
      </c>
      <c r="L502" s="22" t="s">
        <v>2213</v>
      </c>
      <c r="M502" s="17">
        <v>2017.0</v>
      </c>
      <c r="N502" s="17">
        <v>10.0</v>
      </c>
      <c r="O502" s="23">
        <v>100.0</v>
      </c>
      <c r="P502" s="24">
        <f t="shared" si="14"/>
        <v>280</v>
      </c>
      <c r="Q502" s="25">
        <v>1.0</v>
      </c>
      <c r="R502" s="17">
        <v>0.0</v>
      </c>
      <c r="S502" s="26">
        <v>1.0</v>
      </c>
      <c r="T502" s="17">
        <v>1.0</v>
      </c>
      <c r="U502" s="17">
        <v>1.0</v>
      </c>
      <c r="V502" s="17" t="s">
        <v>75</v>
      </c>
      <c r="W502" s="28" t="s">
        <v>76</v>
      </c>
      <c r="X502" s="28" t="s">
        <v>78</v>
      </c>
      <c r="Y502" s="24">
        <v>10.0</v>
      </c>
      <c r="Z502" s="17">
        <v>150.0</v>
      </c>
      <c r="AA502" s="17">
        <v>576.0</v>
      </c>
      <c r="AB502" s="17">
        <v>31.0</v>
      </c>
      <c r="AC502" s="20">
        <f t="shared" si="2"/>
        <v>17856</v>
      </c>
      <c r="AD502" s="30">
        <f t="shared" si="3"/>
        <v>10.74666667</v>
      </c>
      <c r="AE502" s="30">
        <f t="shared" si="10"/>
        <v>3009.066667</v>
      </c>
      <c r="AF502" s="30">
        <f t="shared" si="5"/>
        <v>1329.315845</v>
      </c>
      <c r="AG502" s="34">
        <v>1.0</v>
      </c>
      <c r="AH502" s="36"/>
      <c r="AI502" s="30">
        <f t="shared" si="6"/>
        <v>3278.688525</v>
      </c>
      <c r="AJ502" s="17">
        <v>4000.0</v>
      </c>
      <c r="AK502" s="30">
        <f t="shared" si="7"/>
        <v>3278.688525</v>
      </c>
      <c r="AL502" s="20">
        <f t="shared" si="8"/>
        <v>4000</v>
      </c>
    </row>
    <row r="503">
      <c r="A503" s="16" t="s">
        <v>2214</v>
      </c>
      <c r="B503" s="17" t="s">
        <v>193</v>
      </c>
      <c r="C503" s="17" t="s">
        <v>194</v>
      </c>
      <c r="D503" s="17" t="s">
        <v>1878</v>
      </c>
      <c r="E503" s="17" t="s">
        <v>1937</v>
      </c>
      <c r="F503" s="17" t="s">
        <v>103</v>
      </c>
      <c r="G503" s="19">
        <v>45993.0</v>
      </c>
      <c r="H503" s="17" t="s">
        <v>65</v>
      </c>
      <c r="I503" s="20" t="s">
        <v>2215</v>
      </c>
      <c r="J503" s="21" t="s">
        <v>2216</v>
      </c>
      <c r="K503" s="22" t="s">
        <v>2217</v>
      </c>
      <c r="L503" s="22" t="s">
        <v>2218</v>
      </c>
      <c r="M503" s="17">
        <v>2022.0</v>
      </c>
      <c r="N503" s="17">
        <v>18.0</v>
      </c>
      <c r="O503" s="23">
        <v>170.0</v>
      </c>
      <c r="P503" s="24">
        <f t="shared" si="14"/>
        <v>476</v>
      </c>
      <c r="Q503" s="25">
        <v>1.0</v>
      </c>
      <c r="R503" s="17">
        <v>1.0</v>
      </c>
      <c r="S503" s="26">
        <v>1.0</v>
      </c>
      <c r="T503" s="17">
        <v>0.0</v>
      </c>
      <c r="U503" s="17">
        <v>2.0</v>
      </c>
      <c r="V503" s="17" t="s">
        <v>75</v>
      </c>
      <c r="W503" s="28" t="s">
        <v>76</v>
      </c>
      <c r="X503" s="28" t="s">
        <v>78</v>
      </c>
      <c r="Y503" s="24">
        <v>10.0</v>
      </c>
      <c r="Z503" s="17">
        <v>150.0</v>
      </c>
      <c r="AA503" s="17">
        <v>576.0</v>
      </c>
      <c r="AB503" s="17">
        <v>31.0</v>
      </c>
      <c r="AC503" s="20">
        <f t="shared" si="2"/>
        <v>17856</v>
      </c>
      <c r="AD503" s="30">
        <f t="shared" si="3"/>
        <v>8.06</v>
      </c>
      <c r="AE503" s="30">
        <f t="shared" si="10"/>
        <v>3836.56</v>
      </c>
      <c r="AF503" s="30">
        <f t="shared" si="5"/>
        <v>1042.600663</v>
      </c>
      <c r="AG503" s="34">
        <v>1.0</v>
      </c>
      <c r="AH503" s="36"/>
      <c r="AI503" s="30">
        <f t="shared" si="6"/>
        <v>3278.688525</v>
      </c>
      <c r="AJ503" s="17">
        <v>4000.0</v>
      </c>
      <c r="AK503" s="30">
        <f t="shared" si="7"/>
        <v>3278.688525</v>
      </c>
      <c r="AL503" s="20">
        <f t="shared" si="8"/>
        <v>4000</v>
      </c>
    </row>
    <row r="504">
      <c r="A504" s="16" t="s">
        <v>2214</v>
      </c>
      <c r="B504" s="17" t="s">
        <v>193</v>
      </c>
      <c r="C504" s="17" t="s">
        <v>194</v>
      </c>
      <c r="D504" s="17" t="s">
        <v>1878</v>
      </c>
      <c r="E504" s="17" t="s">
        <v>1937</v>
      </c>
      <c r="F504" s="17" t="s">
        <v>103</v>
      </c>
      <c r="G504" s="19">
        <v>45993.0</v>
      </c>
      <c r="H504" s="17" t="s">
        <v>65</v>
      </c>
      <c r="I504" s="20" t="s">
        <v>2215</v>
      </c>
      <c r="J504" s="21" t="s">
        <v>2219</v>
      </c>
      <c r="K504" s="22" t="s">
        <v>2220</v>
      </c>
      <c r="L504" s="22" t="s">
        <v>2221</v>
      </c>
      <c r="M504" s="17">
        <v>2023.0</v>
      </c>
      <c r="N504" s="17">
        <v>21.0</v>
      </c>
      <c r="O504" s="23">
        <v>240.0</v>
      </c>
      <c r="P504" s="24">
        <f t="shared" si="14"/>
        <v>672</v>
      </c>
      <c r="Q504" s="25">
        <v>6.0</v>
      </c>
      <c r="R504" s="17">
        <v>0.0</v>
      </c>
      <c r="S504" s="26">
        <v>2.0</v>
      </c>
      <c r="T504" s="17">
        <v>6.0</v>
      </c>
      <c r="U504" s="17">
        <v>6.0</v>
      </c>
      <c r="V504" s="17" t="s">
        <v>130</v>
      </c>
      <c r="W504" s="28" t="s">
        <v>76</v>
      </c>
      <c r="X504" s="28" t="s">
        <v>78</v>
      </c>
      <c r="Y504" s="24">
        <v>10.0</v>
      </c>
      <c r="Z504" s="17">
        <v>150.0</v>
      </c>
      <c r="AA504" s="17">
        <v>576.0</v>
      </c>
      <c r="AB504" s="17">
        <v>31.0</v>
      </c>
      <c r="AC504" s="20">
        <f t="shared" si="2"/>
        <v>107136</v>
      </c>
      <c r="AD504" s="30">
        <f t="shared" si="3"/>
        <v>22.568</v>
      </c>
      <c r="AE504" s="30">
        <f t="shared" si="10"/>
        <v>15165.696</v>
      </c>
      <c r="AF504" s="30">
        <f t="shared" si="5"/>
        <v>1582.518864</v>
      </c>
      <c r="AG504" s="34">
        <v>1.0</v>
      </c>
      <c r="AH504" s="36"/>
      <c r="AI504" s="30">
        <f t="shared" si="6"/>
        <v>3278.688525</v>
      </c>
      <c r="AJ504" s="17">
        <v>4000.0</v>
      </c>
      <c r="AK504" s="30">
        <f t="shared" si="7"/>
        <v>19672.13115</v>
      </c>
      <c r="AL504" s="20">
        <f t="shared" si="8"/>
        <v>24000</v>
      </c>
    </row>
    <row r="505">
      <c r="A505" s="16" t="s">
        <v>2222</v>
      </c>
      <c r="B505" s="17" t="s">
        <v>193</v>
      </c>
      <c r="C505" s="17" t="s">
        <v>194</v>
      </c>
      <c r="D505" s="17" t="s">
        <v>1878</v>
      </c>
      <c r="E505" s="17" t="s">
        <v>1937</v>
      </c>
      <c r="F505" s="17" t="s">
        <v>103</v>
      </c>
      <c r="G505" s="19">
        <v>45993.0</v>
      </c>
      <c r="H505" s="17" t="s">
        <v>65</v>
      </c>
      <c r="I505" s="20" t="s">
        <v>2223</v>
      </c>
      <c r="J505" s="21" t="s">
        <v>2224</v>
      </c>
      <c r="K505" s="22" t="s">
        <v>2225</v>
      </c>
      <c r="L505" s="22" t="s">
        <v>2226</v>
      </c>
      <c r="M505" s="17">
        <v>2023.0</v>
      </c>
      <c r="N505" s="17">
        <v>21.0</v>
      </c>
      <c r="O505" s="23">
        <v>344.0</v>
      </c>
      <c r="P505" s="24">
        <f t="shared" si="14"/>
        <v>963.2</v>
      </c>
      <c r="Q505" s="25">
        <v>7.0</v>
      </c>
      <c r="R505" s="17">
        <v>0.0</v>
      </c>
      <c r="S505" s="26">
        <v>3.0</v>
      </c>
      <c r="T505" s="17">
        <v>7.0</v>
      </c>
      <c r="U505" s="17">
        <v>7.0</v>
      </c>
      <c r="V505" s="17" t="s">
        <v>130</v>
      </c>
      <c r="W505" s="28" t="s">
        <v>76</v>
      </c>
      <c r="X505" s="28" t="s">
        <v>78</v>
      </c>
      <c r="Y505" s="24">
        <v>10.0</v>
      </c>
      <c r="Z505" s="17">
        <v>150.0</v>
      </c>
      <c r="AA505" s="17">
        <v>576.0</v>
      </c>
      <c r="AB505" s="17">
        <v>31.0</v>
      </c>
      <c r="AC505" s="20">
        <f t="shared" si="2"/>
        <v>124992</v>
      </c>
      <c r="AD505" s="30">
        <f t="shared" si="3"/>
        <v>22.568</v>
      </c>
      <c r="AE505" s="30">
        <f t="shared" si="10"/>
        <v>21737.4976</v>
      </c>
      <c r="AF505" s="30">
        <f t="shared" si="5"/>
        <v>1288.096749</v>
      </c>
      <c r="AG505" s="34">
        <v>1.0</v>
      </c>
      <c r="AH505" s="36"/>
      <c r="AI505" s="30">
        <f t="shared" si="6"/>
        <v>3278.688525</v>
      </c>
      <c r="AJ505" s="17">
        <v>4000.0</v>
      </c>
      <c r="AK505" s="30">
        <f t="shared" si="7"/>
        <v>22950.81967</v>
      </c>
      <c r="AL505" s="20">
        <f t="shared" si="8"/>
        <v>28000</v>
      </c>
    </row>
    <row r="506">
      <c r="A506" s="16" t="s">
        <v>2227</v>
      </c>
      <c r="B506" s="17" t="s">
        <v>193</v>
      </c>
      <c r="C506" s="17" t="s">
        <v>194</v>
      </c>
      <c r="D506" s="17" t="s">
        <v>2228</v>
      </c>
      <c r="E506" s="17" t="s">
        <v>1908</v>
      </c>
      <c r="F506" s="17" t="s">
        <v>103</v>
      </c>
      <c r="G506" s="19">
        <v>46065.0</v>
      </c>
      <c r="H506" s="17" t="s">
        <v>65</v>
      </c>
      <c r="I506" s="20" t="s">
        <v>2229</v>
      </c>
      <c r="J506" s="21" t="s">
        <v>2230</v>
      </c>
      <c r="K506" s="22" t="s">
        <v>2231</v>
      </c>
      <c r="L506" s="22" t="s">
        <v>2232</v>
      </c>
      <c r="M506" s="17">
        <v>2019.0</v>
      </c>
      <c r="N506" s="17">
        <v>19.0</v>
      </c>
      <c r="O506" s="23">
        <v>166.0</v>
      </c>
      <c r="P506" s="24">
        <f t="shared" si="14"/>
        <v>464.8</v>
      </c>
      <c r="Q506" s="25">
        <v>2.0</v>
      </c>
      <c r="R506" s="17">
        <v>0.0</v>
      </c>
      <c r="S506" s="26">
        <v>1.0</v>
      </c>
      <c r="T506" s="17">
        <v>2.0</v>
      </c>
      <c r="U506" s="17">
        <v>2.0</v>
      </c>
      <c r="V506" s="17" t="s">
        <v>75</v>
      </c>
      <c r="W506" s="28" t="s">
        <v>76</v>
      </c>
      <c r="X506" s="28" t="s">
        <v>78</v>
      </c>
      <c r="Y506" s="24">
        <v>10.0</v>
      </c>
      <c r="Z506" s="17">
        <v>150.0</v>
      </c>
      <c r="AA506" s="17">
        <v>576.0</v>
      </c>
      <c r="AB506" s="17">
        <v>31.0</v>
      </c>
      <c r="AC506" s="20">
        <f t="shared" si="2"/>
        <v>35712</v>
      </c>
      <c r="AD506" s="30">
        <f t="shared" si="3"/>
        <v>20.41866667</v>
      </c>
      <c r="AE506" s="30">
        <f t="shared" si="10"/>
        <v>9490.596267</v>
      </c>
      <c r="AF506" s="30">
        <f t="shared" si="5"/>
        <v>842.939661</v>
      </c>
      <c r="AG506" s="34">
        <v>1.0</v>
      </c>
      <c r="AH506" s="36"/>
      <c r="AI506" s="30">
        <f t="shared" si="6"/>
        <v>3278.688525</v>
      </c>
      <c r="AJ506" s="17">
        <v>4000.0</v>
      </c>
      <c r="AK506" s="30">
        <f t="shared" si="7"/>
        <v>6557.377049</v>
      </c>
      <c r="AL506" s="20">
        <f t="shared" si="8"/>
        <v>8000</v>
      </c>
    </row>
    <row r="507">
      <c r="A507" s="16" t="s">
        <v>2227</v>
      </c>
      <c r="B507" s="17" t="s">
        <v>193</v>
      </c>
      <c r="C507" s="17" t="s">
        <v>194</v>
      </c>
      <c r="D507" s="17" t="s">
        <v>2228</v>
      </c>
      <c r="E507" s="17" t="s">
        <v>1908</v>
      </c>
      <c r="F507" s="17" t="s">
        <v>103</v>
      </c>
      <c r="G507" s="19">
        <v>46065.0</v>
      </c>
      <c r="H507" s="17" t="s">
        <v>65</v>
      </c>
      <c r="I507" s="20" t="s">
        <v>2229</v>
      </c>
      <c r="J507" s="21" t="s">
        <v>2233</v>
      </c>
      <c r="K507" s="22" t="s">
        <v>2234</v>
      </c>
      <c r="L507" s="22" t="s">
        <v>2235</v>
      </c>
      <c r="M507" s="17">
        <v>2019.0</v>
      </c>
      <c r="N507" s="17">
        <v>19.0</v>
      </c>
      <c r="O507" s="23">
        <v>173.0</v>
      </c>
      <c r="P507" s="24">
        <f t="shared" si="14"/>
        <v>484.4</v>
      </c>
      <c r="Q507" s="25">
        <v>2.0</v>
      </c>
      <c r="R507" s="17">
        <v>0.0</v>
      </c>
      <c r="S507" s="26">
        <v>1.0</v>
      </c>
      <c r="T507" s="17">
        <v>2.0</v>
      </c>
      <c r="U507" s="17">
        <v>2.0</v>
      </c>
      <c r="V507" s="17" t="s">
        <v>75</v>
      </c>
      <c r="W507" s="28" t="s">
        <v>76</v>
      </c>
      <c r="X507" s="28" t="s">
        <v>78</v>
      </c>
      <c r="Y507" s="24">
        <v>10.0</v>
      </c>
      <c r="Z507" s="17">
        <v>150.0</v>
      </c>
      <c r="AA507" s="17">
        <v>576.0</v>
      </c>
      <c r="AB507" s="17">
        <v>31.0</v>
      </c>
      <c r="AC507" s="20">
        <f t="shared" si="2"/>
        <v>35712</v>
      </c>
      <c r="AD507" s="30">
        <f t="shared" si="3"/>
        <v>20.41866667</v>
      </c>
      <c r="AE507" s="30">
        <f t="shared" si="10"/>
        <v>9890.802133</v>
      </c>
      <c r="AF507" s="30">
        <f t="shared" si="5"/>
        <v>808.8322759</v>
      </c>
      <c r="AG507" s="34">
        <v>1.0</v>
      </c>
      <c r="AH507" s="36"/>
      <c r="AI507" s="30">
        <f t="shared" si="6"/>
        <v>3278.688525</v>
      </c>
      <c r="AJ507" s="17">
        <v>4000.0</v>
      </c>
      <c r="AK507" s="30">
        <f t="shared" si="7"/>
        <v>6557.377049</v>
      </c>
      <c r="AL507" s="20">
        <f t="shared" si="8"/>
        <v>8000</v>
      </c>
    </row>
    <row r="508">
      <c r="A508" s="16" t="s">
        <v>2227</v>
      </c>
      <c r="B508" s="17" t="s">
        <v>193</v>
      </c>
      <c r="C508" s="17" t="s">
        <v>194</v>
      </c>
      <c r="D508" s="17" t="s">
        <v>2228</v>
      </c>
      <c r="E508" s="17" t="s">
        <v>1908</v>
      </c>
      <c r="F508" s="17" t="s">
        <v>103</v>
      </c>
      <c r="G508" s="19">
        <v>46065.0</v>
      </c>
      <c r="H508" s="17" t="s">
        <v>65</v>
      </c>
      <c r="I508" s="20" t="s">
        <v>2229</v>
      </c>
      <c r="J508" s="21" t="s">
        <v>2236</v>
      </c>
      <c r="K508" s="22" t="s">
        <v>2237</v>
      </c>
      <c r="L508" s="22" t="s">
        <v>2238</v>
      </c>
      <c r="M508" s="17">
        <v>2020.0</v>
      </c>
      <c r="N508" s="17">
        <v>19.0</v>
      </c>
      <c r="O508" s="23">
        <v>173.0</v>
      </c>
      <c r="P508" s="24">
        <f t="shared" si="14"/>
        <v>484.4</v>
      </c>
      <c r="Q508" s="25">
        <v>2.0</v>
      </c>
      <c r="R508" s="17">
        <v>0.0</v>
      </c>
      <c r="S508" s="26">
        <v>1.0</v>
      </c>
      <c r="T508" s="17">
        <v>2.0</v>
      </c>
      <c r="U508" s="17">
        <v>2.0</v>
      </c>
      <c r="V508" s="17" t="s">
        <v>75</v>
      </c>
      <c r="W508" s="28" t="s">
        <v>76</v>
      </c>
      <c r="X508" s="28" t="s">
        <v>78</v>
      </c>
      <c r="Y508" s="24">
        <v>10.0</v>
      </c>
      <c r="Z508" s="17">
        <v>150.0</v>
      </c>
      <c r="AA508" s="17">
        <v>576.0</v>
      </c>
      <c r="AB508" s="17">
        <v>31.0</v>
      </c>
      <c r="AC508" s="20">
        <f t="shared" si="2"/>
        <v>35712</v>
      </c>
      <c r="AD508" s="30">
        <f t="shared" si="3"/>
        <v>20.41866667</v>
      </c>
      <c r="AE508" s="30">
        <f t="shared" si="10"/>
        <v>9890.802133</v>
      </c>
      <c r="AF508" s="30">
        <f t="shared" si="5"/>
        <v>808.8322759</v>
      </c>
      <c r="AG508" s="34">
        <v>1.0</v>
      </c>
      <c r="AH508" s="36"/>
      <c r="AI508" s="30">
        <f t="shared" si="6"/>
        <v>3278.688525</v>
      </c>
      <c r="AJ508" s="17">
        <v>4000.0</v>
      </c>
      <c r="AK508" s="30">
        <f t="shared" si="7"/>
        <v>6557.377049</v>
      </c>
      <c r="AL508" s="20">
        <f t="shared" si="8"/>
        <v>8000</v>
      </c>
    </row>
    <row r="509">
      <c r="A509" s="16" t="s">
        <v>2227</v>
      </c>
      <c r="B509" s="17" t="s">
        <v>193</v>
      </c>
      <c r="C509" s="17" t="s">
        <v>194</v>
      </c>
      <c r="D509" s="17" t="s">
        <v>2228</v>
      </c>
      <c r="E509" s="17" t="s">
        <v>1908</v>
      </c>
      <c r="F509" s="17" t="s">
        <v>103</v>
      </c>
      <c r="G509" s="19">
        <v>46065.0</v>
      </c>
      <c r="H509" s="17" t="s">
        <v>65</v>
      </c>
      <c r="I509" s="20" t="s">
        <v>2229</v>
      </c>
      <c r="J509" s="21" t="s">
        <v>2239</v>
      </c>
      <c r="K509" s="22" t="s">
        <v>2240</v>
      </c>
      <c r="L509" s="22" t="s">
        <v>2241</v>
      </c>
      <c r="M509" s="17">
        <v>2020.0</v>
      </c>
      <c r="N509" s="17">
        <v>19.0</v>
      </c>
      <c r="O509" s="23">
        <v>173.0</v>
      </c>
      <c r="P509" s="24">
        <f t="shared" si="14"/>
        <v>484.4</v>
      </c>
      <c r="Q509" s="25">
        <v>2.0</v>
      </c>
      <c r="R509" s="17">
        <v>0.0</v>
      </c>
      <c r="S509" s="26">
        <v>1.0</v>
      </c>
      <c r="T509" s="17">
        <v>2.0</v>
      </c>
      <c r="U509" s="17">
        <v>2.0</v>
      </c>
      <c r="V509" s="17" t="s">
        <v>75</v>
      </c>
      <c r="W509" s="28" t="s">
        <v>76</v>
      </c>
      <c r="X509" s="28" t="s">
        <v>78</v>
      </c>
      <c r="Y509" s="24">
        <v>10.0</v>
      </c>
      <c r="Z509" s="17">
        <v>150.0</v>
      </c>
      <c r="AA509" s="17">
        <v>576.0</v>
      </c>
      <c r="AB509" s="17">
        <v>31.0</v>
      </c>
      <c r="AC509" s="20">
        <f t="shared" si="2"/>
        <v>35712</v>
      </c>
      <c r="AD509" s="30">
        <f t="shared" si="3"/>
        <v>20.41866667</v>
      </c>
      <c r="AE509" s="30">
        <f t="shared" si="10"/>
        <v>9890.802133</v>
      </c>
      <c r="AF509" s="30">
        <f t="shared" si="5"/>
        <v>808.8322759</v>
      </c>
      <c r="AG509" s="34">
        <v>1.0</v>
      </c>
      <c r="AH509" s="36"/>
      <c r="AI509" s="30">
        <f t="shared" si="6"/>
        <v>3278.688525</v>
      </c>
      <c r="AJ509" s="17">
        <v>4000.0</v>
      </c>
      <c r="AK509" s="30">
        <f t="shared" si="7"/>
        <v>6557.377049</v>
      </c>
      <c r="AL509" s="20">
        <f t="shared" si="8"/>
        <v>8000</v>
      </c>
    </row>
    <row r="510">
      <c r="A510" s="16" t="s">
        <v>2227</v>
      </c>
      <c r="B510" s="17" t="s">
        <v>193</v>
      </c>
      <c r="C510" s="17" t="s">
        <v>194</v>
      </c>
      <c r="D510" s="17" t="s">
        <v>2228</v>
      </c>
      <c r="E510" s="17" t="s">
        <v>1908</v>
      </c>
      <c r="F510" s="17" t="s">
        <v>103</v>
      </c>
      <c r="G510" s="19">
        <v>46065.0</v>
      </c>
      <c r="H510" s="17" t="s">
        <v>65</v>
      </c>
      <c r="I510" s="20" t="s">
        <v>2229</v>
      </c>
      <c r="J510" s="21" t="s">
        <v>2242</v>
      </c>
      <c r="K510" s="22" t="s">
        <v>2243</v>
      </c>
      <c r="L510" s="22" t="s">
        <v>2244</v>
      </c>
      <c r="M510" s="17">
        <v>2020.0</v>
      </c>
      <c r="N510" s="17">
        <v>19.0</v>
      </c>
      <c r="O510" s="23">
        <v>173.0</v>
      </c>
      <c r="P510" s="24">
        <f t="shared" si="14"/>
        <v>484.4</v>
      </c>
      <c r="Q510" s="25">
        <v>2.0</v>
      </c>
      <c r="R510" s="17">
        <v>0.0</v>
      </c>
      <c r="S510" s="26">
        <v>1.0</v>
      </c>
      <c r="T510" s="17">
        <v>2.0</v>
      </c>
      <c r="U510" s="17">
        <v>2.0</v>
      </c>
      <c r="V510" s="17" t="s">
        <v>75</v>
      </c>
      <c r="W510" s="28" t="s">
        <v>76</v>
      </c>
      <c r="X510" s="28" t="s">
        <v>78</v>
      </c>
      <c r="Y510" s="24">
        <v>10.0</v>
      </c>
      <c r="Z510" s="17">
        <v>150.0</v>
      </c>
      <c r="AA510" s="17">
        <v>576.0</v>
      </c>
      <c r="AB510" s="17">
        <v>31.0</v>
      </c>
      <c r="AC510" s="20">
        <f t="shared" si="2"/>
        <v>35712</v>
      </c>
      <c r="AD510" s="30">
        <f t="shared" si="3"/>
        <v>20.41866667</v>
      </c>
      <c r="AE510" s="30">
        <f t="shared" si="10"/>
        <v>9890.802133</v>
      </c>
      <c r="AF510" s="30">
        <f t="shared" si="5"/>
        <v>808.8322759</v>
      </c>
      <c r="AG510" s="34">
        <v>1.0</v>
      </c>
      <c r="AH510" s="36"/>
      <c r="AI510" s="30">
        <f t="shared" si="6"/>
        <v>3278.688525</v>
      </c>
      <c r="AJ510" s="17">
        <v>4000.0</v>
      </c>
      <c r="AK510" s="30">
        <f t="shared" si="7"/>
        <v>6557.377049</v>
      </c>
      <c r="AL510" s="20">
        <f t="shared" si="8"/>
        <v>8000</v>
      </c>
    </row>
    <row r="511">
      <c r="A511" s="16" t="s">
        <v>2245</v>
      </c>
      <c r="B511" s="17" t="s">
        <v>193</v>
      </c>
      <c r="C511" s="17" t="s">
        <v>194</v>
      </c>
      <c r="D511" s="17" t="s">
        <v>2246</v>
      </c>
      <c r="E511" s="17" t="s">
        <v>2246</v>
      </c>
      <c r="F511" s="17" t="s">
        <v>63</v>
      </c>
      <c r="G511" s="19">
        <v>46086.0</v>
      </c>
      <c r="H511" s="17" t="s">
        <v>65</v>
      </c>
      <c r="I511" s="20" t="s">
        <v>2247</v>
      </c>
      <c r="J511" s="21" t="s">
        <v>2248</v>
      </c>
      <c r="K511" s="22" t="s">
        <v>2249</v>
      </c>
      <c r="L511" s="22" t="s">
        <v>2250</v>
      </c>
      <c r="M511" s="17">
        <v>2012.0</v>
      </c>
      <c r="N511" s="17">
        <v>19.0</v>
      </c>
      <c r="O511" s="23">
        <v>170.0</v>
      </c>
      <c r="P511" s="24">
        <f t="shared" si="14"/>
        <v>476</v>
      </c>
      <c r="Q511" s="25">
        <v>2.0</v>
      </c>
      <c r="R511" s="17">
        <v>0.0</v>
      </c>
      <c r="S511" s="26">
        <v>2.0</v>
      </c>
      <c r="T511" s="17">
        <v>2.0</v>
      </c>
      <c r="U511" s="17">
        <v>2.0</v>
      </c>
      <c r="V511" s="17" t="s">
        <v>75</v>
      </c>
      <c r="W511" s="28" t="s">
        <v>76</v>
      </c>
      <c r="X511" s="28" t="s">
        <v>78</v>
      </c>
      <c r="Y511" s="24">
        <v>10.0</v>
      </c>
      <c r="Z511" s="17">
        <v>150.0</v>
      </c>
      <c r="AA511" s="17">
        <v>576.0</v>
      </c>
      <c r="AB511" s="17">
        <v>31.0</v>
      </c>
      <c r="AC511" s="20">
        <f t="shared" si="2"/>
        <v>35712</v>
      </c>
      <c r="AD511" s="30">
        <f t="shared" si="3"/>
        <v>20.41866667</v>
      </c>
      <c r="AE511" s="30">
        <f t="shared" si="10"/>
        <v>9719.285333</v>
      </c>
      <c r="AF511" s="30">
        <f t="shared" si="5"/>
        <v>823.1057867</v>
      </c>
      <c r="AG511" s="34">
        <v>1.0</v>
      </c>
      <c r="AH511" s="36"/>
      <c r="AI511" s="30">
        <f t="shared" si="6"/>
        <v>3278.688525</v>
      </c>
      <c r="AJ511" s="17">
        <v>4000.0</v>
      </c>
      <c r="AK511" s="30">
        <f t="shared" si="7"/>
        <v>6557.377049</v>
      </c>
      <c r="AL511" s="20">
        <f t="shared" si="8"/>
        <v>8000</v>
      </c>
    </row>
    <row r="512">
      <c r="A512" s="16" t="s">
        <v>2251</v>
      </c>
      <c r="B512" s="17" t="s">
        <v>193</v>
      </c>
      <c r="C512" s="17" t="s">
        <v>194</v>
      </c>
      <c r="D512" s="17" t="s">
        <v>1878</v>
      </c>
      <c r="E512" s="17" t="s">
        <v>1937</v>
      </c>
      <c r="F512" s="17" t="s">
        <v>103</v>
      </c>
      <c r="G512" s="19">
        <v>46086.0</v>
      </c>
      <c r="H512" s="17" t="s">
        <v>118</v>
      </c>
      <c r="I512" s="20" t="s">
        <v>2252</v>
      </c>
      <c r="J512" s="21" t="s">
        <v>2253</v>
      </c>
      <c r="K512" s="22" t="s">
        <v>2254</v>
      </c>
      <c r="L512" s="22" t="s">
        <v>2255</v>
      </c>
      <c r="M512" s="17">
        <v>2015.0</v>
      </c>
      <c r="N512" s="17">
        <v>16.0</v>
      </c>
      <c r="O512" s="23">
        <v>164.0</v>
      </c>
      <c r="P512" s="24">
        <f t="shared" si="14"/>
        <v>459.2</v>
      </c>
      <c r="Q512" s="25">
        <v>4.0</v>
      </c>
      <c r="R512" s="17">
        <v>0.0</v>
      </c>
      <c r="S512" s="26">
        <v>3.0</v>
      </c>
      <c r="T512" s="17">
        <v>4.0</v>
      </c>
      <c r="U512" s="17">
        <v>4.0</v>
      </c>
      <c r="V512" s="17" t="s">
        <v>75</v>
      </c>
      <c r="W512" s="28" t="s">
        <v>76</v>
      </c>
      <c r="X512" s="28" t="s">
        <v>78</v>
      </c>
      <c r="Y512" s="24">
        <v>10.0</v>
      </c>
      <c r="Z512" s="17">
        <v>150.0</v>
      </c>
      <c r="AA512" s="17">
        <v>576.0</v>
      </c>
      <c r="AB512" s="17">
        <v>31.0</v>
      </c>
      <c r="AC512" s="20">
        <f t="shared" si="2"/>
        <v>71424</v>
      </c>
      <c r="AD512" s="30">
        <f t="shared" si="3"/>
        <v>17.19466667</v>
      </c>
      <c r="AE512" s="30">
        <f t="shared" si="10"/>
        <v>7895.790933</v>
      </c>
      <c r="AF512" s="30">
        <f t="shared" si="5"/>
        <v>2026.396106</v>
      </c>
      <c r="AG512" s="34">
        <v>1.0</v>
      </c>
      <c r="AH512" s="36"/>
      <c r="AI512" s="30">
        <f t="shared" si="6"/>
        <v>3278.688525</v>
      </c>
      <c r="AJ512" s="17">
        <v>4000.0</v>
      </c>
      <c r="AK512" s="30">
        <f t="shared" si="7"/>
        <v>13114.7541</v>
      </c>
      <c r="AL512" s="20">
        <f t="shared" si="8"/>
        <v>16000</v>
      </c>
    </row>
    <row r="513">
      <c r="A513" s="16" t="s">
        <v>2256</v>
      </c>
      <c r="B513" s="17" t="s">
        <v>193</v>
      </c>
      <c r="C513" s="17" t="s">
        <v>194</v>
      </c>
      <c r="D513" s="17" t="s">
        <v>162</v>
      </c>
      <c r="E513" s="17" t="s">
        <v>2163</v>
      </c>
      <c r="F513" s="17" t="s">
        <v>103</v>
      </c>
      <c r="G513" s="19">
        <v>46086.0</v>
      </c>
      <c r="H513" s="17" t="s">
        <v>118</v>
      </c>
      <c r="I513" s="20" t="s">
        <v>2257</v>
      </c>
      <c r="J513" s="21" t="s">
        <v>2258</v>
      </c>
      <c r="K513" s="22" t="s">
        <v>2259</v>
      </c>
      <c r="L513" s="22" t="s">
        <v>2260</v>
      </c>
      <c r="M513" s="17">
        <v>2016.0</v>
      </c>
      <c r="N513" s="17">
        <v>20.0</v>
      </c>
      <c r="O513" s="23">
        <v>171.0</v>
      </c>
      <c r="P513" s="24">
        <f t="shared" si="14"/>
        <v>478.8</v>
      </c>
      <c r="Q513" s="25">
        <v>1.0</v>
      </c>
      <c r="R513" s="17">
        <v>1.0</v>
      </c>
      <c r="S513" s="26">
        <v>1.0</v>
      </c>
      <c r="T513" s="17">
        <v>0.0</v>
      </c>
      <c r="U513" s="17">
        <v>2.0</v>
      </c>
      <c r="V513" s="17" t="s">
        <v>75</v>
      </c>
      <c r="W513" s="28" t="s">
        <v>76</v>
      </c>
      <c r="X513" s="28" t="s">
        <v>78</v>
      </c>
      <c r="Y513" s="24">
        <v>10.0</v>
      </c>
      <c r="Z513" s="17">
        <v>150.0</v>
      </c>
      <c r="AA513" s="17">
        <v>576.0</v>
      </c>
      <c r="AB513" s="17">
        <v>31.0</v>
      </c>
      <c r="AC513" s="20">
        <f t="shared" si="2"/>
        <v>17856</v>
      </c>
      <c r="AD513" s="30">
        <f t="shared" si="3"/>
        <v>8.06</v>
      </c>
      <c r="AE513" s="30">
        <f t="shared" si="10"/>
        <v>3859.128</v>
      </c>
      <c r="AF513" s="30">
        <f t="shared" si="5"/>
        <v>1036.503583</v>
      </c>
      <c r="AG513" s="34">
        <v>1.0</v>
      </c>
      <c r="AH513" s="36"/>
      <c r="AI513" s="30">
        <f t="shared" si="6"/>
        <v>3278.688525</v>
      </c>
      <c r="AJ513" s="17">
        <v>4000.0</v>
      </c>
      <c r="AK513" s="30">
        <f t="shared" si="7"/>
        <v>3278.688525</v>
      </c>
      <c r="AL513" s="20">
        <f t="shared" si="8"/>
        <v>4000</v>
      </c>
    </row>
    <row r="514">
      <c r="A514" s="16" t="s">
        <v>2256</v>
      </c>
      <c r="B514" s="17" t="s">
        <v>193</v>
      </c>
      <c r="C514" s="17" t="s">
        <v>194</v>
      </c>
      <c r="D514" s="17" t="s">
        <v>162</v>
      </c>
      <c r="E514" s="17" t="s">
        <v>2163</v>
      </c>
      <c r="F514" s="17" t="s">
        <v>103</v>
      </c>
      <c r="G514" s="19">
        <v>46086.0</v>
      </c>
      <c r="H514" s="17" t="s">
        <v>118</v>
      </c>
      <c r="I514" s="20" t="s">
        <v>2257</v>
      </c>
      <c r="J514" s="21" t="s">
        <v>2261</v>
      </c>
      <c r="K514" s="22" t="s">
        <v>2262</v>
      </c>
      <c r="L514" s="22" t="s">
        <v>2263</v>
      </c>
      <c r="M514" s="17">
        <v>2015.0</v>
      </c>
      <c r="N514" s="17">
        <v>20.0</v>
      </c>
      <c r="O514" s="23">
        <v>168.0</v>
      </c>
      <c r="P514" s="24">
        <f t="shared" si="14"/>
        <v>470.4</v>
      </c>
      <c r="Q514" s="25">
        <v>1.0</v>
      </c>
      <c r="R514" s="17">
        <v>1.0</v>
      </c>
      <c r="S514" s="26">
        <v>1.0</v>
      </c>
      <c r="T514" s="17">
        <v>0.0</v>
      </c>
      <c r="U514" s="17">
        <v>2.0</v>
      </c>
      <c r="V514" s="17" t="s">
        <v>75</v>
      </c>
      <c r="W514" s="28" t="s">
        <v>76</v>
      </c>
      <c r="X514" s="28" t="s">
        <v>78</v>
      </c>
      <c r="Y514" s="24">
        <v>10.0</v>
      </c>
      <c r="Z514" s="17">
        <v>150.0</v>
      </c>
      <c r="AA514" s="17">
        <v>576.0</v>
      </c>
      <c r="AB514" s="17">
        <v>31.0</v>
      </c>
      <c r="AC514" s="20">
        <f t="shared" si="2"/>
        <v>17856</v>
      </c>
      <c r="AD514" s="30">
        <f t="shared" si="3"/>
        <v>8.06</v>
      </c>
      <c r="AE514" s="30">
        <f t="shared" si="10"/>
        <v>3791.424</v>
      </c>
      <c r="AF514" s="30">
        <f t="shared" si="5"/>
        <v>1055.012576</v>
      </c>
      <c r="AG514" s="34">
        <v>1.0</v>
      </c>
      <c r="AH514" s="36"/>
      <c r="AI514" s="30">
        <f t="shared" si="6"/>
        <v>3278.688525</v>
      </c>
      <c r="AJ514" s="17">
        <v>4000.0</v>
      </c>
      <c r="AK514" s="30">
        <f t="shared" si="7"/>
        <v>3278.688525</v>
      </c>
      <c r="AL514" s="20">
        <f t="shared" si="8"/>
        <v>4000</v>
      </c>
    </row>
    <row r="515">
      <c r="A515" s="16" t="s">
        <v>2256</v>
      </c>
      <c r="B515" s="17" t="s">
        <v>193</v>
      </c>
      <c r="C515" s="17" t="s">
        <v>194</v>
      </c>
      <c r="D515" s="17" t="s">
        <v>162</v>
      </c>
      <c r="E515" s="17" t="s">
        <v>2163</v>
      </c>
      <c r="F515" s="17" t="s">
        <v>103</v>
      </c>
      <c r="G515" s="19">
        <v>46086.0</v>
      </c>
      <c r="H515" s="17" t="s">
        <v>118</v>
      </c>
      <c r="I515" s="20" t="s">
        <v>2257</v>
      </c>
      <c r="J515" s="21" t="s">
        <v>2264</v>
      </c>
      <c r="K515" s="22" t="s">
        <v>2265</v>
      </c>
      <c r="L515" s="22" t="s">
        <v>2266</v>
      </c>
      <c r="M515" s="17">
        <v>2015.0</v>
      </c>
      <c r="N515" s="17">
        <v>20.0</v>
      </c>
      <c r="O515" s="23">
        <v>172.0</v>
      </c>
      <c r="P515" s="24">
        <f t="shared" si="14"/>
        <v>481.6</v>
      </c>
      <c r="Q515" s="25">
        <v>1.0</v>
      </c>
      <c r="R515" s="17">
        <v>1.0</v>
      </c>
      <c r="S515" s="26">
        <v>1.0</v>
      </c>
      <c r="T515" s="17">
        <v>0.0</v>
      </c>
      <c r="U515" s="17">
        <v>2.0</v>
      </c>
      <c r="V515" s="17" t="s">
        <v>75</v>
      </c>
      <c r="W515" s="28" t="s">
        <v>76</v>
      </c>
      <c r="X515" s="28" t="s">
        <v>78</v>
      </c>
      <c r="Y515" s="24">
        <v>10.0</v>
      </c>
      <c r="Z515" s="17">
        <v>150.0</v>
      </c>
      <c r="AA515" s="17">
        <v>576.0</v>
      </c>
      <c r="AB515" s="17">
        <v>31.0</v>
      </c>
      <c r="AC515" s="20">
        <f t="shared" si="2"/>
        <v>17856</v>
      </c>
      <c r="AD515" s="30">
        <f t="shared" si="3"/>
        <v>8.06</v>
      </c>
      <c r="AE515" s="30">
        <f t="shared" si="10"/>
        <v>3881.696</v>
      </c>
      <c r="AF515" s="30">
        <f t="shared" si="5"/>
        <v>1030.4774</v>
      </c>
      <c r="AG515" s="34">
        <v>1.0</v>
      </c>
      <c r="AH515" s="36"/>
      <c r="AI515" s="30">
        <f t="shared" si="6"/>
        <v>3278.688525</v>
      </c>
      <c r="AJ515" s="17">
        <v>4000.0</v>
      </c>
      <c r="AK515" s="30">
        <f t="shared" si="7"/>
        <v>3278.688525</v>
      </c>
      <c r="AL515" s="20">
        <f t="shared" si="8"/>
        <v>4000</v>
      </c>
    </row>
    <row r="516">
      <c r="A516" s="16" t="s">
        <v>2267</v>
      </c>
      <c r="B516" s="17" t="s">
        <v>193</v>
      </c>
      <c r="C516" s="17" t="s">
        <v>194</v>
      </c>
      <c r="D516" s="17" t="s">
        <v>1878</v>
      </c>
      <c r="E516" s="17" t="s">
        <v>1937</v>
      </c>
      <c r="F516" s="17" t="s">
        <v>103</v>
      </c>
      <c r="G516" s="19">
        <v>46086.0</v>
      </c>
      <c r="H516" s="17" t="s">
        <v>118</v>
      </c>
      <c r="I516" s="20" t="s">
        <v>2268</v>
      </c>
      <c r="J516" s="21" t="s">
        <v>2269</v>
      </c>
      <c r="K516" s="22" t="s">
        <v>2270</v>
      </c>
      <c r="L516" s="22" t="s">
        <v>2271</v>
      </c>
      <c r="M516" s="17">
        <v>2011.0</v>
      </c>
      <c r="N516" s="17">
        <v>16.0</v>
      </c>
      <c r="O516" s="23">
        <v>112.0</v>
      </c>
      <c r="P516" s="24">
        <f t="shared" si="14"/>
        <v>313.6</v>
      </c>
      <c r="Q516" s="25">
        <v>2.0</v>
      </c>
      <c r="R516" s="17">
        <v>0.0</v>
      </c>
      <c r="S516" s="26">
        <v>1.0</v>
      </c>
      <c r="T516" s="17">
        <v>2.0</v>
      </c>
      <c r="U516" s="17">
        <v>2.0</v>
      </c>
      <c r="V516" s="17" t="s">
        <v>75</v>
      </c>
      <c r="W516" s="28" t="s">
        <v>76</v>
      </c>
      <c r="X516" s="28" t="s">
        <v>78</v>
      </c>
      <c r="Y516" s="24">
        <v>10.0</v>
      </c>
      <c r="Z516" s="17">
        <v>150.0</v>
      </c>
      <c r="AA516" s="17">
        <v>576.0</v>
      </c>
      <c r="AB516" s="17">
        <v>31.0</v>
      </c>
      <c r="AC516" s="20">
        <f t="shared" si="2"/>
        <v>35712</v>
      </c>
      <c r="AD516" s="30">
        <f t="shared" si="3"/>
        <v>17.19466667</v>
      </c>
      <c r="AE516" s="30">
        <f t="shared" si="10"/>
        <v>5392.247467</v>
      </c>
      <c r="AF516" s="30">
        <f t="shared" si="5"/>
        <v>1483.611435</v>
      </c>
      <c r="AG516" s="34">
        <v>1.0</v>
      </c>
      <c r="AH516" s="36"/>
      <c r="AI516" s="30">
        <f t="shared" si="6"/>
        <v>3278.688525</v>
      </c>
      <c r="AJ516" s="17">
        <v>4000.0</v>
      </c>
      <c r="AK516" s="30">
        <f t="shared" si="7"/>
        <v>6557.377049</v>
      </c>
      <c r="AL516" s="20">
        <f t="shared" si="8"/>
        <v>8000</v>
      </c>
    </row>
    <row r="517">
      <c r="A517" s="16" t="s">
        <v>2267</v>
      </c>
      <c r="B517" s="17" t="s">
        <v>193</v>
      </c>
      <c r="C517" s="17" t="s">
        <v>194</v>
      </c>
      <c r="D517" s="17" t="s">
        <v>1878</v>
      </c>
      <c r="E517" s="17" t="s">
        <v>1937</v>
      </c>
      <c r="F517" s="17" t="s">
        <v>103</v>
      </c>
      <c r="G517" s="19">
        <v>46086.0</v>
      </c>
      <c r="H517" s="17" t="s">
        <v>118</v>
      </c>
      <c r="I517" s="20" t="s">
        <v>2268</v>
      </c>
      <c r="J517" s="21" t="s">
        <v>2272</v>
      </c>
      <c r="K517" s="22" t="s">
        <v>2273</v>
      </c>
      <c r="L517" s="22" t="s">
        <v>2274</v>
      </c>
      <c r="M517" s="17">
        <v>2006.0</v>
      </c>
      <c r="N517" s="17">
        <v>17.0</v>
      </c>
      <c r="O517" s="23">
        <v>113.0</v>
      </c>
      <c r="P517" s="24">
        <f t="shared" si="14"/>
        <v>316.4</v>
      </c>
      <c r="Q517" s="25">
        <v>2.0</v>
      </c>
      <c r="R517" s="17">
        <v>0.0</v>
      </c>
      <c r="S517" s="26">
        <v>1.0</v>
      </c>
      <c r="T517" s="17">
        <v>2.0</v>
      </c>
      <c r="U517" s="17">
        <v>2.0</v>
      </c>
      <c r="V517" s="17" t="s">
        <v>75</v>
      </c>
      <c r="W517" s="28" t="s">
        <v>76</v>
      </c>
      <c r="X517" s="28" t="s">
        <v>78</v>
      </c>
      <c r="Y517" s="24">
        <v>10.0</v>
      </c>
      <c r="Z517" s="17">
        <v>150.0</v>
      </c>
      <c r="AA517" s="17">
        <v>576.0</v>
      </c>
      <c r="AB517" s="17">
        <v>31.0</v>
      </c>
      <c r="AC517" s="20">
        <f t="shared" si="2"/>
        <v>35712</v>
      </c>
      <c r="AD517" s="30">
        <f t="shared" si="3"/>
        <v>18.26933333</v>
      </c>
      <c r="AE517" s="30">
        <f t="shared" si="10"/>
        <v>5780.417067</v>
      </c>
      <c r="AF517" s="30">
        <f t="shared" si="5"/>
        <v>1383.983181</v>
      </c>
      <c r="AG517" s="34">
        <v>1.0</v>
      </c>
      <c r="AH517" s="36"/>
      <c r="AI517" s="30">
        <f t="shared" si="6"/>
        <v>3278.688525</v>
      </c>
      <c r="AJ517" s="17">
        <v>4000.0</v>
      </c>
      <c r="AK517" s="30">
        <f t="shared" si="7"/>
        <v>6557.377049</v>
      </c>
      <c r="AL517" s="20">
        <f t="shared" si="8"/>
        <v>8000</v>
      </c>
    </row>
    <row r="518">
      <c r="A518" s="16" t="s">
        <v>2275</v>
      </c>
      <c r="B518" s="17" t="s">
        <v>193</v>
      </c>
      <c r="C518" s="17" t="s">
        <v>194</v>
      </c>
      <c r="D518" s="17" t="s">
        <v>1878</v>
      </c>
      <c r="E518" s="17" t="s">
        <v>1937</v>
      </c>
      <c r="F518" s="17" t="s">
        <v>103</v>
      </c>
      <c r="G518" s="19">
        <v>46086.0</v>
      </c>
      <c r="H518" s="17" t="s">
        <v>118</v>
      </c>
      <c r="I518" s="20" t="s">
        <v>2276</v>
      </c>
      <c r="J518" s="21" t="s">
        <v>2277</v>
      </c>
      <c r="K518" s="22" t="s">
        <v>2278</v>
      </c>
      <c r="L518" s="22" t="s">
        <v>2255</v>
      </c>
      <c r="M518" s="17">
        <v>2004.0</v>
      </c>
      <c r="N518" s="17">
        <v>14.0</v>
      </c>
      <c r="O518" s="23">
        <v>68.0</v>
      </c>
      <c r="P518" s="24">
        <f t="shared" si="14"/>
        <v>190.4</v>
      </c>
      <c r="Q518" s="25">
        <v>2.0</v>
      </c>
      <c r="R518" s="17">
        <v>0.0</v>
      </c>
      <c r="S518" s="26">
        <v>1.0</v>
      </c>
      <c r="T518" s="17">
        <v>2.0</v>
      </c>
      <c r="U518" s="17">
        <v>2.0</v>
      </c>
      <c r="V518" s="17" t="s">
        <v>75</v>
      </c>
      <c r="W518" s="28" t="s">
        <v>76</v>
      </c>
      <c r="X518" s="28" t="s">
        <v>78</v>
      </c>
      <c r="Y518" s="24">
        <v>10.0</v>
      </c>
      <c r="Z518" s="17">
        <v>150.0</v>
      </c>
      <c r="AA518" s="17">
        <v>576.0</v>
      </c>
      <c r="AB518" s="17">
        <v>31.0</v>
      </c>
      <c r="AC518" s="20">
        <f t="shared" si="2"/>
        <v>35712</v>
      </c>
      <c r="AD518" s="30">
        <f t="shared" si="3"/>
        <v>15.04533333</v>
      </c>
      <c r="AE518" s="30">
        <f t="shared" si="10"/>
        <v>2864.631467</v>
      </c>
      <c r="AF518" s="30">
        <f t="shared" si="5"/>
        <v>2792.680348</v>
      </c>
      <c r="AG518" s="34">
        <v>1.0</v>
      </c>
      <c r="AH518" s="36"/>
      <c r="AI518" s="30">
        <f t="shared" si="6"/>
        <v>3278.688525</v>
      </c>
      <c r="AJ518" s="17">
        <v>4000.0</v>
      </c>
      <c r="AK518" s="30">
        <f t="shared" si="7"/>
        <v>6557.377049</v>
      </c>
      <c r="AL518" s="20">
        <f t="shared" si="8"/>
        <v>8000</v>
      </c>
    </row>
    <row r="519">
      <c r="A519" s="16" t="s">
        <v>2275</v>
      </c>
      <c r="B519" s="17" t="s">
        <v>193</v>
      </c>
      <c r="C519" s="17" t="s">
        <v>194</v>
      </c>
      <c r="D519" s="17" t="s">
        <v>1878</v>
      </c>
      <c r="E519" s="17" t="s">
        <v>1937</v>
      </c>
      <c r="F519" s="17" t="s">
        <v>103</v>
      </c>
      <c r="G519" s="19">
        <v>46086.0</v>
      </c>
      <c r="H519" s="17" t="s">
        <v>118</v>
      </c>
      <c r="I519" s="20" t="s">
        <v>2276</v>
      </c>
      <c r="J519" s="21" t="s">
        <v>2279</v>
      </c>
      <c r="K519" s="22" t="s">
        <v>2280</v>
      </c>
      <c r="L519" s="22" t="s">
        <v>2281</v>
      </c>
      <c r="M519" s="17">
        <v>2005.0</v>
      </c>
      <c r="N519" s="17">
        <v>14.0</v>
      </c>
      <c r="O519" s="23">
        <v>69.0</v>
      </c>
      <c r="P519" s="24">
        <f t="shared" si="14"/>
        <v>193.2</v>
      </c>
      <c r="Q519" s="25">
        <v>2.0</v>
      </c>
      <c r="R519" s="17">
        <v>0.0</v>
      </c>
      <c r="S519" s="26">
        <v>1.0</v>
      </c>
      <c r="T519" s="17">
        <v>2.0</v>
      </c>
      <c r="U519" s="17">
        <v>2.0</v>
      </c>
      <c r="V519" s="17" t="s">
        <v>75</v>
      </c>
      <c r="W519" s="28" t="s">
        <v>76</v>
      </c>
      <c r="X519" s="28" t="s">
        <v>78</v>
      </c>
      <c r="Y519" s="24">
        <v>10.0</v>
      </c>
      <c r="Z519" s="17">
        <v>150.0</v>
      </c>
      <c r="AA519" s="17">
        <v>576.0</v>
      </c>
      <c r="AB519" s="17">
        <v>31.0</v>
      </c>
      <c r="AC519" s="20">
        <f t="shared" si="2"/>
        <v>35712</v>
      </c>
      <c r="AD519" s="30">
        <f t="shared" si="3"/>
        <v>15.04533333</v>
      </c>
      <c r="AE519" s="30">
        <f t="shared" si="10"/>
        <v>2906.7584</v>
      </c>
      <c r="AF519" s="30">
        <f t="shared" si="5"/>
        <v>2752.206719</v>
      </c>
      <c r="AG519" s="34">
        <v>1.0</v>
      </c>
      <c r="AH519" s="36"/>
      <c r="AI519" s="30">
        <f t="shared" si="6"/>
        <v>3278.688525</v>
      </c>
      <c r="AJ519" s="17">
        <v>4000.0</v>
      </c>
      <c r="AK519" s="30">
        <f t="shared" si="7"/>
        <v>6557.377049</v>
      </c>
      <c r="AL519" s="20">
        <f t="shared" si="8"/>
        <v>8000</v>
      </c>
    </row>
    <row r="520">
      <c r="A520" s="16" t="s">
        <v>2282</v>
      </c>
      <c r="B520" s="17" t="s">
        <v>193</v>
      </c>
      <c r="C520" s="17" t="s">
        <v>194</v>
      </c>
      <c r="D520" s="17" t="s">
        <v>1878</v>
      </c>
      <c r="E520" s="17" t="s">
        <v>1937</v>
      </c>
      <c r="F520" s="17" t="s">
        <v>103</v>
      </c>
      <c r="G520" s="19">
        <v>46198.0</v>
      </c>
      <c r="H520" s="17" t="s">
        <v>118</v>
      </c>
      <c r="I520" s="17" t="s">
        <v>2283</v>
      </c>
      <c r="J520" s="21" t="s">
        <v>2284</v>
      </c>
      <c r="K520" s="22" t="s">
        <v>2285</v>
      </c>
      <c r="L520" s="22" t="s">
        <v>2286</v>
      </c>
      <c r="M520" s="17">
        <v>1995.0</v>
      </c>
      <c r="N520" s="17">
        <v>9.0</v>
      </c>
      <c r="O520" s="23">
        <v>196.0</v>
      </c>
      <c r="P520" s="24">
        <f t="shared" si="14"/>
        <v>548.8</v>
      </c>
      <c r="Q520" s="25">
        <v>6.0</v>
      </c>
      <c r="R520" s="17">
        <v>6.0</v>
      </c>
      <c r="S520" s="26">
        <v>6.0</v>
      </c>
      <c r="T520" s="17">
        <v>0.0</v>
      </c>
      <c r="U520" s="17">
        <v>6.0</v>
      </c>
      <c r="V520" s="17" t="s">
        <v>130</v>
      </c>
      <c r="W520" s="28" t="s">
        <v>76</v>
      </c>
      <c r="X520" s="28" t="s">
        <v>78</v>
      </c>
      <c r="Y520" s="24">
        <v>10.0</v>
      </c>
      <c r="Z520" s="17">
        <v>150.0</v>
      </c>
      <c r="AA520" s="17">
        <v>576.0</v>
      </c>
      <c r="AB520" s="17">
        <v>31.0</v>
      </c>
      <c r="AC520" s="20">
        <f t="shared" si="2"/>
        <v>107136</v>
      </c>
      <c r="AD520" s="30">
        <f t="shared" si="3"/>
        <v>8.06</v>
      </c>
      <c r="AE520" s="30">
        <f t="shared" si="10"/>
        <v>4423.328</v>
      </c>
      <c r="AF520" s="30">
        <f t="shared" si="5"/>
        <v>5425.778961</v>
      </c>
      <c r="AG520" s="34">
        <v>1.0</v>
      </c>
      <c r="AH520" s="36"/>
      <c r="AI520" s="30">
        <f t="shared" si="6"/>
        <v>3278.688525</v>
      </c>
      <c r="AJ520" s="17">
        <v>4000.0</v>
      </c>
      <c r="AK520" s="30">
        <f t="shared" si="7"/>
        <v>19672.13115</v>
      </c>
      <c r="AL520" s="20">
        <f t="shared" si="8"/>
        <v>24000</v>
      </c>
    </row>
    <row r="521">
      <c r="A521" s="16" t="s">
        <v>2287</v>
      </c>
      <c r="B521" s="17" t="s">
        <v>193</v>
      </c>
      <c r="C521" s="17" t="s">
        <v>194</v>
      </c>
      <c r="D521" s="17" t="s">
        <v>2246</v>
      </c>
      <c r="E521" s="96" t="s">
        <v>2246</v>
      </c>
      <c r="F521" s="17" t="s">
        <v>103</v>
      </c>
      <c r="G521" s="19">
        <v>46086.0</v>
      </c>
      <c r="H521" s="17" t="s">
        <v>118</v>
      </c>
      <c r="I521" s="20" t="s">
        <v>2288</v>
      </c>
      <c r="J521" s="21" t="s">
        <v>2289</v>
      </c>
      <c r="K521" s="22" t="s">
        <v>2290</v>
      </c>
      <c r="L521" s="22" t="s">
        <v>2291</v>
      </c>
      <c r="M521" s="17">
        <v>2007.0</v>
      </c>
      <c r="N521" s="17">
        <v>9.0</v>
      </c>
      <c r="O521" s="23">
        <v>260.0</v>
      </c>
      <c r="P521" s="24">
        <f t="shared" si="14"/>
        <v>728</v>
      </c>
      <c r="Q521" s="25">
        <v>15.0</v>
      </c>
      <c r="R521" s="17">
        <v>0.0</v>
      </c>
      <c r="S521" s="26">
        <v>15.0</v>
      </c>
      <c r="T521" s="17">
        <v>15.0</v>
      </c>
      <c r="U521" s="17">
        <v>15.0</v>
      </c>
      <c r="V521" s="17" t="s">
        <v>75</v>
      </c>
      <c r="W521" s="28" t="s">
        <v>76</v>
      </c>
      <c r="X521" s="28" t="s">
        <v>78</v>
      </c>
      <c r="Y521" s="24">
        <v>10.0</v>
      </c>
      <c r="Z521" s="17">
        <v>150.0</v>
      </c>
      <c r="AA521" s="17">
        <v>576.0</v>
      </c>
      <c r="AB521" s="17">
        <v>31.0</v>
      </c>
      <c r="AC521" s="20">
        <f t="shared" si="2"/>
        <v>267840</v>
      </c>
      <c r="AD521" s="30">
        <f t="shared" si="3"/>
        <v>9.672</v>
      </c>
      <c r="AE521" s="30">
        <f t="shared" si="10"/>
        <v>7041.216</v>
      </c>
      <c r="AF521" s="30">
        <f t="shared" si="5"/>
        <v>8521.25542</v>
      </c>
      <c r="AG521" s="34">
        <v>1.0</v>
      </c>
      <c r="AH521" s="36"/>
      <c r="AI521" s="30">
        <f t="shared" si="6"/>
        <v>3278.688525</v>
      </c>
      <c r="AJ521" s="17">
        <v>4000.0</v>
      </c>
      <c r="AK521" s="30">
        <f t="shared" si="7"/>
        <v>49180.32787</v>
      </c>
      <c r="AL521" s="20">
        <f t="shared" si="8"/>
        <v>60000</v>
      </c>
    </row>
    <row r="522">
      <c r="A522" s="16" t="s">
        <v>2292</v>
      </c>
      <c r="B522" s="17" t="s">
        <v>193</v>
      </c>
      <c r="C522" s="17" t="s">
        <v>194</v>
      </c>
      <c r="D522" s="17" t="s">
        <v>2246</v>
      </c>
      <c r="E522" s="96" t="s">
        <v>2246</v>
      </c>
      <c r="F522" s="17" t="s">
        <v>103</v>
      </c>
      <c r="G522" s="19">
        <v>46086.0</v>
      </c>
      <c r="H522" s="17" t="s">
        <v>118</v>
      </c>
      <c r="I522" s="20" t="s">
        <v>2293</v>
      </c>
      <c r="J522" s="21" t="s">
        <v>2294</v>
      </c>
      <c r="K522" s="22" t="s">
        <v>2295</v>
      </c>
      <c r="L522" s="22" t="s">
        <v>2296</v>
      </c>
      <c r="M522" s="17">
        <v>2008.0</v>
      </c>
      <c r="N522" s="17">
        <v>14.0</v>
      </c>
      <c r="O522" s="23">
        <v>224.0</v>
      </c>
      <c r="P522" s="24">
        <f t="shared" si="14"/>
        <v>627.2</v>
      </c>
      <c r="Q522" s="25">
        <v>7.0</v>
      </c>
      <c r="R522" s="17">
        <v>0.0</v>
      </c>
      <c r="S522" s="26">
        <v>7.0</v>
      </c>
      <c r="T522" s="17">
        <v>7.0</v>
      </c>
      <c r="U522" s="17">
        <v>9.0</v>
      </c>
      <c r="V522" s="17" t="s">
        <v>75</v>
      </c>
      <c r="W522" s="28" t="s">
        <v>76</v>
      </c>
      <c r="X522" s="28" t="s">
        <v>78</v>
      </c>
      <c r="Y522" s="24">
        <v>10.0</v>
      </c>
      <c r="Z522" s="17">
        <v>150.0</v>
      </c>
      <c r="AA522" s="17">
        <v>576.0</v>
      </c>
      <c r="AB522" s="17">
        <v>31.0</v>
      </c>
      <c r="AC522" s="20">
        <f t="shared" si="2"/>
        <v>124992</v>
      </c>
      <c r="AD522" s="30">
        <f t="shared" si="3"/>
        <v>11.70192593</v>
      </c>
      <c r="AE522" s="30">
        <f t="shared" si="10"/>
        <v>7339.447941</v>
      </c>
      <c r="AF522" s="30">
        <f t="shared" si="5"/>
        <v>3815.000832</v>
      </c>
      <c r="AG522" s="34">
        <v>1.0</v>
      </c>
      <c r="AH522" s="36"/>
      <c r="AI522" s="30">
        <f t="shared" si="6"/>
        <v>3278.688525</v>
      </c>
      <c r="AJ522" s="17">
        <v>4000.0</v>
      </c>
      <c r="AK522" s="30">
        <f t="shared" si="7"/>
        <v>22950.81967</v>
      </c>
      <c r="AL522" s="20">
        <f t="shared" si="8"/>
        <v>28000</v>
      </c>
    </row>
    <row r="523">
      <c r="A523" s="16" t="s">
        <v>2297</v>
      </c>
      <c r="B523" s="17" t="s">
        <v>193</v>
      </c>
      <c r="C523" s="17" t="s">
        <v>194</v>
      </c>
      <c r="D523" s="17" t="s">
        <v>2246</v>
      </c>
      <c r="E523" s="96" t="s">
        <v>2246</v>
      </c>
      <c r="F523" s="17" t="s">
        <v>103</v>
      </c>
      <c r="G523" s="19">
        <v>46086.0</v>
      </c>
      <c r="H523" s="17" t="s">
        <v>118</v>
      </c>
      <c r="I523" s="20" t="s">
        <v>2298</v>
      </c>
      <c r="J523" s="21" t="s">
        <v>2299</v>
      </c>
      <c r="K523" s="22" t="s">
        <v>2300</v>
      </c>
      <c r="L523" s="22" t="s">
        <v>2301</v>
      </c>
      <c r="M523" s="17">
        <v>2007.0</v>
      </c>
      <c r="N523" s="17">
        <v>10.0</v>
      </c>
      <c r="O523" s="23">
        <v>410.0</v>
      </c>
      <c r="P523" s="24">
        <f t="shared" si="14"/>
        <v>1148</v>
      </c>
      <c r="Q523" s="25">
        <v>4.0</v>
      </c>
      <c r="R523" s="17">
        <v>0.0</v>
      </c>
      <c r="S523" s="26">
        <v>14.0</v>
      </c>
      <c r="T523" s="17">
        <v>4.0</v>
      </c>
      <c r="U523" s="17">
        <v>14.0</v>
      </c>
      <c r="V523" s="17" t="s">
        <v>130</v>
      </c>
      <c r="W523" s="28" t="s">
        <v>76</v>
      </c>
      <c r="X523" s="28" t="s">
        <v>78</v>
      </c>
      <c r="Y523" s="24">
        <v>10.0</v>
      </c>
      <c r="Z523" s="17">
        <v>150.0</v>
      </c>
      <c r="AA523" s="17">
        <v>576.0</v>
      </c>
      <c r="AB523" s="17">
        <v>31.0</v>
      </c>
      <c r="AC523" s="20">
        <f t="shared" si="2"/>
        <v>71424</v>
      </c>
      <c r="AD523" s="30">
        <f t="shared" si="3"/>
        <v>3.07047619</v>
      </c>
      <c r="AE523" s="30">
        <f t="shared" si="10"/>
        <v>3524.906667</v>
      </c>
      <c r="AF523" s="30">
        <f t="shared" si="5"/>
        <v>4539.127277</v>
      </c>
      <c r="AG523" s="34">
        <v>1.0</v>
      </c>
      <c r="AH523" s="36"/>
      <c r="AI523" s="30">
        <f t="shared" si="6"/>
        <v>3278.688525</v>
      </c>
      <c r="AJ523" s="17">
        <v>4000.0</v>
      </c>
      <c r="AK523" s="30">
        <f t="shared" si="7"/>
        <v>13114.7541</v>
      </c>
      <c r="AL523" s="20">
        <f t="shared" si="8"/>
        <v>16000</v>
      </c>
    </row>
    <row r="524">
      <c r="A524" s="16" t="s">
        <v>2297</v>
      </c>
      <c r="B524" s="17" t="s">
        <v>193</v>
      </c>
      <c r="C524" s="17" t="s">
        <v>194</v>
      </c>
      <c r="D524" s="17" t="s">
        <v>2246</v>
      </c>
      <c r="E524" s="96" t="s">
        <v>2246</v>
      </c>
      <c r="F524" s="17" t="s">
        <v>103</v>
      </c>
      <c r="G524" s="19">
        <v>46086.0</v>
      </c>
      <c r="H524" s="17" t="s">
        <v>118</v>
      </c>
      <c r="I524" s="20" t="s">
        <v>2298</v>
      </c>
      <c r="J524" s="21" t="s">
        <v>2302</v>
      </c>
      <c r="K524" s="22" t="s">
        <v>2300</v>
      </c>
      <c r="L524" s="22" t="s">
        <v>2301</v>
      </c>
      <c r="M524" s="17">
        <v>2013.0</v>
      </c>
      <c r="N524" s="17">
        <v>10.0</v>
      </c>
      <c r="O524" s="23">
        <v>410.0</v>
      </c>
      <c r="P524" s="24">
        <f t="shared" si="14"/>
        <v>1148</v>
      </c>
      <c r="Q524" s="25">
        <v>10.0</v>
      </c>
      <c r="R524" s="17">
        <v>0.0</v>
      </c>
      <c r="S524" s="26">
        <v>14.0</v>
      </c>
      <c r="T524" s="17">
        <v>10.0</v>
      </c>
      <c r="U524" s="17">
        <v>14.0</v>
      </c>
      <c r="V524" s="17" t="s">
        <v>75</v>
      </c>
      <c r="W524" s="28" t="s">
        <v>76</v>
      </c>
      <c r="X524" s="28" t="s">
        <v>78</v>
      </c>
      <c r="Y524" s="24">
        <v>10.0</v>
      </c>
      <c r="Z524" s="17">
        <v>150.0</v>
      </c>
      <c r="AA524" s="17">
        <v>576.0</v>
      </c>
      <c r="AB524" s="17">
        <v>31.0</v>
      </c>
      <c r="AC524" s="20">
        <f t="shared" si="2"/>
        <v>178560</v>
      </c>
      <c r="AD524" s="30">
        <f t="shared" si="3"/>
        <v>7.676190476</v>
      </c>
      <c r="AE524" s="30">
        <f t="shared" si="10"/>
        <v>8812.266667</v>
      </c>
      <c r="AF524" s="30">
        <f t="shared" si="5"/>
        <v>4539.127277</v>
      </c>
      <c r="AG524" s="34">
        <v>1.0</v>
      </c>
      <c r="AH524" s="36"/>
      <c r="AI524" s="30">
        <f t="shared" si="6"/>
        <v>3278.688525</v>
      </c>
      <c r="AJ524" s="17">
        <v>4000.0</v>
      </c>
      <c r="AK524" s="30">
        <f t="shared" si="7"/>
        <v>32786.88525</v>
      </c>
      <c r="AL524" s="20">
        <f t="shared" si="8"/>
        <v>40000</v>
      </c>
    </row>
    <row r="525">
      <c r="A525" s="16" t="s">
        <v>2303</v>
      </c>
      <c r="B525" s="17" t="s">
        <v>193</v>
      </c>
      <c r="C525" s="17" t="s">
        <v>194</v>
      </c>
      <c r="D525" s="17" t="s">
        <v>2246</v>
      </c>
      <c r="E525" s="96" t="s">
        <v>2246</v>
      </c>
      <c r="F525" s="17" t="s">
        <v>103</v>
      </c>
      <c r="G525" s="19">
        <v>46086.0</v>
      </c>
      <c r="H525" s="17" t="s">
        <v>118</v>
      </c>
      <c r="I525" s="20" t="s">
        <v>2304</v>
      </c>
      <c r="J525" s="21" t="s">
        <v>2305</v>
      </c>
      <c r="K525" s="22" t="s">
        <v>2306</v>
      </c>
      <c r="L525" s="22" t="s">
        <v>2307</v>
      </c>
      <c r="M525" s="17">
        <v>2013.0</v>
      </c>
      <c r="N525" s="17">
        <v>9.0</v>
      </c>
      <c r="O525" s="23">
        <v>232.0</v>
      </c>
      <c r="P525" s="24">
        <f t="shared" si="14"/>
        <v>649.6</v>
      </c>
      <c r="Q525" s="25">
        <v>12.0</v>
      </c>
      <c r="R525" s="17">
        <v>12.0</v>
      </c>
      <c r="S525" s="26">
        <v>12.0</v>
      </c>
      <c r="T525" s="17">
        <v>0.0</v>
      </c>
      <c r="U525" s="17">
        <v>12.0</v>
      </c>
      <c r="V525" s="17" t="s">
        <v>130</v>
      </c>
      <c r="W525" s="28" t="s">
        <v>76</v>
      </c>
      <c r="X525" s="28" t="s">
        <v>78</v>
      </c>
      <c r="Y525" s="24">
        <v>10.0</v>
      </c>
      <c r="Z525" s="17">
        <v>150.0</v>
      </c>
      <c r="AA525" s="17">
        <v>576.0</v>
      </c>
      <c r="AB525" s="17">
        <v>31.0</v>
      </c>
      <c r="AC525" s="20">
        <f t="shared" si="2"/>
        <v>214272</v>
      </c>
      <c r="AD525" s="30">
        <f t="shared" si="3"/>
        <v>8.06</v>
      </c>
      <c r="AE525" s="30">
        <f t="shared" si="10"/>
        <v>5235.776</v>
      </c>
      <c r="AF525" s="30">
        <f t="shared" si="5"/>
        <v>9167.695486</v>
      </c>
      <c r="AG525" s="34">
        <v>1.0</v>
      </c>
      <c r="AH525" s="36"/>
      <c r="AI525" s="30">
        <f t="shared" si="6"/>
        <v>3278.688525</v>
      </c>
      <c r="AJ525" s="17">
        <v>4000.0</v>
      </c>
      <c r="AK525" s="30">
        <f t="shared" si="7"/>
        <v>39344.2623</v>
      </c>
      <c r="AL525" s="20">
        <f t="shared" si="8"/>
        <v>48000</v>
      </c>
    </row>
    <row r="526">
      <c r="A526" s="16" t="s">
        <v>2308</v>
      </c>
      <c r="B526" s="17" t="s">
        <v>193</v>
      </c>
      <c r="C526" s="17" t="s">
        <v>194</v>
      </c>
      <c r="D526" s="17" t="s">
        <v>2246</v>
      </c>
      <c r="E526" s="96" t="s">
        <v>2246</v>
      </c>
      <c r="F526" s="17" t="s">
        <v>103</v>
      </c>
      <c r="G526" s="19">
        <v>46086.0</v>
      </c>
      <c r="H526" s="17" t="s">
        <v>118</v>
      </c>
      <c r="I526" s="20" t="s">
        <v>2309</v>
      </c>
      <c r="J526" s="21" t="s">
        <v>2310</v>
      </c>
      <c r="K526" s="22" t="s">
        <v>2311</v>
      </c>
      <c r="L526" s="22" t="s">
        <v>2312</v>
      </c>
      <c r="M526" s="17">
        <v>2008.0</v>
      </c>
      <c r="N526" s="17">
        <v>9.0</v>
      </c>
      <c r="O526" s="23">
        <v>457.0</v>
      </c>
      <c r="P526" s="24">
        <f t="shared" si="14"/>
        <v>1279.6</v>
      </c>
      <c r="Q526" s="25">
        <v>24.0</v>
      </c>
      <c r="R526" s="17">
        <v>0.0</v>
      </c>
      <c r="S526" s="26">
        <v>24.0</v>
      </c>
      <c r="T526" s="17">
        <v>24.0</v>
      </c>
      <c r="U526" s="17">
        <v>24.0</v>
      </c>
      <c r="V526" s="17" t="s">
        <v>130</v>
      </c>
      <c r="W526" s="28" t="s">
        <v>76</v>
      </c>
      <c r="X526" s="28" t="s">
        <v>78</v>
      </c>
      <c r="Y526" s="24">
        <v>10.0</v>
      </c>
      <c r="Z526" s="17">
        <v>150.0</v>
      </c>
      <c r="AA526" s="17">
        <v>576.0</v>
      </c>
      <c r="AB526" s="17">
        <v>31.0</v>
      </c>
      <c r="AC526" s="20">
        <f t="shared" si="2"/>
        <v>428544</v>
      </c>
      <c r="AD526" s="30">
        <f t="shared" si="3"/>
        <v>9.672</v>
      </c>
      <c r="AE526" s="30">
        <f t="shared" si="10"/>
        <v>12376.2912</v>
      </c>
      <c r="AF526" s="30">
        <f t="shared" si="5"/>
        <v>7756.766421</v>
      </c>
      <c r="AG526" s="34">
        <v>1.0</v>
      </c>
      <c r="AH526" s="36"/>
      <c r="AI526" s="30">
        <f t="shared" si="6"/>
        <v>3278.688525</v>
      </c>
      <c r="AJ526" s="17">
        <v>4000.0</v>
      </c>
      <c r="AK526" s="30">
        <f t="shared" si="7"/>
        <v>78688.52459</v>
      </c>
      <c r="AL526" s="20">
        <f t="shared" si="8"/>
        <v>96000</v>
      </c>
    </row>
    <row r="527">
      <c r="A527" s="16" t="s">
        <v>2313</v>
      </c>
      <c r="B527" s="17" t="s">
        <v>193</v>
      </c>
      <c r="C527" s="17" t="s">
        <v>194</v>
      </c>
      <c r="D527" s="17" t="s">
        <v>2246</v>
      </c>
      <c r="E527" s="96" t="s">
        <v>2246</v>
      </c>
      <c r="F527" s="17" t="s">
        <v>103</v>
      </c>
      <c r="G527" s="19">
        <v>46086.0</v>
      </c>
      <c r="H527" s="17" t="s">
        <v>118</v>
      </c>
      <c r="I527" s="20" t="s">
        <v>2314</v>
      </c>
      <c r="J527" s="21" t="s">
        <v>2315</v>
      </c>
      <c r="K527" s="22" t="s">
        <v>2316</v>
      </c>
      <c r="L527" s="22" t="s">
        <v>2317</v>
      </c>
      <c r="M527" s="17">
        <v>2013.0</v>
      </c>
      <c r="N527" s="17">
        <v>20.0</v>
      </c>
      <c r="O527" s="23">
        <v>330.0</v>
      </c>
      <c r="P527" s="24">
        <f t="shared" si="14"/>
        <v>924</v>
      </c>
      <c r="Q527" s="25">
        <v>11.0</v>
      </c>
      <c r="R527" s="17">
        <v>0.0</v>
      </c>
      <c r="S527" s="26">
        <v>6.0</v>
      </c>
      <c r="T527" s="17">
        <v>11.0</v>
      </c>
      <c r="U527" s="17">
        <v>11.0</v>
      </c>
      <c r="V527" s="17" t="s">
        <v>75</v>
      </c>
      <c r="W527" s="28" t="s">
        <v>76</v>
      </c>
      <c r="X527" s="28" t="s">
        <v>78</v>
      </c>
      <c r="Y527" s="24">
        <v>10.0</v>
      </c>
      <c r="Z527" s="17">
        <v>150.0</v>
      </c>
      <c r="AA527" s="17">
        <v>576.0</v>
      </c>
      <c r="AB527" s="17">
        <v>31.0</v>
      </c>
      <c r="AC527" s="20">
        <f t="shared" si="2"/>
        <v>196416</v>
      </c>
      <c r="AD527" s="30">
        <f t="shared" si="3"/>
        <v>21.49333333</v>
      </c>
      <c r="AE527" s="30">
        <f t="shared" si="10"/>
        <v>19859.84</v>
      </c>
      <c r="AF527" s="30">
        <f t="shared" si="5"/>
        <v>2215.526409</v>
      </c>
      <c r="AG527" s="34">
        <v>1.0</v>
      </c>
      <c r="AH527" s="36"/>
      <c r="AI527" s="30">
        <f t="shared" si="6"/>
        <v>3278.688525</v>
      </c>
      <c r="AJ527" s="17">
        <v>4000.0</v>
      </c>
      <c r="AK527" s="30">
        <f t="shared" si="7"/>
        <v>36065.57377</v>
      </c>
      <c r="AL527" s="20">
        <f t="shared" si="8"/>
        <v>44000</v>
      </c>
    </row>
    <row r="528">
      <c r="A528" s="16" t="s">
        <v>2318</v>
      </c>
      <c r="B528" s="17" t="s">
        <v>193</v>
      </c>
      <c r="C528" s="17" t="s">
        <v>194</v>
      </c>
      <c r="D528" s="17" t="s">
        <v>2246</v>
      </c>
      <c r="E528" s="96" t="s">
        <v>2246</v>
      </c>
      <c r="F528" s="17" t="s">
        <v>63</v>
      </c>
      <c r="G528" s="19">
        <v>46086.0</v>
      </c>
      <c r="H528" s="17" t="s">
        <v>118</v>
      </c>
      <c r="I528" s="20" t="s">
        <v>2319</v>
      </c>
      <c r="J528" s="21" t="s">
        <v>2320</v>
      </c>
      <c r="K528" s="22" t="s">
        <v>2321</v>
      </c>
      <c r="L528" s="22" t="s">
        <v>2322</v>
      </c>
      <c r="M528" s="17">
        <v>2013.0</v>
      </c>
      <c r="N528" s="17">
        <v>18.0</v>
      </c>
      <c r="O528" s="23">
        <v>133.0</v>
      </c>
      <c r="P528" s="24">
        <f t="shared" si="14"/>
        <v>372.4</v>
      </c>
      <c r="Q528" s="25">
        <v>1.0</v>
      </c>
      <c r="R528" s="17">
        <v>1.0</v>
      </c>
      <c r="S528" s="26">
        <v>1.0</v>
      </c>
      <c r="T528" s="17">
        <v>0.0</v>
      </c>
      <c r="U528" s="17">
        <v>3.0</v>
      </c>
      <c r="V528" s="17" t="s">
        <v>130</v>
      </c>
      <c r="W528" s="28" t="s">
        <v>76</v>
      </c>
      <c r="X528" s="28" t="s">
        <v>78</v>
      </c>
      <c r="Y528" s="24">
        <v>10.0</v>
      </c>
      <c r="Z528" s="17">
        <v>150.0</v>
      </c>
      <c r="AA528" s="17">
        <v>576.0</v>
      </c>
      <c r="AB528" s="17">
        <v>31.0</v>
      </c>
      <c r="AC528" s="20">
        <f t="shared" si="2"/>
        <v>17856</v>
      </c>
      <c r="AD528" s="30">
        <f t="shared" si="3"/>
        <v>8.06</v>
      </c>
      <c r="AE528" s="30">
        <f t="shared" si="10"/>
        <v>3001.544</v>
      </c>
      <c r="AF528" s="30">
        <f t="shared" si="5"/>
        <v>1332.647464</v>
      </c>
      <c r="AG528" s="34">
        <v>1.0</v>
      </c>
      <c r="AH528" s="36"/>
      <c r="AI528" s="30">
        <f t="shared" si="6"/>
        <v>3278.688525</v>
      </c>
      <c r="AJ528" s="17">
        <v>4000.0</v>
      </c>
      <c r="AK528" s="30">
        <f t="shared" si="7"/>
        <v>3278.688525</v>
      </c>
      <c r="AL528" s="20">
        <f t="shared" si="8"/>
        <v>4000</v>
      </c>
    </row>
    <row r="529">
      <c r="A529" s="16" t="s">
        <v>2323</v>
      </c>
      <c r="B529" s="17" t="s">
        <v>193</v>
      </c>
      <c r="C529" s="17" t="s">
        <v>194</v>
      </c>
      <c r="D529" s="17" t="s">
        <v>1878</v>
      </c>
      <c r="E529" s="17" t="s">
        <v>1937</v>
      </c>
      <c r="F529" s="17" t="s">
        <v>63</v>
      </c>
      <c r="G529" s="19">
        <v>46086.0</v>
      </c>
      <c r="H529" s="17" t="s">
        <v>118</v>
      </c>
      <c r="I529" s="20" t="s">
        <v>2324</v>
      </c>
      <c r="J529" s="21" t="s">
        <v>2325</v>
      </c>
      <c r="K529" s="22" t="s">
        <v>2326</v>
      </c>
      <c r="L529" s="22" t="s">
        <v>2327</v>
      </c>
      <c r="M529" s="17">
        <v>1995.0</v>
      </c>
      <c r="N529" s="17">
        <v>14.0</v>
      </c>
      <c r="O529" s="23">
        <v>96.0</v>
      </c>
      <c r="P529" s="24">
        <f t="shared" si="14"/>
        <v>268.8</v>
      </c>
      <c r="Q529" s="25">
        <v>1.0</v>
      </c>
      <c r="R529" s="17">
        <v>0.0</v>
      </c>
      <c r="S529" s="26">
        <v>1.0</v>
      </c>
      <c r="T529" s="17">
        <v>1.0</v>
      </c>
      <c r="U529" s="17">
        <v>2.0</v>
      </c>
      <c r="V529" s="17" t="s">
        <v>75</v>
      </c>
      <c r="W529" s="28" t="s">
        <v>76</v>
      </c>
      <c r="X529" s="28" t="s">
        <v>78</v>
      </c>
      <c r="Y529" s="24">
        <v>10.0</v>
      </c>
      <c r="Z529" s="17">
        <v>150.0</v>
      </c>
      <c r="AA529" s="17">
        <v>576.0</v>
      </c>
      <c r="AB529" s="17">
        <v>31.0</v>
      </c>
      <c r="AC529" s="20">
        <f t="shared" si="2"/>
        <v>17856</v>
      </c>
      <c r="AD529" s="30">
        <f t="shared" si="3"/>
        <v>7.522666667</v>
      </c>
      <c r="AE529" s="30">
        <f t="shared" si="10"/>
        <v>2022.0928</v>
      </c>
      <c r="AF529" s="30">
        <f t="shared" si="5"/>
        <v>1978.14858</v>
      </c>
      <c r="AG529" s="34">
        <v>1.0</v>
      </c>
      <c r="AH529" s="36"/>
      <c r="AI529" s="30">
        <f t="shared" si="6"/>
        <v>3278.688525</v>
      </c>
      <c r="AJ529" s="17">
        <v>4000.0</v>
      </c>
      <c r="AK529" s="30">
        <f t="shared" si="7"/>
        <v>3278.688525</v>
      </c>
      <c r="AL529" s="20">
        <f t="shared" si="8"/>
        <v>4000</v>
      </c>
    </row>
    <row r="530">
      <c r="A530" s="16" t="s">
        <v>2323</v>
      </c>
      <c r="B530" s="17" t="s">
        <v>193</v>
      </c>
      <c r="C530" s="17" t="s">
        <v>194</v>
      </c>
      <c r="D530" s="17" t="s">
        <v>1878</v>
      </c>
      <c r="E530" s="17" t="s">
        <v>1937</v>
      </c>
      <c r="F530" s="17" t="s">
        <v>63</v>
      </c>
      <c r="G530" s="19">
        <v>46086.0</v>
      </c>
      <c r="H530" s="17" t="s">
        <v>118</v>
      </c>
      <c r="I530" s="20" t="s">
        <v>2324</v>
      </c>
      <c r="J530" s="21" t="s">
        <v>2328</v>
      </c>
      <c r="K530" s="22" t="s">
        <v>2329</v>
      </c>
      <c r="L530" s="22" t="s">
        <v>2330</v>
      </c>
      <c r="M530" s="17">
        <v>1995.0</v>
      </c>
      <c r="N530" s="17">
        <v>14.0</v>
      </c>
      <c r="O530" s="23">
        <v>96.0</v>
      </c>
      <c r="P530" s="24">
        <f t="shared" si="14"/>
        <v>268.8</v>
      </c>
      <c r="Q530" s="25">
        <v>1.0</v>
      </c>
      <c r="R530" s="17">
        <v>0.0</v>
      </c>
      <c r="S530" s="26">
        <v>1.0</v>
      </c>
      <c r="T530" s="17">
        <v>1.0</v>
      </c>
      <c r="U530" s="17">
        <v>2.0</v>
      </c>
      <c r="V530" s="17" t="s">
        <v>75</v>
      </c>
      <c r="W530" s="28" t="s">
        <v>76</v>
      </c>
      <c r="X530" s="28" t="s">
        <v>78</v>
      </c>
      <c r="Y530" s="24">
        <v>10.0</v>
      </c>
      <c r="Z530" s="17">
        <v>150.0</v>
      </c>
      <c r="AA530" s="17">
        <v>576.0</v>
      </c>
      <c r="AB530" s="17">
        <v>31.0</v>
      </c>
      <c r="AC530" s="20">
        <f t="shared" si="2"/>
        <v>17856</v>
      </c>
      <c r="AD530" s="30">
        <f t="shared" si="3"/>
        <v>7.522666667</v>
      </c>
      <c r="AE530" s="30">
        <f t="shared" si="10"/>
        <v>2022.0928</v>
      </c>
      <c r="AF530" s="30">
        <f t="shared" si="5"/>
        <v>1978.14858</v>
      </c>
      <c r="AG530" s="34">
        <v>1.0</v>
      </c>
      <c r="AH530" s="36"/>
      <c r="AI530" s="30">
        <f t="shared" si="6"/>
        <v>3278.688525</v>
      </c>
      <c r="AJ530" s="17">
        <v>4000.0</v>
      </c>
      <c r="AK530" s="30">
        <f t="shared" si="7"/>
        <v>3278.688525</v>
      </c>
      <c r="AL530" s="20">
        <f t="shared" si="8"/>
        <v>4000</v>
      </c>
    </row>
    <row r="531">
      <c r="A531" s="16" t="s">
        <v>2331</v>
      </c>
      <c r="B531" s="17" t="s">
        <v>193</v>
      </c>
      <c r="C531" s="17" t="s">
        <v>194</v>
      </c>
      <c r="D531" s="17" t="s">
        <v>2332</v>
      </c>
      <c r="E531" s="54" t="s">
        <v>1964</v>
      </c>
      <c r="F531" s="17" t="s">
        <v>103</v>
      </c>
      <c r="G531" s="19">
        <v>46120.0</v>
      </c>
      <c r="H531" s="17" t="s">
        <v>118</v>
      </c>
      <c r="I531" s="20" t="s">
        <v>2333</v>
      </c>
      <c r="J531" s="21" t="s">
        <v>2334</v>
      </c>
      <c r="K531" s="22" t="s">
        <v>2335</v>
      </c>
      <c r="L531" s="22" t="s">
        <v>2336</v>
      </c>
      <c r="M531" s="17">
        <v>2022.0</v>
      </c>
      <c r="N531" s="17">
        <v>9.0</v>
      </c>
      <c r="O531" s="23">
        <v>68.0</v>
      </c>
      <c r="P531" s="24">
        <f t="shared" si="14"/>
        <v>190.4</v>
      </c>
      <c r="Q531" s="25">
        <v>2.0</v>
      </c>
      <c r="R531" s="17">
        <v>2.0</v>
      </c>
      <c r="S531" s="26">
        <v>2.0</v>
      </c>
      <c r="T531" s="17">
        <v>0.0</v>
      </c>
      <c r="U531" s="17">
        <v>2.0</v>
      </c>
      <c r="V531" s="17" t="s">
        <v>75</v>
      </c>
      <c r="W531" s="28" t="s">
        <v>76</v>
      </c>
      <c r="X531" s="28" t="s">
        <v>78</v>
      </c>
      <c r="Y531" s="24">
        <v>10.0</v>
      </c>
      <c r="Z531" s="17">
        <v>150.0</v>
      </c>
      <c r="AA531" s="17">
        <v>576.0</v>
      </c>
      <c r="AB531" s="17">
        <v>31.0</v>
      </c>
      <c r="AC531" s="20">
        <f t="shared" si="2"/>
        <v>35712</v>
      </c>
      <c r="AD531" s="30">
        <f t="shared" si="3"/>
        <v>8.06</v>
      </c>
      <c r="AE531" s="30">
        <f t="shared" si="10"/>
        <v>1534.624</v>
      </c>
      <c r="AF531" s="30">
        <f t="shared" si="5"/>
        <v>5213.003315</v>
      </c>
      <c r="AG531" s="34">
        <v>1.0</v>
      </c>
      <c r="AH531" s="36"/>
      <c r="AI531" s="30">
        <f t="shared" si="6"/>
        <v>3278.688525</v>
      </c>
      <c r="AJ531" s="17">
        <v>4000.0</v>
      </c>
      <c r="AK531" s="30">
        <f t="shared" si="7"/>
        <v>6557.377049</v>
      </c>
      <c r="AL531" s="20">
        <f t="shared" si="8"/>
        <v>8000</v>
      </c>
    </row>
    <row r="532">
      <c r="A532" s="16" t="s">
        <v>2337</v>
      </c>
      <c r="B532" s="17" t="s">
        <v>193</v>
      </c>
      <c r="C532" s="17" t="s">
        <v>194</v>
      </c>
      <c r="D532" s="17" t="s">
        <v>804</v>
      </c>
      <c r="E532" s="54" t="s">
        <v>2060</v>
      </c>
      <c r="F532" s="17" t="s">
        <v>103</v>
      </c>
      <c r="G532" s="19">
        <v>46120.0</v>
      </c>
      <c r="H532" s="17" t="s">
        <v>118</v>
      </c>
      <c r="I532" s="20" t="s">
        <v>2338</v>
      </c>
      <c r="J532" s="21" t="s">
        <v>2339</v>
      </c>
      <c r="K532" s="22" t="s">
        <v>2340</v>
      </c>
      <c r="L532" s="22" t="s">
        <v>2341</v>
      </c>
      <c r="M532" s="17">
        <v>2011.0</v>
      </c>
      <c r="N532" s="17">
        <v>18.0</v>
      </c>
      <c r="O532" s="23">
        <v>179.0</v>
      </c>
      <c r="P532" s="24">
        <f t="shared" si="14"/>
        <v>501.2</v>
      </c>
      <c r="Q532" s="25">
        <v>2.0</v>
      </c>
      <c r="R532" s="17">
        <v>2.0</v>
      </c>
      <c r="S532" s="26">
        <v>2.0</v>
      </c>
      <c r="T532" s="17">
        <v>0.0</v>
      </c>
      <c r="U532" s="17">
        <v>4.0</v>
      </c>
      <c r="V532" s="17" t="s">
        <v>75</v>
      </c>
      <c r="W532" s="28" t="s">
        <v>76</v>
      </c>
      <c r="X532" s="28" t="s">
        <v>78</v>
      </c>
      <c r="Y532" s="24">
        <v>10.0</v>
      </c>
      <c r="Z532" s="17">
        <v>150.0</v>
      </c>
      <c r="AA532" s="17">
        <v>576.0</v>
      </c>
      <c r="AB532" s="17">
        <v>31.0</v>
      </c>
      <c r="AC532" s="20">
        <f t="shared" si="2"/>
        <v>35712</v>
      </c>
      <c r="AD532" s="30">
        <f t="shared" si="3"/>
        <v>8.06</v>
      </c>
      <c r="AE532" s="30">
        <f t="shared" si="10"/>
        <v>4039.672</v>
      </c>
      <c r="AF532" s="30">
        <f t="shared" si="5"/>
        <v>1980.358801</v>
      </c>
      <c r="AG532" s="34">
        <v>1.0</v>
      </c>
      <c r="AH532" s="36"/>
      <c r="AI532" s="30">
        <f t="shared" si="6"/>
        <v>3278.688525</v>
      </c>
      <c r="AJ532" s="17">
        <v>4000.0</v>
      </c>
      <c r="AK532" s="30">
        <f t="shared" si="7"/>
        <v>6557.377049</v>
      </c>
      <c r="AL532" s="20">
        <f t="shared" si="8"/>
        <v>8000</v>
      </c>
    </row>
    <row r="533">
      <c r="A533" s="16" t="s">
        <v>2337</v>
      </c>
      <c r="B533" s="17" t="s">
        <v>193</v>
      </c>
      <c r="C533" s="17" t="s">
        <v>194</v>
      </c>
      <c r="D533" s="17" t="s">
        <v>804</v>
      </c>
      <c r="E533" s="54" t="s">
        <v>2060</v>
      </c>
      <c r="F533" s="17" t="s">
        <v>103</v>
      </c>
      <c r="G533" s="19">
        <v>46120.0</v>
      </c>
      <c r="H533" s="17" t="s">
        <v>118</v>
      </c>
      <c r="I533" s="20" t="s">
        <v>2338</v>
      </c>
      <c r="J533" s="21" t="s">
        <v>2342</v>
      </c>
      <c r="K533" s="22" t="s">
        <v>2343</v>
      </c>
      <c r="L533" s="22" t="s">
        <v>2344</v>
      </c>
      <c r="M533" s="17">
        <v>2011.0</v>
      </c>
      <c r="N533" s="17">
        <v>18.0</v>
      </c>
      <c r="O533" s="23">
        <v>262.0</v>
      </c>
      <c r="P533" s="24">
        <f t="shared" si="14"/>
        <v>733.6</v>
      </c>
      <c r="Q533" s="25">
        <v>3.0</v>
      </c>
      <c r="R533" s="17">
        <v>3.0</v>
      </c>
      <c r="S533" s="26">
        <v>3.0</v>
      </c>
      <c r="T533" s="17">
        <v>0.0</v>
      </c>
      <c r="U533" s="17">
        <v>6.0</v>
      </c>
      <c r="V533" s="17" t="s">
        <v>75</v>
      </c>
      <c r="W533" s="28" t="s">
        <v>76</v>
      </c>
      <c r="X533" s="28" t="s">
        <v>78</v>
      </c>
      <c r="Y533" s="24">
        <v>10.0</v>
      </c>
      <c r="Z533" s="17">
        <v>150.0</v>
      </c>
      <c r="AA533" s="17">
        <v>576.0</v>
      </c>
      <c r="AB533" s="17">
        <v>31.0</v>
      </c>
      <c r="AC533" s="20">
        <f t="shared" si="2"/>
        <v>53568</v>
      </c>
      <c r="AD533" s="30">
        <f t="shared" si="3"/>
        <v>8.06</v>
      </c>
      <c r="AE533" s="30">
        <f t="shared" si="10"/>
        <v>5912.816</v>
      </c>
      <c r="AF533" s="30">
        <f t="shared" si="5"/>
        <v>2029.48984</v>
      </c>
      <c r="AG533" s="34">
        <v>1.0</v>
      </c>
      <c r="AH533" s="36"/>
      <c r="AI533" s="30">
        <f t="shared" si="6"/>
        <v>3278.688525</v>
      </c>
      <c r="AJ533" s="17">
        <v>4000.0</v>
      </c>
      <c r="AK533" s="30">
        <f t="shared" si="7"/>
        <v>9836.065574</v>
      </c>
      <c r="AL533" s="20">
        <f t="shared" si="8"/>
        <v>12000</v>
      </c>
    </row>
    <row r="534">
      <c r="A534" s="16" t="s">
        <v>2337</v>
      </c>
      <c r="B534" s="17" t="s">
        <v>193</v>
      </c>
      <c r="C534" s="17" t="s">
        <v>194</v>
      </c>
      <c r="D534" s="17" t="s">
        <v>804</v>
      </c>
      <c r="E534" s="54" t="s">
        <v>2060</v>
      </c>
      <c r="F534" s="17" t="s">
        <v>103</v>
      </c>
      <c r="G534" s="19">
        <v>46120.0</v>
      </c>
      <c r="H534" s="17" t="s">
        <v>118</v>
      </c>
      <c r="I534" s="20" t="s">
        <v>2338</v>
      </c>
      <c r="J534" s="21" t="s">
        <v>2345</v>
      </c>
      <c r="K534" s="22" t="s">
        <v>2346</v>
      </c>
      <c r="L534" s="22" t="s">
        <v>2347</v>
      </c>
      <c r="M534" s="17">
        <v>2011.0</v>
      </c>
      <c r="N534" s="17">
        <v>18.0</v>
      </c>
      <c r="O534" s="23">
        <v>262.0</v>
      </c>
      <c r="P534" s="24">
        <f t="shared" si="14"/>
        <v>733.6</v>
      </c>
      <c r="Q534" s="25">
        <v>3.0</v>
      </c>
      <c r="R534" s="17">
        <v>3.0</v>
      </c>
      <c r="S534" s="26">
        <v>3.0</v>
      </c>
      <c r="T534" s="17">
        <v>0.0</v>
      </c>
      <c r="U534" s="17">
        <v>6.0</v>
      </c>
      <c r="V534" s="17" t="s">
        <v>75</v>
      </c>
      <c r="W534" s="28" t="s">
        <v>76</v>
      </c>
      <c r="X534" s="28" t="s">
        <v>78</v>
      </c>
      <c r="Y534" s="24">
        <v>10.0</v>
      </c>
      <c r="Z534" s="17">
        <v>150.0</v>
      </c>
      <c r="AA534" s="17">
        <v>576.0</v>
      </c>
      <c r="AB534" s="17">
        <v>31.0</v>
      </c>
      <c r="AC534" s="20">
        <f t="shared" si="2"/>
        <v>53568</v>
      </c>
      <c r="AD534" s="30">
        <f t="shared" si="3"/>
        <v>8.06</v>
      </c>
      <c r="AE534" s="30">
        <f t="shared" si="10"/>
        <v>5912.816</v>
      </c>
      <c r="AF534" s="30">
        <f t="shared" si="5"/>
        <v>2029.48984</v>
      </c>
      <c r="AG534" s="34">
        <v>1.0</v>
      </c>
      <c r="AH534" s="36"/>
      <c r="AI534" s="30">
        <f t="shared" si="6"/>
        <v>3278.688525</v>
      </c>
      <c r="AJ534" s="17">
        <v>4000.0</v>
      </c>
      <c r="AK534" s="30">
        <f t="shared" si="7"/>
        <v>9836.065574</v>
      </c>
      <c r="AL534" s="20">
        <f t="shared" si="8"/>
        <v>12000</v>
      </c>
    </row>
    <row r="535">
      <c r="A535" s="16" t="s">
        <v>2337</v>
      </c>
      <c r="B535" s="17" t="s">
        <v>193</v>
      </c>
      <c r="C535" s="17" t="s">
        <v>194</v>
      </c>
      <c r="D535" s="17" t="s">
        <v>804</v>
      </c>
      <c r="E535" s="54" t="s">
        <v>2060</v>
      </c>
      <c r="F535" s="17" t="s">
        <v>103</v>
      </c>
      <c r="G535" s="19">
        <v>46120.0</v>
      </c>
      <c r="H535" s="17" t="s">
        <v>118</v>
      </c>
      <c r="I535" s="20" t="s">
        <v>2338</v>
      </c>
      <c r="J535" s="21" t="s">
        <v>2348</v>
      </c>
      <c r="K535" s="22" t="s">
        <v>2349</v>
      </c>
      <c r="L535" s="22" t="s">
        <v>2350</v>
      </c>
      <c r="M535" s="17">
        <v>2011.0</v>
      </c>
      <c r="N535" s="17">
        <v>18.0</v>
      </c>
      <c r="O535" s="23">
        <v>107.0</v>
      </c>
      <c r="P535" s="24">
        <f t="shared" si="14"/>
        <v>299.6</v>
      </c>
      <c r="Q535" s="25">
        <v>1.0</v>
      </c>
      <c r="R535" s="17">
        <v>1.0</v>
      </c>
      <c r="S535" s="26">
        <v>1.0</v>
      </c>
      <c r="T535" s="17">
        <v>0.0</v>
      </c>
      <c r="U535" s="17">
        <v>2.0</v>
      </c>
      <c r="V535" s="17" t="s">
        <v>75</v>
      </c>
      <c r="W535" s="28" t="s">
        <v>76</v>
      </c>
      <c r="X535" s="28" t="s">
        <v>78</v>
      </c>
      <c r="Y535" s="24">
        <v>10.0</v>
      </c>
      <c r="Z535" s="17">
        <v>150.0</v>
      </c>
      <c r="AA535" s="17">
        <v>576.0</v>
      </c>
      <c r="AB535" s="17">
        <v>31.0</v>
      </c>
      <c r="AC535" s="20">
        <f t="shared" si="2"/>
        <v>17856</v>
      </c>
      <c r="AD535" s="30">
        <f t="shared" si="3"/>
        <v>8.06</v>
      </c>
      <c r="AE535" s="30">
        <f t="shared" si="10"/>
        <v>2414.776</v>
      </c>
      <c r="AF535" s="30">
        <f t="shared" si="5"/>
        <v>1656.468343</v>
      </c>
      <c r="AG535" s="34">
        <v>1.0</v>
      </c>
      <c r="AH535" s="36"/>
      <c r="AI535" s="30">
        <f t="shared" si="6"/>
        <v>3278.688525</v>
      </c>
      <c r="AJ535" s="17">
        <v>4000.0</v>
      </c>
      <c r="AK535" s="30">
        <f t="shared" si="7"/>
        <v>3278.688525</v>
      </c>
      <c r="AL535" s="20">
        <f t="shared" si="8"/>
        <v>4000</v>
      </c>
    </row>
    <row r="536">
      <c r="A536" s="16" t="s">
        <v>2351</v>
      </c>
      <c r="B536" s="17" t="s">
        <v>193</v>
      </c>
      <c r="C536" s="17" t="s">
        <v>194</v>
      </c>
      <c r="D536" s="17" t="s">
        <v>804</v>
      </c>
      <c r="E536" s="54" t="s">
        <v>2060</v>
      </c>
      <c r="F536" s="17" t="s">
        <v>103</v>
      </c>
      <c r="G536" s="19">
        <v>46120.0</v>
      </c>
      <c r="H536" s="17" t="s">
        <v>118</v>
      </c>
      <c r="I536" s="20" t="s">
        <v>2352</v>
      </c>
      <c r="J536" s="21" t="s">
        <v>2353</v>
      </c>
      <c r="K536" s="22" t="s">
        <v>2354</v>
      </c>
      <c r="L536" s="22" t="s">
        <v>2355</v>
      </c>
      <c r="M536" s="17">
        <v>2011.0</v>
      </c>
      <c r="N536" s="17">
        <v>18.0</v>
      </c>
      <c r="O536" s="23">
        <v>437.0</v>
      </c>
      <c r="P536" s="24">
        <f t="shared" si="14"/>
        <v>1223.6</v>
      </c>
      <c r="Q536" s="25">
        <v>5.0</v>
      </c>
      <c r="R536" s="17">
        <v>5.0</v>
      </c>
      <c r="S536" s="26">
        <v>5.0</v>
      </c>
      <c r="T536" s="17">
        <v>0.0</v>
      </c>
      <c r="U536" s="17">
        <v>10.0</v>
      </c>
      <c r="V536" s="17" t="s">
        <v>75</v>
      </c>
      <c r="W536" s="28" t="s">
        <v>76</v>
      </c>
      <c r="X536" s="28" t="s">
        <v>78</v>
      </c>
      <c r="Y536" s="24">
        <v>10.0</v>
      </c>
      <c r="Z536" s="17">
        <v>150.0</v>
      </c>
      <c r="AA536" s="17">
        <v>576.0</v>
      </c>
      <c r="AB536" s="17">
        <v>31.0</v>
      </c>
      <c r="AC536" s="20">
        <f t="shared" si="2"/>
        <v>89280</v>
      </c>
      <c r="AD536" s="30">
        <f t="shared" si="3"/>
        <v>8.06</v>
      </c>
      <c r="AE536" s="30">
        <f t="shared" si="10"/>
        <v>9862.216</v>
      </c>
      <c r="AF536" s="30">
        <f t="shared" si="5"/>
        <v>2027.941793</v>
      </c>
      <c r="AG536" s="34">
        <v>1.0</v>
      </c>
      <c r="AH536" s="36"/>
      <c r="AI536" s="30">
        <f t="shared" si="6"/>
        <v>3278.688525</v>
      </c>
      <c r="AJ536" s="17">
        <v>4000.0</v>
      </c>
      <c r="AK536" s="30">
        <f t="shared" si="7"/>
        <v>16393.44262</v>
      </c>
      <c r="AL536" s="20">
        <f t="shared" si="8"/>
        <v>20000</v>
      </c>
    </row>
    <row r="537">
      <c r="A537" s="16" t="s">
        <v>2351</v>
      </c>
      <c r="B537" s="17" t="s">
        <v>193</v>
      </c>
      <c r="C537" s="17" t="s">
        <v>194</v>
      </c>
      <c r="D537" s="17" t="s">
        <v>804</v>
      </c>
      <c r="E537" s="54" t="s">
        <v>2060</v>
      </c>
      <c r="F537" s="17" t="s">
        <v>103</v>
      </c>
      <c r="G537" s="19">
        <v>46120.0</v>
      </c>
      <c r="H537" s="17" t="s">
        <v>118</v>
      </c>
      <c r="I537" s="20" t="s">
        <v>2352</v>
      </c>
      <c r="J537" s="21" t="s">
        <v>2356</v>
      </c>
      <c r="K537" s="22" t="s">
        <v>2357</v>
      </c>
      <c r="L537" s="22" t="s">
        <v>2358</v>
      </c>
      <c r="M537" s="17">
        <v>2011.0</v>
      </c>
      <c r="N537" s="17">
        <v>18.0</v>
      </c>
      <c r="O537" s="23">
        <v>107.0</v>
      </c>
      <c r="P537" s="24">
        <f t="shared" si="14"/>
        <v>299.6</v>
      </c>
      <c r="Q537" s="25">
        <v>1.0</v>
      </c>
      <c r="R537" s="17">
        <v>1.0</v>
      </c>
      <c r="S537" s="26">
        <v>1.0</v>
      </c>
      <c r="T537" s="17">
        <v>0.0</v>
      </c>
      <c r="U537" s="17">
        <v>2.0</v>
      </c>
      <c r="V537" s="17" t="s">
        <v>75</v>
      </c>
      <c r="W537" s="28" t="s">
        <v>76</v>
      </c>
      <c r="X537" s="28" t="s">
        <v>78</v>
      </c>
      <c r="Y537" s="24">
        <v>10.0</v>
      </c>
      <c r="Z537" s="17">
        <v>150.0</v>
      </c>
      <c r="AA537" s="17">
        <v>576.0</v>
      </c>
      <c r="AB537" s="17">
        <v>31.0</v>
      </c>
      <c r="AC537" s="20">
        <f t="shared" si="2"/>
        <v>17856</v>
      </c>
      <c r="AD537" s="30">
        <f t="shared" si="3"/>
        <v>8.06</v>
      </c>
      <c r="AE537" s="30">
        <f t="shared" si="10"/>
        <v>2414.776</v>
      </c>
      <c r="AF537" s="30">
        <f t="shared" si="5"/>
        <v>1656.468343</v>
      </c>
      <c r="AG537" s="34">
        <v>1.0</v>
      </c>
      <c r="AH537" s="36"/>
      <c r="AI537" s="30">
        <f t="shared" si="6"/>
        <v>3278.688525</v>
      </c>
      <c r="AJ537" s="17">
        <v>4000.0</v>
      </c>
      <c r="AK537" s="30">
        <f t="shared" si="7"/>
        <v>3278.688525</v>
      </c>
      <c r="AL537" s="20">
        <f t="shared" si="8"/>
        <v>4000</v>
      </c>
    </row>
    <row r="538">
      <c r="A538" s="16" t="s">
        <v>2351</v>
      </c>
      <c r="B538" s="17" t="s">
        <v>193</v>
      </c>
      <c r="C538" s="17" t="s">
        <v>194</v>
      </c>
      <c r="D538" s="17" t="s">
        <v>804</v>
      </c>
      <c r="E538" s="54" t="s">
        <v>2060</v>
      </c>
      <c r="F538" s="17" t="s">
        <v>103</v>
      </c>
      <c r="G538" s="19">
        <v>46120.0</v>
      </c>
      <c r="H538" s="17" t="s">
        <v>118</v>
      </c>
      <c r="I538" s="20" t="s">
        <v>2352</v>
      </c>
      <c r="J538" s="21" t="s">
        <v>2359</v>
      </c>
      <c r="K538" s="22" t="s">
        <v>2360</v>
      </c>
      <c r="L538" s="22" t="s">
        <v>2361</v>
      </c>
      <c r="M538" s="17">
        <v>2011.0</v>
      </c>
      <c r="N538" s="17">
        <v>18.0</v>
      </c>
      <c r="O538" s="23">
        <v>245.0</v>
      </c>
      <c r="P538" s="24">
        <f t="shared" si="14"/>
        <v>686</v>
      </c>
      <c r="Q538" s="25">
        <v>3.0</v>
      </c>
      <c r="R538" s="17">
        <v>3.0</v>
      </c>
      <c r="S538" s="26">
        <v>3.0</v>
      </c>
      <c r="T538" s="17">
        <v>0.0</v>
      </c>
      <c r="U538" s="17">
        <v>6.0</v>
      </c>
      <c r="V538" s="17" t="s">
        <v>75</v>
      </c>
      <c r="W538" s="28" t="s">
        <v>76</v>
      </c>
      <c r="X538" s="28" t="s">
        <v>78</v>
      </c>
      <c r="Y538" s="24">
        <v>10.0</v>
      </c>
      <c r="Z538" s="17">
        <v>150.0</v>
      </c>
      <c r="AA538" s="17">
        <v>576.0</v>
      </c>
      <c r="AB538" s="17">
        <v>31.0</v>
      </c>
      <c r="AC538" s="20">
        <f t="shared" si="2"/>
        <v>53568</v>
      </c>
      <c r="AD538" s="30">
        <f t="shared" si="3"/>
        <v>8.06</v>
      </c>
      <c r="AE538" s="30">
        <f t="shared" si="10"/>
        <v>5529.16</v>
      </c>
      <c r="AF538" s="30">
        <f t="shared" si="5"/>
        <v>2170.311584</v>
      </c>
      <c r="AG538" s="34">
        <v>1.0</v>
      </c>
      <c r="AH538" s="36"/>
      <c r="AI538" s="30">
        <f t="shared" si="6"/>
        <v>3278.688525</v>
      </c>
      <c r="AJ538" s="17">
        <v>4000.0</v>
      </c>
      <c r="AK538" s="30">
        <f t="shared" si="7"/>
        <v>9836.065574</v>
      </c>
      <c r="AL538" s="20">
        <f t="shared" si="8"/>
        <v>12000</v>
      </c>
    </row>
    <row r="539">
      <c r="A539" s="16" t="s">
        <v>2362</v>
      </c>
      <c r="B539" s="17" t="s">
        <v>193</v>
      </c>
      <c r="C539" s="17" t="s">
        <v>194</v>
      </c>
      <c r="D539" s="17" t="s">
        <v>2332</v>
      </c>
      <c r="E539" s="54" t="s">
        <v>1964</v>
      </c>
      <c r="F539" s="17" t="s">
        <v>103</v>
      </c>
      <c r="G539" s="19">
        <v>46120.0</v>
      </c>
      <c r="H539" s="17" t="s">
        <v>118</v>
      </c>
      <c r="I539" s="20" t="s">
        <v>2363</v>
      </c>
      <c r="J539" s="21" t="s">
        <v>2364</v>
      </c>
      <c r="K539" s="22" t="s">
        <v>2365</v>
      </c>
      <c r="L539" s="22" t="s">
        <v>2366</v>
      </c>
      <c r="M539" s="17">
        <v>2024.0</v>
      </c>
      <c r="N539" s="17">
        <v>20.0</v>
      </c>
      <c r="O539" s="23">
        <v>433.0</v>
      </c>
      <c r="P539" s="24">
        <f t="shared" si="14"/>
        <v>1212.4</v>
      </c>
      <c r="Q539" s="25">
        <v>8.0</v>
      </c>
      <c r="R539" s="17">
        <v>0.0</v>
      </c>
      <c r="S539" s="26">
        <v>2.0</v>
      </c>
      <c r="T539" s="17">
        <v>8.0</v>
      </c>
      <c r="U539" s="17">
        <v>8.0</v>
      </c>
      <c r="V539" s="17" t="s">
        <v>130</v>
      </c>
      <c r="W539" s="28" t="s">
        <v>76</v>
      </c>
      <c r="X539" s="28" t="s">
        <v>78</v>
      </c>
      <c r="Y539" s="24">
        <v>10.0</v>
      </c>
      <c r="Z539" s="17">
        <v>150.0</v>
      </c>
      <c r="AA539" s="17">
        <v>576.0</v>
      </c>
      <c r="AB539" s="17">
        <v>31.0</v>
      </c>
      <c r="AC539" s="20">
        <f t="shared" si="2"/>
        <v>142848</v>
      </c>
      <c r="AD539" s="30">
        <f t="shared" si="3"/>
        <v>21.49333333</v>
      </c>
      <c r="AE539" s="30">
        <f t="shared" si="10"/>
        <v>26058.51733</v>
      </c>
      <c r="AF539" s="30">
        <f t="shared" si="5"/>
        <v>1228.0054</v>
      </c>
      <c r="AG539" s="34">
        <v>1.0</v>
      </c>
      <c r="AH539" s="36"/>
      <c r="AI539" s="30">
        <f t="shared" si="6"/>
        <v>3278.688525</v>
      </c>
      <c r="AJ539" s="17">
        <v>4000.0</v>
      </c>
      <c r="AK539" s="30">
        <f t="shared" si="7"/>
        <v>26229.5082</v>
      </c>
      <c r="AL539" s="20">
        <f t="shared" si="8"/>
        <v>32000</v>
      </c>
    </row>
    <row r="540">
      <c r="A540" s="16" t="s">
        <v>2367</v>
      </c>
      <c r="B540" s="17" t="s">
        <v>193</v>
      </c>
      <c r="C540" s="17" t="s">
        <v>194</v>
      </c>
      <c r="D540" s="17" t="s">
        <v>804</v>
      </c>
      <c r="E540" s="17" t="s">
        <v>2049</v>
      </c>
      <c r="F540" s="17" t="s">
        <v>103</v>
      </c>
      <c r="G540" s="19">
        <v>46120.0</v>
      </c>
      <c r="H540" s="17" t="s">
        <v>118</v>
      </c>
      <c r="I540" s="20" t="s">
        <v>2368</v>
      </c>
      <c r="J540" s="21" t="s">
        <v>2369</v>
      </c>
      <c r="K540" s="22" t="s">
        <v>2370</v>
      </c>
      <c r="L540" s="22" t="s">
        <v>2371</v>
      </c>
      <c r="M540" s="17">
        <v>2000.0</v>
      </c>
      <c r="N540" s="17">
        <v>16.0</v>
      </c>
      <c r="O540" s="23">
        <v>1026.0</v>
      </c>
      <c r="P540" s="24">
        <f t="shared" si="14"/>
        <v>2872.8</v>
      </c>
      <c r="Q540" s="25">
        <v>13.0</v>
      </c>
      <c r="R540" s="17">
        <v>13.0</v>
      </c>
      <c r="S540" s="26">
        <v>13.0</v>
      </c>
      <c r="T540" s="17">
        <v>0.0</v>
      </c>
      <c r="U540" s="17">
        <v>26.0</v>
      </c>
      <c r="V540" s="17" t="s">
        <v>130</v>
      </c>
      <c r="W540" s="28" t="s">
        <v>76</v>
      </c>
      <c r="X540" s="28" t="s">
        <v>78</v>
      </c>
      <c r="Y540" s="24">
        <v>10.0</v>
      </c>
      <c r="Z540" s="17">
        <v>150.0</v>
      </c>
      <c r="AA540" s="17">
        <v>576.0</v>
      </c>
      <c r="AB540" s="17">
        <v>31.0</v>
      </c>
      <c r="AC540" s="20">
        <f t="shared" si="2"/>
        <v>232128</v>
      </c>
      <c r="AD540" s="30">
        <f t="shared" si="3"/>
        <v>8.06</v>
      </c>
      <c r="AE540" s="30">
        <f t="shared" si="10"/>
        <v>23154.768</v>
      </c>
      <c r="AF540" s="30">
        <f t="shared" si="5"/>
        <v>2245.757764</v>
      </c>
      <c r="AG540" s="34">
        <v>1.0</v>
      </c>
      <c r="AH540" s="36"/>
      <c r="AI540" s="30">
        <f t="shared" si="6"/>
        <v>3278.688525</v>
      </c>
      <c r="AJ540" s="17">
        <v>4000.0</v>
      </c>
      <c r="AK540" s="30">
        <f t="shared" si="7"/>
        <v>42622.95082</v>
      </c>
      <c r="AL540" s="20">
        <f t="shared" si="8"/>
        <v>52000</v>
      </c>
    </row>
    <row r="541">
      <c r="A541" s="16" t="s">
        <v>2372</v>
      </c>
      <c r="B541" s="17" t="s">
        <v>193</v>
      </c>
      <c r="C541" s="17" t="s">
        <v>194</v>
      </c>
      <c r="D541" s="17" t="s">
        <v>804</v>
      </c>
      <c r="E541" s="17" t="s">
        <v>2049</v>
      </c>
      <c r="F541" s="17" t="s">
        <v>103</v>
      </c>
      <c r="G541" s="19">
        <v>46120.0</v>
      </c>
      <c r="H541" s="17" t="s">
        <v>118</v>
      </c>
      <c r="I541" s="20" t="s">
        <v>2373</v>
      </c>
      <c r="J541" s="21" t="s">
        <v>2374</v>
      </c>
      <c r="K541" s="22" t="s">
        <v>2375</v>
      </c>
      <c r="L541" s="22" t="s">
        <v>2376</v>
      </c>
      <c r="M541" s="17">
        <v>1993.0</v>
      </c>
      <c r="N541" s="17">
        <v>10.0</v>
      </c>
      <c r="O541" s="23">
        <v>120.0</v>
      </c>
      <c r="P541" s="24">
        <f t="shared" si="14"/>
        <v>336</v>
      </c>
      <c r="Q541" s="25">
        <v>4.0</v>
      </c>
      <c r="R541" s="17">
        <v>4.0</v>
      </c>
      <c r="S541" s="26">
        <v>4.0</v>
      </c>
      <c r="T541" s="17">
        <v>0.0</v>
      </c>
      <c r="U541" s="17">
        <v>4.0</v>
      </c>
      <c r="V541" s="17" t="s">
        <v>130</v>
      </c>
      <c r="W541" s="28" t="s">
        <v>76</v>
      </c>
      <c r="X541" s="28" t="s">
        <v>78</v>
      </c>
      <c r="Y541" s="24">
        <v>10.0</v>
      </c>
      <c r="Z541" s="17">
        <v>150.0</v>
      </c>
      <c r="AA541" s="17">
        <v>576.0</v>
      </c>
      <c r="AB541" s="17">
        <v>31.0</v>
      </c>
      <c r="AC541" s="20">
        <f t="shared" si="2"/>
        <v>71424</v>
      </c>
      <c r="AD541" s="30">
        <f t="shared" si="3"/>
        <v>8.06</v>
      </c>
      <c r="AE541" s="30">
        <f t="shared" si="10"/>
        <v>2708.16</v>
      </c>
      <c r="AF541" s="30">
        <f t="shared" si="5"/>
        <v>5908.070424</v>
      </c>
      <c r="AG541" s="34">
        <v>1.0</v>
      </c>
      <c r="AH541" s="36"/>
      <c r="AI541" s="30">
        <f t="shared" si="6"/>
        <v>3278.688525</v>
      </c>
      <c r="AJ541" s="17">
        <v>4000.0</v>
      </c>
      <c r="AK541" s="30">
        <f t="shared" si="7"/>
        <v>13114.7541</v>
      </c>
      <c r="AL541" s="20">
        <f t="shared" si="8"/>
        <v>16000</v>
      </c>
    </row>
    <row r="542">
      <c r="A542" s="16" t="s">
        <v>2377</v>
      </c>
      <c r="B542" s="17" t="s">
        <v>193</v>
      </c>
      <c r="C542" s="17" t="s">
        <v>194</v>
      </c>
      <c r="D542" s="17" t="s">
        <v>804</v>
      </c>
      <c r="E542" s="17" t="s">
        <v>2049</v>
      </c>
      <c r="F542" s="17" t="s">
        <v>103</v>
      </c>
      <c r="G542" s="19">
        <v>46120.0</v>
      </c>
      <c r="H542" s="17" t="s">
        <v>118</v>
      </c>
      <c r="I542" s="20" t="s">
        <v>686</v>
      </c>
      <c r="J542" s="21" t="s">
        <v>2378</v>
      </c>
      <c r="K542" s="22" t="s">
        <v>2379</v>
      </c>
      <c r="L542" s="22" t="s">
        <v>2380</v>
      </c>
      <c r="M542" s="17">
        <v>1993.0</v>
      </c>
      <c r="N542" s="17">
        <v>10.0</v>
      </c>
      <c r="O542" s="23">
        <v>80.0</v>
      </c>
      <c r="P542" s="24">
        <f t="shared" si="14"/>
        <v>224</v>
      </c>
      <c r="Q542" s="25">
        <v>2.0</v>
      </c>
      <c r="R542" s="17">
        <v>2.0</v>
      </c>
      <c r="S542" s="26">
        <v>2.0</v>
      </c>
      <c r="T542" s="17">
        <v>0.0</v>
      </c>
      <c r="U542" s="17">
        <v>2.0</v>
      </c>
      <c r="V542" s="17" t="s">
        <v>130</v>
      </c>
      <c r="W542" s="28" t="s">
        <v>76</v>
      </c>
      <c r="X542" s="28" t="s">
        <v>78</v>
      </c>
      <c r="Y542" s="24">
        <v>10.0</v>
      </c>
      <c r="Z542" s="17">
        <v>150.0</v>
      </c>
      <c r="AA542" s="17">
        <v>576.0</v>
      </c>
      <c r="AB542" s="17">
        <v>31.0</v>
      </c>
      <c r="AC542" s="20">
        <f t="shared" si="2"/>
        <v>35712</v>
      </c>
      <c r="AD542" s="30">
        <f t="shared" si="3"/>
        <v>8.06</v>
      </c>
      <c r="AE542" s="30">
        <f t="shared" si="10"/>
        <v>1805.44</v>
      </c>
      <c r="AF542" s="30">
        <f t="shared" si="5"/>
        <v>4431.052818</v>
      </c>
      <c r="AG542" s="34">
        <v>1.0</v>
      </c>
      <c r="AH542" s="36"/>
      <c r="AI542" s="30">
        <f t="shared" si="6"/>
        <v>3278.688525</v>
      </c>
      <c r="AJ542" s="17">
        <v>4000.0</v>
      </c>
      <c r="AK542" s="30">
        <f t="shared" si="7"/>
        <v>6557.377049</v>
      </c>
      <c r="AL542" s="20">
        <f t="shared" si="8"/>
        <v>8000</v>
      </c>
    </row>
    <row r="543">
      <c r="A543" s="16" t="s">
        <v>2377</v>
      </c>
      <c r="B543" s="17" t="s">
        <v>193</v>
      </c>
      <c r="C543" s="17" t="s">
        <v>194</v>
      </c>
      <c r="D543" s="17" t="s">
        <v>804</v>
      </c>
      <c r="E543" s="17" t="s">
        <v>2049</v>
      </c>
      <c r="F543" s="17" t="s">
        <v>103</v>
      </c>
      <c r="G543" s="19">
        <v>46120.0</v>
      </c>
      <c r="H543" s="17" t="s">
        <v>118</v>
      </c>
      <c r="I543" s="20" t="s">
        <v>686</v>
      </c>
      <c r="J543" s="21" t="s">
        <v>2381</v>
      </c>
      <c r="K543" s="22" t="s">
        <v>2382</v>
      </c>
      <c r="L543" s="22" t="s">
        <v>2383</v>
      </c>
      <c r="M543" s="17">
        <v>1993.0</v>
      </c>
      <c r="N543" s="17">
        <v>10.0</v>
      </c>
      <c r="O543" s="23">
        <v>80.0</v>
      </c>
      <c r="P543" s="24">
        <f t="shared" si="14"/>
        <v>224</v>
      </c>
      <c r="Q543" s="25">
        <v>2.0</v>
      </c>
      <c r="R543" s="17">
        <v>2.0</v>
      </c>
      <c r="S543" s="26">
        <v>2.0</v>
      </c>
      <c r="T543" s="17">
        <v>0.0</v>
      </c>
      <c r="U543" s="17">
        <v>2.0</v>
      </c>
      <c r="V543" s="17" t="s">
        <v>130</v>
      </c>
      <c r="W543" s="28" t="s">
        <v>76</v>
      </c>
      <c r="X543" s="28" t="s">
        <v>78</v>
      </c>
      <c r="Y543" s="24">
        <v>10.0</v>
      </c>
      <c r="Z543" s="17">
        <v>150.0</v>
      </c>
      <c r="AA543" s="17">
        <v>576.0</v>
      </c>
      <c r="AB543" s="17">
        <v>31.0</v>
      </c>
      <c r="AC543" s="20">
        <f t="shared" si="2"/>
        <v>35712</v>
      </c>
      <c r="AD543" s="30">
        <f t="shared" si="3"/>
        <v>8.06</v>
      </c>
      <c r="AE543" s="30">
        <f t="shared" si="10"/>
        <v>1805.44</v>
      </c>
      <c r="AF543" s="30">
        <f t="shared" si="5"/>
        <v>4431.052818</v>
      </c>
      <c r="AG543" s="34">
        <v>1.0</v>
      </c>
      <c r="AH543" s="36"/>
      <c r="AI543" s="30">
        <f t="shared" si="6"/>
        <v>3278.688525</v>
      </c>
      <c r="AJ543" s="17">
        <v>4000.0</v>
      </c>
      <c r="AK543" s="30">
        <f t="shared" si="7"/>
        <v>6557.377049</v>
      </c>
      <c r="AL543" s="20">
        <f t="shared" si="8"/>
        <v>8000</v>
      </c>
    </row>
    <row r="544">
      <c r="A544" s="16" t="s">
        <v>2377</v>
      </c>
      <c r="B544" s="17" t="s">
        <v>193</v>
      </c>
      <c r="C544" s="17" t="s">
        <v>194</v>
      </c>
      <c r="D544" s="17" t="s">
        <v>804</v>
      </c>
      <c r="E544" s="17" t="s">
        <v>2049</v>
      </c>
      <c r="F544" s="17" t="s">
        <v>103</v>
      </c>
      <c r="G544" s="19">
        <v>46120.0</v>
      </c>
      <c r="H544" s="17" t="s">
        <v>118</v>
      </c>
      <c r="I544" s="20" t="s">
        <v>686</v>
      </c>
      <c r="J544" s="21" t="s">
        <v>2384</v>
      </c>
      <c r="K544" s="22" t="s">
        <v>2385</v>
      </c>
      <c r="L544" s="22" t="s">
        <v>2386</v>
      </c>
      <c r="M544" s="17">
        <v>1993.0</v>
      </c>
      <c r="N544" s="17">
        <v>9.0</v>
      </c>
      <c r="O544" s="23">
        <v>54.0</v>
      </c>
      <c r="P544" s="24">
        <f t="shared" si="14"/>
        <v>151.2</v>
      </c>
      <c r="Q544" s="25">
        <v>2.0</v>
      </c>
      <c r="R544" s="17">
        <v>2.0</v>
      </c>
      <c r="S544" s="26">
        <v>2.0</v>
      </c>
      <c r="T544" s="17">
        <v>0.0</v>
      </c>
      <c r="U544" s="17">
        <v>2.0</v>
      </c>
      <c r="V544" s="17" t="s">
        <v>130</v>
      </c>
      <c r="W544" s="28" t="s">
        <v>76</v>
      </c>
      <c r="X544" s="28" t="s">
        <v>78</v>
      </c>
      <c r="Y544" s="24">
        <v>10.0</v>
      </c>
      <c r="Z544" s="17">
        <v>150.0</v>
      </c>
      <c r="AA544" s="17">
        <v>576.0</v>
      </c>
      <c r="AB544" s="17">
        <v>31.0</v>
      </c>
      <c r="AC544" s="20">
        <f t="shared" si="2"/>
        <v>35712</v>
      </c>
      <c r="AD544" s="30">
        <f t="shared" si="3"/>
        <v>8.06</v>
      </c>
      <c r="AE544" s="30">
        <f t="shared" si="10"/>
        <v>1218.672</v>
      </c>
      <c r="AF544" s="30">
        <f t="shared" si="5"/>
        <v>6564.522694</v>
      </c>
      <c r="AG544" s="34">
        <v>1.0</v>
      </c>
      <c r="AH544" s="36"/>
      <c r="AI544" s="30">
        <f t="shared" si="6"/>
        <v>3278.688525</v>
      </c>
      <c r="AJ544" s="17">
        <v>4000.0</v>
      </c>
      <c r="AK544" s="30">
        <f t="shared" si="7"/>
        <v>6557.377049</v>
      </c>
      <c r="AL544" s="20">
        <f t="shared" si="8"/>
        <v>8000</v>
      </c>
    </row>
    <row r="545">
      <c r="A545" s="16" t="s">
        <v>2387</v>
      </c>
      <c r="B545" s="17" t="s">
        <v>193</v>
      </c>
      <c r="C545" s="17" t="s">
        <v>194</v>
      </c>
      <c r="D545" s="17" t="s">
        <v>804</v>
      </c>
      <c r="E545" s="17" t="s">
        <v>2049</v>
      </c>
      <c r="F545" s="17" t="s">
        <v>103</v>
      </c>
      <c r="G545" s="19">
        <v>46120.0</v>
      </c>
      <c r="H545" s="17" t="s">
        <v>118</v>
      </c>
      <c r="I545" s="20" t="s">
        <v>2388</v>
      </c>
      <c r="J545" s="21" t="s">
        <v>2389</v>
      </c>
      <c r="K545" s="22" t="s">
        <v>2390</v>
      </c>
      <c r="L545" s="22" t="s">
        <v>2391</v>
      </c>
      <c r="M545" s="17">
        <v>1993.0</v>
      </c>
      <c r="N545" s="17">
        <v>9.0</v>
      </c>
      <c r="O545" s="23">
        <v>54.0</v>
      </c>
      <c r="P545" s="24">
        <f t="shared" si="14"/>
        <v>151.2</v>
      </c>
      <c r="Q545" s="25">
        <v>2.0</v>
      </c>
      <c r="R545" s="17">
        <v>2.0</v>
      </c>
      <c r="S545" s="26">
        <v>2.0</v>
      </c>
      <c r="T545" s="17">
        <v>0.0</v>
      </c>
      <c r="U545" s="17">
        <v>2.0</v>
      </c>
      <c r="V545" s="17" t="s">
        <v>130</v>
      </c>
      <c r="W545" s="28" t="s">
        <v>76</v>
      </c>
      <c r="X545" s="28" t="s">
        <v>78</v>
      </c>
      <c r="Y545" s="24">
        <v>10.0</v>
      </c>
      <c r="Z545" s="17">
        <v>150.0</v>
      </c>
      <c r="AA545" s="17">
        <v>576.0</v>
      </c>
      <c r="AB545" s="17">
        <v>31.0</v>
      </c>
      <c r="AC545" s="20">
        <f t="shared" si="2"/>
        <v>35712</v>
      </c>
      <c r="AD545" s="30">
        <f t="shared" si="3"/>
        <v>8.06</v>
      </c>
      <c r="AE545" s="30">
        <f t="shared" si="10"/>
        <v>1218.672</v>
      </c>
      <c r="AF545" s="30">
        <f t="shared" si="5"/>
        <v>6564.522694</v>
      </c>
      <c r="AG545" s="34">
        <v>1.0</v>
      </c>
      <c r="AH545" s="36"/>
      <c r="AI545" s="30">
        <f t="shared" si="6"/>
        <v>3278.688525</v>
      </c>
      <c r="AJ545" s="17">
        <v>4000.0</v>
      </c>
      <c r="AK545" s="30">
        <f t="shared" si="7"/>
        <v>6557.377049</v>
      </c>
      <c r="AL545" s="20">
        <f t="shared" si="8"/>
        <v>8000</v>
      </c>
    </row>
    <row r="546">
      <c r="A546" s="16" t="s">
        <v>2387</v>
      </c>
      <c r="B546" s="17" t="s">
        <v>193</v>
      </c>
      <c r="C546" s="17" t="s">
        <v>194</v>
      </c>
      <c r="D546" s="17" t="s">
        <v>804</v>
      </c>
      <c r="E546" s="17" t="s">
        <v>2049</v>
      </c>
      <c r="F546" s="17" t="s">
        <v>103</v>
      </c>
      <c r="G546" s="19">
        <v>46120.0</v>
      </c>
      <c r="H546" s="17" t="s">
        <v>118</v>
      </c>
      <c r="I546" s="20" t="s">
        <v>2388</v>
      </c>
      <c r="J546" s="21" t="s">
        <v>2392</v>
      </c>
      <c r="K546" s="22" t="s">
        <v>2393</v>
      </c>
      <c r="L546" s="22" t="s">
        <v>2394</v>
      </c>
      <c r="M546" s="17">
        <v>1993.0</v>
      </c>
      <c r="N546" s="17">
        <v>9.0</v>
      </c>
      <c r="O546" s="23">
        <v>54.0</v>
      </c>
      <c r="P546" s="24">
        <f t="shared" si="14"/>
        <v>151.2</v>
      </c>
      <c r="Q546" s="25">
        <v>2.0</v>
      </c>
      <c r="R546" s="17">
        <v>2.0</v>
      </c>
      <c r="S546" s="26">
        <v>2.0</v>
      </c>
      <c r="T546" s="17">
        <v>0.0</v>
      </c>
      <c r="U546" s="17">
        <v>2.0</v>
      </c>
      <c r="V546" s="17" t="s">
        <v>130</v>
      </c>
      <c r="W546" s="28" t="s">
        <v>76</v>
      </c>
      <c r="X546" s="28" t="s">
        <v>78</v>
      </c>
      <c r="Y546" s="24">
        <v>10.0</v>
      </c>
      <c r="Z546" s="17">
        <v>150.0</v>
      </c>
      <c r="AA546" s="17">
        <v>576.0</v>
      </c>
      <c r="AB546" s="17">
        <v>31.0</v>
      </c>
      <c r="AC546" s="20">
        <f t="shared" si="2"/>
        <v>35712</v>
      </c>
      <c r="AD546" s="30">
        <f t="shared" si="3"/>
        <v>8.06</v>
      </c>
      <c r="AE546" s="30">
        <f t="shared" si="10"/>
        <v>1218.672</v>
      </c>
      <c r="AF546" s="30">
        <f t="shared" si="5"/>
        <v>6564.522694</v>
      </c>
      <c r="AG546" s="34">
        <v>1.0</v>
      </c>
      <c r="AH546" s="36"/>
      <c r="AI546" s="30">
        <f t="shared" si="6"/>
        <v>3278.688525</v>
      </c>
      <c r="AJ546" s="17">
        <v>4000.0</v>
      </c>
      <c r="AK546" s="30">
        <f t="shared" si="7"/>
        <v>6557.377049</v>
      </c>
      <c r="AL546" s="20">
        <f t="shared" si="8"/>
        <v>8000</v>
      </c>
    </row>
    <row r="547">
      <c r="A547" s="16" t="s">
        <v>2387</v>
      </c>
      <c r="B547" s="17" t="s">
        <v>193</v>
      </c>
      <c r="C547" s="17" t="s">
        <v>194</v>
      </c>
      <c r="D547" s="17" t="s">
        <v>804</v>
      </c>
      <c r="E547" s="17" t="s">
        <v>2049</v>
      </c>
      <c r="F547" s="17" t="s">
        <v>103</v>
      </c>
      <c r="G547" s="19">
        <v>46120.0</v>
      </c>
      <c r="H547" s="17" t="s">
        <v>118</v>
      </c>
      <c r="I547" s="20" t="s">
        <v>2388</v>
      </c>
      <c r="J547" s="21" t="s">
        <v>2395</v>
      </c>
      <c r="K547" s="22" t="s">
        <v>2396</v>
      </c>
      <c r="L547" s="22" t="s">
        <v>2383</v>
      </c>
      <c r="M547" s="17">
        <v>1993.0</v>
      </c>
      <c r="N547" s="17">
        <v>10.0</v>
      </c>
      <c r="O547" s="23">
        <v>54.0</v>
      </c>
      <c r="P547" s="24">
        <f t="shared" si="14"/>
        <v>151.2</v>
      </c>
      <c r="Q547" s="25">
        <v>2.0</v>
      </c>
      <c r="R547" s="17">
        <v>2.0</v>
      </c>
      <c r="S547" s="26">
        <v>2.0</v>
      </c>
      <c r="T547" s="17">
        <v>0.0</v>
      </c>
      <c r="U547" s="17">
        <v>2.0</v>
      </c>
      <c r="V547" s="17" t="s">
        <v>130</v>
      </c>
      <c r="W547" s="28" t="s">
        <v>76</v>
      </c>
      <c r="X547" s="28" t="s">
        <v>78</v>
      </c>
      <c r="Y547" s="24">
        <v>10.0</v>
      </c>
      <c r="Z547" s="17">
        <v>150.0</v>
      </c>
      <c r="AA547" s="17">
        <v>576.0</v>
      </c>
      <c r="AB547" s="17">
        <v>31.0</v>
      </c>
      <c r="AC547" s="20">
        <f t="shared" si="2"/>
        <v>35712</v>
      </c>
      <c r="AD547" s="30">
        <f t="shared" si="3"/>
        <v>8.06</v>
      </c>
      <c r="AE547" s="30">
        <f t="shared" si="10"/>
        <v>1218.672</v>
      </c>
      <c r="AF547" s="30">
        <f t="shared" si="5"/>
        <v>6564.522694</v>
      </c>
      <c r="AG547" s="34">
        <v>1.0</v>
      </c>
      <c r="AH547" s="36"/>
      <c r="AI547" s="30">
        <f t="shared" si="6"/>
        <v>3278.688525</v>
      </c>
      <c r="AJ547" s="17">
        <v>4000.0</v>
      </c>
      <c r="AK547" s="30">
        <f t="shared" si="7"/>
        <v>6557.377049</v>
      </c>
      <c r="AL547" s="20">
        <f t="shared" si="8"/>
        <v>8000</v>
      </c>
    </row>
    <row r="548">
      <c r="A548" s="16" t="s">
        <v>2397</v>
      </c>
      <c r="B548" s="17" t="s">
        <v>193</v>
      </c>
      <c r="C548" s="17" t="s">
        <v>194</v>
      </c>
      <c r="D548" s="17" t="s">
        <v>804</v>
      </c>
      <c r="E548" s="17" t="s">
        <v>2049</v>
      </c>
      <c r="F548" s="17" t="s">
        <v>103</v>
      </c>
      <c r="G548" s="19">
        <v>46120.0</v>
      </c>
      <c r="H548" s="17" t="s">
        <v>118</v>
      </c>
      <c r="I548" s="20" t="s">
        <v>2398</v>
      </c>
      <c r="J548" s="21" t="s">
        <v>2399</v>
      </c>
      <c r="K548" s="22" t="s">
        <v>2400</v>
      </c>
      <c r="L548" s="22" t="s">
        <v>2401</v>
      </c>
      <c r="M548" s="17">
        <v>2000.0</v>
      </c>
      <c r="N548" s="17">
        <v>15.0</v>
      </c>
      <c r="O548" s="23">
        <v>876.0</v>
      </c>
      <c r="P548" s="24">
        <f t="shared" si="14"/>
        <v>2452.8</v>
      </c>
      <c r="Q548" s="25">
        <v>12.0</v>
      </c>
      <c r="R548" s="17">
        <v>12.0</v>
      </c>
      <c r="S548" s="26">
        <v>7.0</v>
      </c>
      <c r="T548" s="17">
        <v>0.0</v>
      </c>
      <c r="U548" s="17">
        <v>16.0</v>
      </c>
      <c r="V548" s="17" t="s">
        <v>130</v>
      </c>
      <c r="W548" s="28" t="s">
        <v>76</v>
      </c>
      <c r="X548" s="28" t="s">
        <v>78</v>
      </c>
      <c r="Y548" s="24">
        <v>10.0</v>
      </c>
      <c r="Z548" s="17">
        <v>150.0</v>
      </c>
      <c r="AA548" s="17">
        <v>576.0</v>
      </c>
      <c r="AB548" s="17">
        <v>31.0</v>
      </c>
      <c r="AC548" s="20">
        <f t="shared" si="2"/>
        <v>214272</v>
      </c>
      <c r="AD548" s="30">
        <f t="shared" si="3"/>
        <v>13.81714286</v>
      </c>
      <c r="AE548" s="30">
        <f t="shared" si="10"/>
        <v>33890.688</v>
      </c>
      <c r="AF548" s="30">
        <f t="shared" si="5"/>
        <v>1416.318252</v>
      </c>
      <c r="AG548" s="34">
        <v>1.0</v>
      </c>
      <c r="AH548" s="36"/>
      <c r="AI548" s="30">
        <f t="shared" si="6"/>
        <v>3278.688525</v>
      </c>
      <c r="AJ548" s="17">
        <v>4000.0</v>
      </c>
      <c r="AK548" s="30">
        <f t="shared" si="7"/>
        <v>39344.2623</v>
      </c>
      <c r="AL548" s="20">
        <f t="shared" si="8"/>
        <v>48000</v>
      </c>
    </row>
    <row r="549">
      <c r="A549" s="16" t="s">
        <v>2402</v>
      </c>
      <c r="B549" s="17" t="s">
        <v>193</v>
      </c>
      <c r="C549" s="17" t="s">
        <v>194</v>
      </c>
      <c r="D549" s="17" t="s">
        <v>2246</v>
      </c>
      <c r="E549" s="96" t="s">
        <v>2246</v>
      </c>
      <c r="F549" s="17" t="s">
        <v>63</v>
      </c>
      <c r="G549" s="19">
        <v>46120.0</v>
      </c>
      <c r="H549" s="17" t="s">
        <v>118</v>
      </c>
      <c r="I549" s="20" t="s">
        <v>2403</v>
      </c>
      <c r="J549" s="21" t="s">
        <v>2404</v>
      </c>
      <c r="K549" s="22" t="s">
        <v>2405</v>
      </c>
      <c r="L549" s="22" t="s">
        <v>2406</v>
      </c>
      <c r="M549" s="17">
        <v>2000.0</v>
      </c>
      <c r="N549" s="17">
        <v>15.0</v>
      </c>
      <c r="O549" s="23">
        <v>88.0</v>
      </c>
      <c r="P549" s="24">
        <f t="shared" si="14"/>
        <v>246.4</v>
      </c>
      <c r="Q549" s="25">
        <v>2.0</v>
      </c>
      <c r="R549" s="17">
        <v>2.0</v>
      </c>
      <c r="S549" s="26">
        <v>1.0</v>
      </c>
      <c r="T549" s="17">
        <v>0.0</v>
      </c>
      <c r="U549" s="17">
        <v>2.0</v>
      </c>
      <c r="V549" s="17" t="s">
        <v>130</v>
      </c>
      <c r="W549" s="28" t="s">
        <v>76</v>
      </c>
      <c r="X549" s="28" t="s">
        <v>78</v>
      </c>
      <c r="Y549" s="24">
        <v>10.0</v>
      </c>
      <c r="Z549" s="17">
        <v>150.0</v>
      </c>
      <c r="AA549" s="17">
        <v>576.0</v>
      </c>
      <c r="AB549" s="17">
        <v>31.0</v>
      </c>
      <c r="AC549" s="20">
        <f t="shared" si="2"/>
        <v>35712</v>
      </c>
      <c r="AD549" s="30">
        <f t="shared" si="3"/>
        <v>16.12</v>
      </c>
      <c r="AE549" s="30">
        <f t="shared" si="10"/>
        <v>3971.968</v>
      </c>
      <c r="AF549" s="30">
        <f t="shared" si="5"/>
        <v>2014.114917</v>
      </c>
      <c r="AG549" s="34">
        <v>1.0</v>
      </c>
      <c r="AH549" s="36"/>
      <c r="AI549" s="30">
        <f t="shared" si="6"/>
        <v>3278.688525</v>
      </c>
      <c r="AJ549" s="17">
        <v>4000.0</v>
      </c>
      <c r="AK549" s="30">
        <f t="shared" si="7"/>
        <v>6557.377049</v>
      </c>
      <c r="AL549" s="20">
        <f t="shared" si="8"/>
        <v>8000</v>
      </c>
    </row>
    <row r="550">
      <c r="A550" s="16" t="s">
        <v>2407</v>
      </c>
      <c r="B550" s="17" t="s">
        <v>193</v>
      </c>
      <c r="C550" s="17" t="s">
        <v>194</v>
      </c>
      <c r="D550" s="17" t="s">
        <v>2246</v>
      </c>
      <c r="E550" s="96" t="s">
        <v>2246</v>
      </c>
      <c r="F550" s="17" t="s">
        <v>103</v>
      </c>
      <c r="G550" s="19">
        <v>46120.0</v>
      </c>
      <c r="H550" s="17" t="s">
        <v>118</v>
      </c>
      <c r="I550" s="20" t="s">
        <v>2408</v>
      </c>
      <c r="J550" s="21" t="s">
        <v>2409</v>
      </c>
      <c r="K550" s="22" t="s">
        <v>2410</v>
      </c>
      <c r="L550" s="22" t="s">
        <v>2411</v>
      </c>
      <c r="M550" s="17">
        <v>2012.0</v>
      </c>
      <c r="N550" s="17">
        <v>16.0</v>
      </c>
      <c r="O550" s="23">
        <v>345.0</v>
      </c>
      <c r="P550" s="24">
        <f t="shared" si="14"/>
        <v>966</v>
      </c>
      <c r="Q550" s="25">
        <v>12.0</v>
      </c>
      <c r="R550" s="17">
        <v>0.0</v>
      </c>
      <c r="S550" s="26">
        <v>6.0</v>
      </c>
      <c r="T550" s="17">
        <v>12.0</v>
      </c>
      <c r="U550" s="17">
        <v>12.0</v>
      </c>
      <c r="V550" s="17" t="s">
        <v>130</v>
      </c>
      <c r="W550" s="28" t="s">
        <v>76</v>
      </c>
      <c r="X550" s="28" t="s">
        <v>78</v>
      </c>
      <c r="Y550" s="24">
        <v>10.0</v>
      </c>
      <c r="Z550" s="17">
        <v>150.0</v>
      </c>
      <c r="AA550" s="17">
        <v>576.0</v>
      </c>
      <c r="AB550" s="17">
        <v>31.0</v>
      </c>
      <c r="AC550" s="20">
        <f t="shared" si="2"/>
        <v>214272</v>
      </c>
      <c r="AD550" s="30">
        <f t="shared" si="3"/>
        <v>17.19466667</v>
      </c>
      <c r="AE550" s="30">
        <f t="shared" si="10"/>
        <v>16610.048</v>
      </c>
      <c r="AF550" s="30">
        <f t="shared" si="5"/>
        <v>2889.817055</v>
      </c>
      <c r="AG550" s="34">
        <v>1.0</v>
      </c>
      <c r="AH550" s="36"/>
      <c r="AI550" s="30">
        <f t="shared" si="6"/>
        <v>3278.688525</v>
      </c>
      <c r="AJ550" s="17">
        <v>4000.0</v>
      </c>
      <c r="AK550" s="30">
        <f t="shared" si="7"/>
        <v>39344.2623</v>
      </c>
      <c r="AL550" s="20">
        <f t="shared" si="8"/>
        <v>48000</v>
      </c>
    </row>
    <row r="551">
      <c r="A551" s="16" t="s">
        <v>2412</v>
      </c>
      <c r="B551" s="17" t="s">
        <v>193</v>
      </c>
      <c r="C551" s="17" t="s">
        <v>194</v>
      </c>
      <c r="D551" s="17" t="s">
        <v>2413</v>
      </c>
      <c r="E551" s="54" t="s">
        <v>1964</v>
      </c>
      <c r="F551" s="17" t="s">
        <v>103</v>
      </c>
      <c r="G551" s="19">
        <v>46120.0</v>
      </c>
      <c r="H551" s="17" t="s">
        <v>118</v>
      </c>
      <c r="I551" s="20" t="s">
        <v>2414</v>
      </c>
      <c r="J551" s="21" t="s">
        <v>2415</v>
      </c>
      <c r="K551" s="22" t="s">
        <v>2416</v>
      </c>
      <c r="L551" s="22" t="s">
        <v>2417</v>
      </c>
      <c r="M551" s="17">
        <v>2026.0</v>
      </c>
      <c r="N551" s="17">
        <v>5.0</v>
      </c>
      <c r="O551" s="23">
        <v>66.0</v>
      </c>
      <c r="P551" s="24">
        <f t="shared" si="14"/>
        <v>184.8</v>
      </c>
      <c r="Q551" s="25">
        <v>5.0</v>
      </c>
      <c r="R551" s="17">
        <v>0.0</v>
      </c>
      <c r="S551" s="26">
        <v>5.0</v>
      </c>
      <c r="T551" s="17">
        <v>5.0</v>
      </c>
      <c r="U551" s="17">
        <v>5.0</v>
      </c>
      <c r="V551" s="17" t="s">
        <v>130</v>
      </c>
      <c r="W551" s="28" t="s">
        <v>76</v>
      </c>
      <c r="X551" s="28" t="s">
        <v>78</v>
      </c>
      <c r="Y551" s="24">
        <v>10.0</v>
      </c>
      <c r="Z551" s="17">
        <v>150.0</v>
      </c>
      <c r="AA551" s="17">
        <v>576.0</v>
      </c>
      <c r="AB551" s="17">
        <v>31.0</v>
      </c>
      <c r="AC551" s="20">
        <f t="shared" si="2"/>
        <v>89280</v>
      </c>
      <c r="AD551" s="30">
        <f t="shared" si="3"/>
        <v>5.373333333</v>
      </c>
      <c r="AE551" s="30">
        <f t="shared" si="10"/>
        <v>992.992</v>
      </c>
      <c r="AF551" s="30">
        <f t="shared" si="5"/>
        <v>20141.14917</v>
      </c>
      <c r="AG551" s="34">
        <v>1.0</v>
      </c>
      <c r="AH551" s="36"/>
      <c r="AI551" s="30">
        <f t="shared" si="6"/>
        <v>3278.688525</v>
      </c>
      <c r="AJ551" s="17">
        <v>4000.0</v>
      </c>
      <c r="AK551" s="30">
        <f t="shared" si="7"/>
        <v>16393.44262</v>
      </c>
      <c r="AL551" s="20">
        <f t="shared" si="8"/>
        <v>20000</v>
      </c>
    </row>
    <row r="552">
      <c r="A552" s="16" t="s">
        <v>2412</v>
      </c>
      <c r="B552" s="17" t="s">
        <v>193</v>
      </c>
      <c r="C552" s="17" t="s">
        <v>194</v>
      </c>
      <c r="D552" s="17" t="s">
        <v>2418</v>
      </c>
      <c r="E552" s="54" t="s">
        <v>1964</v>
      </c>
      <c r="F552" s="17" t="s">
        <v>103</v>
      </c>
      <c r="G552" s="19">
        <v>46120.0</v>
      </c>
      <c r="H552" s="17" t="s">
        <v>118</v>
      </c>
      <c r="I552" s="20" t="s">
        <v>2414</v>
      </c>
      <c r="J552" s="21" t="s">
        <v>2419</v>
      </c>
      <c r="K552" s="22" t="s">
        <v>2420</v>
      </c>
      <c r="L552" s="22" t="s">
        <v>2421</v>
      </c>
      <c r="M552" s="17">
        <v>2026.0</v>
      </c>
      <c r="N552" s="17">
        <v>6.0</v>
      </c>
      <c r="O552" s="23">
        <v>81.0</v>
      </c>
      <c r="P552" s="24">
        <f t="shared" si="14"/>
        <v>226.8</v>
      </c>
      <c r="Q552" s="25">
        <v>2.0</v>
      </c>
      <c r="R552" s="17">
        <v>0.0</v>
      </c>
      <c r="S552" s="26">
        <v>2.0</v>
      </c>
      <c r="T552" s="17">
        <v>2.0</v>
      </c>
      <c r="U552" s="17">
        <v>2.0</v>
      </c>
      <c r="V552" s="17" t="s">
        <v>130</v>
      </c>
      <c r="W552" s="28" t="s">
        <v>76</v>
      </c>
      <c r="X552" s="28" t="s">
        <v>78</v>
      </c>
      <c r="Y552" s="24">
        <v>10.0</v>
      </c>
      <c r="Z552" s="17">
        <v>150.0</v>
      </c>
      <c r="AA552" s="17">
        <v>576.0</v>
      </c>
      <c r="AB552" s="17">
        <v>31.0</v>
      </c>
      <c r="AC552" s="20">
        <f t="shared" si="2"/>
        <v>35712</v>
      </c>
      <c r="AD552" s="30">
        <f t="shared" si="3"/>
        <v>6.448</v>
      </c>
      <c r="AE552" s="30">
        <f t="shared" si="10"/>
        <v>1462.4064</v>
      </c>
      <c r="AF552" s="30">
        <f t="shared" si="5"/>
        <v>5470.435578</v>
      </c>
      <c r="AG552" s="34">
        <v>1.0</v>
      </c>
      <c r="AH552" s="36"/>
      <c r="AI552" s="30">
        <f t="shared" si="6"/>
        <v>3278.688525</v>
      </c>
      <c r="AJ552" s="17">
        <v>4000.0</v>
      </c>
      <c r="AK552" s="30">
        <f t="shared" si="7"/>
        <v>6557.377049</v>
      </c>
      <c r="AL552" s="20">
        <f t="shared" si="8"/>
        <v>8000</v>
      </c>
    </row>
    <row r="553">
      <c r="A553" s="16" t="s">
        <v>2412</v>
      </c>
      <c r="B553" s="17" t="s">
        <v>193</v>
      </c>
      <c r="C553" s="17" t="s">
        <v>194</v>
      </c>
      <c r="D553" s="17" t="s">
        <v>2418</v>
      </c>
      <c r="E553" s="54" t="s">
        <v>1964</v>
      </c>
      <c r="F553" s="17" t="s">
        <v>103</v>
      </c>
      <c r="G553" s="19">
        <v>46120.0</v>
      </c>
      <c r="H553" s="17" t="s">
        <v>118</v>
      </c>
      <c r="I553" s="20" t="s">
        <v>2414</v>
      </c>
      <c r="J553" s="21" t="s">
        <v>2422</v>
      </c>
      <c r="K553" s="22" t="s">
        <v>2423</v>
      </c>
      <c r="L553" s="22" t="s">
        <v>2424</v>
      </c>
      <c r="M553" s="17">
        <v>2026.0</v>
      </c>
      <c r="N553" s="17">
        <v>6.0</v>
      </c>
      <c r="O553" s="23">
        <v>74.0</v>
      </c>
      <c r="P553" s="24">
        <f t="shared" si="14"/>
        <v>207.2</v>
      </c>
      <c r="Q553" s="25">
        <v>4.0</v>
      </c>
      <c r="R553" s="17">
        <v>0.0</v>
      </c>
      <c r="S553" s="26">
        <v>2.0</v>
      </c>
      <c r="T553" s="17">
        <v>4.0</v>
      </c>
      <c r="U553" s="17">
        <v>4.0</v>
      </c>
      <c r="V553" s="17" t="s">
        <v>130</v>
      </c>
      <c r="W553" s="28" t="s">
        <v>76</v>
      </c>
      <c r="X553" s="28" t="s">
        <v>78</v>
      </c>
      <c r="Y553" s="24">
        <v>10.0</v>
      </c>
      <c r="Z553" s="17">
        <v>150.0</v>
      </c>
      <c r="AA553" s="17">
        <v>576.0</v>
      </c>
      <c r="AB553" s="17">
        <v>31.0</v>
      </c>
      <c r="AC553" s="20">
        <f t="shared" si="2"/>
        <v>71424</v>
      </c>
      <c r="AD553" s="30">
        <f t="shared" si="3"/>
        <v>6.448</v>
      </c>
      <c r="AE553" s="30">
        <f t="shared" si="10"/>
        <v>1336.0256</v>
      </c>
      <c r="AF553" s="30">
        <f t="shared" si="5"/>
        <v>11975.81843</v>
      </c>
      <c r="AG553" s="34">
        <v>1.0</v>
      </c>
      <c r="AH553" s="36"/>
      <c r="AI553" s="30">
        <f t="shared" si="6"/>
        <v>3278.688525</v>
      </c>
      <c r="AJ553" s="17">
        <v>4000.0</v>
      </c>
      <c r="AK553" s="30">
        <f t="shared" si="7"/>
        <v>13114.7541</v>
      </c>
      <c r="AL553" s="20">
        <f t="shared" si="8"/>
        <v>16000</v>
      </c>
    </row>
    <row r="554">
      <c r="A554" s="16" t="s">
        <v>2425</v>
      </c>
      <c r="B554" s="17" t="s">
        <v>193</v>
      </c>
      <c r="C554" s="17" t="s">
        <v>194</v>
      </c>
      <c r="D554" s="17" t="s">
        <v>101</v>
      </c>
      <c r="E554" s="54" t="s">
        <v>1964</v>
      </c>
      <c r="F554" s="17" t="s">
        <v>63</v>
      </c>
      <c r="G554" s="19">
        <v>46171.0</v>
      </c>
      <c r="H554" s="17" t="s">
        <v>118</v>
      </c>
      <c r="I554" s="20" t="s">
        <v>2426</v>
      </c>
      <c r="J554" s="21" t="s">
        <v>2427</v>
      </c>
      <c r="K554" s="22" t="s">
        <v>2428</v>
      </c>
      <c r="L554" s="22" t="s">
        <v>2429</v>
      </c>
      <c r="M554" s="17">
        <v>2026.0</v>
      </c>
      <c r="N554" s="17">
        <v>10.0</v>
      </c>
      <c r="O554" s="23">
        <v>72.0</v>
      </c>
      <c r="P554" s="24">
        <f t="shared" si="14"/>
        <v>201.6</v>
      </c>
      <c r="Q554" s="25">
        <v>2.0</v>
      </c>
      <c r="R554" s="17">
        <v>2.0</v>
      </c>
      <c r="S554" s="26">
        <v>2.0</v>
      </c>
      <c r="T554" s="17">
        <v>0.0</v>
      </c>
      <c r="U554" s="17">
        <v>2.0</v>
      </c>
      <c r="V554" s="17" t="s">
        <v>130</v>
      </c>
      <c r="W554" s="28" t="s">
        <v>76</v>
      </c>
      <c r="X554" s="28" t="s">
        <v>78</v>
      </c>
      <c r="Y554" s="24">
        <v>10.0</v>
      </c>
      <c r="Z554" s="17">
        <v>150.0</v>
      </c>
      <c r="AA554" s="17">
        <v>576.0</v>
      </c>
      <c r="AB554" s="17">
        <v>31.0</v>
      </c>
      <c r="AC554" s="20">
        <f t="shared" si="2"/>
        <v>35712</v>
      </c>
      <c r="AD554" s="30">
        <f t="shared" si="3"/>
        <v>8.06</v>
      </c>
      <c r="AE554" s="30">
        <f t="shared" si="10"/>
        <v>1624.896</v>
      </c>
      <c r="AF554" s="30">
        <f t="shared" si="5"/>
        <v>4923.39202</v>
      </c>
      <c r="AG554" s="34">
        <v>1.0</v>
      </c>
      <c r="AH554" s="36"/>
      <c r="AI554" s="30">
        <f t="shared" si="6"/>
        <v>3278.688525</v>
      </c>
      <c r="AJ554" s="17">
        <v>4000.0</v>
      </c>
      <c r="AK554" s="30">
        <f t="shared" si="7"/>
        <v>6557.377049</v>
      </c>
      <c r="AL554" s="20">
        <f t="shared" si="8"/>
        <v>8000</v>
      </c>
    </row>
    <row r="555">
      <c r="A555" s="16" t="s">
        <v>2425</v>
      </c>
      <c r="B555" s="17" t="s">
        <v>193</v>
      </c>
      <c r="C555" s="17" t="s">
        <v>194</v>
      </c>
      <c r="D555" s="17" t="s">
        <v>101</v>
      </c>
      <c r="E555" s="54" t="s">
        <v>1964</v>
      </c>
      <c r="F555" s="17" t="s">
        <v>63</v>
      </c>
      <c r="G555" s="19">
        <v>46171.0</v>
      </c>
      <c r="H555" s="17" t="s">
        <v>118</v>
      </c>
      <c r="I555" s="20" t="s">
        <v>2426</v>
      </c>
      <c r="J555" s="21" t="s">
        <v>2430</v>
      </c>
      <c r="K555" s="22" t="s">
        <v>2431</v>
      </c>
      <c r="L555" s="22" t="s">
        <v>2432</v>
      </c>
      <c r="M555" s="17">
        <v>2026.0</v>
      </c>
      <c r="N555" s="17">
        <v>10.0</v>
      </c>
      <c r="O555" s="23">
        <v>41.0</v>
      </c>
      <c r="P555" s="24">
        <f t="shared" si="14"/>
        <v>114.8</v>
      </c>
      <c r="Q555" s="25">
        <v>1.0</v>
      </c>
      <c r="R555" s="17">
        <v>1.0</v>
      </c>
      <c r="S555" s="26">
        <v>1.0</v>
      </c>
      <c r="T555" s="17">
        <v>0.0</v>
      </c>
      <c r="U555" s="17">
        <v>1.0</v>
      </c>
      <c r="V555" s="17" t="s">
        <v>130</v>
      </c>
      <c r="W555" s="28" t="s">
        <v>76</v>
      </c>
      <c r="X555" s="28" t="s">
        <v>78</v>
      </c>
      <c r="Y555" s="24">
        <v>10.0</v>
      </c>
      <c r="Z555" s="17">
        <v>150.0</v>
      </c>
      <c r="AA555" s="17">
        <v>576.0</v>
      </c>
      <c r="AB555" s="17">
        <v>31.0</v>
      </c>
      <c r="AC555" s="20">
        <f t="shared" si="2"/>
        <v>17856</v>
      </c>
      <c r="AD555" s="30">
        <f t="shared" si="3"/>
        <v>8.06</v>
      </c>
      <c r="AE555" s="30">
        <f t="shared" si="10"/>
        <v>925.288</v>
      </c>
      <c r="AF555" s="30">
        <f t="shared" si="5"/>
        <v>4322.978359</v>
      </c>
      <c r="AG555" s="34">
        <v>1.0</v>
      </c>
      <c r="AH555" s="36"/>
      <c r="AI555" s="30">
        <f t="shared" si="6"/>
        <v>3278.688525</v>
      </c>
      <c r="AJ555" s="17">
        <v>4000.0</v>
      </c>
      <c r="AK555" s="30">
        <f t="shared" si="7"/>
        <v>3278.688525</v>
      </c>
      <c r="AL555" s="20">
        <f t="shared" si="8"/>
        <v>4000</v>
      </c>
    </row>
    <row r="556">
      <c r="A556" s="16" t="s">
        <v>2433</v>
      </c>
      <c r="B556" s="17" t="s">
        <v>193</v>
      </c>
      <c r="C556" s="17" t="s">
        <v>194</v>
      </c>
      <c r="D556" s="17" t="s">
        <v>2246</v>
      </c>
      <c r="E556" s="96" t="s">
        <v>2246</v>
      </c>
      <c r="F556" s="17" t="s">
        <v>103</v>
      </c>
      <c r="G556" s="19">
        <v>46171.0</v>
      </c>
      <c r="H556" s="17" t="s">
        <v>118</v>
      </c>
      <c r="I556" s="20" t="s">
        <v>2434</v>
      </c>
      <c r="J556" s="21" t="s">
        <v>2435</v>
      </c>
      <c r="K556" s="22" t="s">
        <v>2436</v>
      </c>
      <c r="L556" s="22" t="s">
        <v>2437</v>
      </c>
      <c r="M556" s="17">
        <v>2019.0</v>
      </c>
      <c r="N556" s="17">
        <v>18.0</v>
      </c>
      <c r="O556" s="23">
        <v>136.0</v>
      </c>
      <c r="P556" s="24">
        <f t="shared" si="14"/>
        <v>380.8</v>
      </c>
      <c r="Q556" s="25">
        <v>2.0</v>
      </c>
      <c r="R556" s="17">
        <v>0.0</v>
      </c>
      <c r="S556" s="26">
        <v>1.0</v>
      </c>
      <c r="T556" s="17">
        <v>2.0</v>
      </c>
      <c r="U556" s="17">
        <v>2.0</v>
      </c>
      <c r="V556" s="17" t="s">
        <v>130</v>
      </c>
      <c r="W556" s="28" t="s">
        <v>76</v>
      </c>
      <c r="X556" s="28" t="s">
        <v>78</v>
      </c>
      <c r="Y556" s="24">
        <v>10.0</v>
      </c>
      <c r="Z556" s="17">
        <v>150.0</v>
      </c>
      <c r="AA556" s="17">
        <v>576.0</v>
      </c>
      <c r="AB556" s="17">
        <v>31.0</v>
      </c>
      <c r="AC556" s="20">
        <f t="shared" si="2"/>
        <v>35712</v>
      </c>
      <c r="AD556" s="30">
        <f t="shared" si="3"/>
        <v>19.344</v>
      </c>
      <c r="AE556" s="30">
        <f t="shared" si="10"/>
        <v>7366.1952</v>
      </c>
      <c r="AF556" s="30">
        <f t="shared" si="5"/>
        <v>1086.042357</v>
      </c>
      <c r="AG556" s="34">
        <v>1.0</v>
      </c>
      <c r="AH556" s="36"/>
      <c r="AI556" s="30">
        <f t="shared" si="6"/>
        <v>3278.688525</v>
      </c>
      <c r="AJ556" s="17">
        <v>4000.0</v>
      </c>
      <c r="AK556" s="30">
        <f t="shared" si="7"/>
        <v>6557.377049</v>
      </c>
      <c r="AL556" s="20">
        <f t="shared" si="8"/>
        <v>8000</v>
      </c>
    </row>
    <row r="557">
      <c r="A557" s="16" t="s">
        <v>2433</v>
      </c>
      <c r="B557" s="17" t="s">
        <v>193</v>
      </c>
      <c r="C557" s="17" t="s">
        <v>194</v>
      </c>
      <c r="D557" s="17" t="s">
        <v>2246</v>
      </c>
      <c r="E557" s="96" t="s">
        <v>2246</v>
      </c>
      <c r="F557" s="17" t="s">
        <v>63</v>
      </c>
      <c r="G557" s="19">
        <v>46171.0</v>
      </c>
      <c r="H557" s="17" t="s">
        <v>118</v>
      </c>
      <c r="I557" s="20" t="s">
        <v>2434</v>
      </c>
      <c r="J557" s="21" t="s">
        <v>2438</v>
      </c>
      <c r="K557" s="22" t="s">
        <v>2439</v>
      </c>
      <c r="L557" s="22" t="s">
        <v>2440</v>
      </c>
      <c r="M557" s="17">
        <v>2019.0</v>
      </c>
      <c r="N557" s="17">
        <v>18.0</v>
      </c>
      <c r="O557" s="23">
        <v>142.0</v>
      </c>
      <c r="P557" s="24">
        <f t="shared" si="14"/>
        <v>397.6</v>
      </c>
      <c r="Q557" s="25">
        <v>2.0</v>
      </c>
      <c r="R557" s="17">
        <v>0.0</v>
      </c>
      <c r="S557" s="26">
        <v>1.0</v>
      </c>
      <c r="T557" s="17">
        <v>2.0</v>
      </c>
      <c r="U557" s="17">
        <v>2.0</v>
      </c>
      <c r="V557" s="17" t="s">
        <v>130</v>
      </c>
      <c r="W557" s="28" t="s">
        <v>76</v>
      </c>
      <c r="X557" s="28" t="s">
        <v>78</v>
      </c>
      <c r="Y557" s="24">
        <v>10.0</v>
      </c>
      <c r="Z557" s="17">
        <v>150.0</v>
      </c>
      <c r="AA557" s="17">
        <v>576.0</v>
      </c>
      <c r="AB557" s="17">
        <v>31.0</v>
      </c>
      <c r="AC557" s="20">
        <f t="shared" si="2"/>
        <v>35712</v>
      </c>
      <c r="AD557" s="30">
        <f t="shared" si="3"/>
        <v>19.344</v>
      </c>
      <c r="AE557" s="30">
        <f t="shared" si="10"/>
        <v>7691.1744</v>
      </c>
      <c r="AF557" s="30">
        <f t="shared" si="5"/>
        <v>1040.153244</v>
      </c>
      <c r="AG557" s="34">
        <v>1.0</v>
      </c>
      <c r="AH557" s="36"/>
      <c r="AI557" s="30">
        <f t="shared" si="6"/>
        <v>3278.688525</v>
      </c>
      <c r="AJ557" s="17">
        <v>4000.0</v>
      </c>
      <c r="AK557" s="30">
        <f t="shared" si="7"/>
        <v>6557.377049</v>
      </c>
      <c r="AL557" s="20">
        <f t="shared" si="8"/>
        <v>8000</v>
      </c>
    </row>
    <row r="558">
      <c r="A558" s="16" t="s">
        <v>2441</v>
      </c>
      <c r="B558" s="17" t="s">
        <v>193</v>
      </c>
      <c r="C558" s="17" t="s">
        <v>194</v>
      </c>
      <c r="D558" s="17" t="s">
        <v>162</v>
      </c>
      <c r="E558" s="17" t="s">
        <v>1986</v>
      </c>
      <c r="F558" s="17" t="s">
        <v>63</v>
      </c>
      <c r="G558" s="19">
        <v>46191.0</v>
      </c>
      <c r="H558" s="17" t="s">
        <v>118</v>
      </c>
      <c r="I558" s="20" t="s">
        <v>2442</v>
      </c>
      <c r="J558" s="21" t="s">
        <v>2443</v>
      </c>
      <c r="K558" s="22" t="s">
        <v>2444</v>
      </c>
      <c r="L558" s="22" t="s">
        <v>2445</v>
      </c>
      <c r="M558" s="17">
        <v>1996.0</v>
      </c>
      <c r="N558" s="17">
        <v>9.0</v>
      </c>
      <c r="O558" s="23">
        <v>166.0</v>
      </c>
      <c r="P558" s="24">
        <f t="shared" si="14"/>
        <v>464.8</v>
      </c>
      <c r="Q558" s="25">
        <v>4.0</v>
      </c>
      <c r="R558" s="17">
        <v>4.0</v>
      </c>
      <c r="S558" s="26">
        <v>4.0</v>
      </c>
      <c r="T558" s="17">
        <v>0.0</v>
      </c>
      <c r="U558" s="17">
        <v>4.0</v>
      </c>
      <c r="V558" s="17" t="s">
        <v>130</v>
      </c>
      <c r="W558" s="28" t="s">
        <v>76</v>
      </c>
      <c r="X558" s="28" t="s">
        <v>78</v>
      </c>
      <c r="Y558" s="24">
        <v>10.0</v>
      </c>
      <c r="Z558" s="17">
        <v>150.0</v>
      </c>
      <c r="AA558" s="17">
        <v>576.0</v>
      </c>
      <c r="AB558" s="17">
        <v>31.0</v>
      </c>
      <c r="AC558" s="20">
        <f t="shared" si="2"/>
        <v>71424</v>
      </c>
      <c r="AD558" s="30">
        <f t="shared" si="3"/>
        <v>8.06</v>
      </c>
      <c r="AE558" s="30">
        <f t="shared" si="10"/>
        <v>3746.288</v>
      </c>
      <c r="AF558" s="30">
        <f t="shared" si="5"/>
        <v>4270.894283</v>
      </c>
      <c r="AG558" s="34">
        <v>1.0</v>
      </c>
      <c r="AH558" s="36"/>
      <c r="AI558" s="30">
        <f t="shared" si="6"/>
        <v>3278.688525</v>
      </c>
      <c r="AJ558" s="17">
        <v>4000.0</v>
      </c>
      <c r="AK558" s="30">
        <f t="shared" si="7"/>
        <v>13114.7541</v>
      </c>
      <c r="AL558" s="20">
        <f t="shared" si="8"/>
        <v>16000</v>
      </c>
    </row>
    <row r="559">
      <c r="A559" s="16" t="s">
        <v>2446</v>
      </c>
      <c r="B559" s="17" t="s">
        <v>193</v>
      </c>
      <c r="C559" s="17" t="s">
        <v>194</v>
      </c>
      <c r="D559" s="17" t="s">
        <v>804</v>
      </c>
      <c r="E559" s="17" t="s">
        <v>1937</v>
      </c>
      <c r="F559" s="17" t="s">
        <v>63</v>
      </c>
      <c r="G559" s="19">
        <v>46191.0</v>
      </c>
      <c r="H559" s="17" t="s">
        <v>104</v>
      </c>
      <c r="I559" s="17" t="s">
        <v>2447</v>
      </c>
      <c r="J559" s="21" t="s">
        <v>2448</v>
      </c>
      <c r="K559" s="22" t="s">
        <v>2449</v>
      </c>
      <c r="L559" s="22" t="s">
        <v>2450</v>
      </c>
      <c r="M559" s="17">
        <v>2012.0</v>
      </c>
      <c r="N559" s="17">
        <v>9.0</v>
      </c>
      <c r="O559" s="23">
        <v>338.0</v>
      </c>
      <c r="P559" s="24">
        <f t="shared" si="14"/>
        <v>946.4</v>
      </c>
      <c r="Q559" s="25">
        <v>6.0</v>
      </c>
      <c r="R559" s="17">
        <v>6.0</v>
      </c>
      <c r="S559" s="26">
        <v>6.0</v>
      </c>
      <c r="T559" s="17">
        <v>0.0</v>
      </c>
      <c r="U559" s="17">
        <v>6.0</v>
      </c>
      <c r="V559" s="17" t="s">
        <v>130</v>
      </c>
      <c r="W559" s="28" t="s">
        <v>76</v>
      </c>
      <c r="X559" s="28" t="s">
        <v>78</v>
      </c>
      <c r="Y559" s="24">
        <v>10.0</v>
      </c>
      <c r="Z559" s="17">
        <v>150.0</v>
      </c>
      <c r="AA559" s="17">
        <v>576.0</v>
      </c>
      <c r="AB559" s="17">
        <v>31.0</v>
      </c>
      <c r="AC559" s="20">
        <f t="shared" si="2"/>
        <v>107136</v>
      </c>
      <c r="AD559" s="30">
        <f t="shared" si="3"/>
        <v>8.06</v>
      </c>
      <c r="AE559" s="30">
        <f t="shared" si="10"/>
        <v>7627.984</v>
      </c>
      <c r="AF559" s="30">
        <f t="shared" si="5"/>
        <v>3146.309693</v>
      </c>
      <c r="AG559" s="34">
        <v>1.0</v>
      </c>
      <c r="AH559" s="36"/>
      <c r="AI559" s="30">
        <f t="shared" si="6"/>
        <v>3278.688525</v>
      </c>
      <c r="AJ559" s="17">
        <v>4000.0</v>
      </c>
      <c r="AK559" s="30">
        <f t="shared" si="7"/>
        <v>19672.13115</v>
      </c>
      <c r="AL559" s="20">
        <f t="shared" si="8"/>
        <v>24000</v>
      </c>
    </row>
    <row r="560">
      <c r="A560" s="16" t="s">
        <v>2451</v>
      </c>
      <c r="B560" s="17" t="s">
        <v>193</v>
      </c>
      <c r="C560" s="17" t="s">
        <v>194</v>
      </c>
      <c r="D560" s="17" t="s">
        <v>162</v>
      </c>
      <c r="E560" s="17" t="s">
        <v>1937</v>
      </c>
      <c r="F560" s="17" t="s">
        <v>63</v>
      </c>
      <c r="G560" s="19">
        <v>46191.0</v>
      </c>
      <c r="H560" s="17" t="s">
        <v>104</v>
      </c>
      <c r="I560" s="17" t="s">
        <v>2452</v>
      </c>
      <c r="J560" s="21" t="s">
        <v>2453</v>
      </c>
      <c r="K560" s="22" t="s">
        <v>2454</v>
      </c>
      <c r="L560" s="22" t="s">
        <v>2455</v>
      </c>
      <c r="M560" s="17">
        <v>2012.0</v>
      </c>
      <c r="N560" s="17">
        <v>9.0</v>
      </c>
      <c r="O560" s="23">
        <v>399.0</v>
      </c>
      <c r="P560" s="24">
        <f t="shared" si="14"/>
        <v>1117.2</v>
      </c>
      <c r="Q560" s="25">
        <v>5.0</v>
      </c>
      <c r="R560" s="17">
        <v>5.0</v>
      </c>
      <c r="S560" s="26">
        <v>9.0</v>
      </c>
      <c r="T560" s="17">
        <v>0.0</v>
      </c>
      <c r="U560" s="17">
        <v>9.0</v>
      </c>
      <c r="V560" s="17" t="s">
        <v>130</v>
      </c>
      <c r="W560" s="28" t="s">
        <v>76</v>
      </c>
      <c r="X560" s="28" t="s">
        <v>78</v>
      </c>
      <c r="Y560" s="24">
        <v>10.0</v>
      </c>
      <c r="Z560" s="17">
        <v>150.0</v>
      </c>
      <c r="AA560" s="17">
        <v>576.0</v>
      </c>
      <c r="AB560" s="17">
        <v>31.0</v>
      </c>
      <c r="AC560" s="20">
        <f t="shared" si="2"/>
        <v>89280</v>
      </c>
      <c r="AD560" s="30">
        <f t="shared" si="3"/>
        <v>4.477777778</v>
      </c>
      <c r="AE560" s="30">
        <f t="shared" si="10"/>
        <v>5002.573333</v>
      </c>
      <c r="AF560" s="30">
        <f t="shared" si="5"/>
        <v>3997.942392</v>
      </c>
      <c r="AG560" s="34">
        <v>1.0</v>
      </c>
      <c r="AH560" s="36"/>
      <c r="AI560" s="30">
        <f t="shared" si="6"/>
        <v>3278.688525</v>
      </c>
      <c r="AJ560" s="17">
        <v>4000.0</v>
      </c>
      <c r="AK560" s="30">
        <f t="shared" si="7"/>
        <v>16393.44262</v>
      </c>
      <c r="AL560" s="20">
        <f t="shared" si="8"/>
        <v>20000</v>
      </c>
    </row>
    <row r="561">
      <c r="A561" s="16" t="s">
        <v>2456</v>
      </c>
      <c r="B561" s="17" t="s">
        <v>193</v>
      </c>
      <c r="C561" s="17" t="s">
        <v>194</v>
      </c>
      <c r="D561" s="17" t="s">
        <v>162</v>
      </c>
      <c r="E561" s="17" t="s">
        <v>1937</v>
      </c>
      <c r="F561" s="17" t="s">
        <v>63</v>
      </c>
      <c r="G561" s="19">
        <v>46191.0</v>
      </c>
      <c r="H561" s="17" t="s">
        <v>104</v>
      </c>
      <c r="I561" s="17" t="s">
        <v>2457</v>
      </c>
      <c r="J561" s="21" t="s">
        <v>2458</v>
      </c>
      <c r="K561" s="22" t="s">
        <v>2454</v>
      </c>
      <c r="L561" s="22" t="s">
        <v>2455</v>
      </c>
      <c r="M561" s="17">
        <v>2012.0</v>
      </c>
      <c r="N561" s="17">
        <v>9.0</v>
      </c>
      <c r="O561" s="23">
        <v>399.0</v>
      </c>
      <c r="P561" s="24">
        <f t="shared" si="14"/>
        <v>1117.2</v>
      </c>
      <c r="Q561" s="25">
        <v>4.0</v>
      </c>
      <c r="R561" s="17">
        <v>4.0</v>
      </c>
      <c r="S561" s="26">
        <v>9.0</v>
      </c>
      <c r="T561" s="17">
        <v>0.0</v>
      </c>
      <c r="U561" s="17">
        <v>9.0</v>
      </c>
      <c r="V561" s="17" t="s">
        <v>130</v>
      </c>
      <c r="W561" s="28" t="s">
        <v>76</v>
      </c>
      <c r="X561" s="28" t="s">
        <v>78</v>
      </c>
      <c r="Y561" s="24">
        <v>10.0</v>
      </c>
      <c r="Z561" s="17">
        <v>150.0</v>
      </c>
      <c r="AA561" s="17">
        <v>576.0</v>
      </c>
      <c r="AB561" s="17">
        <v>31.0</v>
      </c>
      <c r="AC561" s="20">
        <f t="shared" si="2"/>
        <v>71424</v>
      </c>
      <c r="AD561" s="30">
        <f t="shared" si="3"/>
        <v>3.582222222</v>
      </c>
      <c r="AE561" s="30">
        <f t="shared" si="10"/>
        <v>4002.058667</v>
      </c>
      <c r="AF561" s="30">
        <f t="shared" si="5"/>
        <v>3997.942392</v>
      </c>
      <c r="AG561" s="34">
        <v>1.0</v>
      </c>
      <c r="AH561" s="36"/>
      <c r="AI561" s="30">
        <f t="shared" si="6"/>
        <v>3278.688525</v>
      </c>
      <c r="AJ561" s="17">
        <v>4000.0</v>
      </c>
      <c r="AK561" s="30">
        <f t="shared" si="7"/>
        <v>13114.7541</v>
      </c>
      <c r="AL561" s="20">
        <f t="shared" si="8"/>
        <v>16000</v>
      </c>
    </row>
    <row r="562">
      <c r="A562" s="16" t="s">
        <v>2459</v>
      </c>
      <c r="B562" s="17" t="s">
        <v>193</v>
      </c>
      <c r="C562" s="17" t="s">
        <v>194</v>
      </c>
      <c r="D562" s="17" t="s">
        <v>2332</v>
      </c>
      <c r="E562" s="54" t="s">
        <v>1964</v>
      </c>
      <c r="F562" s="17" t="s">
        <v>63</v>
      </c>
      <c r="G562" s="19">
        <v>46191.0</v>
      </c>
      <c r="H562" s="17" t="s">
        <v>104</v>
      </c>
      <c r="I562" s="20" t="s">
        <v>2460</v>
      </c>
      <c r="J562" s="21" t="s">
        <v>2461</v>
      </c>
      <c r="K562" s="22" t="s">
        <v>2462</v>
      </c>
      <c r="L562" s="22" t="s">
        <v>2463</v>
      </c>
      <c r="M562" s="17">
        <v>2009.0</v>
      </c>
      <c r="N562" s="17">
        <v>16.0</v>
      </c>
      <c r="O562" s="23">
        <v>96.0</v>
      </c>
      <c r="P562" s="24">
        <f t="shared" si="14"/>
        <v>268.8</v>
      </c>
      <c r="Q562" s="25">
        <v>2.0</v>
      </c>
      <c r="R562" s="17">
        <v>0.0</v>
      </c>
      <c r="S562" s="26">
        <v>1.0</v>
      </c>
      <c r="T562" s="17">
        <v>2.0</v>
      </c>
      <c r="U562" s="17">
        <v>2.0</v>
      </c>
      <c r="V562" s="17" t="s">
        <v>130</v>
      </c>
      <c r="W562" s="28" t="s">
        <v>76</v>
      </c>
      <c r="X562" s="28" t="s">
        <v>78</v>
      </c>
      <c r="Y562" s="24">
        <v>10.0</v>
      </c>
      <c r="Z562" s="17">
        <v>150.0</v>
      </c>
      <c r="AA562" s="17">
        <v>576.0</v>
      </c>
      <c r="AB562" s="17">
        <v>31.0</v>
      </c>
      <c r="AC562" s="20">
        <f t="shared" si="2"/>
        <v>35712</v>
      </c>
      <c r="AD562" s="30">
        <f t="shared" si="3"/>
        <v>17.19466667</v>
      </c>
      <c r="AE562" s="30">
        <f t="shared" si="10"/>
        <v>4621.9264</v>
      </c>
      <c r="AF562" s="30">
        <f t="shared" si="5"/>
        <v>1730.880007</v>
      </c>
      <c r="AG562" s="34">
        <v>1.0</v>
      </c>
      <c r="AH562" s="36"/>
      <c r="AI562" s="30">
        <f t="shared" si="6"/>
        <v>3278.688525</v>
      </c>
      <c r="AJ562" s="17">
        <v>4000.0</v>
      </c>
      <c r="AK562" s="30">
        <f t="shared" si="7"/>
        <v>6557.377049</v>
      </c>
      <c r="AL562" s="20">
        <f t="shared" si="8"/>
        <v>8000</v>
      </c>
    </row>
    <row r="563">
      <c r="A563" s="16" t="s">
        <v>2464</v>
      </c>
      <c r="B563" s="17" t="s">
        <v>193</v>
      </c>
      <c r="C563" s="17" t="s">
        <v>194</v>
      </c>
      <c r="D563" s="17" t="s">
        <v>1878</v>
      </c>
      <c r="E563" s="17" t="s">
        <v>1937</v>
      </c>
      <c r="F563" s="17" t="s">
        <v>63</v>
      </c>
      <c r="G563" s="19">
        <v>46191.0</v>
      </c>
      <c r="H563" s="17" t="s">
        <v>104</v>
      </c>
      <c r="I563" s="20" t="s">
        <v>2465</v>
      </c>
      <c r="J563" s="21" t="s">
        <v>2466</v>
      </c>
      <c r="K563" s="22" t="s">
        <v>2467</v>
      </c>
      <c r="L563" s="22" t="s">
        <v>2468</v>
      </c>
      <c r="M563" s="17">
        <v>2013.0</v>
      </c>
      <c r="N563" s="17">
        <v>10.0</v>
      </c>
      <c r="O563" s="23">
        <v>108.0</v>
      </c>
      <c r="P563" s="24">
        <f t="shared" si="14"/>
        <v>302.4</v>
      </c>
      <c r="Q563" s="25">
        <v>3.0</v>
      </c>
      <c r="R563" s="17">
        <v>0.0</v>
      </c>
      <c r="S563" s="26">
        <v>3.0</v>
      </c>
      <c r="T563" s="17">
        <v>3.0</v>
      </c>
      <c r="U563" s="17">
        <v>3.0</v>
      </c>
      <c r="V563" s="17" t="s">
        <v>130</v>
      </c>
      <c r="W563" s="28" t="s">
        <v>76</v>
      </c>
      <c r="X563" s="28" t="s">
        <v>78</v>
      </c>
      <c r="Y563" s="24">
        <v>10.0</v>
      </c>
      <c r="Z563" s="17">
        <v>150.0</v>
      </c>
      <c r="AA563" s="17">
        <v>576.0</v>
      </c>
      <c r="AB563" s="17">
        <v>31.0</v>
      </c>
      <c r="AC563" s="20">
        <f t="shared" si="2"/>
        <v>53568</v>
      </c>
      <c r="AD563" s="30">
        <f t="shared" si="3"/>
        <v>10.74666667</v>
      </c>
      <c r="AE563" s="30">
        <f t="shared" si="10"/>
        <v>3249.792</v>
      </c>
      <c r="AF563" s="30">
        <f t="shared" si="5"/>
        <v>3692.544015</v>
      </c>
      <c r="AG563" s="34">
        <v>1.0</v>
      </c>
      <c r="AH563" s="36"/>
      <c r="AI563" s="30">
        <f t="shared" si="6"/>
        <v>3278.688525</v>
      </c>
      <c r="AJ563" s="17">
        <v>4000.0</v>
      </c>
      <c r="AK563" s="30">
        <f t="shared" si="7"/>
        <v>9836.065574</v>
      </c>
      <c r="AL563" s="20">
        <f t="shared" si="8"/>
        <v>12000</v>
      </c>
    </row>
    <row r="564">
      <c r="A564" s="16" t="s">
        <v>2469</v>
      </c>
      <c r="B564" s="17" t="s">
        <v>193</v>
      </c>
      <c r="C564" s="17" t="s">
        <v>194</v>
      </c>
      <c r="D564" s="17" t="s">
        <v>2470</v>
      </c>
      <c r="E564" s="54" t="s">
        <v>1964</v>
      </c>
      <c r="F564" s="17" t="s">
        <v>63</v>
      </c>
      <c r="G564" s="19">
        <v>46173.0</v>
      </c>
      <c r="H564" s="17" t="s">
        <v>104</v>
      </c>
      <c r="I564" s="17" t="s">
        <v>2471</v>
      </c>
      <c r="J564" s="21" t="s">
        <v>2472</v>
      </c>
      <c r="K564" s="28" t="s">
        <v>2473</v>
      </c>
      <c r="L564" s="28" t="s">
        <v>2474</v>
      </c>
      <c r="M564" s="17">
        <v>2020.0</v>
      </c>
      <c r="N564" s="17">
        <v>8.0</v>
      </c>
      <c r="O564" s="23">
        <v>717.0</v>
      </c>
      <c r="P564" s="24">
        <f t="shared" si="14"/>
        <v>2007.6</v>
      </c>
      <c r="Q564" s="25">
        <v>17.0</v>
      </c>
      <c r="R564" s="17">
        <v>0.0</v>
      </c>
      <c r="S564" s="26">
        <v>17.0</v>
      </c>
      <c r="T564" s="17">
        <v>17.0</v>
      </c>
      <c r="U564" s="17">
        <v>2.0</v>
      </c>
      <c r="V564" s="17" t="s">
        <v>130</v>
      </c>
      <c r="W564" s="28" t="s">
        <v>76</v>
      </c>
      <c r="X564" s="28" t="s">
        <v>78</v>
      </c>
      <c r="Y564" s="24">
        <v>10.0</v>
      </c>
      <c r="Z564" s="17">
        <v>150.0</v>
      </c>
      <c r="AA564" s="17">
        <v>576.0</v>
      </c>
      <c r="AB564" s="17">
        <v>31.0</v>
      </c>
      <c r="AC564" s="20">
        <f t="shared" si="2"/>
        <v>303552</v>
      </c>
      <c r="AD564" s="30">
        <f t="shared" si="3"/>
        <v>73.07733333</v>
      </c>
      <c r="AE564" s="30">
        <f t="shared" si="10"/>
        <v>146710.0544</v>
      </c>
      <c r="AF564" s="30">
        <f t="shared" si="5"/>
        <v>463.4992488</v>
      </c>
      <c r="AG564" s="34">
        <v>1.0</v>
      </c>
      <c r="AH564" s="36"/>
      <c r="AI564" s="30">
        <f t="shared" si="6"/>
        <v>3278.688525</v>
      </c>
      <c r="AJ564" s="17">
        <v>4000.0</v>
      </c>
      <c r="AK564" s="30">
        <f t="shared" si="7"/>
        <v>55737.70492</v>
      </c>
      <c r="AL564" s="20">
        <f t="shared" si="8"/>
        <v>68000</v>
      </c>
    </row>
    <row r="565">
      <c r="A565" s="16" t="s">
        <v>2475</v>
      </c>
      <c r="B565" s="17" t="s">
        <v>193</v>
      </c>
      <c r="C565" s="17" t="s">
        <v>194</v>
      </c>
      <c r="D565" s="17" t="s">
        <v>162</v>
      </c>
      <c r="E565" s="17" t="s">
        <v>2060</v>
      </c>
      <c r="F565" s="17" t="s">
        <v>63</v>
      </c>
      <c r="G565" s="19">
        <v>46234.0</v>
      </c>
      <c r="H565" s="17" t="s">
        <v>104</v>
      </c>
      <c r="I565" s="17" t="s">
        <v>2476</v>
      </c>
      <c r="J565" s="21" t="s">
        <v>2477</v>
      </c>
      <c r="K565" s="28" t="s">
        <v>2478</v>
      </c>
      <c r="L565" s="28" t="s">
        <v>2479</v>
      </c>
      <c r="M565" s="17">
        <v>2004.0</v>
      </c>
      <c r="N565" s="17">
        <v>14.0</v>
      </c>
      <c r="O565" s="23">
        <v>83.0</v>
      </c>
      <c r="P565" s="24">
        <f t="shared" si="14"/>
        <v>232.4</v>
      </c>
      <c r="Q565" s="25">
        <v>1.0</v>
      </c>
      <c r="R565" s="17">
        <v>1.0</v>
      </c>
      <c r="S565" s="26">
        <v>1.0</v>
      </c>
      <c r="T565" s="17">
        <v>0.0</v>
      </c>
      <c r="U565" s="17">
        <v>2.0</v>
      </c>
      <c r="V565" s="17" t="s">
        <v>130</v>
      </c>
      <c r="W565" s="28" t="s">
        <v>76</v>
      </c>
      <c r="X565" s="28" t="s">
        <v>78</v>
      </c>
      <c r="Y565" s="24">
        <v>10.0</v>
      </c>
      <c r="Z565" s="17">
        <v>150.0</v>
      </c>
      <c r="AA565" s="17">
        <v>576.0</v>
      </c>
      <c r="AB565" s="17">
        <v>31.0</v>
      </c>
      <c r="AC565" s="20">
        <f t="shared" si="2"/>
        <v>17856</v>
      </c>
      <c r="AD565" s="30">
        <f t="shared" si="3"/>
        <v>8.06</v>
      </c>
      <c r="AE565" s="30">
        <f t="shared" si="10"/>
        <v>1873.144</v>
      </c>
      <c r="AF565" s="30">
        <f t="shared" si="5"/>
        <v>2135.447141</v>
      </c>
      <c r="AG565" s="34">
        <v>1.0</v>
      </c>
      <c r="AH565" s="36"/>
      <c r="AI565" s="30">
        <f t="shared" si="6"/>
        <v>3278.688525</v>
      </c>
      <c r="AJ565" s="17">
        <v>4000.0</v>
      </c>
      <c r="AK565" s="30">
        <f t="shared" si="7"/>
        <v>3278.688525</v>
      </c>
      <c r="AL565" s="20">
        <f t="shared" si="8"/>
        <v>4000</v>
      </c>
    </row>
    <row r="566">
      <c r="A566" s="16" t="s">
        <v>2480</v>
      </c>
      <c r="B566" s="17" t="s">
        <v>193</v>
      </c>
      <c r="C566" s="17" t="s">
        <v>194</v>
      </c>
      <c r="D566" s="17" t="s">
        <v>2481</v>
      </c>
      <c r="E566" s="54" t="s">
        <v>1964</v>
      </c>
      <c r="F566" s="17" t="s">
        <v>63</v>
      </c>
      <c r="G566" s="19">
        <v>46234.0</v>
      </c>
      <c r="H566" s="17" t="s">
        <v>104</v>
      </c>
      <c r="I566" s="17" t="s">
        <v>2482</v>
      </c>
      <c r="J566" s="21" t="s">
        <v>2483</v>
      </c>
      <c r="K566" s="28" t="s">
        <v>2484</v>
      </c>
      <c r="L566" s="28" t="s">
        <v>2485</v>
      </c>
      <c r="M566" s="17">
        <v>2026.0</v>
      </c>
      <c r="N566" s="17">
        <v>9.0</v>
      </c>
      <c r="O566" s="23">
        <v>146.0</v>
      </c>
      <c r="P566" s="24">
        <f t="shared" si="14"/>
        <v>408.8</v>
      </c>
      <c r="Q566" s="25">
        <v>3.0</v>
      </c>
      <c r="R566" s="17">
        <v>3.0</v>
      </c>
      <c r="S566" s="26">
        <v>2.0</v>
      </c>
      <c r="T566" s="17">
        <v>0.0</v>
      </c>
      <c r="U566" s="17">
        <v>2.0</v>
      </c>
      <c r="V566" s="17" t="s">
        <v>130</v>
      </c>
      <c r="W566" s="28" t="s">
        <v>76</v>
      </c>
      <c r="X566" s="28" t="s">
        <v>78</v>
      </c>
      <c r="Y566" s="24">
        <v>10.0</v>
      </c>
      <c r="Z566" s="17">
        <v>150.0</v>
      </c>
      <c r="AA566" s="17">
        <v>576.0</v>
      </c>
      <c r="AB566" s="17">
        <v>31.0</v>
      </c>
      <c r="AC566" s="20">
        <f t="shared" si="2"/>
        <v>53568</v>
      </c>
      <c r="AD566" s="30">
        <f t="shared" si="3"/>
        <v>12.09</v>
      </c>
      <c r="AE566" s="30">
        <f t="shared" si="10"/>
        <v>4942.392</v>
      </c>
      <c r="AF566" s="30">
        <f t="shared" si="5"/>
        <v>2427.974147</v>
      </c>
      <c r="AG566" s="34">
        <v>1.0</v>
      </c>
      <c r="AH566" s="36"/>
      <c r="AI566" s="30">
        <f t="shared" si="6"/>
        <v>3278.688525</v>
      </c>
      <c r="AJ566" s="17">
        <v>4000.0</v>
      </c>
      <c r="AK566" s="30">
        <f t="shared" si="7"/>
        <v>9836.065574</v>
      </c>
      <c r="AL566" s="20">
        <f t="shared" si="8"/>
        <v>12000</v>
      </c>
    </row>
    <row r="567">
      <c r="A567" s="16" t="s">
        <v>2486</v>
      </c>
      <c r="B567" s="17" t="s">
        <v>193</v>
      </c>
      <c r="C567" s="17" t="s">
        <v>194</v>
      </c>
      <c r="D567" s="17" t="s">
        <v>2481</v>
      </c>
      <c r="E567" s="54" t="s">
        <v>1964</v>
      </c>
      <c r="F567" s="17" t="s">
        <v>63</v>
      </c>
      <c r="G567" s="19">
        <v>46234.0</v>
      </c>
      <c r="H567" s="17" t="s">
        <v>104</v>
      </c>
      <c r="I567" s="17" t="s">
        <v>2487</v>
      </c>
      <c r="J567" s="21" t="s">
        <v>2488</v>
      </c>
      <c r="K567" s="28" t="s">
        <v>2489</v>
      </c>
      <c r="L567" s="28" t="s">
        <v>2490</v>
      </c>
      <c r="M567" s="17">
        <v>2026.0</v>
      </c>
      <c r="N567" s="17">
        <v>9.0</v>
      </c>
      <c r="O567" s="23">
        <v>147.0</v>
      </c>
      <c r="P567" s="24">
        <f t="shared" si="14"/>
        <v>411.6</v>
      </c>
      <c r="Q567" s="25">
        <v>3.0</v>
      </c>
      <c r="R567" s="17">
        <v>3.0</v>
      </c>
      <c r="S567" s="26">
        <v>2.0</v>
      </c>
      <c r="T567" s="17">
        <v>0.0</v>
      </c>
      <c r="U567" s="17">
        <v>2.0</v>
      </c>
      <c r="V567" s="17" t="s">
        <v>130</v>
      </c>
      <c r="W567" s="28" t="s">
        <v>76</v>
      </c>
      <c r="X567" s="28" t="s">
        <v>78</v>
      </c>
      <c r="Y567" s="24">
        <v>10.0</v>
      </c>
      <c r="Z567" s="17">
        <v>150.0</v>
      </c>
      <c r="AA567" s="17">
        <v>576.0</v>
      </c>
      <c r="AB567" s="17">
        <v>31.0</v>
      </c>
      <c r="AC567" s="20">
        <f t="shared" si="2"/>
        <v>53568</v>
      </c>
      <c r="AD567" s="30">
        <f t="shared" si="3"/>
        <v>12.09</v>
      </c>
      <c r="AE567" s="30">
        <f t="shared" si="10"/>
        <v>4976.244</v>
      </c>
      <c r="AF567" s="30">
        <f t="shared" si="5"/>
        <v>2411.457316</v>
      </c>
      <c r="AG567" s="34">
        <v>1.0</v>
      </c>
      <c r="AH567" s="36"/>
      <c r="AI567" s="30">
        <f t="shared" si="6"/>
        <v>3278.688525</v>
      </c>
      <c r="AJ567" s="17">
        <v>4000.0</v>
      </c>
      <c r="AK567" s="30">
        <f t="shared" si="7"/>
        <v>9836.065574</v>
      </c>
      <c r="AL567" s="20">
        <f t="shared" si="8"/>
        <v>12000</v>
      </c>
    </row>
    <row r="568">
      <c r="A568" s="16" t="s">
        <v>2486</v>
      </c>
      <c r="B568" s="17" t="s">
        <v>193</v>
      </c>
      <c r="C568" s="17" t="s">
        <v>194</v>
      </c>
      <c r="D568" s="17" t="s">
        <v>2481</v>
      </c>
      <c r="E568" s="54" t="s">
        <v>1964</v>
      </c>
      <c r="F568" s="17" t="s">
        <v>63</v>
      </c>
      <c r="G568" s="19">
        <v>46234.0</v>
      </c>
      <c r="H568" s="17" t="s">
        <v>104</v>
      </c>
      <c r="I568" s="17" t="s">
        <v>2487</v>
      </c>
      <c r="J568" s="21" t="s">
        <v>2491</v>
      </c>
      <c r="K568" s="28" t="s">
        <v>2492</v>
      </c>
      <c r="L568" s="28" t="s">
        <v>2493</v>
      </c>
      <c r="M568" s="17">
        <v>2026.0</v>
      </c>
      <c r="N568" s="17">
        <v>9.0</v>
      </c>
      <c r="O568" s="23">
        <v>147.0</v>
      </c>
      <c r="P568" s="24">
        <f t="shared" si="14"/>
        <v>411.6</v>
      </c>
      <c r="Q568" s="25">
        <v>3.0</v>
      </c>
      <c r="R568" s="17">
        <v>3.0</v>
      </c>
      <c r="S568" s="26">
        <v>3.0</v>
      </c>
      <c r="T568" s="17">
        <v>0.0</v>
      </c>
      <c r="U568" s="17">
        <v>3.0</v>
      </c>
      <c r="V568" s="17" t="s">
        <v>130</v>
      </c>
      <c r="W568" s="28" t="s">
        <v>76</v>
      </c>
      <c r="X568" s="28" t="s">
        <v>78</v>
      </c>
      <c r="Y568" s="24">
        <v>10.0</v>
      </c>
      <c r="Z568" s="17">
        <v>150.0</v>
      </c>
      <c r="AA568" s="17">
        <v>576.0</v>
      </c>
      <c r="AB568" s="17">
        <v>31.0</v>
      </c>
      <c r="AC568" s="20">
        <f t="shared" si="2"/>
        <v>53568</v>
      </c>
      <c r="AD568" s="30">
        <f t="shared" si="3"/>
        <v>8.06</v>
      </c>
      <c r="AE568" s="30">
        <f t="shared" si="10"/>
        <v>3317.496</v>
      </c>
      <c r="AF568" s="30">
        <f t="shared" si="5"/>
        <v>3617.185974</v>
      </c>
      <c r="AG568" s="34">
        <v>1.0</v>
      </c>
      <c r="AH568" s="36"/>
      <c r="AI568" s="30">
        <f t="shared" si="6"/>
        <v>3278.688525</v>
      </c>
      <c r="AJ568" s="17">
        <v>4000.0</v>
      </c>
      <c r="AK568" s="30">
        <f t="shared" si="7"/>
        <v>9836.065574</v>
      </c>
      <c r="AL568" s="20">
        <f t="shared" si="8"/>
        <v>12000</v>
      </c>
    </row>
    <row r="569">
      <c r="A569" s="16" t="s">
        <v>2494</v>
      </c>
      <c r="B569" s="17" t="s">
        <v>193</v>
      </c>
      <c r="C569" s="17" t="s">
        <v>194</v>
      </c>
      <c r="D569" s="17" t="s">
        <v>2481</v>
      </c>
      <c r="E569" s="54" t="s">
        <v>1964</v>
      </c>
      <c r="F569" s="17" t="s">
        <v>63</v>
      </c>
      <c r="G569" s="19">
        <v>46234.0</v>
      </c>
      <c r="H569" s="17" t="s">
        <v>104</v>
      </c>
      <c r="I569" s="17" t="s">
        <v>2495</v>
      </c>
      <c r="J569" s="21" t="s">
        <v>2496</v>
      </c>
      <c r="K569" s="28" t="s">
        <v>2497</v>
      </c>
      <c r="L569" s="28" t="s">
        <v>2498</v>
      </c>
      <c r="M569" s="17">
        <v>2026.0</v>
      </c>
      <c r="N569" s="17">
        <v>9.0</v>
      </c>
      <c r="O569" s="23">
        <v>147.0</v>
      </c>
      <c r="P569" s="24">
        <f t="shared" si="14"/>
        <v>411.6</v>
      </c>
      <c r="Q569" s="25">
        <v>3.0</v>
      </c>
      <c r="R569" s="17">
        <v>3.0</v>
      </c>
      <c r="S569" s="26">
        <v>3.0</v>
      </c>
      <c r="T569" s="17">
        <v>0.0</v>
      </c>
      <c r="U569" s="17">
        <v>3.0</v>
      </c>
      <c r="V569" s="17" t="s">
        <v>130</v>
      </c>
      <c r="W569" s="28" t="s">
        <v>76</v>
      </c>
      <c r="X569" s="28" t="s">
        <v>78</v>
      </c>
      <c r="Y569" s="24">
        <v>10.0</v>
      </c>
      <c r="Z569" s="17">
        <v>150.0</v>
      </c>
      <c r="AA569" s="17">
        <v>576.0</v>
      </c>
      <c r="AB569" s="17">
        <v>31.0</v>
      </c>
      <c r="AC569" s="20">
        <f t="shared" si="2"/>
        <v>53568</v>
      </c>
      <c r="AD569" s="30">
        <f t="shared" si="3"/>
        <v>8.06</v>
      </c>
      <c r="AE569" s="30">
        <f t="shared" si="10"/>
        <v>3317.496</v>
      </c>
      <c r="AF569" s="30">
        <f t="shared" si="5"/>
        <v>3617.185974</v>
      </c>
      <c r="AG569" s="34">
        <v>1.0</v>
      </c>
      <c r="AH569" s="36"/>
      <c r="AI569" s="30">
        <f t="shared" si="6"/>
        <v>3278.688525</v>
      </c>
      <c r="AJ569" s="17">
        <v>4000.0</v>
      </c>
      <c r="AK569" s="30">
        <f t="shared" si="7"/>
        <v>9836.065574</v>
      </c>
      <c r="AL569" s="20">
        <f t="shared" si="8"/>
        <v>12000</v>
      </c>
    </row>
    <row r="570">
      <c r="A570" s="16" t="s">
        <v>2499</v>
      </c>
      <c r="B570" s="17" t="s">
        <v>193</v>
      </c>
      <c r="C570" s="17" t="s">
        <v>194</v>
      </c>
      <c r="D570" s="17" t="s">
        <v>2481</v>
      </c>
      <c r="E570" s="54" t="s">
        <v>1964</v>
      </c>
      <c r="F570" s="17" t="s">
        <v>63</v>
      </c>
      <c r="G570" s="19">
        <v>46234.0</v>
      </c>
      <c r="H570" s="17" t="s">
        <v>104</v>
      </c>
      <c r="I570" s="17" t="s">
        <v>2500</v>
      </c>
      <c r="J570" s="21" t="s">
        <v>2501</v>
      </c>
      <c r="K570" s="28" t="s">
        <v>2502</v>
      </c>
      <c r="L570" s="28" t="s">
        <v>2503</v>
      </c>
      <c r="M570" s="17">
        <v>2025.0</v>
      </c>
      <c r="N570" s="17">
        <v>5.0</v>
      </c>
      <c r="O570" s="23">
        <v>70.0</v>
      </c>
      <c r="P570" s="24">
        <f t="shared" si="14"/>
        <v>196</v>
      </c>
      <c r="Q570" s="25">
        <v>2.0</v>
      </c>
      <c r="R570" s="17">
        <v>2.0</v>
      </c>
      <c r="S570" s="26">
        <v>2.0</v>
      </c>
      <c r="T570" s="17">
        <v>0.0</v>
      </c>
      <c r="U570" s="17">
        <v>2.0</v>
      </c>
      <c r="V570" s="17" t="s">
        <v>130</v>
      </c>
      <c r="W570" s="28" t="s">
        <v>76</v>
      </c>
      <c r="X570" s="28" t="s">
        <v>78</v>
      </c>
      <c r="Y570" s="24">
        <v>10.0</v>
      </c>
      <c r="Z570" s="17">
        <v>150.0</v>
      </c>
      <c r="AA570" s="17">
        <v>576.0</v>
      </c>
      <c r="AB570" s="17">
        <v>31.0</v>
      </c>
      <c r="AC570" s="20">
        <f t="shared" si="2"/>
        <v>35712</v>
      </c>
      <c r="AD570" s="30">
        <f t="shared" si="3"/>
        <v>8.06</v>
      </c>
      <c r="AE570" s="30">
        <f t="shared" si="10"/>
        <v>1579.76</v>
      </c>
      <c r="AF570" s="30">
        <f t="shared" si="5"/>
        <v>5064.060364</v>
      </c>
      <c r="AG570" s="34">
        <v>1.0</v>
      </c>
      <c r="AH570" s="36"/>
      <c r="AI570" s="30">
        <f t="shared" si="6"/>
        <v>3278.688525</v>
      </c>
      <c r="AJ570" s="17">
        <v>4000.0</v>
      </c>
      <c r="AK570" s="30">
        <f t="shared" si="7"/>
        <v>6557.377049</v>
      </c>
      <c r="AL570" s="20">
        <f t="shared" si="8"/>
        <v>8000</v>
      </c>
    </row>
    <row r="571">
      <c r="A571" s="16" t="s">
        <v>2499</v>
      </c>
      <c r="B571" s="17" t="s">
        <v>193</v>
      </c>
      <c r="C571" s="17" t="s">
        <v>194</v>
      </c>
      <c r="D571" s="17" t="s">
        <v>2481</v>
      </c>
      <c r="E571" s="54" t="s">
        <v>1964</v>
      </c>
      <c r="F571" s="17" t="s">
        <v>63</v>
      </c>
      <c r="G571" s="19">
        <v>46234.0</v>
      </c>
      <c r="H571" s="17" t="s">
        <v>104</v>
      </c>
      <c r="I571" s="17" t="s">
        <v>2500</v>
      </c>
      <c r="J571" s="21" t="s">
        <v>2504</v>
      </c>
      <c r="K571" s="28" t="s">
        <v>2505</v>
      </c>
      <c r="L571" s="28" t="s">
        <v>2506</v>
      </c>
      <c r="M571" s="17">
        <v>2024.0</v>
      </c>
      <c r="N571" s="17">
        <v>5.0</v>
      </c>
      <c r="O571" s="23">
        <v>70.0</v>
      </c>
      <c r="P571" s="24">
        <f t="shared" si="14"/>
        <v>196</v>
      </c>
      <c r="Q571" s="25">
        <v>2.0</v>
      </c>
      <c r="R571" s="17">
        <v>2.0</v>
      </c>
      <c r="S571" s="26">
        <v>2.0</v>
      </c>
      <c r="T571" s="17">
        <v>0.0</v>
      </c>
      <c r="U571" s="17">
        <v>2.0</v>
      </c>
      <c r="V571" s="17" t="s">
        <v>130</v>
      </c>
      <c r="W571" s="28" t="s">
        <v>76</v>
      </c>
      <c r="X571" s="28" t="s">
        <v>78</v>
      </c>
      <c r="Y571" s="24">
        <v>10.0</v>
      </c>
      <c r="Z571" s="17">
        <v>150.0</v>
      </c>
      <c r="AA571" s="17">
        <v>576.0</v>
      </c>
      <c r="AB571" s="17">
        <v>31.0</v>
      </c>
      <c r="AC571" s="20">
        <f t="shared" si="2"/>
        <v>35712</v>
      </c>
      <c r="AD571" s="30">
        <f t="shared" si="3"/>
        <v>8.06</v>
      </c>
      <c r="AE571" s="30">
        <f t="shared" si="10"/>
        <v>1579.76</v>
      </c>
      <c r="AF571" s="30">
        <f t="shared" si="5"/>
        <v>5064.060364</v>
      </c>
      <c r="AG571" s="34">
        <v>1.0</v>
      </c>
      <c r="AH571" s="36"/>
      <c r="AI571" s="30">
        <f t="shared" si="6"/>
        <v>3278.688525</v>
      </c>
      <c r="AJ571" s="17">
        <v>4000.0</v>
      </c>
      <c r="AK571" s="30">
        <f t="shared" si="7"/>
        <v>6557.377049</v>
      </c>
      <c r="AL571" s="20">
        <f t="shared" si="8"/>
        <v>8000</v>
      </c>
    </row>
    <row r="572">
      <c r="A572" s="16" t="s">
        <v>2507</v>
      </c>
      <c r="B572" s="17" t="s">
        <v>193</v>
      </c>
      <c r="C572" s="17" t="s">
        <v>194</v>
      </c>
      <c r="D572" s="17" t="s">
        <v>162</v>
      </c>
      <c r="E572" s="17" t="s">
        <v>2060</v>
      </c>
      <c r="F572" s="17" t="s">
        <v>63</v>
      </c>
      <c r="G572" s="19">
        <v>46234.0</v>
      </c>
      <c r="H572" s="17" t="s">
        <v>104</v>
      </c>
      <c r="I572" s="17" t="s">
        <v>2508</v>
      </c>
      <c r="J572" s="21" t="s">
        <v>2509</v>
      </c>
      <c r="K572" s="28" t="s">
        <v>2510</v>
      </c>
      <c r="L572" s="28" t="s">
        <v>2511</v>
      </c>
      <c r="M572" s="17">
        <v>2002.0</v>
      </c>
      <c r="N572" s="17">
        <v>19.0</v>
      </c>
      <c r="O572" s="23">
        <v>423.0</v>
      </c>
      <c r="P572" s="24">
        <f t="shared" si="14"/>
        <v>1184.4</v>
      </c>
      <c r="Q572" s="25">
        <v>5.0</v>
      </c>
      <c r="R572" s="17">
        <v>5.0</v>
      </c>
      <c r="S572" s="26">
        <v>5.0</v>
      </c>
      <c r="T572" s="17">
        <v>0.0</v>
      </c>
      <c r="U572" s="17">
        <v>2.0</v>
      </c>
      <c r="V572" s="17" t="s">
        <v>130</v>
      </c>
      <c r="W572" s="28" t="s">
        <v>76</v>
      </c>
      <c r="X572" s="28" t="s">
        <v>78</v>
      </c>
      <c r="Y572" s="24">
        <v>10.0</v>
      </c>
      <c r="Z572" s="17">
        <v>150.0</v>
      </c>
      <c r="AA572" s="17">
        <v>576.0</v>
      </c>
      <c r="AB572" s="17">
        <v>31.0</v>
      </c>
      <c r="AC572" s="20">
        <f t="shared" si="2"/>
        <v>89280</v>
      </c>
      <c r="AD572" s="30">
        <f t="shared" si="3"/>
        <v>8.06</v>
      </c>
      <c r="AE572" s="30">
        <f t="shared" si="10"/>
        <v>9546.264</v>
      </c>
      <c r="AF572" s="30">
        <f t="shared" si="5"/>
        <v>2095.060434</v>
      </c>
      <c r="AG572" s="34">
        <v>1.0</v>
      </c>
      <c r="AH572" s="36"/>
      <c r="AI572" s="30">
        <f t="shared" si="6"/>
        <v>3278.688525</v>
      </c>
      <c r="AJ572" s="17">
        <v>4000.0</v>
      </c>
      <c r="AK572" s="30">
        <f t="shared" si="7"/>
        <v>16393.44262</v>
      </c>
      <c r="AL572" s="20">
        <f t="shared" si="8"/>
        <v>20000</v>
      </c>
    </row>
    <row r="573">
      <c r="A573" s="16" t="s">
        <v>2512</v>
      </c>
      <c r="B573" s="17" t="s">
        <v>193</v>
      </c>
      <c r="C573" s="17" t="s">
        <v>194</v>
      </c>
      <c r="D573" s="17" t="s">
        <v>162</v>
      </c>
      <c r="E573" s="17" t="s">
        <v>2060</v>
      </c>
      <c r="F573" s="17" t="s">
        <v>63</v>
      </c>
      <c r="G573" s="19">
        <v>46234.0</v>
      </c>
      <c r="H573" s="17" t="s">
        <v>104</v>
      </c>
      <c r="I573" s="17" t="s">
        <v>2513</v>
      </c>
      <c r="J573" s="21" t="s">
        <v>2514</v>
      </c>
      <c r="K573" s="28" t="s">
        <v>2515</v>
      </c>
      <c r="L573" s="28" t="s">
        <v>2516</v>
      </c>
      <c r="M573" s="17">
        <v>2002.0</v>
      </c>
      <c r="N573" s="17">
        <v>16.0</v>
      </c>
      <c r="O573" s="23">
        <v>128.0</v>
      </c>
      <c r="P573" s="24">
        <f t="shared" si="14"/>
        <v>358.4</v>
      </c>
      <c r="Q573" s="25">
        <v>1.0</v>
      </c>
      <c r="R573" s="17">
        <v>1.0</v>
      </c>
      <c r="S573" s="26">
        <v>1.0</v>
      </c>
      <c r="T573" s="17">
        <v>0.0</v>
      </c>
      <c r="U573" s="17">
        <v>2.0</v>
      </c>
      <c r="V573" s="17" t="s">
        <v>130</v>
      </c>
      <c r="W573" s="28" t="s">
        <v>76</v>
      </c>
      <c r="X573" s="28" t="s">
        <v>78</v>
      </c>
      <c r="Y573" s="24">
        <v>10.0</v>
      </c>
      <c r="Z573" s="17">
        <v>150.0</v>
      </c>
      <c r="AA573" s="17">
        <v>576.0</v>
      </c>
      <c r="AB573" s="17">
        <v>31.0</v>
      </c>
      <c r="AC573" s="20">
        <f t="shared" si="2"/>
        <v>17856</v>
      </c>
      <c r="AD573" s="30">
        <f t="shared" si="3"/>
        <v>8.06</v>
      </c>
      <c r="AE573" s="30">
        <f t="shared" si="10"/>
        <v>2888.704</v>
      </c>
      <c r="AF573" s="30">
        <f t="shared" si="5"/>
        <v>1384.704006</v>
      </c>
      <c r="AG573" s="34">
        <v>1.0</v>
      </c>
      <c r="AH573" s="36"/>
      <c r="AI573" s="30">
        <f t="shared" si="6"/>
        <v>3278.688525</v>
      </c>
      <c r="AJ573" s="17">
        <v>4000.0</v>
      </c>
      <c r="AK573" s="30">
        <f t="shared" si="7"/>
        <v>3278.688525</v>
      </c>
      <c r="AL573" s="20">
        <f t="shared" si="8"/>
        <v>4000</v>
      </c>
    </row>
    <row r="574">
      <c r="A574" s="16" t="s">
        <v>2517</v>
      </c>
      <c r="B574" s="17" t="s">
        <v>193</v>
      </c>
      <c r="C574" s="17" t="s">
        <v>194</v>
      </c>
      <c r="D574" s="17" t="s">
        <v>162</v>
      </c>
      <c r="E574" s="17" t="s">
        <v>2060</v>
      </c>
      <c r="F574" s="17" t="s">
        <v>63</v>
      </c>
      <c r="G574" s="19">
        <v>46234.0</v>
      </c>
      <c r="H574" s="17" t="s">
        <v>104</v>
      </c>
      <c r="I574" s="17" t="s">
        <v>2518</v>
      </c>
      <c r="J574" s="21" t="s">
        <v>2519</v>
      </c>
      <c r="K574" s="28" t="s">
        <v>2520</v>
      </c>
      <c r="L574" s="28" t="s">
        <v>2521</v>
      </c>
      <c r="M574" s="17">
        <v>2004.0</v>
      </c>
      <c r="N574" s="17">
        <v>14.0</v>
      </c>
      <c r="O574" s="23">
        <v>96.0</v>
      </c>
      <c r="P574" s="24">
        <f t="shared" si="14"/>
        <v>268.8</v>
      </c>
      <c r="Q574" s="25">
        <v>1.0</v>
      </c>
      <c r="R574" s="17">
        <v>1.0</v>
      </c>
      <c r="S574" s="26">
        <v>1.0</v>
      </c>
      <c r="T574" s="17">
        <v>0.0</v>
      </c>
      <c r="U574" s="17">
        <v>2.0</v>
      </c>
      <c r="V574" s="17" t="s">
        <v>130</v>
      </c>
      <c r="W574" s="28" t="s">
        <v>76</v>
      </c>
      <c r="X574" s="28" t="s">
        <v>78</v>
      </c>
      <c r="Y574" s="24">
        <v>10.0</v>
      </c>
      <c r="Z574" s="17">
        <v>150.0</v>
      </c>
      <c r="AA574" s="17">
        <v>576.0</v>
      </c>
      <c r="AB574" s="17">
        <v>31.0</v>
      </c>
      <c r="AC574" s="20">
        <f t="shared" si="2"/>
        <v>17856</v>
      </c>
      <c r="AD574" s="30">
        <f t="shared" si="3"/>
        <v>8.06</v>
      </c>
      <c r="AE574" s="30">
        <f t="shared" si="10"/>
        <v>2166.528</v>
      </c>
      <c r="AF574" s="30">
        <f t="shared" si="5"/>
        <v>1846.272008</v>
      </c>
      <c r="AG574" s="34">
        <v>1.0</v>
      </c>
      <c r="AH574" s="36"/>
      <c r="AI574" s="30">
        <f t="shared" si="6"/>
        <v>3278.688525</v>
      </c>
      <c r="AJ574" s="17">
        <v>4000.0</v>
      </c>
      <c r="AK574" s="30">
        <f t="shared" si="7"/>
        <v>3278.688525</v>
      </c>
      <c r="AL574" s="20">
        <f t="shared" si="8"/>
        <v>4000</v>
      </c>
    </row>
    <row r="575">
      <c r="A575" s="16" t="s">
        <v>2522</v>
      </c>
      <c r="B575" s="17" t="s">
        <v>193</v>
      </c>
      <c r="C575" s="17" t="s">
        <v>194</v>
      </c>
      <c r="D575" s="17" t="s">
        <v>162</v>
      </c>
      <c r="E575" s="17" t="s">
        <v>2060</v>
      </c>
      <c r="F575" s="17" t="s">
        <v>63</v>
      </c>
      <c r="G575" s="19">
        <v>46234.0</v>
      </c>
      <c r="H575" s="17" t="s">
        <v>104</v>
      </c>
      <c r="I575" s="17" t="s">
        <v>2523</v>
      </c>
      <c r="J575" s="21" t="s">
        <v>2524</v>
      </c>
      <c r="K575" s="28" t="s">
        <v>2525</v>
      </c>
      <c r="L575" s="28" t="s">
        <v>2526</v>
      </c>
      <c r="M575" s="17">
        <v>2003.0</v>
      </c>
      <c r="N575" s="17">
        <v>14.0</v>
      </c>
      <c r="O575" s="23">
        <v>132.0</v>
      </c>
      <c r="P575" s="24">
        <f t="shared" si="14"/>
        <v>369.6</v>
      </c>
      <c r="Q575" s="25">
        <v>1.0</v>
      </c>
      <c r="R575" s="17">
        <v>1.0</v>
      </c>
      <c r="S575" s="26">
        <v>1.0</v>
      </c>
      <c r="T575" s="17">
        <v>0.0</v>
      </c>
      <c r="U575" s="17">
        <v>3.0</v>
      </c>
      <c r="V575" s="17" t="s">
        <v>130</v>
      </c>
      <c r="W575" s="28" t="s">
        <v>76</v>
      </c>
      <c r="X575" s="28" t="s">
        <v>78</v>
      </c>
      <c r="Y575" s="24">
        <v>10.0</v>
      </c>
      <c r="Z575" s="17">
        <v>150.0</v>
      </c>
      <c r="AA575" s="17">
        <v>576.0</v>
      </c>
      <c r="AB575" s="17">
        <v>31.0</v>
      </c>
      <c r="AC575" s="20">
        <f t="shared" si="2"/>
        <v>17856</v>
      </c>
      <c r="AD575" s="30">
        <f t="shared" si="3"/>
        <v>8.06</v>
      </c>
      <c r="AE575" s="30">
        <f t="shared" si="10"/>
        <v>2978.976</v>
      </c>
      <c r="AF575" s="30">
        <f t="shared" si="5"/>
        <v>1342.743278</v>
      </c>
      <c r="AG575" s="34">
        <v>1.0</v>
      </c>
      <c r="AH575" s="36"/>
      <c r="AI575" s="30">
        <f t="shared" si="6"/>
        <v>3278.688525</v>
      </c>
      <c r="AJ575" s="17">
        <v>4000.0</v>
      </c>
      <c r="AK575" s="30">
        <f t="shared" si="7"/>
        <v>3278.688525</v>
      </c>
      <c r="AL575" s="20">
        <f t="shared" si="8"/>
        <v>4000</v>
      </c>
    </row>
    <row r="576">
      <c r="A576" s="16" t="s">
        <v>2522</v>
      </c>
      <c r="B576" s="17" t="s">
        <v>193</v>
      </c>
      <c r="C576" s="17" t="s">
        <v>194</v>
      </c>
      <c r="D576" s="17" t="s">
        <v>162</v>
      </c>
      <c r="E576" s="17" t="s">
        <v>2060</v>
      </c>
      <c r="F576" s="17" t="s">
        <v>63</v>
      </c>
      <c r="G576" s="19">
        <v>46234.0</v>
      </c>
      <c r="H576" s="17" t="s">
        <v>104</v>
      </c>
      <c r="I576" s="17" t="s">
        <v>2523</v>
      </c>
      <c r="J576" s="21" t="s">
        <v>2527</v>
      </c>
      <c r="K576" s="28" t="s">
        <v>2528</v>
      </c>
      <c r="L576" s="28" t="s">
        <v>2529</v>
      </c>
      <c r="M576" s="17">
        <v>2003.0</v>
      </c>
      <c r="N576" s="17">
        <v>14.0</v>
      </c>
      <c r="O576" s="23">
        <v>132.0</v>
      </c>
      <c r="P576" s="24">
        <f t="shared" si="14"/>
        <v>369.6</v>
      </c>
      <c r="Q576" s="25">
        <v>1.0</v>
      </c>
      <c r="R576" s="17">
        <v>1.0</v>
      </c>
      <c r="S576" s="26">
        <v>1.0</v>
      </c>
      <c r="T576" s="17">
        <v>0.0</v>
      </c>
      <c r="U576" s="17">
        <v>3.0</v>
      </c>
      <c r="V576" s="17" t="s">
        <v>130</v>
      </c>
      <c r="W576" s="28" t="s">
        <v>76</v>
      </c>
      <c r="X576" s="28" t="s">
        <v>78</v>
      </c>
      <c r="Y576" s="24">
        <v>10.0</v>
      </c>
      <c r="Z576" s="17">
        <v>150.0</v>
      </c>
      <c r="AA576" s="17">
        <v>576.0</v>
      </c>
      <c r="AB576" s="17">
        <v>31.0</v>
      </c>
      <c r="AC576" s="20">
        <f t="shared" si="2"/>
        <v>17856</v>
      </c>
      <c r="AD576" s="30">
        <f t="shared" si="3"/>
        <v>8.06</v>
      </c>
      <c r="AE576" s="30">
        <f t="shared" si="10"/>
        <v>2978.976</v>
      </c>
      <c r="AF576" s="30">
        <f t="shared" si="5"/>
        <v>1342.743278</v>
      </c>
      <c r="AG576" s="34">
        <v>1.0</v>
      </c>
      <c r="AH576" s="36"/>
      <c r="AI576" s="30">
        <f t="shared" si="6"/>
        <v>3278.688525</v>
      </c>
      <c r="AJ576" s="17">
        <v>4000.0</v>
      </c>
      <c r="AK576" s="30">
        <f t="shared" si="7"/>
        <v>3278.688525</v>
      </c>
      <c r="AL576" s="20">
        <f t="shared" si="8"/>
        <v>4000</v>
      </c>
    </row>
    <row r="577">
      <c r="A577" s="16" t="s">
        <v>2522</v>
      </c>
      <c r="B577" s="17" t="s">
        <v>193</v>
      </c>
      <c r="C577" s="17" t="s">
        <v>194</v>
      </c>
      <c r="D577" s="17" t="s">
        <v>162</v>
      </c>
      <c r="E577" s="17" t="s">
        <v>2060</v>
      </c>
      <c r="F577" s="17" t="s">
        <v>63</v>
      </c>
      <c r="G577" s="19">
        <v>46234.0</v>
      </c>
      <c r="H577" s="17" t="s">
        <v>104</v>
      </c>
      <c r="I577" s="17" t="s">
        <v>2523</v>
      </c>
      <c r="J577" s="21" t="s">
        <v>2530</v>
      </c>
      <c r="K577" s="28" t="s">
        <v>2531</v>
      </c>
      <c r="L577" s="28" t="s">
        <v>2526</v>
      </c>
      <c r="M577" s="17">
        <v>2003.0</v>
      </c>
      <c r="N577" s="17">
        <v>14.0</v>
      </c>
      <c r="O577" s="23">
        <v>132.0</v>
      </c>
      <c r="P577" s="24">
        <f t="shared" si="14"/>
        <v>369.6</v>
      </c>
      <c r="Q577" s="25">
        <v>1.0</v>
      </c>
      <c r="R577" s="17">
        <v>1.0</v>
      </c>
      <c r="S577" s="26">
        <v>1.0</v>
      </c>
      <c r="T577" s="17">
        <v>0.0</v>
      </c>
      <c r="U577" s="17">
        <v>3.0</v>
      </c>
      <c r="V577" s="17" t="s">
        <v>130</v>
      </c>
      <c r="W577" s="28" t="s">
        <v>76</v>
      </c>
      <c r="X577" s="28" t="s">
        <v>78</v>
      </c>
      <c r="Y577" s="24">
        <v>10.0</v>
      </c>
      <c r="Z577" s="17">
        <v>150.0</v>
      </c>
      <c r="AA577" s="17">
        <v>576.0</v>
      </c>
      <c r="AB577" s="17">
        <v>31.0</v>
      </c>
      <c r="AC577" s="20">
        <f t="shared" si="2"/>
        <v>17856</v>
      </c>
      <c r="AD577" s="30">
        <f t="shared" si="3"/>
        <v>8.06</v>
      </c>
      <c r="AE577" s="30">
        <f t="shared" si="10"/>
        <v>2978.976</v>
      </c>
      <c r="AF577" s="30">
        <f t="shared" si="5"/>
        <v>1342.743278</v>
      </c>
      <c r="AG577" s="34">
        <v>1.0</v>
      </c>
      <c r="AH577" s="36"/>
      <c r="AI577" s="30">
        <f t="shared" si="6"/>
        <v>3278.688525</v>
      </c>
      <c r="AJ577" s="17">
        <v>4000.0</v>
      </c>
      <c r="AK577" s="30">
        <f t="shared" si="7"/>
        <v>3278.688525</v>
      </c>
      <c r="AL577" s="20">
        <f t="shared" si="8"/>
        <v>4000</v>
      </c>
    </row>
    <row r="578">
      <c r="A578" s="16" t="s">
        <v>2532</v>
      </c>
      <c r="B578" s="17" t="s">
        <v>239</v>
      </c>
      <c r="C578" s="17" t="s">
        <v>240</v>
      </c>
      <c r="D578" s="17" t="s">
        <v>2533</v>
      </c>
      <c r="E578" s="17" t="s">
        <v>897</v>
      </c>
      <c r="F578" s="17" t="s">
        <v>63</v>
      </c>
      <c r="G578" s="19">
        <v>45985.0</v>
      </c>
      <c r="H578" s="17" t="s">
        <v>118</v>
      </c>
      <c r="I578" s="20" t="s">
        <v>2534</v>
      </c>
      <c r="J578" s="21" t="s">
        <v>2535</v>
      </c>
      <c r="K578" s="22" t="s">
        <v>2536</v>
      </c>
      <c r="L578" s="22" t="s">
        <v>2537</v>
      </c>
      <c r="M578" s="17">
        <v>2015.0</v>
      </c>
      <c r="N578" s="17">
        <v>25.0</v>
      </c>
      <c r="O578" s="23">
        <v>27.0</v>
      </c>
      <c r="P578" s="24">
        <f t="shared" si="14"/>
        <v>75.6</v>
      </c>
      <c r="Q578" s="25">
        <v>6.0</v>
      </c>
      <c r="R578" s="17">
        <v>6.0</v>
      </c>
      <c r="S578" s="26">
        <v>5.0</v>
      </c>
      <c r="T578" s="17">
        <v>0.0</v>
      </c>
      <c r="U578" s="17">
        <v>12.0</v>
      </c>
      <c r="V578" s="17" t="s">
        <v>75</v>
      </c>
      <c r="W578" s="28" t="s">
        <v>76</v>
      </c>
      <c r="X578" s="28" t="s">
        <v>78</v>
      </c>
      <c r="Y578" s="24">
        <v>10.0</v>
      </c>
      <c r="Z578" s="17">
        <v>150.0</v>
      </c>
      <c r="AA578" s="17">
        <v>576.0</v>
      </c>
      <c r="AB578" s="17">
        <v>31.0</v>
      </c>
      <c r="AC578" s="20">
        <f t="shared" si="2"/>
        <v>107136</v>
      </c>
      <c r="AD578" s="30">
        <f t="shared" si="3"/>
        <v>9.672</v>
      </c>
      <c r="AE578" s="30">
        <f t="shared" si="10"/>
        <v>731.2032</v>
      </c>
      <c r="AF578" s="30">
        <f t="shared" si="5"/>
        <v>32822.61347</v>
      </c>
      <c r="AG578" s="34">
        <v>1.0</v>
      </c>
      <c r="AH578" s="36"/>
      <c r="AI578" s="30">
        <f t="shared" si="6"/>
        <v>3278.688525</v>
      </c>
      <c r="AJ578" s="17">
        <v>4000.0</v>
      </c>
      <c r="AK578" s="30">
        <f t="shared" si="7"/>
        <v>19672.13115</v>
      </c>
      <c r="AL578" s="20">
        <f t="shared" si="8"/>
        <v>24000</v>
      </c>
    </row>
    <row r="579">
      <c r="A579" s="16" t="s">
        <v>2532</v>
      </c>
      <c r="B579" s="17" t="s">
        <v>239</v>
      </c>
      <c r="C579" s="17" t="s">
        <v>240</v>
      </c>
      <c r="D579" s="17" t="s">
        <v>2533</v>
      </c>
      <c r="E579" s="17" t="s">
        <v>897</v>
      </c>
      <c r="F579" s="17" t="s">
        <v>63</v>
      </c>
      <c r="G579" s="19">
        <v>45985.0</v>
      </c>
      <c r="H579" s="17" t="s">
        <v>118</v>
      </c>
      <c r="I579" s="20" t="s">
        <v>2534</v>
      </c>
      <c r="J579" s="21" t="s">
        <v>2538</v>
      </c>
      <c r="K579" s="22" t="s">
        <v>2539</v>
      </c>
      <c r="L579" s="22" t="s">
        <v>2540</v>
      </c>
      <c r="M579" s="17">
        <v>2015.0</v>
      </c>
      <c r="N579" s="17">
        <v>25.0</v>
      </c>
      <c r="O579" s="23">
        <v>960.0</v>
      </c>
      <c r="P579" s="24">
        <f t="shared" si="14"/>
        <v>2688</v>
      </c>
      <c r="Q579" s="25">
        <v>6.0</v>
      </c>
      <c r="R579" s="17">
        <v>6.0</v>
      </c>
      <c r="S579" s="26">
        <v>3.0</v>
      </c>
      <c r="T579" s="17">
        <v>0.0</v>
      </c>
      <c r="U579" s="17">
        <v>15.0</v>
      </c>
      <c r="V579" s="17" t="s">
        <v>75</v>
      </c>
      <c r="W579" s="28" t="s">
        <v>76</v>
      </c>
      <c r="X579" s="28" t="s">
        <v>78</v>
      </c>
      <c r="Y579" s="24">
        <v>10.0</v>
      </c>
      <c r="Z579" s="17">
        <v>150.0</v>
      </c>
      <c r="AA579" s="17">
        <v>576.0</v>
      </c>
      <c r="AB579" s="17">
        <v>31.0</v>
      </c>
      <c r="AC579" s="20">
        <f t="shared" si="2"/>
        <v>107136</v>
      </c>
      <c r="AD579" s="30">
        <f t="shared" si="3"/>
        <v>16.12</v>
      </c>
      <c r="AE579" s="30">
        <f t="shared" si="10"/>
        <v>43330.56</v>
      </c>
      <c r="AF579" s="30">
        <f t="shared" si="5"/>
        <v>553.8816023</v>
      </c>
      <c r="AG579" s="34">
        <v>1.0</v>
      </c>
      <c r="AH579" s="36"/>
      <c r="AI579" s="30">
        <f t="shared" si="6"/>
        <v>3278.688525</v>
      </c>
      <c r="AJ579" s="17">
        <v>4000.0</v>
      </c>
      <c r="AK579" s="30">
        <f t="shared" si="7"/>
        <v>19672.13115</v>
      </c>
      <c r="AL579" s="20">
        <f t="shared" si="8"/>
        <v>24000</v>
      </c>
    </row>
    <row r="580">
      <c r="A580" s="16" t="s">
        <v>2541</v>
      </c>
      <c r="B580" s="17" t="s">
        <v>239</v>
      </c>
      <c r="C580" s="17" t="s">
        <v>240</v>
      </c>
      <c r="D580" s="17" t="s">
        <v>2533</v>
      </c>
      <c r="E580" s="17" t="s">
        <v>897</v>
      </c>
      <c r="F580" s="17" t="s">
        <v>63</v>
      </c>
      <c r="G580" s="19">
        <v>45996.0</v>
      </c>
      <c r="H580" s="17" t="s">
        <v>118</v>
      </c>
      <c r="I580" s="20" t="s">
        <v>2542</v>
      </c>
      <c r="J580" s="21" t="s">
        <v>2543</v>
      </c>
      <c r="K580" s="22" t="s">
        <v>2544</v>
      </c>
      <c r="L580" s="22" t="s">
        <v>2545</v>
      </c>
      <c r="M580" s="17">
        <v>2016.0</v>
      </c>
      <c r="N580" s="17">
        <v>25.0</v>
      </c>
      <c r="O580" s="23">
        <v>293.0</v>
      </c>
      <c r="P580" s="24">
        <f t="shared" si="14"/>
        <v>820.4</v>
      </c>
      <c r="Q580" s="25">
        <v>3.0</v>
      </c>
      <c r="R580" s="17">
        <v>3.0</v>
      </c>
      <c r="S580" s="26">
        <v>6.0</v>
      </c>
      <c r="T580" s="17">
        <v>0.0</v>
      </c>
      <c r="U580" s="17">
        <v>9.0</v>
      </c>
      <c r="V580" s="17" t="s">
        <v>75</v>
      </c>
      <c r="W580" s="28" t="s">
        <v>76</v>
      </c>
      <c r="X580" s="28" t="s">
        <v>78</v>
      </c>
      <c r="Y580" s="24">
        <v>10.0</v>
      </c>
      <c r="Z580" s="17">
        <v>150.0</v>
      </c>
      <c r="AA580" s="17">
        <v>576.0</v>
      </c>
      <c r="AB580" s="17">
        <v>31.0</v>
      </c>
      <c r="AC580" s="20">
        <f t="shared" si="2"/>
        <v>53568</v>
      </c>
      <c r="AD580" s="30">
        <f t="shared" si="3"/>
        <v>4.03</v>
      </c>
      <c r="AE580" s="30">
        <f t="shared" si="10"/>
        <v>3306.212</v>
      </c>
      <c r="AF580" s="30">
        <f t="shared" si="5"/>
        <v>3629.531319</v>
      </c>
      <c r="AG580" s="34">
        <v>1.0</v>
      </c>
      <c r="AH580" s="36"/>
      <c r="AI580" s="30">
        <f t="shared" si="6"/>
        <v>3278.688525</v>
      </c>
      <c r="AJ580" s="17">
        <v>4000.0</v>
      </c>
      <c r="AK580" s="30">
        <f t="shared" si="7"/>
        <v>9836.065574</v>
      </c>
      <c r="AL580" s="20">
        <f t="shared" si="8"/>
        <v>12000</v>
      </c>
    </row>
    <row r="581">
      <c r="A581" s="16" t="s">
        <v>2541</v>
      </c>
      <c r="B581" s="17" t="s">
        <v>239</v>
      </c>
      <c r="C581" s="17" t="s">
        <v>240</v>
      </c>
      <c r="D581" s="17" t="s">
        <v>2533</v>
      </c>
      <c r="E581" s="17" t="s">
        <v>897</v>
      </c>
      <c r="F581" s="17" t="s">
        <v>63</v>
      </c>
      <c r="G581" s="19">
        <v>45996.0</v>
      </c>
      <c r="H581" s="17" t="s">
        <v>118</v>
      </c>
      <c r="I581" s="20" t="s">
        <v>2542</v>
      </c>
      <c r="J581" s="21" t="s">
        <v>2546</v>
      </c>
      <c r="K581" s="22" t="s">
        <v>2547</v>
      </c>
      <c r="L581" s="22" t="s">
        <v>2548</v>
      </c>
      <c r="M581" s="17">
        <v>2015.0</v>
      </c>
      <c r="N581" s="17">
        <v>25.0</v>
      </c>
      <c r="O581" s="23">
        <v>563.0</v>
      </c>
      <c r="P581" s="24">
        <f t="shared" si="14"/>
        <v>1576.4</v>
      </c>
      <c r="Q581" s="25">
        <v>6.0</v>
      </c>
      <c r="R581" s="17">
        <v>6.0</v>
      </c>
      <c r="S581" s="26">
        <v>3.0</v>
      </c>
      <c r="T581" s="17">
        <v>0.0</v>
      </c>
      <c r="U581" s="17">
        <v>18.0</v>
      </c>
      <c r="V581" s="17" t="s">
        <v>75</v>
      </c>
      <c r="W581" s="28" t="s">
        <v>76</v>
      </c>
      <c r="X581" s="28" t="s">
        <v>78</v>
      </c>
      <c r="Y581" s="24">
        <v>10.0</v>
      </c>
      <c r="Z581" s="17">
        <v>150.0</v>
      </c>
      <c r="AA581" s="17">
        <v>576.0</v>
      </c>
      <c r="AB581" s="17">
        <v>31.0</v>
      </c>
      <c r="AC581" s="20">
        <f t="shared" si="2"/>
        <v>107136</v>
      </c>
      <c r="AD581" s="30">
        <f t="shared" si="3"/>
        <v>16.12</v>
      </c>
      <c r="AE581" s="30">
        <f t="shared" si="10"/>
        <v>25411.568</v>
      </c>
      <c r="AF581" s="30">
        <f t="shared" si="5"/>
        <v>944.4517552</v>
      </c>
      <c r="AG581" s="34">
        <v>1.0</v>
      </c>
      <c r="AH581" s="36"/>
      <c r="AI581" s="30">
        <f t="shared" si="6"/>
        <v>3278.688525</v>
      </c>
      <c r="AJ581" s="17">
        <v>4000.0</v>
      </c>
      <c r="AK581" s="30">
        <f t="shared" si="7"/>
        <v>19672.13115</v>
      </c>
      <c r="AL581" s="20">
        <f t="shared" si="8"/>
        <v>24000</v>
      </c>
    </row>
    <row r="582">
      <c r="A582" s="16" t="s">
        <v>2541</v>
      </c>
      <c r="B582" s="17" t="s">
        <v>239</v>
      </c>
      <c r="C582" s="17" t="s">
        <v>240</v>
      </c>
      <c r="D582" s="17" t="s">
        <v>2533</v>
      </c>
      <c r="E582" s="17" t="s">
        <v>897</v>
      </c>
      <c r="F582" s="17" t="s">
        <v>63</v>
      </c>
      <c r="G582" s="19">
        <v>45996.0</v>
      </c>
      <c r="H582" s="17" t="s">
        <v>118</v>
      </c>
      <c r="I582" s="20" t="s">
        <v>2542</v>
      </c>
      <c r="J582" s="21" t="s">
        <v>2549</v>
      </c>
      <c r="K582" s="22" t="s">
        <v>2550</v>
      </c>
      <c r="L582" s="22" t="s">
        <v>2551</v>
      </c>
      <c r="M582" s="17">
        <v>2016.0</v>
      </c>
      <c r="N582" s="17">
        <v>15.0</v>
      </c>
      <c r="O582" s="23">
        <v>144.0</v>
      </c>
      <c r="P582" s="24">
        <f t="shared" si="14"/>
        <v>403.2</v>
      </c>
      <c r="Q582" s="25">
        <v>3.0</v>
      </c>
      <c r="R582" s="17">
        <v>3.0</v>
      </c>
      <c r="S582" s="26">
        <v>2.0</v>
      </c>
      <c r="T582" s="17">
        <v>0.0</v>
      </c>
      <c r="U582" s="17">
        <v>6.0</v>
      </c>
      <c r="V582" s="17" t="s">
        <v>75</v>
      </c>
      <c r="W582" s="28" t="s">
        <v>76</v>
      </c>
      <c r="X582" s="28" t="s">
        <v>78</v>
      </c>
      <c r="Y582" s="24">
        <v>10.0</v>
      </c>
      <c r="Z582" s="17">
        <v>150.0</v>
      </c>
      <c r="AA582" s="17">
        <v>576.0</v>
      </c>
      <c r="AB582" s="17">
        <v>31.0</v>
      </c>
      <c r="AC582" s="20">
        <f t="shared" si="2"/>
        <v>53568</v>
      </c>
      <c r="AD582" s="30">
        <f t="shared" si="3"/>
        <v>12.09</v>
      </c>
      <c r="AE582" s="30">
        <f t="shared" si="10"/>
        <v>4874.688</v>
      </c>
      <c r="AF582" s="30">
        <f t="shared" si="5"/>
        <v>2461.69601</v>
      </c>
      <c r="AG582" s="34">
        <v>1.0</v>
      </c>
      <c r="AH582" s="36"/>
      <c r="AI582" s="30">
        <f t="shared" si="6"/>
        <v>3278.688525</v>
      </c>
      <c r="AJ582" s="17">
        <v>4000.0</v>
      </c>
      <c r="AK582" s="30">
        <f t="shared" si="7"/>
        <v>9836.065574</v>
      </c>
      <c r="AL582" s="20">
        <f t="shared" si="8"/>
        <v>12000</v>
      </c>
    </row>
    <row r="583">
      <c r="A583" s="16" t="s">
        <v>2552</v>
      </c>
      <c r="B583" s="17" t="s">
        <v>239</v>
      </c>
      <c r="C583" s="17" t="s">
        <v>240</v>
      </c>
      <c r="D583" s="17" t="s">
        <v>2533</v>
      </c>
      <c r="E583" s="17" t="s">
        <v>897</v>
      </c>
      <c r="F583" s="17" t="s">
        <v>63</v>
      </c>
      <c r="G583" s="19">
        <v>45993.0</v>
      </c>
      <c r="H583" s="17" t="s">
        <v>104</v>
      </c>
      <c r="I583" s="20" t="s">
        <v>2553</v>
      </c>
      <c r="J583" s="21" t="s">
        <v>2554</v>
      </c>
      <c r="K583" s="22" t="s">
        <v>2555</v>
      </c>
      <c r="L583" s="22" t="s">
        <v>2556</v>
      </c>
      <c r="M583" s="17">
        <v>2015.0</v>
      </c>
      <c r="N583" s="17">
        <v>25.0</v>
      </c>
      <c r="O583" s="23">
        <v>192.0</v>
      </c>
      <c r="P583" s="24">
        <f t="shared" si="14"/>
        <v>537.6</v>
      </c>
      <c r="Q583" s="25">
        <v>2.0</v>
      </c>
      <c r="R583" s="17">
        <v>2.0</v>
      </c>
      <c r="S583" s="26">
        <v>6.0</v>
      </c>
      <c r="T583" s="17">
        <v>0.0</v>
      </c>
      <c r="U583" s="17">
        <v>6.0</v>
      </c>
      <c r="V583" s="17" t="s">
        <v>75</v>
      </c>
      <c r="W583" s="28" t="s">
        <v>76</v>
      </c>
      <c r="X583" s="28" t="s">
        <v>78</v>
      </c>
      <c r="Y583" s="24">
        <v>10.0</v>
      </c>
      <c r="Z583" s="17">
        <v>150.0</v>
      </c>
      <c r="AA583" s="17">
        <v>576.0</v>
      </c>
      <c r="AB583" s="17">
        <v>31.0</v>
      </c>
      <c r="AC583" s="20">
        <f t="shared" si="2"/>
        <v>35712</v>
      </c>
      <c r="AD583" s="30">
        <f t="shared" si="3"/>
        <v>2.686666667</v>
      </c>
      <c r="AE583" s="30">
        <f t="shared" si="10"/>
        <v>1444.352</v>
      </c>
      <c r="AF583" s="30">
        <f t="shared" si="5"/>
        <v>5538.816023</v>
      </c>
      <c r="AG583" s="34">
        <v>1.0</v>
      </c>
      <c r="AH583" s="36"/>
      <c r="AI583" s="30">
        <f t="shared" si="6"/>
        <v>3278.688525</v>
      </c>
      <c r="AJ583" s="17">
        <v>4000.0</v>
      </c>
      <c r="AK583" s="30">
        <f t="shared" si="7"/>
        <v>6557.377049</v>
      </c>
      <c r="AL583" s="20">
        <f t="shared" si="8"/>
        <v>8000</v>
      </c>
    </row>
    <row r="584">
      <c r="A584" s="16" t="s">
        <v>2552</v>
      </c>
      <c r="B584" s="17" t="s">
        <v>239</v>
      </c>
      <c r="C584" s="17" t="s">
        <v>240</v>
      </c>
      <c r="D584" s="17" t="s">
        <v>2533</v>
      </c>
      <c r="E584" s="17" t="s">
        <v>897</v>
      </c>
      <c r="F584" s="17" t="s">
        <v>63</v>
      </c>
      <c r="G584" s="19">
        <v>45993.0</v>
      </c>
      <c r="H584" s="17" t="s">
        <v>104</v>
      </c>
      <c r="I584" s="20" t="s">
        <v>2553</v>
      </c>
      <c r="J584" s="21" t="s">
        <v>2557</v>
      </c>
      <c r="K584" s="22" t="s">
        <v>2558</v>
      </c>
      <c r="L584" s="22" t="s">
        <v>2559</v>
      </c>
      <c r="M584" s="17">
        <v>2015.0</v>
      </c>
      <c r="N584" s="17">
        <v>25.0</v>
      </c>
      <c r="O584" s="23">
        <v>544.0</v>
      </c>
      <c r="P584" s="24">
        <f t="shared" si="14"/>
        <v>1523.2</v>
      </c>
      <c r="Q584" s="25">
        <v>6.0</v>
      </c>
      <c r="R584" s="17">
        <v>6.0</v>
      </c>
      <c r="S584" s="26">
        <v>5.0</v>
      </c>
      <c r="T584" s="17">
        <v>0.0</v>
      </c>
      <c r="U584" s="17">
        <v>18.0</v>
      </c>
      <c r="V584" s="17" t="s">
        <v>75</v>
      </c>
      <c r="W584" s="28" t="s">
        <v>76</v>
      </c>
      <c r="X584" s="28" t="s">
        <v>78</v>
      </c>
      <c r="Y584" s="24">
        <v>10.0</v>
      </c>
      <c r="Z584" s="17">
        <v>150.0</v>
      </c>
      <c r="AA584" s="17">
        <v>576.0</v>
      </c>
      <c r="AB584" s="17">
        <v>31.0</v>
      </c>
      <c r="AC584" s="20">
        <f t="shared" si="2"/>
        <v>107136</v>
      </c>
      <c r="AD584" s="30">
        <f t="shared" si="3"/>
        <v>9.672</v>
      </c>
      <c r="AE584" s="30">
        <f t="shared" si="10"/>
        <v>14732.3904</v>
      </c>
      <c r="AF584" s="30">
        <f t="shared" si="5"/>
        <v>1629.063536</v>
      </c>
      <c r="AG584" s="34">
        <v>1.0</v>
      </c>
      <c r="AH584" s="36"/>
      <c r="AI584" s="30">
        <f t="shared" si="6"/>
        <v>3278.688525</v>
      </c>
      <c r="AJ584" s="17">
        <v>4000.0</v>
      </c>
      <c r="AK584" s="30">
        <f t="shared" si="7"/>
        <v>19672.13115</v>
      </c>
      <c r="AL584" s="20">
        <f t="shared" si="8"/>
        <v>24000</v>
      </c>
    </row>
    <row r="585">
      <c r="A585" s="16" t="s">
        <v>2552</v>
      </c>
      <c r="B585" s="17" t="s">
        <v>239</v>
      </c>
      <c r="C585" s="17" t="s">
        <v>240</v>
      </c>
      <c r="D585" s="17" t="s">
        <v>2533</v>
      </c>
      <c r="E585" s="17" t="s">
        <v>897</v>
      </c>
      <c r="F585" s="17" t="s">
        <v>63</v>
      </c>
      <c r="G585" s="19">
        <v>45993.0</v>
      </c>
      <c r="H585" s="17" t="s">
        <v>104</v>
      </c>
      <c r="I585" s="20" t="s">
        <v>2553</v>
      </c>
      <c r="J585" s="21" t="s">
        <v>2560</v>
      </c>
      <c r="K585" s="22" t="s">
        <v>2561</v>
      </c>
      <c r="L585" s="22" t="s">
        <v>2562</v>
      </c>
      <c r="M585" s="17">
        <v>2018.0</v>
      </c>
      <c r="N585" s="17">
        <v>22.0</v>
      </c>
      <c r="O585" s="23">
        <v>542.0</v>
      </c>
      <c r="P585" s="24">
        <f t="shared" si="14"/>
        <v>1517.6</v>
      </c>
      <c r="Q585" s="25">
        <v>5.0</v>
      </c>
      <c r="R585" s="17">
        <v>5.0</v>
      </c>
      <c r="S585" s="26">
        <v>3.0</v>
      </c>
      <c r="T585" s="17">
        <v>0.0</v>
      </c>
      <c r="U585" s="17">
        <v>15.0</v>
      </c>
      <c r="V585" s="17" t="s">
        <v>75</v>
      </c>
      <c r="W585" s="28" t="s">
        <v>76</v>
      </c>
      <c r="X585" s="28" t="s">
        <v>78</v>
      </c>
      <c r="Y585" s="24">
        <v>10.0</v>
      </c>
      <c r="Z585" s="17">
        <v>150.0</v>
      </c>
      <c r="AA585" s="17">
        <v>576.0</v>
      </c>
      <c r="AB585" s="17">
        <v>31.0</v>
      </c>
      <c r="AC585" s="20">
        <f t="shared" si="2"/>
        <v>89280</v>
      </c>
      <c r="AD585" s="30">
        <f t="shared" si="3"/>
        <v>13.43333333</v>
      </c>
      <c r="AE585" s="30">
        <f t="shared" si="10"/>
        <v>20386.42667</v>
      </c>
      <c r="AF585" s="30">
        <f t="shared" si="5"/>
        <v>981.0449044</v>
      </c>
      <c r="AG585" s="34">
        <v>1.0</v>
      </c>
      <c r="AH585" s="36"/>
      <c r="AI585" s="30">
        <f t="shared" si="6"/>
        <v>3278.688525</v>
      </c>
      <c r="AJ585" s="17">
        <v>4000.0</v>
      </c>
      <c r="AK585" s="30">
        <f t="shared" si="7"/>
        <v>16393.44262</v>
      </c>
      <c r="AL585" s="20">
        <f t="shared" si="8"/>
        <v>20000</v>
      </c>
    </row>
    <row r="586">
      <c r="A586" s="16" t="s">
        <v>2563</v>
      </c>
      <c r="B586" s="17" t="s">
        <v>239</v>
      </c>
      <c r="C586" s="17" t="s">
        <v>240</v>
      </c>
      <c r="D586" s="17" t="s">
        <v>2533</v>
      </c>
      <c r="E586" s="17" t="s">
        <v>897</v>
      </c>
      <c r="F586" s="17" t="s">
        <v>63</v>
      </c>
      <c r="G586" s="19">
        <v>46078.0</v>
      </c>
      <c r="H586" s="17" t="s">
        <v>104</v>
      </c>
      <c r="I586" s="20" t="s">
        <v>2564</v>
      </c>
      <c r="J586" s="21" t="s">
        <v>2565</v>
      </c>
      <c r="K586" s="22" t="s">
        <v>2566</v>
      </c>
      <c r="L586" s="22" t="s">
        <v>2567</v>
      </c>
      <c r="M586" s="17">
        <v>2015.0</v>
      </c>
      <c r="N586" s="17">
        <v>22.0</v>
      </c>
      <c r="O586" s="23">
        <v>252.0</v>
      </c>
      <c r="P586" s="24">
        <f t="shared" si="14"/>
        <v>705.6</v>
      </c>
      <c r="Q586" s="25">
        <v>3.0</v>
      </c>
      <c r="R586" s="17">
        <v>3.0</v>
      </c>
      <c r="S586" s="26">
        <v>4.0</v>
      </c>
      <c r="T586" s="17">
        <v>0.0</v>
      </c>
      <c r="U586" s="17">
        <v>9.0</v>
      </c>
      <c r="V586" s="17" t="s">
        <v>75</v>
      </c>
      <c r="W586" s="28" t="s">
        <v>76</v>
      </c>
      <c r="X586" s="28" t="s">
        <v>78</v>
      </c>
      <c r="Y586" s="24">
        <v>10.0</v>
      </c>
      <c r="Z586" s="17">
        <v>150.0</v>
      </c>
      <c r="AA586" s="17">
        <v>576.0</v>
      </c>
      <c r="AB586" s="17">
        <v>31.0</v>
      </c>
      <c r="AC586" s="20">
        <f t="shared" si="2"/>
        <v>53568</v>
      </c>
      <c r="AD586" s="30">
        <f t="shared" si="3"/>
        <v>6.045</v>
      </c>
      <c r="AE586" s="30">
        <f t="shared" si="10"/>
        <v>4265.352</v>
      </c>
      <c r="AF586" s="30">
        <f t="shared" si="5"/>
        <v>2813.366869</v>
      </c>
      <c r="AG586" s="34">
        <v>1.0</v>
      </c>
      <c r="AH586" s="36"/>
      <c r="AI586" s="30">
        <f t="shared" si="6"/>
        <v>3278.688525</v>
      </c>
      <c r="AJ586" s="17">
        <v>4000.0</v>
      </c>
      <c r="AK586" s="30">
        <f t="shared" si="7"/>
        <v>9836.065574</v>
      </c>
      <c r="AL586" s="20">
        <f t="shared" si="8"/>
        <v>12000</v>
      </c>
    </row>
    <row r="587">
      <c r="A587" s="16" t="s">
        <v>2563</v>
      </c>
      <c r="B587" s="17" t="s">
        <v>239</v>
      </c>
      <c r="C587" s="17" t="s">
        <v>240</v>
      </c>
      <c r="D587" s="17" t="s">
        <v>2533</v>
      </c>
      <c r="E587" s="17" t="s">
        <v>897</v>
      </c>
      <c r="F587" s="17" t="s">
        <v>63</v>
      </c>
      <c r="G587" s="19">
        <v>46078.0</v>
      </c>
      <c r="H587" s="17" t="s">
        <v>104</v>
      </c>
      <c r="I587" s="20" t="s">
        <v>2564</v>
      </c>
      <c r="J587" s="21" t="s">
        <v>2568</v>
      </c>
      <c r="K587" s="22" t="s">
        <v>2569</v>
      </c>
      <c r="L587" s="22" t="s">
        <v>2570</v>
      </c>
      <c r="M587" s="17">
        <v>2016.0</v>
      </c>
      <c r="N587" s="17">
        <v>22.0</v>
      </c>
      <c r="O587" s="23">
        <v>342.0</v>
      </c>
      <c r="P587" s="24">
        <f t="shared" si="14"/>
        <v>957.6</v>
      </c>
      <c r="Q587" s="25">
        <v>4.0</v>
      </c>
      <c r="R587" s="17">
        <v>4.0</v>
      </c>
      <c r="S587" s="26">
        <v>4.0</v>
      </c>
      <c r="T587" s="17">
        <v>0.0</v>
      </c>
      <c r="U587" s="17">
        <v>12.0</v>
      </c>
      <c r="V587" s="17" t="s">
        <v>75</v>
      </c>
      <c r="W587" s="28" t="s">
        <v>76</v>
      </c>
      <c r="X587" s="28" t="s">
        <v>78</v>
      </c>
      <c r="Y587" s="24">
        <v>10.0</v>
      </c>
      <c r="Z587" s="17">
        <v>150.0</v>
      </c>
      <c r="AA587" s="17">
        <v>576.0</v>
      </c>
      <c r="AB587" s="17">
        <v>31.0</v>
      </c>
      <c r="AC587" s="20">
        <f t="shared" si="2"/>
        <v>71424</v>
      </c>
      <c r="AD587" s="30">
        <f t="shared" si="3"/>
        <v>8.06</v>
      </c>
      <c r="AE587" s="30">
        <f t="shared" si="10"/>
        <v>7718.256</v>
      </c>
      <c r="AF587" s="30">
        <f t="shared" si="5"/>
        <v>2073.007166</v>
      </c>
      <c r="AG587" s="34">
        <v>1.0</v>
      </c>
      <c r="AH587" s="36"/>
      <c r="AI587" s="30">
        <f t="shared" si="6"/>
        <v>3278.688525</v>
      </c>
      <c r="AJ587" s="17">
        <v>4000.0</v>
      </c>
      <c r="AK587" s="30">
        <f t="shared" si="7"/>
        <v>13114.7541</v>
      </c>
      <c r="AL587" s="20">
        <f t="shared" si="8"/>
        <v>16000</v>
      </c>
    </row>
    <row r="588">
      <c r="A588" s="16" t="s">
        <v>2563</v>
      </c>
      <c r="B588" s="17" t="s">
        <v>239</v>
      </c>
      <c r="C588" s="17" t="s">
        <v>240</v>
      </c>
      <c r="D588" s="17" t="s">
        <v>2533</v>
      </c>
      <c r="E588" s="17" t="s">
        <v>897</v>
      </c>
      <c r="F588" s="17" t="s">
        <v>63</v>
      </c>
      <c r="G588" s="19">
        <v>46078.0</v>
      </c>
      <c r="H588" s="17" t="s">
        <v>104</v>
      </c>
      <c r="I588" s="20" t="s">
        <v>2564</v>
      </c>
      <c r="J588" s="21" t="s">
        <v>2571</v>
      </c>
      <c r="K588" s="22" t="s">
        <v>2572</v>
      </c>
      <c r="L588" s="22" t="s">
        <v>2573</v>
      </c>
      <c r="M588" s="17">
        <v>2017.0</v>
      </c>
      <c r="N588" s="17">
        <v>22.0</v>
      </c>
      <c r="O588" s="23">
        <v>343.0</v>
      </c>
      <c r="P588" s="24">
        <f t="shared" si="14"/>
        <v>960.4</v>
      </c>
      <c r="Q588" s="25">
        <v>4.0</v>
      </c>
      <c r="R588" s="17">
        <v>4.0</v>
      </c>
      <c r="S588" s="26">
        <v>4.0</v>
      </c>
      <c r="T588" s="17">
        <v>0.0</v>
      </c>
      <c r="U588" s="17">
        <v>12.0</v>
      </c>
      <c r="V588" s="17" t="s">
        <v>75</v>
      </c>
      <c r="W588" s="28" t="s">
        <v>76</v>
      </c>
      <c r="X588" s="28" t="s">
        <v>78</v>
      </c>
      <c r="Y588" s="24">
        <v>10.0</v>
      </c>
      <c r="Z588" s="17">
        <v>150.0</v>
      </c>
      <c r="AA588" s="17">
        <v>576.0</v>
      </c>
      <c r="AB588" s="17">
        <v>31.0</v>
      </c>
      <c r="AC588" s="20">
        <f t="shared" si="2"/>
        <v>71424</v>
      </c>
      <c r="AD588" s="30">
        <f t="shared" si="3"/>
        <v>8.06</v>
      </c>
      <c r="AE588" s="30">
        <f t="shared" si="10"/>
        <v>7740.824</v>
      </c>
      <c r="AF588" s="30">
        <f t="shared" si="5"/>
        <v>2066.963414</v>
      </c>
      <c r="AG588" s="34">
        <v>1.0</v>
      </c>
      <c r="AH588" s="36"/>
      <c r="AI588" s="30">
        <f t="shared" si="6"/>
        <v>3278.688525</v>
      </c>
      <c r="AJ588" s="17">
        <v>4000.0</v>
      </c>
      <c r="AK588" s="30">
        <f t="shared" si="7"/>
        <v>13114.7541</v>
      </c>
      <c r="AL588" s="20">
        <f t="shared" si="8"/>
        <v>16000</v>
      </c>
    </row>
    <row r="589">
      <c r="A589" s="16" t="s">
        <v>2574</v>
      </c>
      <c r="B589" s="17" t="s">
        <v>239</v>
      </c>
      <c r="C589" s="17" t="s">
        <v>267</v>
      </c>
      <c r="D589" s="17" t="s">
        <v>2575</v>
      </c>
      <c r="E589" s="17" t="s">
        <v>897</v>
      </c>
      <c r="F589" s="17" t="s">
        <v>63</v>
      </c>
      <c r="G589" s="19">
        <v>45985.0</v>
      </c>
      <c r="H589" s="17" t="s">
        <v>118</v>
      </c>
      <c r="I589" s="20" t="s">
        <v>2576</v>
      </c>
      <c r="J589" s="21" t="s">
        <v>2577</v>
      </c>
      <c r="K589" s="22" t="s">
        <v>2578</v>
      </c>
      <c r="L589" s="22" t="s">
        <v>2579</v>
      </c>
      <c r="M589" s="17">
        <v>2013.0</v>
      </c>
      <c r="N589" s="17">
        <v>20.0</v>
      </c>
      <c r="O589" s="23">
        <v>1253.0</v>
      </c>
      <c r="P589" s="24">
        <f t="shared" si="14"/>
        <v>3508.4</v>
      </c>
      <c r="Q589" s="25">
        <v>11.0</v>
      </c>
      <c r="R589" s="17">
        <v>11.0</v>
      </c>
      <c r="S589" s="26">
        <v>11.0</v>
      </c>
      <c r="T589" s="17">
        <v>0.0</v>
      </c>
      <c r="U589" s="17">
        <v>22.0</v>
      </c>
      <c r="V589" s="17" t="s">
        <v>75</v>
      </c>
      <c r="W589" s="28" t="s">
        <v>76</v>
      </c>
      <c r="X589" s="28" t="s">
        <v>78</v>
      </c>
      <c r="Y589" s="24">
        <v>10.0</v>
      </c>
      <c r="Z589" s="17">
        <v>150.0</v>
      </c>
      <c r="AA589" s="17">
        <v>576.0</v>
      </c>
      <c r="AB589" s="17">
        <v>31.0</v>
      </c>
      <c r="AC589" s="20">
        <f t="shared" si="2"/>
        <v>196416</v>
      </c>
      <c r="AD589" s="30">
        <f t="shared" si="3"/>
        <v>8.06</v>
      </c>
      <c r="AE589" s="30">
        <f t="shared" si="10"/>
        <v>28277.704</v>
      </c>
      <c r="AF589" s="30">
        <f t="shared" si="5"/>
        <v>1555.996201</v>
      </c>
      <c r="AG589" s="34">
        <v>1.0</v>
      </c>
      <c r="AH589" s="36"/>
      <c r="AI589" s="30">
        <f t="shared" si="6"/>
        <v>3278.688525</v>
      </c>
      <c r="AJ589" s="17">
        <v>4000.0</v>
      </c>
      <c r="AK589" s="30">
        <f t="shared" si="7"/>
        <v>36065.57377</v>
      </c>
      <c r="AL589" s="20">
        <f t="shared" si="8"/>
        <v>44000</v>
      </c>
    </row>
    <row r="590">
      <c r="A590" s="16" t="s">
        <v>2580</v>
      </c>
      <c r="B590" s="17" t="s">
        <v>239</v>
      </c>
      <c r="C590" s="17" t="s">
        <v>267</v>
      </c>
      <c r="D590" s="17" t="s">
        <v>2575</v>
      </c>
      <c r="E590" s="17" t="s">
        <v>897</v>
      </c>
      <c r="F590" s="17" t="s">
        <v>63</v>
      </c>
      <c r="G590" s="19">
        <v>46078.0</v>
      </c>
      <c r="H590" s="17" t="s">
        <v>104</v>
      </c>
      <c r="I590" s="20" t="s">
        <v>2581</v>
      </c>
      <c r="J590" s="21" t="s">
        <v>2582</v>
      </c>
      <c r="K590" s="22" t="s">
        <v>2583</v>
      </c>
      <c r="L590" s="22" t="s">
        <v>2584</v>
      </c>
      <c r="M590" s="17">
        <v>2025.0</v>
      </c>
      <c r="N590" s="17">
        <v>9.0</v>
      </c>
      <c r="O590" s="23">
        <v>172.0</v>
      </c>
      <c r="P590" s="24">
        <f t="shared" si="14"/>
        <v>481.6</v>
      </c>
      <c r="Q590" s="25">
        <v>5.0</v>
      </c>
      <c r="R590" s="17">
        <v>5.0</v>
      </c>
      <c r="S590" s="26">
        <v>3.0</v>
      </c>
      <c r="T590" s="17">
        <v>0.0</v>
      </c>
      <c r="U590" s="17">
        <v>3.0</v>
      </c>
      <c r="V590" s="17" t="s">
        <v>75</v>
      </c>
      <c r="W590" s="28" t="s">
        <v>76</v>
      </c>
      <c r="X590" s="28" t="s">
        <v>78</v>
      </c>
      <c r="Y590" s="24">
        <v>10.0</v>
      </c>
      <c r="Z590" s="17">
        <v>150.0</v>
      </c>
      <c r="AA590" s="17">
        <v>576.0</v>
      </c>
      <c r="AB590" s="17">
        <v>31.0</v>
      </c>
      <c r="AC590" s="20">
        <f t="shared" si="2"/>
        <v>89280</v>
      </c>
      <c r="AD590" s="30">
        <f t="shared" si="3"/>
        <v>13.43333333</v>
      </c>
      <c r="AE590" s="30">
        <f t="shared" si="10"/>
        <v>6469.493333</v>
      </c>
      <c r="AF590" s="30">
        <f t="shared" si="5"/>
        <v>3091.432199</v>
      </c>
      <c r="AG590" s="34">
        <v>1.0</v>
      </c>
      <c r="AH590" s="36"/>
      <c r="AI590" s="30">
        <f t="shared" si="6"/>
        <v>3278.688525</v>
      </c>
      <c r="AJ590" s="17">
        <v>4000.0</v>
      </c>
      <c r="AK590" s="30">
        <f t="shared" si="7"/>
        <v>16393.44262</v>
      </c>
      <c r="AL590" s="20">
        <f t="shared" si="8"/>
        <v>20000</v>
      </c>
    </row>
    <row r="591">
      <c r="A591" s="16" t="s">
        <v>2580</v>
      </c>
      <c r="B591" s="17" t="s">
        <v>239</v>
      </c>
      <c r="C591" s="17" t="s">
        <v>267</v>
      </c>
      <c r="D591" s="17" t="s">
        <v>2575</v>
      </c>
      <c r="E591" s="17" t="s">
        <v>897</v>
      </c>
      <c r="F591" s="17" t="s">
        <v>63</v>
      </c>
      <c r="G591" s="19">
        <v>46078.0</v>
      </c>
      <c r="H591" s="17" t="s">
        <v>104</v>
      </c>
      <c r="I591" s="20" t="s">
        <v>2581</v>
      </c>
      <c r="J591" s="21" t="s">
        <v>2585</v>
      </c>
      <c r="K591" s="22" t="s">
        <v>2586</v>
      </c>
      <c r="L591" s="22" t="s">
        <v>2587</v>
      </c>
      <c r="M591" s="17">
        <v>2025.0</v>
      </c>
      <c r="N591" s="17">
        <v>12.0</v>
      </c>
      <c r="O591" s="23">
        <v>341.0</v>
      </c>
      <c r="P591" s="24">
        <f t="shared" si="14"/>
        <v>954.8</v>
      </c>
      <c r="Q591" s="25">
        <v>6.0</v>
      </c>
      <c r="R591" s="17">
        <v>6.0</v>
      </c>
      <c r="S591" s="26">
        <v>5.0</v>
      </c>
      <c r="T591" s="17">
        <v>0.0</v>
      </c>
      <c r="U591" s="17">
        <v>5.0</v>
      </c>
      <c r="V591" s="17" t="s">
        <v>75</v>
      </c>
      <c r="W591" s="28" t="s">
        <v>76</v>
      </c>
      <c r="X591" s="28" t="s">
        <v>78</v>
      </c>
      <c r="Y591" s="24">
        <v>10.0</v>
      </c>
      <c r="Z591" s="17">
        <v>150.0</v>
      </c>
      <c r="AA591" s="17">
        <v>576.0</v>
      </c>
      <c r="AB591" s="17">
        <v>31.0</v>
      </c>
      <c r="AC591" s="20">
        <f t="shared" si="2"/>
        <v>107136</v>
      </c>
      <c r="AD591" s="30">
        <f t="shared" si="3"/>
        <v>9.672</v>
      </c>
      <c r="AE591" s="30">
        <f t="shared" si="10"/>
        <v>9234.8256</v>
      </c>
      <c r="AF591" s="30">
        <f t="shared" si="5"/>
        <v>2598.857958</v>
      </c>
      <c r="AG591" s="34">
        <v>1.0</v>
      </c>
      <c r="AH591" s="36"/>
      <c r="AI591" s="30">
        <f t="shared" si="6"/>
        <v>3278.688525</v>
      </c>
      <c r="AJ591" s="17">
        <v>4000.0</v>
      </c>
      <c r="AK591" s="30">
        <f t="shared" si="7"/>
        <v>19672.13115</v>
      </c>
      <c r="AL591" s="20">
        <f t="shared" si="8"/>
        <v>24000</v>
      </c>
    </row>
    <row r="592">
      <c r="A592" s="16" t="s">
        <v>2588</v>
      </c>
      <c r="B592" s="17" t="s">
        <v>239</v>
      </c>
      <c r="C592" s="17" t="s">
        <v>267</v>
      </c>
      <c r="D592" s="17" t="s">
        <v>2575</v>
      </c>
      <c r="E592" s="17" t="s">
        <v>897</v>
      </c>
      <c r="F592" s="17" t="s">
        <v>63</v>
      </c>
      <c r="G592" s="19">
        <v>46127.0</v>
      </c>
      <c r="H592" s="17" t="s">
        <v>104</v>
      </c>
      <c r="I592" s="20" t="s">
        <v>2589</v>
      </c>
      <c r="J592" s="21" t="s">
        <v>2590</v>
      </c>
      <c r="K592" s="22" t="s">
        <v>2591</v>
      </c>
      <c r="L592" s="22" t="s">
        <v>2592</v>
      </c>
      <c r="M592" s="17">
        <v>2025.0</v>
      </c>
      <c r="N592" s="17">
        <v>8.0</v>
      </c>
      <c r="O592" s="23">
        <v>327.0</v>
      </c>
      <c r="P592" s="24">
        <f t="shared" si="14"/>
        <v>915.6</v>
      </c>
      <c r="Q592" s="25">
        <v>5.0</v>
      </c>
      <c r="R592" s="17">
        <v>5.0</v>
      </c>
      <c r="S592" s="26">
        <v>4.0</v>
      </c>
      <c r="T592" s="17">
        <v>0.0</v>
      </c>
      <c r="U592" s="17">
        <v>4.0</v>
      </c>
      <c r="V592" s="17" t="s">
        <v>75</v>
      </c>
      <c r="W592" s="28" t="s">
        <v>76</v>
      </c>
      <c r="X592" s="28" t="s">
        <v>78</v>
      </c>
      <c r="Y592" s="24">
        <v>10.0</v>
      </c>
      <c r="Z592" s="17">
        <v>150.0</v>
      </c>
      <c r="AA592" s="17">
        <v>576.0</v>
      </c>
      <c r="AB592" s="17">
        <v>31.0</v>
      </c>
      <c r="AC592" s="20">
        <f t="shared" si="2"/>
        <v>89280</v>
      </c>
      <c r="AD592" s="30">
        <f t="shared" si="3"/>
        <v>10.075</v>
      </c>
      <c r="AE592" s="30">
        <f t="shared" si="10"/>
        <v>9224.67</v>
      </c>
      <c r="AF592" s="30">
        <f t="shared" si="5"/>
        <v>2168.099238</v>
      </c>
      <c r="AG592" s="34">
        <v>1.0</v>
      </c>
      <c r="AH592" s="36"/>
      <c r="AI592" s="30">
        <f t="shared" si="6"/>
        <v>3278.688525</v>
      </c>
      <c r="AJ592" s="17">
        <v>4000.0</v>
      </c>
      <c r="AK592" s="30">
        <f t="shared" si="7"/>
        <v>16393.44262</v>
      </c>
      <c r="AL592" s="20">
        <f t="shared" si="8"/>
        <v>20000</v>
      </c>
    </row>
    <row r="593">
      <c r="A593" s="16" t="s">
        <v>2588</v>
      </c>
      <c r="B593" s="17" t="s">
        <v>239</v>
      </c>
      <c r="C593" s="17" t="s">
        <v>267</v>
      </c>
      <c r="D593" s="17" t="s">
        <v>2575</v>
      </c>
      <c r="E593" s="17" t="s">
        <v>897</v>
      </c>
      <c r="F593" s="17" t="s">
        <v>63</v>
      </c>
      <c r="G593" s="19">
        <v>46127.0</v>
      </c>
      <c r="H593" s="17" t="s">
        <v>104</v>
      </c>
      <c r="I593" s="20" t="s">
        <v>2589</v>
      </c>
      <c r="J593" s="21" t="s">
        <v>2593</v>
      </c>
      <c r="K593" s="22" t="s">
        <v>2594</v>
      </c>
      <c r="L593" s="22" t="s">
        <v>2595</v>
      </c>
      <c r="M593" s="17">
        <v>2025.0</v>
      </c>
      <c r="N593" s="17">
        <v>8.0</v>
      </c>
      <c r="O593" s="23">
        <v>233.0</v>
      </c>
      <c r="P593" s="24">
        <f t="shared" si="14"/>
        <v>652.4</v>
      </c>
      <c r="Q593" s="25">
        <v>5.0</v>
      </c>
      <c r="R593" s="17">
        <v>5.0</v>
      </c>
      <c r="S593" s="26">
        <v>5.0</v>
      </c>
      <c r="T593" s="17">
        <v>0.0</v>
      </c>
      <c r="U593" s="17">
        <v>5.0</v>
      </c>
      <c r="V593" s="17" t="s">
        <v>75</v>
      </c>
      <c r="W593" s="28" t="s">
        <v>76</v>
      </c>
      <c r="X593" s="28" t="s">
        <v>78</v>
      </c>
      <c r="Y593" s="24">
        <v>10.0</v>
      </c>
      <c r="Z593" s="17">
        <v>150.0</v>
      </c>
      <c r="AA593" s="17">
        <v>576.0</v>
      </c>
      <c r="AB593" s="17">
        <v>31.0</v>
      </c>
      <c r="AC593" s="20">
        <f t="shared" si="2"/>
        <v>89280</v>
      </c>
      <c r="AD593" s="30">
        <f t="shared" si="3"/>
        <v>8.06</v>
      </c>
      <c r="AE593" s="30">
        <f t="shared" si="10"/>
        <v>5258.344</v>
      </c>
      <c r="AF593" s="30">
        <f t="shared" si="5"/>
        <v>3803.478814</v>
      </c>
      <c r="AG593" s="34">
        <v>1.0</v>
      </c>
      <c r="AH593" s="36"/>
      <c r="AI593" s="30">
        <f t="shared" si="6"/>
        <v>3278.688525</v>
      </c>
      <c r="AJ593" s="17">
        <v>4000.0</v>
      </c>
      <c r="AK593" s="30">
        <f t="shared" si="7"/>
        <v>16393.44262</v>
      </c>
      <c r="AL593" s="20">
        <f t="shared" si="8"/>
        <v>20000</v>
      </c>
    </row>
    <row r="594">
      <c r="A594" s="16" t="s">
        <v>2596</v>
      </c>
      <c r="B594" s="17" t="s">
        <v>239</v>
      </c>
      <c r="C594" s="17" t="s">
        <v>267</v>
      </c>
      <c r="D594" s="17" t="s">
        <v>2575</v>
      </c>
      <c r="E594" s="17" t="s">
        <v>897</v>
      </c>
      <c r="F594" s="17" t="s">
        <v>103</v>
      </c>
      <c r="G594" s="19">
        <v>46171.0</v>
      </c>
      <c r="H594" s="17" t="s">
        <v>104</v>
      </c>
      <c r="I594" s="20" t="s">
        <v>2597</v>
      </c>
      <c r="J594" s="21" t="s">
        <v>2598</v>
      </c>
      <c r="K594" s="22" t="s">
        <v>2599</v>
      </c>
      <c r="L594" s="22" t="s">
        <v>2600</v>
      </c>
      <c r="M594" s="17">
        <v>2009.0</v>
      </c>
      <c r="N594" s="17">
        <v>24.0</v>
      </c>
      <c r="O594" s="23">
        <v>276.0</v>
      </c>
      <c r="P594" s="24">
        <f t="shared" si="14"/>
        <v>772.8</v>
      </c>
      <c r="Q594" s="25">
        <v>4.0</v>
      </c>
      <c r="R594" s="17">
        <v>2.0</v>
      </c>
      <c r="S594" s="26">
        <v>2.0</v>
      </c>
      <c r="T594" s="17">
        <v>2.0</v>
      </c>
      <c r="U594" s="17">
        <v>6.0</v>
      </c>
      <c r="V594" s="17" t="s">
        <v>130</v>
      </c>
      <c r="W594" s="28" t="s">
        <v>76</v>
      </c>
      <c r="X594" s="28" t="s">
        <v>78</v>
      </c>
      <c r="Y594" s="24">
        <v>10.0</v>
      </c>
      <c r="Z594" s="17">
        <v>150.0</v>
      </c>
      <c r="AA594" s="17">
        <v>576.0</v>
      </c>
      <c r="AB594" s="17">
        <v>31.0</v>
      </c>
      <c r="AC594" s="20">
        <f t="shared" si="2"/>
        <v>71424</v>
      </c>
      <c r="AD594" s="30">
        <f t="shared" si="3"/>
        <v>16.65733333</v>
      </c>
      <c r="AE594" s="30">
        <f t="shared" si="10"/>
        <v>12872.7872</v>
      </c>
      <c r="AF594" s="30">
        <f t="shared" si="5"/>
        <v>1242.932067</v>
      </c>
      <c r="AG594" s="34">
        <v>1.0</v>
      </c>
      <c r="AH594" s="36"/>
      <c r="AI594" s="30">
        <f t="shared" si="6"/>
        <v>3278.688525</v>
      </c>
      <c r="AJ594" s="17">
        <v>4000.0</v>
      </c>
      <c r="AK594" s="30">
        <f t="shared" si="7"/>
        <v>13114.7541</v>
      </c>
      <c r="AL594" s="20">
        <f t="shared" si="8"/>
        <v>16000</v>
      </c>
    </row>
    <row r="595">
      <c r="A595" s="16" t="s">
        <v>2596</v>
      </c>
      <c r="B595" s="17" t="s">
        <v>239</v>
      </c>
      <c r="C595" s="17" t="s">
        <v>267</v>
      </c>
      <c r="D595" s="17" t="s">
        <v>2575</v>
      </c>
      <c r="E595" s="17" t="s">
        <v>897</v>
      </c>
      <c r="F595" s="17" t="s">
        <v>103</v>
      </c>
      <c r="G595" s="19">
        <v>46171.0</v>
      </c>
      <c r="H595" s="17" t="s">
        <v>104</v>
      </c>
      <c r="I595" s="20" t="s">
        <v>2597</v>
      </c>
      <c r="J595" s="21" t="s">
        <v>2601</v>
      </c>
      <c r="K595" s="28" t="s">
        <v>2602</v>
      </c>
      <c r="L595" s="28" t="s">
        <v>2603</v>
      </c>
      <c r="M595" s="17">
        <v>2009.0</v>
      </c>
      <c r="N595" s="17">
        <v>24.0</v>
      </c>
      <c r="O595" s="23">
        <v>276.0</v>
      </c>
      <c r="P595" s="24">
        <f t="shared" si="14"/>
        <v>772.8</v>
      </c>
      <c r="Q595" s="25">
        <v>4.0</v>
      </c>
      <c r="R595" s="17">
        <v>2.0</v>
      </c>
      <c r="S595" s="26">
        <v>2.0</v>
      </c>
      <c r="T595" s="17">
        <v>6.0</v>
      </c>
      <c r="U595" s="17">
        <v>2.0</v>
      </c>
      <c r="V595" s="17" t="s">
        <v>130</v>
      </c>
      <c r="W595" s="28" t="s">
        <v>76</v>
      </c>
      <c r="X595" s="28" t="s">
        <v>78</v>
      </c>
      <c r="Y595" s="24">
        <v>10.0</v>
      </c>
      <c r="Z595" s="17">
        <v>150.0</v>
      </c>
      <c r="AA595" s="17">
        <v>576.0</v>
      </c>
      <c r="AB595" s="17">
        <v>31.0</v>
      </c>
      <c r="AC595" s="20">
        <f t="shared" si="2"/>
        <v>71424</v>
      </c>
      <c r="AD595" s="30">
        <f t="shared" si="3"/>
        <v>85.436</v>
      </c>
      <c r="AE595" s="30">
        <f t="shared" si="10"/>
        <v>66024.9408</v>
      </c>
      <c r="AF595" s="30">
        <f t="shared" si="5"/>
        <v>242.3326671</v>
      </c>
      <c r="AG595" s="34">
        <v>1.0</v>
      </c>
      <c r="AH595" s="36"/>
      <c r="AI595" s="30">
        <f t="shared" si="6"/>
        <v>3278.688525</v>
      </c>
      <c r="AJ595" s="17">
        <v>4000.0</v>
      </c>
      <c r="AK595" s="30">
        <f t="shared" si="7"/>
        <v>13114.7541</v>
      </c>
      <c r="AL595" s="20">
        <f t="shared" si="8"/>
        <v>16000</v>
      </c>
    </row>
    <row r="596">
      <c r="A596" s="16" t="s">
        <v>2604</v>
      </c>
      <c r="B596" s="17" t="s">
        <v>239</v>
      </c>
      <c r="C596" s="17" t="s">
        <v>267</v>
      </c>
      <c r="D596" s="17" t="s">
        <v>2575</v>
      </c>
      <c r="E596" s="17" t="s">
        <v>897</v>
      </c>
      <c r="F596" s="17" t="s">
        <v>103</v>
      </c>
      <c r="G596" s="19">
        <v>46190.0</v>
      </c>
      <c r="H596" s="17" t="s">
        <v>118</v>
      </c>
      <c r="I596" s="20" t="s">
        <v>2605</v>
      </c>
      <c r="J596" s="21" t="s">
        <v>2606</v>
      </c>
      <c r="K596" s="22" t="s">
        <v>2607</v>
      </c>
      <c r="L596" s="22" t="s">
        <v>2608</v>
      </c>
      <c r="M596" s="17">
        <v>2014.0</v>
      </c>
      <c r="N596" s="17">
        <v>22.0</v>
      </c>
      <c r="O596" s="23">
        <v>336.0</v>
      </c>
      <c r="P596" s="24">
        <f t="shared" si="14"/>
        <v>940.8</v>
      </c>
      <c r="Q596" s="25">
        <v>4.0</v>
      </c>
      <c r="R596" s="17">
        <v>4.0</v>
      </c>
      <c r="S596" s="26">
        <v>2.0</v>
      </c>
      <c r="T596" s="17">
        <v>0.0</v>
      </c>
      <c r="U596" s="17">
        <v>6.0</v>
      </c>
      <c r="V596" s="17" t="s">
        <v>130</v>
      </c>
      <c r="W596" s="28" t="s">
        <v>76</v>
      </c>
      <c r="X596" s="28" t="s">
        <v>78</v>
      </c>
      <c r="Y596" s="24">
        <v>10.0</v>
      </c>
      <c r="Z596" s="17">
        <v>150.0</v>
      </c>
      <c r="AA596" s="17">
        <v>576.0</v>
      </c>
      <c r="AB596" s="17">
        <v>31.0</v>
      </c>
      <c r="AC596" s="20">
        <f t="shared" si="2"/>
        <v>71424</v>
      </c>
      <c r="AD596" s="30">
        <f t="shared" si="3"/>
        <v>16.12</v>
      </c>
      <c r="AE596" s="30">
        <f t="shared" si="10"/>
        <v>15165.696</v>
      </c>
      <c r="AF596" s="30">
        <f t="shared" si="5"/>
        <v>1055.012576</v>
      </c>
      <c r="AG596" s="34">
        <v>1.0</v>
      </c>
      <c r="AH596" s="36"/>
      <c r="AI596" s="30">
        <f t="shared" si="6"/>
        <v>3278.688525</v>
      </c>
      <c r="AJ596" s="17">
        <v>4000.0</v>
      </c>
      <c r="AK596" s="30">
        <f t="shared" si="7"/>
        <v>13114.7541</v>
      </c>
      <c r="AL596" s="20">
        <f t="shared" si="8"/>
        <v>16000</v>
      </c>
    </row>
    <row r="597">
      <c r="A597" s="16" t="s">
        <v>2609</v>
      </c>
      <c r="B597" s="17" t="s">
        <v>239</v>
      </c>
      <c r="C597" s="17" t="s">
        <v>267</v>
      </c>
      <c r="D597" s="17" t="s">
        <v>2575</v>
      </c>
      <c r="E597" s="17" t="s">
        <v>897</v>
      </c>
      <c r="F597" s="17" t="s">
        <v>103</v>
      </c>
      <c r="G597" s="19">
        <v>46227.0</v>
      </c>
      <c r="H597" s="17" t="s">
        <v>118</v>
      </c>
      <c r="I597" s="17" t="s">
        <v>2610</v>
      </c>
      <c r="J597" s="21" t="s">
        <v>2611</v>
      </c>
      <c r="K597" s="28" t="s">
        <v>2612</v>
      </c>
      <c r="L597" s="28" t="s">
        <v>2613</v>
      </c>
      <c r="M597" s="17">
        <v>2005.0</v>
      </c>
      <c r="N597" s="17">
        <v>23.0</v>
      </c>
      <c r="O597" s="23">
        <v>826.0</v>
      </c>
      <c r="P597" s="24">
        <f t="shared" si="14"/>
        <v>2312.8</v>
      </c>
      <c r="Q597" s="25">
        <v>12.0</v>
      </c>
      <c r="R597" s="17">
        <v>12.0</v>
      </c>
      <c r="S597" s="26">
        <v>12.0</v>
      </c>
      <c r="T597" s="17">
        <v>0.0</v>
      </c>
      <c r="U597" s="17">
        <v>26.0</v>
      </c>
      <c r="V597" s="17" t="s">
        <v>130</v>
      </c>
      <c r="W597" s="28" t="s">
        <v>76</v>
      </c>
      <c r="X597" s="28" t="s">
        <v>78</v>
      </c>
      <c r="Y597" s="24">
        <v>10.0</v>
      </c>
      <c r="Z597" s="17">
        <v>150.0</v>
      </c>
      <c r="AA597" s="17">
        <v>576.0</v>
      </c>
      <c r="AB597" s="17">
        <v>31.0</v>
      </c>
      <c r="AC597" s="20">
        <f t="shared" si="2"/>
        <v>214272</v>
      </c>
      <c r="AD597" s="30">
        <f t="shared" si="3"/>
        <v>8.06</v>
      </c>
      <c r="AE597" s="30">
        <f t="shared" si="10"/>
        <v>18641.168</v>
      </c>
      <c r="AF597" s="30">
        <f t="shared" si="5"/>
        <v>2574.945948</v>
      </c>
      <c r="AG597" s="34">
        <v>1.0</v>
      </c>
      <c r="AH597" s="36"/>
      <c r="AI597" s="30">
        <f t="shared" si="6"/>
        <v>3278.688525</v>
      </c>
      <c r="AJ597" s="17">
        <v>4000.0</v>
      </c>
      <c r="AK597" s="30">
        <f t="shared" si="7"/>
        <v>39344.2623</v>
      </c>
      <c r="AL597" s="20">
        <f t="shared" si="8"/>
        <v>48000</v>
      </c>
    </row>
    <row r="598">
      <c r="A598" s="16" t="s">
        <v>2614</v>
      </c>
      <c r="B598" s="17" t="s">
        <v>239</v>
      </c>
      <c r="C598" s="17" t="s">
        <v>267</v>
      </c>
      <c r="D598" s="17" t="s">
        <v>2575</v>
      </c>
      <c r="E598" s="17" t="s">
        <v>897</v>
      </c>
      <c r="F598" s="17" t="s">
        <v>103</v>
      </c>
      <c r="G598" s="19">
        <v>46227.0</v>
      </c>
      <c r="H598" s="17" t="s">
        <v>118</v>
      </c>
      <c r="I598" s="17" t="s">
        <v>2615</v>
      </c>
      <c r="J598" s="21" t="s">
        <v>2616</v>
      </c>
      <c r="K598" s="28" t="s">
        <v>2617</v>
      </c>
      <c r="L598" s="28" t="s">
        <v>2618</v>
      </c>
      <c r="M598" s="17">
        <v>2004.0</v>
      </c>
      <c r="N598" s="17">
        <v>24.0</v>
      </c>
      <c r="O598" s="23">
        <v>368.0</v>
      </c>
      <c r="P598" s="24">
        <f t="shared" si="14"/>
        <v>1030.4</v>
      </c>
      <c r="Q598" s="25">
        <v>2.0</v>
      </c>
      <c r="R598" s="17">
        <v>2.0</v>
      </c>
      <c r="S598" s="26">
        <v>2.0</v>
      </c>
      <c r="T598" s="17">
        <v>0.0</v>
      </c>
      <c r="U598" s="17">
        <v>8.0</v>
      </c>
      <c r="V598" s="17" t="s">
        <v>130</v>
      </c>
      <c r="W598" s="28" t="s">
        <v>76</v>
      </c>
      <c r="X598" s="28" t="s">
        <v>78</v>
      </c>
      <c r="Y598" s="24">
        <v>10.0</v>
      </c>
      <c r="Z598" s="17">
        <v>150.0</v>
      </c>
      <c r="AA598" s="17">
        <v>576.0</v>
      </c>
      <c r="AB598" s="17">
        <v>31.0</v>
      </c>
      <c r="AC598" s="20">
        <f t="shared" si="2"/>
        <v>35712</v>
      </c>
      <c r="AD598" s="30">
        <f t="shared" si="3"/>
        <v>8.06</v>
      </c>
      <c r="AE598" s="30">
        <f t="shared" si="10"/>
        <v>8305.024</v>
      </c>
      <c r="AF598" s="30">
        <f t="shared" si="5"/>
        <v>963.2723518</v>
      </c>
      <c r="AG598" s="34">
        <v>1.0</v>
      </c>
      <c r="AH598" s="36"/>
      <c r="AI598" s="30">
        <f t="shared" si="6"/>
        <v>3278.688525</v>
      </c>
      <c r="AJ598" s="17">
        <v>4000.0</v>
      </c>
      <c r="AK598" s="30">
        <f t="shared" si="7"/>
        <v>6557.377049</v>
      </c>
      <c r="AL598" s="20">
        <f t="shared" si="8"/>
        <v>8000</v>
      </c>
    </row>
    <row r="599">
      <c r="A599" s="16" t="s">
        <v>2614</v>
      </c>
      <c r="B599" s="17" t="s">
        <v>239</v>
      </c>
      <c r="C599" s="17" t="s">
        <v>267</v>
      </c>
      <c r="D599" s="17" t="s">
        <v>2575</v>
      </c>
      <c r="E599" s="17" t="s">
        <v>897</v>
      </c>
      <c r="F599" s="17" t="s">
        <v>103</v>
      </c>
      <c r="G599" s="19">
        <v>46227.0</v>
      </c>
      <c r="H599" s="17" t="s">
        <v>118</v>
      </c>
      <c r="I599" s="17" t="s">
        <v>2615</v>
      </c>
      <c r="J599" s="21" t="s">
        <v>2619</v>
      </c>
      <c r="K599" s="28" t="s">
        <v>2620</v>
      </c>
      <c r="L599" s="28" t="s">
        <v>2621</v>
      </c>
      <c r="M599" s="17">
        <v>2005.0</v>
      </c>
      <c r="N599" s="17">
        <v>24.0</v>
      </c>
      <c r="O599" s="23">
        <v>368.0</v>
      </c>
      <c r="P599" s="24">
        <f t="shared" si="14"/>
        <v>1030.4</v>
      </c>
      <c r="Q599" s="25">
        <v>2.0</v>
      </c>
      <c r="R599" s="17">
        <v>2.0</v>
      </c>
      <c r="S599" s="26">
        <v>2.0</v>
      </c>
      <c r="T599" s="17">
        <v>0.0</v>
      </c>
      <c r="U599" s="17">
        <v>8.0</v>
      </c>
      <c r="V599" s="17" t="s">
        <v>130</v>
      </c>
      <c r="W599" s="28" t="s">
        <v>76</v>
      </c>
      <c r="X599" s="28" t="s">
        <v>78</v>
      </c>
      <c r="Y599" s="24">
        <v>10.0</v>
      </c>
      <c r="Z599" s="17">
        <v>150.0</v>
      </c>
      <c r="AA599" s="17">
        <v>576.0</v>
      </c>
      <c r="AB599" s="17">
        <v>31.0</v>
      </c>
      <c r="AC599" s="20">
        <f t="shared" si="2"/>
        <v>35712</v>
      </c>
      <c r="AD599" s="30">
        <f t="shared" si="3"/>
        <v>8.06</v>
      </c>
      <c r="AE599" s="30">
        <f t="shared" si="10"/>
        <v>8305.024</v>
      </c>
      <c r="AF599" s="30">
        <f t="shared" si="5"/>
        <v>963.2723518</v>
      </c>
      <c r="AG599" s="34">
        <v>1.0</v>
      </c>
      <c r="AH599" s="36"/>
      <c r="AI599" s="30">
        <f t="shared" si="6"/>
        <v>3278.688525</v>
      </c>
      <c r="AJ599" s="17">
        <v>4000.0</v>
      </c>
      <c r="AK599" s="30">
        <f t="shared" si="7"/>
        <v>6557.377049</v>
      </c>
      <c r="AL599" s="20">
        <f t="shared" si="8"/>
        <v>8000</v>
      </c>
    </row>
    <row r="600">
      <c r="A600" s="16" t="s">
        <v>2614</v>
      </c>
      <c r="B600" s="17" t="s">
        <v>239</v>
      </c>
      <c r="C600" s="17" t="s">
        <v>267</v>
      </c>
      <c r="D600" s="17" t="s">
        <v>2575</v>
      </c>
      <c r="E600" s="17" t="s">
        <v>897</v>
      </c>
      <c r="F600" s="17" t="s">
        <v>103</v>
      </c>
      <c r="G600" s="19">
        <v>46227.0</v>
      </c>
      <c r="H600" s="17" t="s">
        <v>118</v>
      </c>
      <c r="I600" s="17" t="s">
        <v>2615</v>
      </c>
      <c r="J600" s="21" t="s">
        <v>2622</v>
      </c>
      <c r="K600" s="28" t="s">
        <v>2623</v>
      </c>
      <c r="L600" s="28" t="s">
        <v>2624</v>
      </c>
      <c r="M600" s="17">
        <v>2004.0</v>
      </c>
      <c r="N600" s="17">
        <v>16.0</v>
      </c>
      <c r="O600" s="23">
        <v>250.0</v>
      </c>
      <c r="P600" s="24">
        <f t="shared" si="14"/>
        <v>700</v>
      </c>
      <c r="Q600" s="25">
        <v>4.0</v>
      </c>
      <c r="R600" s="17">
        <v>4.0</v>
      </c>
      <c r="S600" s="26">
        <v>2.0</v>
      </c>
      <c r="T600" s="17">
        <v>0.0</v>
      </c>
      <c r="U600" s="17">
        <v>8.0</v>
      </c>
      <c r="V600" s="17" t="s">
        <v>130</v>
      </c>
      <c r="W600" s="28" t="s">
        <v>76</v>
      </c>
      <c r="X600" s="28" t="s">
        <v>78</v>
      </c>
      <c r="Y600" s="24">
        <v>10.0</v>
      </c>
      <c r="Z600" s="17">
        <v>150.0</v>
      </c>
      <c r="AA600" s="17">
        <v>576.0</v>
      </c>
      <c r="AB600" s="17">
        <v>31.0</v>
      </c>
      <c r="AC600" s="20">
        <f t="shared" si="2"/>
        <v>71424</v>
      </c>
      <c r="AD600" s="30">
        <f t="shared" si="3"/>
        <v>16.12</v>
      </c>
      <c r="AE600" s="30">
        <f t="shared" si="10"/>
        <v>11284</v>
      </c>
      <c r="AF600" s="30">
        <f t="shared" si="5"/>
        <v>1417.936902</v>
      </c>
      <c r="AG600" s="34">
        <v>1.0</v>
      </c>
      <c r="AH600" s="36"/>
      <c r="AI600" s="30">
        <f t="shared" si="6"/>
        <v>3278.688525</v>
      </c>
      <c r="AJ600" s="17">
        <v>4000.0</v>
      </c>
      <c r="AK600" s="30">
        <f t="shared" si="7"/>
        <v>13114.7541</v>
      </c>
      <c r="AL600" s="20">
        <f t="shared" si="8"/>
        <v>16000</v>
      </c>
    </row>
    <row r="601">
      <c r="A601" s="16" t="s">
        <v>2625</v>
      </c>
      <c r="B601" s="17" t="s">
        <v>239</v>
      </c>
      <c r="C601" s="17" t="s">
        <v>267</v>
      </c>
      <c r="D601" s="17" t="s">
        <v>2575</v>
      </c>
      <c r="E601" s="17" t="s">
        <v>897</v>
      </c>
      <c r="F601" s="17" t="s">
        <v>103</v>
      </c>
      <c r="G601" s="19">
        <v>46227.0</v>
      </c>
      <c r="H601" s="17" t="s">
        <v>118</v>
      </c>
      <c r="I601" s="17" t="s">
        <v>2626</v>
      </c>
      <c r="J601" s="21" t="s">
        <v>2627</v>
      </c>
      <c r="K601" s="28" t="s">
        <v>2628</v>
      </c>
      <c r="L601" s="28" t="s">
        <v>2629</v>
      </c>
      <c r="M601" s="17">
        <v>2005.0</v>
      </c>
      <c r="N601" s="17">
        <v>24.0</v>
      </c>
      <c r="O601" s="23">
        <v>368.0</v>
      </c>
      <c r="P601" s="24">
        <f t="shared" si="14"/>
        <v>1030.4</v>
      </c>
      <c r="Q601" s="25">
        <v>2.0</v>
      </c>
      <c r="R601" s="17">
        <v>2.0</v>
      </c>
      <c r="S601" s="26">
        <v>2.0</v>
      </c>
      <c r="T601" s="17">
        <v>0.0</v>
      </c>
      <c r="U601" s="17">
        <v>8.0</v>
      </c>
      <c r="V601" s="17" t="s">
        <v>130</v>
      </c>
      <c r="W601" s="28" t="s">
        <v>76</v>
      </c>
      <c r="X601" s="28" t="s">
        <v>78</v>
      </c>
      <c r="Y601" s="24">
        <v>10.0</v>
      </c>
      <c r="Z601" s="17">
        <v>150.0</v>
      </c>
      <c r="AA601" s="17">
        <v>576.0</v>
      </c>
      <c r="AB601" s="17">
        <v>31.0</v>
      </c>
      <c r="AC601" s="20">
        <f t="shared" si="2"/>
        <v>35712</v>
      </c>
      <c r="AD601" s="30">
        <f t="shared" si="3"/>
        <v>8.06</v>
      </c>
      <c r="AE601" s="30">
        <f t="shared" si="10"/>
        <v>8305.024</v>
      </c>
      <c r="AF601" s="30">
        <f t="shared" si="5"/>
        <v>963.2723518</v>
      </c>
      <c r="AG601" s="34">
        <v>1.0</v>
      </c>
      <c r="AH601" s="36"/>
      <c r="AI601" s="30">
        <f t="shared" si="6"/>
        <v>3278.688525</v>
      </c>
      <c r="AJ601" s="17">
        <v>4000.0</v>
      </c>
      <c r="AK601" s="30">
        <f t="shared" si="7"/>
        <v>6557.377049</v>
      </c>
      <c r="AL601" s="20">
        <f t="shared" si="8"/>
        <v>8000</v>
      </c>
    </row>
    <row r="602">
      <c r="A602" s="16" t="s">
        <v>2625</v>
      </c>
      <c r="B602" s="17" t="s">
        <v>239</v>
      </c>
      <c r="C602" s="17" t="s">
        <v>267</v>
      </c>
      <c r="D602" s="17" t="s">
        <v>2575</v>
      </c>
      <c r="E602" s="17" t="s">
        <v>897</v>
      </c>
      <c r="F602" s="17" t="s">
        <v>103</v>
      </c>
      <c r="G602" s="19">
        <v>46227.0</v>
      </c>
      <c r="H602" s="17" t="s">
        <v>118</v>
      </c>
      <c r="I602" s="17" t="s">
        <v>2626</v>
      </c>
      <c r="J602" s="21" t="s">
        <v>2630</v>
      </c>
      <c r="K602" s="28" t="s">
        <v>2631</v>
      </c>
      <c r="L602" s="28" t="s">
        <v>2632</v>
      </c>
      <c r="M602" s="17">
        <v>2005.0</v>
      </c>
      <c r="N602" s="17">
        <v>24.0</v>
      </c>
      <c r="O602" s="23">
        <v>368.0</v>
      </c>
      <c r="P602" s="24">
        <f t="shared" si="14"/>
        <v>1030.4</v>
      </c>
      <c r="Q602" s="25">
        <v>2.0</v>
      </c>
      <c r="R602" s="17">
        <v>2.0</v>
      </c>
      <c r="S602" s="26">
        <v>2.0</v>
      </c>
      <c r="T602" s="17">
        <v>0.0</v>
      </c>
      <c r="U602" s="17">
        <v>8.0</v>
      </c>
      <c r="V602" s="17" t="s">
        <v>130</v>
      </c>
      <c r="W602" s="28" t="s">
        <v>76</v>
      </c>
      <c r="X602" s="28" t="s">
        <v>78</v>
      </c>
      <c r="Y602" s="24">
        <v>10.0</v>
      </c>
      <c r="Z602" s="17">
        <v>150.0</v>
      </c>
      <c r="AA602" s="17">
        <v>576.0</v>
      </c>
      <c r="AB602" s="17">
        <v>31.0</v>
      </c>
      <c r="AC602" s="20">
        <f t="shared" si="2"/>
        <v>35712</v>
      </c>
      <c r="AD602" s="30">
        <f t="shared" si="3"/>
        <v>8.06</v>
      </c>
      <c r="AE602" s="30">
        <f t="shared" si="10"/>
        <v>8305.024</v>
      </c>
      <c r="AF602" s="30">
        <f t="shared" si="5"/>
        <v>963.2723518</v>
      </c>
      <c r="AG602" s="34">
        <v>1.0</v>
      </c>
      <c r="AH602" s="36"/>
      <c r="AI602" s="30">
        <f t="shared" si="6"/>
        <v>3278.688525</v>
      </c>
      <c r="AJ602" s="17">
        <v>4000.0</v>
      </c>
      <c r="AK602" s="30">
        <f t="shared" si="7"/>
        <v>6557.377049</v>
      </c>
      <c r="AL602" s="20">
        <f t="shared" si="8"/>
        <v>8000</v>
      </c>
    </row>
    <row r="603">
      <c r="A603" s="16" t="s">
        <v>2625</v>
      </c>
      <c r="B603" s="17" t="s">
        <v>239</v>
      </c>
      <c r="C603" s="17" t="s">
        <v>267</v>
      </c>
      <c r="D603" s="17" t="s">
        <v>2575</v>
      </c>
      <c r="E603" s="17" t="s">
        <v>897</v>
      </c>
      <c r="F603" s="17" t="s">
        <v>103</v>
      </c>
      <c r="G603" s="19">
        <v>46227.0</v>
      </c>
      <c r="H603" s="17" t="s">
        <v>118</v>
      </c>
      <c r="I603" s="17" t="s">
        <v>2626</v>
      </c>
      <c r="J603" s="21" t="s">
        <v>2633</v>
      </c>
      <c r="K603" s="28" t="s">
        <v>2634</v>
      </c>
      <c r="L603" s="28" t="s">
        <v>2635</v>
      </c>
      <c r="M603" s="17">
        <v>2005.0</v>
      </c>
      <c r="N603" s="17">
        <v>24.0</v>
      </c>
      <c r="O603" s="23">
        <v>177.0</v>
      </c>
      <c r="P603" s="24">
        <f t="shared" si="14"/>
        <v>495.6</v>
      </c>
      <c r="Q603" s="25">
        <v>1.0</v>
      </c>
      <c r="R603" s="17">
        <v>1.0</v>
      </c>
      <c r="S603" s="26">
        <v>1.0</v>
      </c>
      <c r="T603" s="17">
        <v>0.0</v>
      </c>
      <c r="U603" s="17">
        <v>4.0</v>
      </c>
      <c r="V603" s="17" t="s">
        <v>75</v>
      </c>
      <c r="W603" s="28" t="s">
        <v>76</v>
      </c>
      <c r="X603" s="28" t="s">
        <v>1033</v>
      </c>
      <c r="Y603" s="24">
        <v>10.0</v>
      </c>
      <c r="Z603" s="17">
        <v>150.0</v>
      </c>
      <c r="AA603" s="17">
        <v>576.0</v>
      </c>
      <c r="AB603" s="17">
        <v>31.0</v>
      </c>
      <c r="AC603" s="20">
        <f t="shared" si="2"/>
        <v>17856</v>
      </c>
      <c r="AD603" s="30">
        <f t="shared" si="3"/>
        <v>8.06</v>
      </c>
      <c r="AE603" s="30">
        <f t="shared" si="10"/>
        <v>3994.536</v>
      </c>
      <c r="AF603" s="30">
        <f t="shared" si="5"/>
        <v>1001.367869</v>
      </c>
      <c r="AG603" s="34">
        <v>1.0</v>
      </c>
      <c r="AH603" s="36"/>
      <c r="AI603" s="30">
        <f t="shared" si="6"/>
        <v>3278.688525</v>
      </c>
      <c r="AJ603" s="17">
        <v>4000.0</v>
      </c>
      <c r="AK603" s="30">
        <f t="shared" si="7"/>
        <v>3278.688525</v>
      </c>
      <c r="AL603" s="20">
        <f t="shared" si="8"/>
        <v>4000</v>
      </c>
    </row>
    <row r="604">
      <c r="A604" s="16" t="s">
        <v>2636</v>
      </c>
      <c r="B604" s="17" t="s">
        <v>239</v>
      </c>
      <c r="C604" s="17" t="s">
        <v>267</v>
      </c>
      <c r="D604" s="17" t="s">
        <v>2575</v>
      </c>
      <c r="E604" s="17" t="s">
        <v>897</v>
      </c>
      <c r="F604" s="17" t="s">
        <v>103</v>
      </c>
      <c r="G604" s="19">
        <v>46227.0</v>
      </c>
      <c r="H604" s="17" t="s">
        <v>118</v>
      </c>
      <c r="I604" s="17" t="s">
        <v>2626</v>
      </c>
      <c r="J604" s="21" t="s">
        <v>2637</v>
      </c>
      <c r="K604" s="28" t="s">
        <v>2638</v>
      </c>
      <c r="L604" s="28" t="s">
        <v>2639</v>
      </c>
      <c r="M604" s="17">
        <v>2005.0</v>
      </c>
      <c r="N604" s="17">
        <v>16.0</v>
      </c>
      <c r="O604" s="23">
        <v>125.0</v>
      </c>
      <c r="P604" s="24">
        <f t="shared" si="14"/>
        <v>350</v>
      </c>
      <c r="Q604" s="25">
        <v>2.0</v>
      </c>
      <c r="R604" s="17">
        <v>2.0</v>
      </c>
      <c r="S604" s="26">
        <v>2.0</v>
      </c>
      <c r="T604" s="17">
        <v>0.0</v>
      </c>
      <c r="U604" s="17">
        <v>4.0</v>
      </c>
      <c r="V604" s="17" t="s">
        <v>130</v>
      </c>
      <c r="W604" s="28" t="s">
        <v>76</v>
      </c>
      <c r="X604" s="28" t="s">
        <v>78</v>
      </c>
      <c r="Y604" s="24">
        <v>10.0</v>
      </c>
      <c r="Z604" s="17">
        <v>150.0</v>
      </c>
      <c r="AA604" s="17">
        <v>576.0</v>
      </c>
      <c r="AB604" s="17">
        <v>31.0</v>
      </c>
      <c r="AC604" s="20">
        <f t="shared" si="2"/>
        <v>35712</v>
      </c>
      <c r="AD604" s="30">
        <f t="shared" si="3"/>
        <v>8.06</v>
      </c>
      <c r="AE604" s="30">
        <f t="shared" si="10"/>
        <v>2821</v>
      </c>
      <c r="AF604" s="30">
        <f t="shared" si="5"/>
        <v>2835.873804</v>
      </c>
      <c r="AG604" s="34">
        <v>1.0</v>
      </c>
      <c r="AH604" s="36"/>
      <c r="AI604" s="30">
        <f t="shared" si="6"/>
        <v>3278.688525</v>
      </c>
      <c r="AJ604" s="17">
        <v>4000.0</v>
      </c>
      <c r="AK604" s="30">
        <f t="shared" si="7"/>
        <v>6557.377049</v>
      </c>
      <c r="AL604" s="20">
        <f t="shared" si="8"/>
        <v>8000</v>
      </c>
    </row>
    <row r="605">
      <c r="A605" s="16" t="s">
        <v>2640</v>
      </c>
      <c r="B605" s="17" t="s">
        <v>239</v>
      </c>
      <c r="C605" s="17" t="s">
        <v>267</v>
      </c>
      <c r="D605" s="17" t="s">
        <v>2575</v>
      </c>
      <c r="E605" s="17" t="s">
        <v>897</v>
      </c>
      <c r="F605" s="17" t="s">
        <v>103</v>
      </c>
      <c r="G605" s="19">
        <v>46227.0</v>
      </c>
      <c r="H605" s="17" t="s">
        <v>118</v>
      </c>
      <c r="I605" s="17" t="s">
        <v>2641</v>
      </c>
      <c r="J605" s="21" t="s">
        <v>2642</v>
      </c>
      <c r="K605" s="28" t="s">
        <v>2643</v>
      </c>
      <c r="L605" s="28" t="s">
        <v>2644</v>
      </c>
      <c r="M605" s="17">
        <v>2005.0</v>
      </c>
      <c r="N605" s="17">
        <v>23.0</v>
      </c>
      <c r="O605" s="23">
        <v>783.0</v>
      </c>
      <c r="P605" s="24">
        <f t="shared" si="14"/>
        <v>2192.4</v>
      </c>
      <c r="Q605" s="25">
        <v>11.0</v>
      </c>
      <c r="R605" s="17">
        <v>11.0</v>
      </c>
      <c r="S605" s="26">
        <v>11.0</v>
      </c>
      <c r="T605" s="17">
        <v>0.0</v>
      </c>
      <c r="U605" s="17">
        <v>24.0</v>
      </c>
      <c r="V605" s="17" t="s">
        <v>130</v>
      </c>
      <c r="W605" s="28" t="s">
        <v>76</v>
      </c>
      <c r="X605" s="28" t="s">
        <v>78</v>
      </c>
      <c r="Y605" s="24">
        <v>10.0</v>
      </c>
      <c r="Z605" s="17">
        <v>150.0</v>
      </c>
      <c r="AA605" s="17">
        <v>576.0</v>
      </c>
      <c r="AB605" s="17">
        <v>31.0</v>
      </c>
      <c r="AC605" s="20">
        <f t="shared" si="2"/>
        <v>196416</v>
      </c>
      <c r="AD605" s="30">
        <f t="shared" si="3"/>
        <v>8.06</v>
      </c>
      <c r="AE605" s="30">
        <f t="shared" si="10"/>
        <v>17670.744</v>
      </c>
      <c r="AF605" s="30">
        <f t="shared" si="5"/>
        <v>2489.991367</v>
      </c>
      <c r="AG605" s="34">
        <v>1.0</v>
      </c>
      <c r="AH605" s="36"/>
      <c r="AI605" s="30">
        <f t="shared" si="6"/>
        <v>3278.688525</v>
      </c>
      <c r="AJ605" s="17">
        <v>4000.0</v>
      </c>
      <c r="AK605" s="30">
        <f t="shared" si="7"/>
        <v>36065.57377</v>
      </c>
      <c r="AL605" s="20">
        <f t="shared" si="8"/>
        <v>44000</v>
      </c>
    </row>
    <row r="606">
      <c r="A606" s="16" t="s">
        <v>2645</v>
      </c>
      <c r="B606" s="17" t="s">
        <v>239</v>
      </c>
      <c r="C606" s="17" t="s">
        <v>290</v>
      </c>
      <c r="D606" s="17" t="s">
        <v>2646</v>
      </c>
      <c r="E606" s="17" t="s">
        <v>897</v>
      </c>
      <c r="F606" s="17" t="s">
        <v>103</v>
      </c>
      <c r="G606" s="19">
        <v>46092.0</v>
      </c>
      <c r="H606" s="17" t="s">
        <v>118</v>
      </c>
      <c r="I606" s="20" t="s">
        <v>2647</v>
      </c>
      <c r="J606" s="21" t="s">
        <v>2648</v>
      </c>
      <c r="K606" s="22" t="s">
        <v>2649</v>
      </c>
      <c r="L606" s="22" t="s">
        <v>2650</v>
      </c>
      <c r="M606" s="17">
        <v>2011.0</v>
      </c>
      <c r="N606" s="17">
        <v>22.0</v>
      </c>
      <c r="O606" s="23">
        <v>748.0</v>
      </c>
      <c r="P606" s="24">
        <f t="shared" si="14"/>
        <v>2094.4</v>
      </c>
      <c r="Q606" s="25">
        <v>9.0</v>
      </c>
      <c r="R606" s="17">
        <v>9.0</v>
      </c>
      <c r="S606" s="26">
        <v>9.0</v>
      </c>
      <c r="T606" s="17">
        <v>0.0</v>
      </c>
      <c r="U606" s="17">
        <v>27.0</v>
      </c>
      <c r="V606" s="17" t="s">
        <v>75</v>
      </c>
      <c r="W606" s="28" t="s">
        <v>76</v>
      </c>
      <c r="X606" s="28" t="s">
        <v>78</v>
      </c>
      <c r="Y606" s="24">
        <v>10.0</v>
      </c>
      <c r="Z606" s="17">
        <v>150.0</v>
      </c>
      <c r="AA606" s="17">
        <v>576.0</v>
      </c>
      <c r="AB606" s="17">
        <v>31.0</v>
      </c>
      <c r="AC606" s="20">
        <f t="shared" si="2"/>
        <v>160704</v>
      </c>
      <c r="AD606" s="30">
        <f t="shared" si="3"/>
        <v>8.06</v>
      </c>
      <c r="AE606" s="30">
        <f t="shared" si="10"/>
        <v>16880.864</v>
      </c>
      <c r="AF606" s="30">
        <f t="shared" si="5"/>
        <v>2132.592265</v>
      </c>
      <c r="AG606" s="34">
        <v>1.0</v>
      </c>
      <c r="AH606" s="36"/>
      <c r="AI606" s="30">
        <f t="shared" si="6"/>
        <v>3278.688525</v>
      </c>
      <c r="AJ606" s="17">
        <v>4000.0</v>
      </c>
      <c r="AK606" s="30">
        <f t="shared" si="7"/>
        <v>29508.19672</v>
      </c>
      <c r="AL606" s="20">
        <f t="shared" si="8"/>
        <v>36000</v>
      </c>
    </row>
    <row r="607" ht="16.5" customHeight="1">
      <c r="A607" s="16" t="s">
        <v>2651</v>
      </c>
      <c r="B607" s="17" t="s">
        <v>239</v>
      </c>
      <c r="C607" s="17" t="s">
        <v>290</v>
      </c>
      <c r="D607" s="17" t="s">
        <v>2646</v>
      </c>
      <c r="E607" s="17" t="s">
        <v>897</v>
      </c>
      <c r="F607" s="17" t="s">
        <v>103</v>
      </c>
      <c r="G607" s="19">
        <v>46118.0</v>
      </c>
      <c r="H607" s="17" t="s">
        <v>104</v>
      </c>
      <c r="I607" s="20" t="s">
        <v>2652</v>
      </c>
      <c r="J607" s="21" t="s">
        <v>2653</v>
      </c>
      <c r="K607" s="22" t="s">
        <v>2654</v>
      </c>
      <c r="L607" s="22" t="s">
        <v>2655</v>
      </c>
      <c r="M607" s="17">
        <v>2012.0</v>
      </c>
      <c r="N607" s="17">
        <v>22.0</v>
      </c>
      <c r="O607" s="23">
        <v>304.0</v>
      </c>
      <c r="P607" s="24">
        <f t="shared" si="14"/>
        <v>851.2</v>
      </c>
      <c r="Q607" s="25">
        <v>9.0</v>
      </c>
      <c r="R607" s="17">
        <v>4.0</v>
      </c>
      <c r="S607" s="26">
        <v>3.0</v>
      </c>
      <c r="T607" s="17">
        <v>5.0</v>
      </c>
      <c r="U607" s="17">
        <v>9.0</v>
      </c>
      <c r="V607" s="17" t="s">
        <v>75</v>
      </c>
      <c r="W607" s="28" t="s">
        <v>76</v>
      </c>
      <c r="X607" s="28" t="s">
        <v>78</v>
      </c>
      <c r="Y607" s="24">
        <v>10.0</v>
      </c>
      <c r="Z607" s="17">
        <v>150.0</v>
      </c>
      <c r="AA607" s="17">
        <v>576.0</v>
      </c>
      <c r="AB607" s="17">
        <v>31.0</v>
      </c>
      <c r="AC607" s="20">
        <f t="shared" si="2"/>
        <v>160704</v>
      </c>
      <c r="AD607" s="30">
        <f t="shared" si="3"/>
        <v>23.88148148</v>
      </c>
      <c r="AE607" s="30">
        <f t="shared" si="10"/>
        <v>20327.91704</v>
      </c>
      <c r="AF607" s="30">
        <f t="shared" si="5"/>
        <v>1770.963544</v>
      </c>
      <c r="AG607" s="34">
        <v>1.0</v>
      </c>
      <c r="AH607" s="36"/>
      <c r="AI607" s="30">
        <f t="shared" si="6"/>
        <v>3278.688525</v>
      </c>
      <c r="AJ607" s="17">
        <v>4000.0</v>
      </c>
      <c r="AK607" s="30">
        <f t="shared" si="7"/>
        <v>29508.19672</v>
      </c>
      <c r="AL607" s="20">
        <f t="shared" si="8"/>
        <v>36000</v>
      </c>
    </row>
    <row r="608">
      <c r="A608" s="25" t="s">
        <v>2656</v>
      </c>
      <c r="B608" s="17" t="s">
        <v>239</v>
      </c>
      <c r="C608" s="17" t="s">
        <v>290</v>
      </c>
      <c r="D608" s="17" t="s">
        <v>2646</v>
      </c>
      <c r="E608" s="17" t="s">
        <v>897</v>
      </c>
      <c r="F608" s="17" t="s">
        <v>103</v>
      </c>
      <c r="G608" s="19">
        <v>46212.0</v>
      </c>
      <c r="H608" s="17" t="s">
        <v>104</v>
      </c>
      <c r="I608" s="20" t="s">
        <v>2657</v>
      </c>
      <c r="J608" s="21" t="s">
        <v>2658</v>
      </c>
      <c r="K608" s="22" t="s">
        <v>2659</v>
      </c>
      <c r="L608" s="22" t="s">
        <v>2660</v>
      </c>
      <c r="M608" s="17">
        <v>2011.0</v>
      </c>
      <c r="N608" s="17">
        <v>17.0</v>
      </c>
      <c r="O608" s="23">
        <v>1140.0</v>
      </c>
      <c r="P608" s="24">
        <f t="shared" si="14"/>
        <v>3192</v>
      </c>
      <c r="Q608" s="25">
        <v>4.0</v>
      </c>
      <c r="R608" s="17">
        <v>6.0</v>
      </c>
      <c r="S608" s="26">
        <v>4.0</v>
      </c>
      <c r="T608" s="17">
        <v>4.0</v>
      </c>
      <c r="U608" s="17">
        <v>8.0</v>
      </c>
      <c r="V608" s="17" t="s">
        <v>130</v>
      </c>
      <c r="W608" s="28" t="s">
        <v>76</v>
      </c>
      <c r="X608" s="28" t="s">
        <v>78</v>
      </c>
      <c r="Y608" s="24">
        <v>10.0</v>
      </c>
      <c r="Z608" s="17">
        <v>150.0</v>
      </c>
      <c r="AA608" s="17">
        <v>576.0</v>
      </c>
      <c r="AB608" s="17">
        <v>31.0</v>
      </c>
      <c r="AC608" s="20">
        <f t="shared" si="2"/>
        <v>71424</v>
      </c>
      <c r="AD608" s="30">
        <f t="shared" si="3"/>
        <v>21.22466667</v>
      </c>
      <c r="AE608" s="30">
        <f t="shared" si="10"/>
        <v>67749.136</v>
      </c>
      <c r="AF608" s="30">
        <f t="shared" si="5"/>
        <v>236.1653734</v>
      </c>
      <c r="AG608" s="34">
        <v>1.0</v>
      </c>
      <c r="AH608" s="36"/>
      <c r="AI608" s="30">
        <f t="shared" si="6"/>
        <v>3278.688525</v>
      </c>
      <c r="AJ608" s="17">
        <v>4000.0</v>
      </c>
      <c r="AK608" s="30">
        <f t="shared" si="7"/>
        <v>13114.7541</v>
      </c>
      <c r="AL608" s="20">
        <f t="shared" si="8"/>
        <v>16000</v>
      </c>
    </row>
    <row r="609">
      <c r="A609" s="25" t="s">
        <v>2656</v>
      </c>
      <c r="B609" s="17" t="s">
        <v>239</v>
      </c>
      <c r="C609" s="17" t="s">
        <v>290</v>
      </c>
      <c r="D609" s="17" t="s">
        <v>2646</v>
      </c>
      <c r="E609" s="17" t="s">
        <v>897</v>
      </c>
      <c r="F609" s="17" t="s">
        <v>103</v>
      </c>
      <c r="G609" s="19">
        <v>46212.0</v>
      </c>
      <c r="H609" s="17" t="s">
        <v>104</v>
      </c>
      <c r="I609" s="20" t="s">
        <v>2657</v>
      </c>
      <c r="J609" s="21" t="s">
        <v>2661</v>
      </c>
      <c r="K609" s="22" t="s">
        <v>2662</v>
      </c>
      <c r="L609" s="22" t="s">
        <v>2663</v>
      </c>
      <c r="M609" s="17">
        <v>2011.0</v>
      </c>
      <c r="N609" s="17">
        <v>17.0</v>
      </c>
      <c r="O609" s="23">
        <v>1140.0</v>
      </c>
      <c r="P609" s="24">
        <f t="shared" si="14"/>
        <v>3192</v>
      </c>
      <c r="Q609" s="25">
        <v>2.0</v>
      </c>
      <c r="R609" s="17">
        <v>6.0</v>
      </c>
      <c r="S609" s="26">
        <v>3.0</v>
      </c>
      <c r="T609" s="17">
        <v>4.0</v>
      </c>
      <c r="U609" s="17">
        <v>12.0</v>
      </c>
      <c r="V609" s="17" t="s">
        <v>130</v>
      </c>
      <c r="W609" s="28" t="s">
        <v>76</v>
      </c>
      <c r="X609" s="28" t="s">
        <v>78</v>
      </c>
      <c r="Y609" s="24">
        <v>10.0</v>
      </c>
      <c r="Z609" s="17">
        <v>150.0</v>
      </c>
      <c r="AA609" s="17">
        <v>576.0</v>
      </c>
      <c r="AB609" s="17">
        <v>31.0</v>
      </c>
      <c r="AC609" s="20">
        <f t="shared" si="2"/>
        <v>35712</v>
      </c>
      <c r="AD609" s="30">
        <f t="shared" si="3"/>
        <v>22.20977778</v>
      </c>
      <c r="AE609" s="30">
        <f t="shared" si="10"/>
        <v>70893.61067</v>
      </c>
      <c r="AF609" s="30">
        <f t="shared" si="5"/>
        <v>112.8451482</v>
      </c>
      <c r="AG609" s="34">
        <v>1.0</v>
      </c>
      <c r="AH609" s="36"/>
      <c r="AI609" s="30">
        <f t="shared" si="6"/>
        <v>3278.688525</v>
      </c>
      <c r="AJ609" s="17">
        <v>4000.0</v>
      </c>
      <c r="AK609" s="30">
        <f t="shared" si="7"/>
        <v>6557.377049</v>
      </c>
      <c r="AL609" s="20">
        <f t="shared" si="8"/>
        <v>8000</v>
      </c>
    </row>
    <row r="610">
      <c r="A610" s="25" t="s">
        <v>2656</v>
      </c>
      <c r="B610" s="17" t="s">
        <v>239</v>
      </c>
      <c r="C610" s="17" t="s">
        <v>290</v>
      </c>
      <c r="D610" s="17" t="s">
        <v>2646</v>
      </c>
      <c r="E610" s="17" t="s">
        <v>897</v>
      </c>
      <c r="F610" s="17" t="s">
        <v>103</v>
      </c>
      <c r="G610" s="19">
        <v>46212.0</v>
      </c>
      <c r="H610" s="17" t="s">
        <v>104</v>
      </c>
      <c r="I610" s="20" t="s">
        <v>2657</v>
      </c>
      <c r="J610" s="21" t="s">
        <v>2664</v>
      </c>
      <c r="K610" s="22" t="s">
        <v>2665</v>
      </c>
      <c r="L610" s="22" t="s">
        <v>2666</v>
      </c>
      <c r="M610" s="17">
        <v>2011.0</v>
      </c>
      <c r="N610" s="17">
        <v>17.0</v>
      </c>
      <c r="O610" s="23">
        <v>1140.0</v>
      </c>
      <c r="P610" s="24">
        <f t="shared" si="14"/>
        <v>3192</v>
      </c>
      <c r="Q610" s="25">
        <v>4.0</v>
      </c>
      <c r="R610" s="17">
        <v>6.0</v>
      </c>
      <c r="S610" s="26">
        <v>2.0</v>
      </c>
      <c r="T610" s="17">
        <v>4.0</v>
      </c>
      <c r="U610" s="17">
        <v>4.0</v>
      </c>
      <c r="V610" s="17" t="s">
        <v>130</v>
      </c>
      <c r="W610" s="28" t="s">
        <v>76</v>
      </c>
      <c r="X610" s="28" t="s">
        <v>78</v>
      </c>
      <c r="Y610" s="24">
        <v>10.0</v>
      </c>
      <c r="Z610" s="17">
        <v>150.0</v>
      </c>
      <c r="AA610" s="17">
        <v>576.0</v>
      </c>
      <c r="AB610" s="17">
        <v>31.0</v>
      </c>
      <c r="AC610" s="20">
        <f t="shared" si="2"/>
        <v>71424</v>
      </c>
      <c r="AD610" s="30">
        <f t="shared" si="3"/>
        <v>42.44933333</v>
      </c>
      <c r="AE610" s="30">
        <f t="shared" si="10"/>
        <v>135498.272</v>
      </c>
      <c r="AF610" s="30">
        <f t="shared" si="5"/>
        <v>118.0826867</v>
      </c>
      <c r="AG610" s="34">
        <v>1.0</v>
      </c>
      <c r="AH610" s="36"/>
      <c r="AI610" s="30">
        <f t="shared" si="6"/>
        <v>3278.688525</v>
      </c>
      <c r="AJ610" s="17">
        <v>4000.0</v>
      </c>
      <c r="AK610" s="30">
        <f t="shared" si="7"/>
        <v>13114.7541</v>
      </c>
      <c r="AL610" s="20">
        <f t="shared" si="8"/>
        <v>16000</v>
      </c>
    </row>
    <row r="611">
      <c r="A611" s="16" t="s">
        <v>2667</v>
      </c>
      <c r="B611" s="17" t="s">
        <v>239</v>
      </c>
      <c r="C611" s="17" t="s">
        <v>314</v>
      </c>
      <c r="D611" s="17" t="s">
        <v>61</v>
      </c>
      <c r="E611" s="17" t="s">
        <v>897</v>
      </c>
      <c r="F611" s="17" t="s">
        <v>103</v>
      </c>
      <c r="G611" s="19">
        <v>46105.0</v>
      </c>
      <c r="H611" s="17" t="s">
        <v>104</v>
      </c>
      <c r="I611" s="20" t="s">
        <v>2668</v>
      </c>
      <c r="J611" s="21" t="s">
        <v>2669</v>
      </c>
      <c r="K611" s="22" t="s">
        <v>2670</v>
      </c>
      <c r="L611" s="22" t="s">
        <v>2671</v>
      </c>
      <c r="M611" s="17">
        <v>2024.0</v>
      </c>
      <c r="N611" s="17">
        <v>18.0</v>
      </c>
      <c r="O611" s="23">
        <v>341.0</v>
      </c>
      <c r="P611" s="24">
        <f t="shared" si="14"/>
        <v>954.8</v>
      </c>
      <c r="Q611" s="25">
        <v>4.0</v>
      </c>
      <c r="R611" s="17">
        <v>4.0</v>
      </c>
      <c r="S611" s="26">
        <v>4.0</v>
      </c>
      <c r="T611" s="17">
        <v>0.0</v>
      </c>
      <c r="U611" s="17">
        <v>8.0</v>
      </c>
      <c r="V611" s="17" t="s">
        <v>75</v>
      </c>
      <c r="W611" s="28" t="s">
        <v>76</v>
      </c>
      <c r="X611" s="28" t="s">
        <v>78</v>
      </c>
      <c r="Y611" s="24">
        <v>10.0</v>
      </c>
      <c r="Z611" s="17">
        <v>150.0</v>
      </c>
      <c r="AA611" s="17">
        <v>576.0</v>
      </c>
      <c r="AB611" s="17">
        <v>31.0</v>
      </c>
      <c r="AC611" s="20">
        <f t="shared" si="2"/>
        <v>71424</v>
      </c>
      <c r="AD611" s="30">
        <f t="shared" si="3"/>
        <v>8.06</v>
      </c>
      <c r="AE611" s="30">
        <f t="shared" si="10"/>
        <v>7695.688</v>
      </c>
      <c r="AF611" s="30">
        <f t="shared" si="5"/>
        <v>2079.086366</v>
      </c>
      <c r="AG611" s="34">
        <v>1.0</v>
      </c>
      <c r="AH611" s="36"/>
      <c r="AI611" s="30">
        <f t="shared" si="6"/>
        <v>3278.688525</v>
      </c>
      <c r="AJ611" s="17">
        <v>4000.0</v>
      </c>
      <c r="AK611" s="30">
        <f t="shared" si="7"/>
        <v>13114.7541</v>
      </c>
      <c r="AL611" s="20">
        <f t="shared" si="8"/>
        <v>16000</v>
      </c>
    </row>
    <row r="612">
      <c r="A612" s="16" t="s">
        <v>2667</v>
      </c>
      <c r="B612" s="17" t="s">
        <v>239</v>
      </c>
      <c r="C612" s="17" t="s">
        <v>314</v>
      </c>
      <c r="D612" s="17" t="s">
        <v>2672</v>
      </c>
      <c r="E612" s="17" t="s">
        <v>897</v>
      </c>
      <c r="F612" s="17" t="s">
        <v>103</v>
      </c>
      <c r="G612" s="19">
        <v>46105.0</v>
      </c>
      <c r="H612" s="17" t="s">
        <v>104</v>
      </c>
      <c r="I612" s="20" t="s">
        <v>2668</v>
      </c>
      <c r="J612" s="21" t="s">
        <v>2673</v>
      </c>
      <c r="K612" s="22" t="s">
        <v>2674</v>
      </c>
      <c r="L612" s="22" t="s">
        <v>2675</v>
      </c>
      <c r="M612" s="17">
        <v>2023.0</v>
      </c>
      <c r="N612" s="17">
        <v>17.0</v>
      </c>
      <c r="O612" s="23">
        <v>341.0</v>
      </c>
      <c r="P612" s="24">
        <f t="shared" si="14"/>
        <v>954.8</v>
      </c>
      <c r="Q612" s="25">
        <v>3.0</v>
      </c>
      <c r="R612" s="17">
        <v>3.0</v>
      </c>
      <c r="S612" s="26">
        <v>3.0</v>
      </c>
      <c r="T612" s="17">
        <v>0.0</v>
      </c>
      <c r="U612" s="17">
        <v>6.0</v>
      </c>
      <c r="V612" s="17" t="s">
        <v>75</v>
      </c>
      <c r="W612" s="28" t="s">
        <v>76</v>
      </c>
      <c r="X612" s="28" t="s">
        <v>78</v>
      </c>
      <c r="Y612" s="24">
        <v>10.0</v>
      </c>
      <c r="Z612" s="17">
        <v>150.0</v>
      </c>
      <c r="AA612" s="17">
        <v>576.0</v>
      </c>
      <c r="AB612" s="17">
        <v>31.0</v>
      </c>
      <c r="AC612" s="20">
        <f t="shared" si="2"/>
        <v>53568</v>
      </c>
      <c r="AD612" s="30">
        <f t="shared" si="3"/>
        <v>8.06</v>
      </c>
      <c r="AE612" s="30">
        <f t="shared" si="10"/>
        <v>7695.688</v>
      </c>
      <c r="AF612" s="30">
        <f t="shared" si="5"/>
        <v>1559.314775</v>
      </c>
      <c r="AG612" s="34">
        <v>1.0</v>
      </c>
      <c r="AH612" s="36"/>
      <c r="AI612" s="30">
        <f t="shared" si="6"/>
        <v>3278.688525</v>
      </c>
      <c r="AJ612" s="17">
        <v>4000.0</v>
      </c>
      <c r="AK612" s="30">
        <f t="shared" si="7"/>
        <v>9836.065574</v>
      </c>
      <c r="AL612" s="20">
        <f t="shared" si="8"/>
        <v>12000</v>
      </c>
    </row>
    <row r="613">
      <c r="A613" s="16" t="s">
        <v>2667</v>
      </c>
      <c r="B613" s="17" t="s">
        <v>239</v>
      </c>
      <c r="C613" s="17" t="s">
        <v>314</v>
      </c>
      <c r="D613" s="17" t="s">
        <v>2672</v>
      </c>
      <c r="E613" s="17" t="s">
        <v>897</v>
      </c>
      <c r="F613" s="17" t="s">
        <v>103</v>
      </c>
      <c r="G613" s="19">
        <v>46105.0</v>
      </c>
      <c r="H613" s="17" t="s">
        <v>104</v>
      </c>
      <c r="I613" s="20" t="s">
        <v>2668</v>
      </c>
      <c r="J613" s="21" t="s">
        <v>2676</v>
      </c>
      <c r="K613" s="22" t="s">
        <v>2677</v>
      </c>
      <c r="L613" s="22" t="s">
        <v>2678</v>
      </c>
      <c r="M613" s="17">
        <v>2024.0</v>
      </c>
      <c r="N613" s="17">
        <v>18.0</v>
      </c>
      <c r="O613" s="23">
        <v>305.0</v>
      </c>
      <c r="P613" s="24">
        <f t="shared" si="14"/>
        <v>854</v>
      </c>
      <c r="Q613" s="25">
        <v>4.0</v>
      </c>
      <c r="R613" s="17">
        <v>4.0</v>
      </c>
      <c r="S613" s="26">
        <v>4.0</v>
      </c>
      <c r="T613" s="17">
        <v>0.0</v>
      </c>
      <c r="U613" s="17">
        <v>8.0</v>
      </c>
      <c r="V613" s="17" t="s">
        <v>75</v>
      </c>
      <c r="W613" s="28" t="s">
        <v>76</v>
      </c>
      <c r="X613" s="28" t="s">
        <v>78</v>
      </c>
      <c r="Y613" s="24">
        <v>10.0</v>
      </c>
      <c r="Z613" s="17">
        <v>150.0</v>
      </c>
      <c r="AA613" s="17">
        <v>576.0</v>
      </c>
      <c r="AB613" s="17">
        <v>31.0</v>
      </c>
      <c r="AC613" s="20">
        <f t="shared" si="2"/>
        <v>71424</v>
      </c>
      <c r="AD613" s="30">
        <f t="shared" si="3"/>
        <v>8.06</v>
      </c>
      <c r="AE613" s="30">
        <f t="shared" si="10"/>
        <v>6883.24</v>
      </c>
      <c r="AF613" s="30">
        <f t="shared" si="5"/>
        <v>2324.486724</v>
      </c>
      <c r="AG613" s="34">
        <v>1.0</v>
      </c>
      <c r="AH613" s="36"/>
      <c r="AI613" s="30">
        <f t="shared" si="6"/>
        <v>3278.688525</v>
      </c>
      <c r="AJ613" s="17">
        <v>4000.0</v>
      </c>
      <c r="AK613" s="30">
        <f t="shared" si="7"/>
        <v>13114.7541</v>
      </c>
      <c r="AL613" s="20">
        <f t="shared" si="8"/>
        <v>16000</v>
      </c>
    </row>
    <row r="614">
      <c r="A614" s="16" t="s">
        <v>2679</v>
      </c>
      <c r="B614" s="17" t="s">
        <v>239</v>
      </c>
      <c r="C614" s="17" t="s">
        <v>314</v>
      </c>
      <c r="D614" s="17" t="s">
        <v>2672</v>
      </c>
      <c r="E614" s="17" t="s">
        <v>897</v>
      </c>
      <c r="F614" s="17" t="s">
        <v>103</v>
      </c>
      <c r="G614" s="19">
        <v>46105.0</v>
      </c>
      <c r="H614" s="17" t="s">
        <v>104</v>
      </c>
      <c r="I614" s="20" t="s">
        <v>2680</v>
      </c>
      <c r="J614" s="21" t="s">
        <v>2681</v>
      </c>
      <c r="K614" s="22" t="s">
        <v>2682</v>
      </c>
      <c r="L614" s="22" t="s">
        <v>2683</v>
      </c>
      <c r="M614" s="17">
        <v>2024.0</v>
      </c>
      <c r="N614" s="17">
        <v>18.0</v>
      </c>
      <c r="O614" s="23">
        <v>305.0</v>
      </c>
      <c r="P614" s="24">
        <f t="shared" si="14"/>
        <v>854</v>
      </c>
      <c r="Q614" s="25">
        <v>4.0</v>
      </c>
      <c r="R614" s="17">
        <v>4.0</v>
      </c>
      <c r="S614" s="26">
        <v>4.0</v>
      </c>
      <c r="T614" s="17">
        <v>0.0</v>
      </c>
      <c r="U614" s="17">
        <v>8.0</v>
      </c>
      <c r="V614" s="17" t="s">
        <v>75</v>
      </c>
      <c r="W614" s="28" t="s">
        <v>76</v>
      </c>
      <c r="X614" s="28" t="s">
        <v>78</v>
      </c>
      <c r="Y614" s="24">
        <v>10.0</v>
      </c>
      <c r="Z614" s="17">
        <v>150.0</v>
      </c>
      <c r="AA614" s="17">
        <v>576.0</v>
      </c>
      <c r="AB614" s="17">
        <v>31.0</v>
      </c>
      <c r="AC614" s="20">
        <f t="shared" si="2"/>
        <v>71424</v>
      </c>
      <c r="AD614" s="30">
        <f t="shared" si="3"/>
        <v>8.06</v>
      </c>
      <c r="AE614" s="30">
        <f t="shared" si="10"/>
        <v>6883.24</v>
      </c>
      <c r="AF614" s="30">
        <f t="shared" si="5"/>
        <v>2324.486724</v>
      </c>
      <c r="AG614" s="34">
        <v>1.0</v>
      </c>
      <c r="AH614" s="36"/>
      <c r="AI614" s="30">
        <f t="shared" si="6"/>
        <v>3278.688525</v>
      </c>
      <c r="AJ614" s="17">
        <v>4000.0</v>
      </c>
      <c r="AK614" s="30">
        <f t="shared" si="7"/>
        <v>13114.7541</v>
      </c>
      <c r="AL614" s="20">
        <f t="shared" si="8"/>
        <v>16000</v>
      </c>
    </row>
    <row r="615">
      <c r="A615" s="16" t="s">
        <v>2679</v>
      </c>
      <c r="B615" s="17" t="s">
        <v>239</v>
      </c>
      <c r="C615" s="17" t="s">
        <v>314</v>
      </c>
      <c r="D615" s="17" t="s">
        <v>2672</v>
      </c>
      <c r="E615" s="17" t="s">
        <v>897</v>
      </c>
      <c r="F615" s="17" t="s">
        <v>103</v>
      </c>
      <c r="G615" s="19">
        <v>46105.0</v>
      </c>
      <c r="H615" s="17" t="s">
        <v>104</v>
      </c>
      <c r="I615" s="20" t="s">
        <v>2680</v>
      </c>
      <c r="J615" s="21" t="s">
        <v>2684</v>
      </c>
      <c r="K615" s="22" t="s">
        <v>2685</v>
      </c>
      <c r="L615" s="22" t="s">
        <v>2686</v>
      </c>
      <c r="M615" s="17">
        <v>2022.0</v>
      </c>
      <c r="N615" s="17">
        <v>18.0</v>
      </c>
      <c r="O615" s="23">
        <v>466.0</v>
      </c>
      <c r="P615" s="24">
        <f t="shared" si="14"/>
        <v>1304.8</v>
      </c>
      <c r="Q615" s="25">
        <v>4.0</v>
      </c>
      <c r="R615" s="17">
        <v>4.0</v>
      </c>
      <c r="S615" s="26">
        <v>4.0</v>
      </c>
      <c r="T615" s="17">
        <v>0.0</v>
      </c>
      <c r="U615" s="17">
        <v>8.0</v>
      </c>
      <c r="V615" s="17" t="s">
        <v>75</v>
      </c>
      <c r="W615" s="28" t="s">
        <v>76</v>
      </c>
      <c r="X615" s="28" t="s">
        <v>78</v>
      </c>
      <c r="Y615" s="24">
        <v>10.0</v>
      </c>
      <c r="Z615" s="17">
        <v>150.0</v>
      </c>
      <c r="AA615" s="17">
        <v>576.0</v>
      </c>
      <c r="AB615" s="17">
        <v>31.0</v>
      </c>
      <c r="AC615" s="20">
        <f t="shared" si="2"/>
        <v>71424</v>
      </c>
      <c r="AD615" s="30">
        <f t="shared" si="3"/>
        <v>8.06</v>
      </c>
      <c r="AE615" s="30">
        <f t="shared" si="10"/>
        <v>10516.688</v>
      </c>
      <c r="AF615" s="30">
        <f t="shared" si="5"/>
        <v>1521.391526</v>
      </c>
      <c r="AG615" s="34">
        <v>1.0</v>
      </c>
      <c r="AH615" s="36"/>
      <c r="AI615" s="30">
        <f t="shared" si="6"/>
        <v>3278.688525</v>
      </c>
      <c r="AJ615" s="17">
        <v>4000.0</v>
      </c>
      <c r="AK615" s="30">
        <f t="shared" si="7"/>
        <v>13114.7541</v>
      </c>
      <c r="AL615" s="20">
        <f t="shared" si="8"/>
        <v>16000</v>
      </c>
    </row>
    <row r="616">
      <c r="A616" s="16" t="s">
        <v>2679</v>
      </c>
      <c r="B616" s="17" t="s">
        <v>239</v>
      </c>
      <c r="C616" s="17" t="s">
        <v>314</v>
      </c>
      <c r="D616" s="17" t="s">
        <v>2672</v>
      </c>
      <c r="E616" s="17" t="s">
        <v>897</v>
      </c>
      <c r="F616" s="17" t="s">
        <v>103</v>
      </c>
      <c r="G616" s="19">
        <v>46105.0</v>
      </c>
      <c r="H616" s="17" t="s">
        <v>104</v>
      </c>
      <c r="I616" s="20" t="s">
        <v>2680</v>
      </c>
      <c r="J616" s="21" t="s">
        <v>2687</v>
      </c>
      <c r="K616" s="22" t="s">
        <v>2688</v>
      </c>
      <c r="L616" s="22" t="s">
        <v>2689</v>
      </c>
      <c r="M616" s="17">
        <v>2024.0</v>
      </c>
      <c r="N616" s="17">
        <v>18.0</v>
      </c>
      <c r="O616" s="23">
        <v>418.0</v>
      </c>
      <c r="P616" s="24">
        <f t="shared" si="14"/>
        <v>1170.4</v>
      </c>
      <c r="Q616" s="25">
        <v>3.0</v>
      </c>
      <c r="R616" s="17">
        <v>3.0</v>
      </c>
      <c r="S616" s="26">
        <v>4.0</v>
      </c>
      <c r="T616" s="17">
        <v>0.0</v>
      </c>
      <c r="U616" s="17">
        <v>8.0</v>
      </c>
      <c r="V616" s="17" t="s">
        <v>75</v>
      </c>
      <c r="W616" s="28" t="s">
        <v>76</v>
      </c>
      <c r="X616" s="28" t="s">
        <v>78</v>
      </c>
      <c r="Y616" s="24">
        <v>10.0</v>
      </c>
      <c r="Z616" s="17">
        <v>150.0</v>
      </c>
      <c r="AA616" s="17">
        <v>576.0</v>
      </c>
      <c r="AB616" s="17">
        <v>31.0</v>
      </c>
      <c r="AC616" s="20">
        <f t="shared" si="2"/>
        <v>53568</v>
      </c>
      <c r="AD616" s="30">
        <f t="shared" si="3"/>
        <v>6.045</v>
      </c>
      <c r="AE616" s="30">
        <f t="shared" si="10"/>
        <v>7075.068</v>
      </c>
      <c r="AF616" s="30">
        <f t="shared" si="5"/>
        <v>1696.096772</v>
      </c>
      <c r="AG616" s="34">
        <v>1.0</v>
      </c>
      <c r="AH616" s="36"/>
      <c r="AI616" s="30">
        <f t="shared" si="6"/>
        <v>3278.688525</v>
      </c>
      <c r="AJ616" s="17">
        <v>4000.0</v>
      </c>
      <c r="AK616" s="30">
        <f t="shared" si="7"/>
        <v>9836.065574</v>
      </c>
      <c r="AL616" s="20">
        <f t="shared" si="8"/>
        <v>12000</v>
      </c>
    </row>
    <row r="617">
      <c r="A617" s="16" t="s">
        <v>2690</v>
      </c>
      <c r="B617" s="17" t="s">
        <v>239</v>
      </c>
      <c r="C617" s="17" t="s">
        <v>314</v>
      </c>
      <c r="D617" s="17" t="s">
        <v>2672</v>
      </c>
      <c r="E617" s="17" t="s">
        <v>897</v>
      </c>
      <c r="F617" s="17" t="s">
        <v>103</v>
      </c>
      <c r="G617" s="19">
        <v>46105.0</v>
      </c>
      <c r="H617" s="17" t="s">
        <v>104</v>
      </c>
      <c r="I617" s="20" t="s">
        <v>2691</v>
      </c>
      <c r="J617" s="21" t="s">
        <v>2692</v>
      </c>
      <c r="K617" s="22" t="s">
        <v>2693</v>
      </c>
      <c r="L617" s="22" t="s">
        <v>2694</v>
      </c>
      <c r="M617" s="17">
        <v>2023.0</v>
      </c>
      <c r="N617" s="17">
        <v>18.0</v>
      </c>
      <c r="O617" s="23">
        <v>140.0</v>
      </c>
      <c r="P617" s="24">
        <f t="shared" si="14"/>
        <v>392</v>
      </c>
      <c r="Q617" s="25">
        <v>2.0</v>
      </c>
      <c r="R617" s="17">
        <v>2.0</v>
      </c>
      <c r="S617" s="26">
        <v>4.0</v>
      </c>
      <c r="T617" s="17">
        <v>0.0</v>
      </c>
      <c r="U617" s="17">
        <v>3.0</v>
      </c>
      <c r="V617" s="17" t="s">
        <v>75</v>
      </c>
      <c r="W617" s="28" t="s">
        <v>76</v>
      </c>
      <c r="X617" s="28" t="s">
        <v>78</v>
      </c>
      <c r="Y617" s="24">
        <v>10.0</v>
      </c>
      <c r="Z617" s="17">
        <v>150.0</v>
      </c>
      <c r="AA617" s="17">
        <v>576.0</v>
      </c>
      <c r="AB617" s="17">
        <v>31.0</v>
      </c>
      <c r="AC617" s="20">
        <f t="shared" si="2"/>
        <v>35712</v>
      </c>
      <c r="AD617" s="30">
        <f t="shared" si="3"/>
        <v>4.03</v>
      </c>
      <c r="AE617" s="30">
        <f t="shared" si="10"/>
        <v>1579.76</v>
      </c>
      <c r="AF617" s="30">
        <f t="shared" si="5"/>
        <v>5064.060364</v>
      </c>
      <c r="AG617" s="34">
        <v>1.0</v>
      </c>
      <c r="AH617" s="36"/>
      <c r="AI617" s="30">
        <f t="shared" si="6"/>
        <v>3278.688525</v>
      </c>
      <c r="AJ617" s="17">
        <v>4000.0</v>
      </c>
      <c r="AK617" s="30">
        <f t="shared" si="7"/>
        <v>6557.377049</v>
      </c>
      <c r="AL617" s="20">
        <f t="shared" si="8"/>
        <v>8000</v>
      </c>
    </row>
    <row r="618">
      <c r="A618" s="16" t="s">
        <v>2690</v>
      </c>
      <c r="B618" s="17" t="s">
        <v>239</v>
      </c>
      <c r="C618" s="17" t="s">
        <v>314</v>
      </c>
      <c r="D618" s="17" t="s">
        <v>61</v>
      </c>
      <c r="E618" s="17" t="s">
        <v>897</v>
      </c>
      <c r="F618" s="17" t="s">
        <v>103</v>
      </c>
      <c r="G618" s="19">
        <v>46105.0</v>
      </c>
      <c r="H618" s="17" t="s">
        <v>104</v>
      </c>
      <c r="I618" s="20" t="s">
        <v>2691</v>
      </c>
      <c r="J618" s="21" t="s">
        <v>2695</v>
      </c>
      <c r="K618" s="22" t="s">
        <v>2696</v>
      </c>
      <c r="L618" s="22" t="s">
        <v>2697</v>
      </c>
      <c r="M618" s="17">
        <v>2017.0</v>
      </c>
      <c r="N618" s="17">
        <v>18.0</v>
      </c>
      <c r="O618" s="23">
        <v>352.0</v>
      </c>
      <c r="P618" s="24">
        <f t="shared" si="14"/>
        <v>985.6</v>
      </c>
      <c r="Q618" s="25">
        <v>2.0</v>
      </c>
      <c r="R618" s="17">
        <v>2.0</v>
      </c>
      <c r="S618" s="26">
        <v>4.0</v>
      </c>
      <c r="T618" s="17">
        <v>0.0</v>
      </c>
      <c r="U618" s="17">
        <v>8.0</v>
      </c>
      <c r="V618" s="17" t="s">
        <v>75</v>
      </c>
      <c r="W618" s="28" t="s">
        <v>76</v>
      </c>
      <c r="X618" s="28" t="s">
        <v>78</v>
      </c>
      <c r="Y618" s="24">
        <v>10.0</v>
      </c>
      <c r="Z618" s="17">
        <v>150.0</v>
      </c>
      <c r="AA618" s="17">
        <v>576.0</v>
      </c>
      <c r="AB618" s="17">
        <v>31.0</v>
      </c>
      <c r="AC618" s="20">
        <f t="shared" si="2"/>
        <v>35712</v>
      </c>
      <c r="AD618" s="30">
        <f t="shared" si="3"/>
        <v>4.03</v>
      </c>
      <c r="AE618" s="30">
        <f t="shared" si="10"/>
        <v>3971.968</v>
      </c>
      <c r="AF618" s="30">
        <f t="shared" si="5"/>
        <v>2014.114917</v>
      </c>
      <c r="AG618" s="34">
        <v>1.0</v>
      </c>
      <c r="AH618" s="36"/>
      <c r="AI618" s="30">
        <f t="shared" si="6"/>
        <v>3278.688525</v>
      </c>
      <c r="AJ618" s="17">
        <v>4000.0</v>
      </c>
      <c r="AK618" s="30">
        <f t="shared" si="7"/>
        <v>6557.377049</v>
      </c>
      <c r="AL618" s="20">
        <f t="shared" si="8"/>
        <v>8000</v>
      </c>
    </row>
    <row r="619">
      <c r="A619" s="16" t="s">
        <v>2690</v>
      </c>
      <c r="B619" s="17" t="s">
        <v>239</v>
      </c>
      <c r="C619" s="17" t="s">
        <v>314</v>
      </c>
      <c r="D619" s="17" t="s">
        <v>61</v>
      </c>
      <c r="E619" s="17" t="s">
        <v>897</v>
      </c>
      <c r="F619" s="17" t="s">
        <v>103</v>
      </c>
      <c r="G619" s="19">
        <v>46105.0</v>
      </c>
      <c r="H619" s="17" t="s">
        <v>104</v>
      </c>
      <c r="I619" s="20" t="s">
        <v>2691</v>
      </c>
      <c r="J619" s="21" t="s">
        <v>2698</v>
      </c>
      <c r="K619" s="22" t="s">
        <v>2699</v>
      </c>
      <c r="L619" s="22" t="s">
        <v>2700</v>
      </c>
      <c r="M619" s="17">
        <v>2023.0</v>
      </c>
      <c r="N619" s="17">
        <v>18.0</v>
      </c>
      <c r="O619" s="23">
        <v>144.0</v>
      </c>
      <c r="P619" s="24">
        <f t="shared" si="14"/>
        <v>403.2</v>
      </c>
      <c r="Q619" s="25">
        <v>1.0</v>
      </c>
      <c r="R619" s="17">
        <v>1.0</v>
      </c>
      <c r="S619" s="26">
        <v>1.0</v>
      </c>
      <c r="T619" s="17">
        <v>0.0</v>
      </c>
      <c r="U619" s="17">
        <v>3.0</v>
      </c>
      <c r="V619" s="17" t="s">
        <v>75</v>
      </c>
      <c r="W619" s="28" t="s">
        <v>76</v>
      </c>
      <c r="X619" s="28" t="s">
        <v>78</v>
      </c>
      <c r="Y619" s="24">
        <v>10.0</v>
      </c>
      <c r="Z619" s="17">
        <v>150.0</v>
      </c>
      <c r="AA619" s="17">
        <v>576.0</v>
      </c>
      <c r="AB619" s="17">
        <v>31.0</v>
      </c>
      <c r="AC619" s="20">
        <f t="shared" si="2"/>
        <v>17856</v>
      </c>
      <c r="AD619" s="30">
        <f t="shared" si="3"/>
        <v>8.06</v>
      </c>
      <c r="AE619" s="30">
        <f t="shared" si="10"/>
        <v>3249.792</v>
      </c>
      <c r="AF619" s="30">
        <f t="shared" si="5"/>
        <v>1230.848005</v>
      </c>
      <c r="AG619" s="34">
        <v>1.0</v>
      </c>
      <c r="AH619" s="36"/>
      <c r="AI619" s="30">
        <f t="shared" si="6"/>
        <v>3278.688525</v>
      </c>
      <c r="AJ619" s="17">
        <v>4000.0</v>
      </c>
      <c r="AK619" s="30">
        <f t="shared" si="7"/>
        <v>3278.688525</v>
      </c>
      <c r="AL619" s="20">
        <f t="shared" si="8"/>
        <v>4000</v>
      </c>
    </row>
    <row r="620">
      <c r="A620" s="16" t="s">
        <v>2690</v>
      </c>
      <c r="B620" s="17" t="s">
        <v>239</v>
      </c>
      <c r="C620" s="17" t="s">
        <v>314</v>
      </c>
      <c r="D620" s="17" t="s">
        <v>61</v>
      </c>
      <c r="E620" s="17" t="s">
        <v>897</v>
      </c>
      <c r="F620" s="17" t="s">
        <v>103</v>
      </c>
      <c r="G620" s="19">
        <v>46105.0</v>
      </c>
      <c r="H620" s="17" t="s">
        <v>104</v>
      </c>
      <c r="I620" s="20" t="s">
        <v>2691</v>
      </c>
      <c r="J620" s="21" t="s">
        <v>2701</v>
      </c>
      <c r="K620" s="22" t="s">
        <v>2702</v>
      </c>
      <c r="L620" s="22" t="s">
        <v>2703</v>
      </c>
      <c r="M620" s="17">
        <v>2023.0</v>
      </c>
      <c r="N620" s="17">
        <v>18.0</v>
      </c>
      <c r="O620" s="23">
        <v>176.0</v>
      </c>
      <c r="P620" s="24">
        <f t="shared" si="14"/>
        <v>492.8</v>
      </c>
      <c r="Q620" s="25">
        <v>1.0</v>
      </c>
      <c r="R620" s="17">
        <v>1.0</v>
      </c>
      <c r="S620" s="26">
        <v>1.0</v>
      </c>
      <c r="T620" s="17">
        <v>0.0</v>
      </c>
      <c r="U620" s="17">
        <v>3.0</v>
      </c>
      <c r="V620" s="17" t="s">
        <v>75</v>
      </c>
      <c r="W620" s="28" t="s">
        <v>76</v>
      </c>
      <c r="X620" s="28" t="s">
        <v>78</v>
      </c>
      <c r="Y620" s="24">
        <v>10.0</v>
      </c>
      <c r="Z620" s="17">
        <v>150.0</v>
      </c>
      <c r="AA620" s="17">
        <v>576.0</v>
      </c>
      <c r="AB620" s="17">
        <v>31.0</v>
      </c>
      <c r="AC620" s="20">
        <f t="shared" si="2"/>
        <v>17856</v>
      </c>
      <c r="AD620" s="30">
        <f t="shared" si="3"/>
        <v>8.06</v>
      </c>
      <c r="AE620" s="30">
        <f t="shared" si="10"/>
        <v>3971.968</v>
      </c>
      <c r="AF620" s="30">
        <f t="shared" si="5"/>
        <v>1007.057459</v>
      </c>
      <c r="AG620" s="34">
        <v>1.0</v>
      </c>
      <c r="AH620" s="36"/>
      <c r="AI620" s="30">
        <f t="shared" si="6"/>
        <v>3278.688525</v>
      </c>
      <c r="AJ620" s="17">
        <v>4000.0</v>
      </c>
      <c r="AK620" s="30">
        <f t="shared" si="7"/>
        <v>3278.688525</v>
      </c>
      <c r="AL620" s="20">
        <f t="shared" si="8"/>
        <v>4000</v>
      </c>
    </row>
    <row r="621">
      <c r="A621" s="16" t="s">
        <v>2690</v>
      </c>
      <c r="B621" s="17" t="s">
        <v>239</v>
      </c>
      <c r="C621" s="17" t="s">
        <v>314</v>
      </c>
      <c r="D621" s="17" t="s">
        <v>61</v>
      </c>
      <c r="E621" s="17" t="s">
        <v>897</v>
      </c>
      <c r="F621" s="17" t="s">
        <v>103</v>
      </c>
      <c r="G621" s="19">
        <v>46105.0</v>
      </c>
      <c r="H621" s="17" t="s">
        <v>104</v>
      </c>
      <c r="I621" s="20" t="s">
        <v>2691</v>
      </c>
      <c r="J621" s="21" t="s">
        <v>2704</v>
      </c>
      <c r="K621" s="22" t="s">
        <v>2705</v>
      </c>
      <c r="L621" s="22" t="s">
        <v>2706</v>
      </c>
      <c r="M621" s="17">
        <v>2023.0</v>
      </c>
      <c r="N621" s="17">
        <v>18.0</v>
      </c>
      <c r="O621" s="23">
        <v>176.0</v>
      </c>
      <c r="P621" s="24">
        <f t="shared" si="14"/>
        <v>492.8</v>
      </c>
      <c r="Q621" s="25">
        <v>1.0</v>
      </c>
      <c r="R621" s="17">
        <v>1.0</v>
      </c>
      <c r="S621" s="26">
        <v>1.0</v>
      </c>
      <c r="T621" s="17">
        <v>0.0</v>
      </c>
      <c r="U621" s="17">
        <v>3.0</v>
      </c>
      <c r="V621" s="17" t="s">
        <v>75</v>
      </c>
      <c r="W621" s="28" t="s">
        <v>76</v>
      </c>
      <c r="X621" s="28" t="s">
        <v>78</v>
      </c>
      <c r="Y621" s="24">
        <v>10.0</v>
      </c>
      <c r="Z621" s="17">
        <v>150.0</v>
      </c>
      <c r="AA621" s="17">
        <v>576.0</v>
      </c>
      <c r="AB621" s="17">
        <v>31.0</v>
      </c>
      <c r="AC621" s="20">
        <f t="shared" si="2"/>
        <v>17856</v>
      </c>
      <c r="AD621" s="30">
        <f t="shared" si="3"/>
        <v>8.06</v>
      </c>
      <c r="AE621" s="30">
        <f t="shared" si="10"/>
        <v>3971.968</v>
      </c>
      <c r="AF621" s="30">
        <f t="shared" si="5"/>
        <v>1007.057459</v>
      </c>
      <c r="AG621" s="34">
        <v>1.0</v>
      </c>
      <c r="AH621" s="36"/>
      <c r="AI621" s="30">
        <f t="shared" si="6"/>
        <v>3278.688525</v>
      </c>
      <c r="AJ621" s="17">
        <v>4000.0</v>
      </c>
      <c r="AK621" s="30">
        <f t="shared" si="7"/>
        <v>3278.688525</v>
      </c>
      <c r="AL621" s="20">
        <f t="shared" si="8"/>
        <v>4000</v>
      </c>
    </row>
    <row r="622">
      <c r="A622" s="16" t="s">
        <v>2707</v>
      </c>
      <c r="B622" s="17" t="s">
        <v>239</v>
      </c>
      <c r="C622" s="17" t="s">
        <v>314</v>
      </c>
      <c r="D622" s="17" t="s">
        <v>61</v>
      </c>
      <c r="E622" s="17" t="s">
        <v>897</v>
      </c>
      <c r="F622" s="17" t="s">
        <v>103</v>
      </c>
      <c r="G622" s="19">
        <v>46105.0</v>
      </c>
      <c r="H622" s="17" t="s">
        <v>104</v>
      </c>
      <c r="I622" s="20" t="s">
        <v>2708</v>
      </c>
      <c r="J622" s="21" t="s">
        <v>2709</v>
      </c>
      <c r="K622" s="22" t="s">
        <v>2710</v>
      </c>
      <c r="L622" s="22" t="s">
        <v>2711</v>
      </c>
      <c r="M622" s="17">
        <v>2024.0</v>
      </c>
      <c r="N622" s="17">
        <v>18.0</v>
      </c>
      <c r="O622" s="23">
        <v>352.0</v>
      </c>
      <c r="P622" s="24">
        <f t="shared" si="14"/>
        <v>985.6</v>
      </c>
      <c r="Q622" s="25">
        <v>2.0</v>
      </c>
      <c r="R622" s="17">
        <v>2.0</v>
      </c>
      <c r="S622" s="26">
        <v>2.0</v>
      </c>
      <c r="T622" s="17">
        <v>0.0</v>
      </c>
      <c r="U622" s="17">
        <v>6.0</v>
      </c>
      <c r="V622" s="17" t="s">
        <v>75</v>
      </c>
      <c r="W622" s="28" t="s">
        <v>76</v>
      </c>
      <c r="X622" s="28" t="s">
        <v>78</v>
      </c>
      <c r="Y622" s="24">
        <v>10.0</v>
      </c>
      <c r="Z622" s="17">
        <v>150.0</v>
      </c>
      <c r="AA622" s="17">
        <v>576.0</v>
      </c>
      <c r="AB622" s="17">
        <v>31.0</v>
      </c>
      <c r="AC622" s="20">
        <f t="shared" si="2"/>
        <v>35712</v>
      </c>
      <c r="AD622" s="30">
        <f t="shared" si="3"/>
        <v>8.06</v>
      </c>
      <c r="AE622" s="30">
        <f t="shared" si="10"/>
        <v>7943.936</v>
      </c>
      <c r="AF622" s="30">
        <f t="shared" si="5"/>
        <v>1007.057459</v>
      </c>
      <c r="AG622" s="34">
        <v>1.0</v>
      </c>
      <c r="AH622" s="36"/>
      <c r="AI622" s="30">
        <f t="shared" si="6"/>
        <v>3278.688525</v>
      </c>
      <c r="AJ622" s="17">
        <v>4000.0</v>
      </c>
      <c r="AK622" s="30">
        <f t="shared" si="7"/>
        <v>6557.377049</v>
      </c>
      <c r="AL622" s="20">
        <f t="shared" si="8"/>
        <v>8000</v>
      </c>
    </row>
    <row r="623">
      <c r="A623" s="16" t="s">
        <v>2707</v>
      </c>
      <c r="B623" s="17" t="s">
        <v>239</v>
      </c>
      <c r="C623" s="17" t="s">
        <v>314</v>
      </c>
      <c r="D623" s="17" t="s">
        <v>61</v>
      </c>
      <c r="E623" s="17" t="s">
        <v>897</v>
      </c>
      <c r="F623" s="17" t="s">
        <v>103</v>
      </c>
      <c r="G623" s="19">
        <v>46105.0</v>
      </c>
      <c r="H623" s="17" t="s">
        <v>104</v>
      </c>
      <c r="I623" s="20" t="s">
        <v>2708</v>
      </c>
      <c r="J623" s="21" t="s">
        <v>2712</v>
      </c>
      <c r="K623" s="22" t="s">
        <v>2713</v>
      </c>
      <c r="L623" s="22" t="s">
        <v>2714</v>
      </c>
      <c r="M623" s="17">
        <v>2024.0</v>
      </c>
      <c r="N623" s="17">
        <v>18.0</v>
      </c>
      <c r="O623" s="23">
        <v>352.0</v>
      </c>
      <c r="P623" s="24">
        <f t="shared" si="14"/>
        <v>985.6</v>
      </c>
      <c r="Q623" s="25">
        <v>2.0</v>
      </c>
      <c r="R623" s="17">
        <v>2.0</v>
      </c>
      <c r="S623" s="26">
        <v>2.0</v>
      </c>
      <c r="T623" s="17">
        <v>0.0</v>
      </c>
      <c r="U623" s="17">
        <v>6.0</v>
      </c>
      <c r="V623" s="17" t="s">
        <v>75</v>
      </c>
      <c r="W623" s="28" t="s">
        <v>76</v>
      </c>
      <c r="X623" s="28" t="s">
        <v>78</v>
      </c>
      <c r="Y623" s="24">
        <v>10.0</v>
      </c>
      <c r="Z623" s="17">
        <v>150.0</v>
      </c>
      <c r="AA623" s="17">
        <v>576.0</v>
      </c>
      <c r="AB623" s="17">
        <v>31.0</v>
      </c>
      <c r="AC623" s="20">
        <f t="shared" si="2"/>
        <v>35712</v>
      </c>
      <c r="AD623" s="30">
        <f t="shared" si="3"/>
        <v>8.06</v>
      </c>
      <c r="AE623" s="30">
        <f t="shared" si="10"/>
        <v>7943.936</v>
      </c>
      <c r="AF623" s="30">
        <f t="shared" si="5"/>
        <v>1007.057459</v>
      </c>
      <c r="AG623" s="34">
        <v>1.0</v>
      </c>
      <c r="AH623" s="36"/>
      <c r="AI623" s="30">
        <f t="shared" si="6"/>
        <v>3278.688525</v>
      </c>
      <c r="AJ623" s="17">
        <v>4000.0</v>
      </c>
      <c r="AK623" s="30">
        <f t="shared" si="7"/>
        <v>6557.377049</v>
      </c>
      <c r="AL623" s="20">
        <f t="shared" si="8"/>
        <v>8000</v>
      </c>
    </row>
    <row r="624">
      <c r="A624" s="16" t="s">
        <v>2707</v>
      </c>
      <c r="B624" s="17" t="s">
        <v>239</v>
      </c>
      <c r="C624" s="17" t="s">
        <v>314</v>
      </c>
      <c r="D624" s="17" t="s">
        <v>61</v>
      </c>
      <c r="E624" s="17" t="s">
        <v>897</v>
      </c>
      <c r="F624" s="17" t="s">
        <v>103</v>
      </c>
      <c r="G624" s="19">
        <v>46105.0</v>
      </c>
      <c r="H624" s="17" t="s">
        <v>104</v>
      </c>
      <c r="I624" s="20" t="s">
        <v>2708</v>
      </c>
      <c r="J624" s="21" t="s">
        <v>2715</v>
      </c>
      <c r="K624" s="22" t="s">
        <v>2716</v>
      </c>
      <c r="L624" s="22" t="s">
        <v>2717</v>
      </c>
      <c r="M624" s="17">
        <v>2024.0</v>
      </c>
      <c r="N624" s="17">
        <v>18.0</v>
      </c>
      <c r="O624" s="23">
        <v>466.0</v>
      </c>
      <c r="P624" s="24">
        <f t="shared" si="14"/>
        <v>1304.8</v>
      </c>
      <c r="Q624" s="25">
        <v>4.0</v>
      </c>
      <c r="R624" s="17">
        <v>4.0</v>
      </c>
      <c r="S624" s="26">
        <v>4.0</v>
      </c>
      <c r="T624" s="17">
        <v>0.0</v>
      </c>
      <c r="U624" s="17">
        <v>8.0</v>
      </c>
      <c r="V624" s="17" t="s">
        <v>75</v>
      </c>
      <c r="W624" s="28" t="s">
        <v>76</v>
      </c>
      <c r="X624" s="28" t="s">
        <v>78</v>
      </c>
      <c r="Y624" s="24">
        <v>10.0</v>
      </c>
      <c r="Z624" s="17">
        <v>150.0</v>
      </c>
      <c r="AA624" s="17">
        <v>576.0</v>
      </c>
      <c r="AB624" s="17">
        <v>31.0</v>
      </c>
      <c r="AC624" s="20">
        <f t="shared" si="2"/>
        <v>71424</v>
      </c>
      <c r="AD624" s="30">
        <f t="shared" si="3"/>
        <v>8.06</v>
      </c>
      <c r="AE624" s="30">
        <f t="shared" si="10"/>
        <v>10516.688</v>
      </c>
      <c r="AF624" s="30">
        <f t="shared" si="5"/>
        <v>1521.391526</v>
      </c>
      <c r="AG624" s="34">
        <v>1.0</v>
      </c>
      <c r="AH624" s="36"/>
      <c r="AI624" s="30">
        <f t="shared" si="6"/>
        <v>3278.688525</v>
      </c>
      <c r="AJ624" s="17">
        <v>4000.0</v>
      </c>
      <c r="AK624" s="30">
        <f t="shared" si="7"/>
        <v>13114.7541</v>
      </c>
      <c r="AL624" s="20">
        <f t="shared" si="8"/>
        <v>16000</v>
      </c>
    </row>
    <row r="625">
      <c r="A625" s="16" t="s">
        <v>2718</v>
      </c>
      <c r="B625" s="17" t="s">
        <v>239</v>
      </c>
      <c r="C625" s="17" t="s">
        <v>314</v>
      </c>
      <c r="D625" s="17" t="s">
        <v>61</v>
      </c>
      <c r="E625" s="17" t="s">
        <v>897</v>
      </c>
      <c r="F625" s="17" t="s">
        <v>103</v>
      </c>
      <c r="G625" s="19">
        <v>46118.0</v>
      </c>
      <c r="H625" s="17" t="s">
        <v>104</v>
      </c>
      <c r="I625" s="20" t="s">
        <v>2719</v>
      </c>
      <c r="J625" s="21" t="s">
        <v>2720</v>
      </c>
      <c r="K625" s="22" t="s">
        <v>2721</v>
      </c>
      <c r="L625" s="22" t="s">
        <v>2722</v>
      </c>
      <c r="M625" s="17">
        <v>2023.0</v>
      </c>
      <c r="N625" s="17">
        <v>17.0</v>
      </c>
      <c r="O625" s="23">
        <v>176.0</v>
      </c>
      <c r="P625" s="24">
        <f t="shared" si="14"/>
        <v>492.8</v>
      </c>
      <c r="Q625" s="25">
        <v>1.0</v>
      </c>
      <c r="R625" s="17">
        <v>1.0</v>
      </c>
      <c r="S625" s="26">
        <v>1.0</v>
      </c>
      <c r="T625" s="17">
        <v>0.0</v>
      </c>
      <c r="U625" s="17">
        <v>3.0</v>
      </c>
      <c r="V625" s="17" t="s">
        <v>75</v>
      </c>
      <c r="W625" s="28" t="s">
        <v>76</v>
      </c>
      <c r="X625" s="28" t="s">
        <v>78</v>
      </c>
      <c r="Y625" s="24">
        <v>10.0</v>
      </c>
      <c r="Z625" s="17">
        <v>150.0</v>
      </c>
      <c r="AA625" s="17">
        <v>576.0</v>
      </c>
      <c r="AB625" s="17">
        <v>31.0</v>
      </c>
      <c r="AC625" s="20">
        <f t="shared" si="2"/>
        <v>17856</v>
      </c>
      <c r="AD625" s="30">
        <f t="shared" si="3"/>
        <v>8.06</v>
      </c>
      <c r="AE625" s="30">
        <f t="shared" si="10"/>
        <v>3971.968</v>
      </c>
      <c r="AF625" s="30">
        <f t="shared" si="5"/>
        <v>1007.057459</v>
      </c>
      <c r="AG625" s="34">
        <v>1.0</v>
      </c>
      <c r="AH625" s="36"/>
      <c r="AI625" s="30">
        <f t="shared" si="6"/>
        <v>3278.688525</v>
      </c>
      <c r="AJ625" s="17">
        <v>4000.0</v>
      </c>
      <c r="AK625" s="30">
        <f t="shared" si="7"/>
        <v>3278.688525</v>
      </c>
      <c r="AL625" s="20">
        <f t="shared" si="8"/>
        <v>4000</v>
      </c>
    </row>
    <row r="626">
      <c r="A626" s="16" t="s">
        <v>2718</v>
      </c>
      <c r="B626" s="17" t="s">
        <v>239</v>
      </c>
      <c r="C626" s="17" t="s">
        <v>314</v>
      </c>
      <c r="D626" s="17" t="s">
        <v>61</v>
      </c>
      <c r="E626" s="17" t="s">
        <v>897</v>
      </c>
      <c r="F626" s="17" t="s">
        <v>103</v>
      </c>
      <c r="G626" s="19">
        <v>46118.0</v>
      </c>
      <c r="H626" s="17" t="s">
        <v>104</v>
      </c>
      <c r="I626" s="20" t="s">
        <v>2719</v>
      </c>
      <c r="J626" s="21" t="s">
        <v>2723</v>
      </c>
      <c r="K626" s="22" t="s">
        <v>2724</v>
      </c>
      <c r="L626" s="22" t="s">
        <v>2725</v>
      </c>
      <c r="M626" s="17">
        <v>2023.0</v>
      </c>
      <c r="N626" s="17">
        <v>17.0</v>
      </c>
      <c r="O626" s="23">
        <v>576.0</v>
      </c>
      <c r="P626" s="24">
        <f t="shared" si="14"/>
        <v>1612.8</v>
      </c>
      <c r="Q626" s="25">
        <v>4.0</v>
      </c>
      <c r="R626" s="17">
        <v>4.0</v>
      </c>
      <c r="S626" s="26">
        <v>5.0</v>
      </c>
      <c r="T626" s="17">
        <v>0.0</v>
      </c>
      <c r="U626" s="17">
        <v>10.0</v>
      </c>
      <c r="V626" s="17" t="s">
        <v>75</v>
      </c>
      <c r="W626" s="28" t="s">
        <v>76</v>
      </c>
      <c r="X626" s="28" t="s">
        <v>78</v>
      </c>
      <c r="Y626" s="24">
        <v>10.0</v>
      </c>
      <c r="Z626" s="17">
        <v>150.0</v>
      </c>
      <c r="AA626" s="17">
        <v>576.0</v>
      </c>
      <c r="AB626" s="17">
        <v>31.0</v>
      </c>
      <c r="AC626" s="20">
        <f t="shared" si="2"/>
        <v>71424</v>
      </c>
      <c r="AD626" s="30">
        <f t="shared" si="3"/>
        <v>6.448</v>
      </c>
      <c r="AE626" s="30">
        <f t="shared" si="10"/>
        <v>10399.3344</v>
      </c>
      <c r="AF626" s="30">
        <f t="shared" si="5"/>
        <v>1538.560006</v>
      </c>
      <c r="AG626" s="34">
        <v>1.0</v>
      </c>
      <c r="AH626" s="36"/>
      <c r="AI626" s="30">
        <f t="shared" si="6"/>
        <v>3278.688525</v>
      </c>
      <c r="AJ626" s="17">
        <v>4000.0</v>
      </c>
      <c r="AK626" s="30">
        <f t="shared" si="7"/>
        <v>13114.7541</v>
      </c>
      <c r="AL626" s="20">
        <f t="shared" si="8"/>
        <v>16000</v>
      </c>
    </row>
    <row r="627">
      <c r="A627" s="16" t="s">
        <v>2718</v>
      </c>
      <c r="B627" s="17" t="s">
        <v>239</v>
      </c>
      <c r="C627" s="17" t="s">
        <v>314</v>
      </c>
      <c r="D627" s="17" t="s">
        <v>61</v>
      </c>
      <c r="E627" s="17" t="s">
        <v>897</v>
      </c>
      <c r="F627" s="17" t="s">
        <v>103</v>
      </c>
      <c r="G627" s="19">
        <v>46118.0</v>
      </c>
      <c r="H627" s="17" t="s">
        <v>104</v>
      </c>
      <c r="I627" s="20" t="s">
        <v>2719</v>
      </c>
      <c r="J627" s="21" t="s">
        <v>2726</v>
      </c>
      <c r="K627" s="22" t="s">
        <v>2727</v>
      </c>
      <c r="L627" s="22" t="s">
        <v>2728</v>
      </c>
      <c r="M627" s="17">
        <v>2023.0</v>
      </c>
      <c r="N627" s="17">
        <v>17.0</v>
      </c>
      <c r="O627" s="23">
        <v>341.0</v>
      </c>
      <c r="P627" s="24">
        <f t="shared" si="14"/>
        <v>954.8</v>
      </c>
      <c r="Q627" s="25">
        <v>3.0</v>
      </c>
      <c r="R627" s="17">
        <v>3.0</v>
      </c>
      <c r="S627" s="26">
        <v>4.0</v>
      </c>
      <c r="T627" s="17">
        <v>0.0</v>
      </c>
      <c r="U627" s="17">
        <v>8.0</v>
      </c>
      <c r="V627" s="17" t="s">
        <v>75</v>
      </c>
      <c r="W627" s="28" t="s">
        <v>76</v>
      </c>
      <c r="X627" s="28" t="s">
        <v>78</v>
      </c>
      <c r="Y627" s="24">
        <v>10.0</v>
      </c>
      <c r="Z627" s="17">
        <v>150.0</v>
      </c>
      <c r="AA627" s="17">
        <v>576.0</v>
      </c>
      <c r="AB627" s="17">
        <v>31.0</v>
      </c>
      <c r="AC627" s="20">
        <f t="shared" si="2"/>
        <v>53568</v>
      </c>
      <c r="AD627" s="30">
        <f t="shared" si="3"/>
        <v>6.045</v>
      </c>
      <c r="AE627" s="30">
        <f t="shared" si="10"/>
        <v>5771.766</v>
      </c>
      <c r="AF627" s="30">
        <f t="shared" si="5"/>
        <v>2079.086366</v>
      </c>
      <c r="AG627" s="34">
        <v>1.0</v>
      </c>
      <c r="AH627" s="36"/>
      <c r="AI627" s="30">
        <f t="shared" si="6"/>
        <v>3278.688525</v>
      </c>
      <c r="AJ627" s="17">
        <v>4000.0</v>
      </c>
      <c r="AK627" s="30">
        <f t="shared" si="7"/>
        <v>9836.065574</v>
      </c>
      <c r="AL627" s="20">
        <f t="shared" si="8"/>
        <v>12000</v>
      </c>
    </row>
    <row r="628">
      <c r="A628" s="16" t="s">
        <v>2729</v>
      </c>
      <c r="B628" s="17" t="s">
        <v>239</v>
      </c>
      <c r="C628" s="17" t="s">
        <v>314</v>
      </c>
      <c r="D628" s="17" t="s">
        <v>61</v>
      </c>
      <c r="E628" s="17" t="s">
        <v>897</v>
      </c>
      <c r="F628" s="17" t="s">
        <v>103</v>
      </c>
      <c r="G628" s="19">
        <v>46190.0</v>
      </c>
      <c r="H628" s="17" t="s">
        <v>104</v>
      </c>
      <c r="I628" s="20" t="s">
        <v>2730</v>
      </c>
      <c r="J628" s="21" t="s">
        <v>2731</v>
      </c>
      <c r="K628" s="22" t="s">
        <v>2732</v>
      </c>
      <c r="L628" s="22" t="s">
        <v>2733</v>
      </c>
      <c r="M628" s="17">
        <v>2024.0</v>
      </c>
      <c r="N628" s="17">
        <v>17.0</v>
      </c>
      <c r="O628" s="23">
        <v>621.0</v>
      </c>
      <c r="P628" s="24">
        <f t="shared" si="14"/>
        <v>1738.8</v>
      </c>
      <c r="Q628" s="25">
        <v>8.0</v>
      </c>
      <c r="R628" s="17">
        <v>8.0</v>
      </c>
      <c r="S628" s="26">
        <v>8.0</v>
      </c>
      <c r="T628" s="17">
        <v>0.0</v>
      </c>
      <c r="U628" s="17">
        <v>16.0</v>
      </c>
      <c r="V628" s="17" t="s">
        <v>75</v>
      </c>
      <c r="W628" s="28" t="s">
        <v>76</v>
      </c>
      <c r="X628" s="28" t="s">
        <v>78</v>
      </c>
      <c r="Y628" s="24">
        <v>10.0</v>
      </c>
      <c r="Z628" s="17">
        <v>150.0</v>
      </c>
      <c r="AA628" s="17">
        <v>576.0</v>
      </c>
      <c r="AB628" s="17">
        <v>31.0</v>
      </c>
      <c r="AC628" s="20">
        <f t="shared" si="2"/>
        <v>142848</v>
      </c>
      <c r="AD628" s="30">
        <f t="shared" si="3"/>
        <v>8.06</v>
      </c>
      <c r="AE628" s="30">
        <f t="shared" si="10"/>
        <v>14014.728</v>
      </c>
      <c r="AF628" s="30">
        <f t="shared" si="5"/>
        <v>2283.312241</v>
      </c>
      <c r="AG628" s="34">
        <v>1.0</v>
      </c>
      <c r="AH628" s="36"/>
      <c r="AI628" s="30">
        <f t="shared" si="6"/>
        <v>3278.688525</v>
      </c>
      <c r="AJ628" s="17">
        <v>4000.0</v>
      </c>
      <c r="AK628" s="30">
        <f t="shared" si="7"/>
        <v>26229.5082</v>
      </c>
      <c r="AL628" s="20">
        <f t="shared" si="8"/>
        <v>32000</v>
      </c>
    </row>
    <row r="629">
      <c r="A629" s="16" t="s">
        <v>2729</v>
      </c>
      <c r="B629" s="17" t="s">
        <v>239</v>
      </c>
      <c r="C629" s="17" t="s">
        <v>314</v>
      </c>
      <c r="D629" s="17" t="s">
        <v>61</v>
      </c>
      <c r="E629" s="17" t="s">
        <v>897</v>
      </c>
      <c r="F629" s="17" t="s">
        <v>103</v>
      </c>
      <c r="G629" s="19">
        <v>46190.0</v>
      </c>
      <c r="H629" s="17" t="s">
        <v>104</v>
      </c>
      <c r="I629" s="20" t="s">
        <v>2730</v>
      </c>
      <c r="J629" s="21" t="s">
        <v>2734</v>
      </c>
      <c r="K629" s="22" t="s">
        <v>2735</v>
      </c>
      <c r="L629" s="22" t="s">
        <v>2736</v>
      </c>
      <c r="M629" s="17">
        <v>2024.0</v>
      </c>
      <c r="N629" s="17">
        <v>17.0</v>
      </c>
      <c r="O629" s="23">
        <v>304.0</v>
      </c>
      <c r="P629" s="24">
        <f t="shared" si="14"/>
        <v>851.2</v>
      </c>
      <c r="Q629" s="25">
        <v>3.0</v>
      </c>
      <c r="R629" s="17">
        <v>3.0</v>
      </c>
      <c r="S629" s="26">
        <v>3.0</v>
      </c>
      <c r="T629" s="17">
        <v>0.0</v>
      </c>
      <c r="U629" s="17">
        <v>6.0</v>
      </c>
      <c r="V629" s="17" t="s">
        <v>75</v>
      </c>
      <c r="W629" s="28" t="s">
        <v>76</v>
      </c>
      <c r="X629" s="28" t="s">
        <v>78</v>
      </c>
      <c r="Y629" s="24">
        <v>10.0</v>
      </c>
      <c r="Z629" s="17">
        <v>150.0</v>
      </c>
      <c r="AA629" s="17">
        <v>576.0</v>
      </c>
      <c r="AB629" s="17">
        <v>31.0</v>
      </c>
      <c r="AC629" s="20">
        <f t="shared" si="2"/>
        <v>53568</v>
      </c>
      <c r="AD629" s="30">
        <f t="shared" si="3"/>
        <v>8.06</v>
      </c>
      <c r="AE629" s="30">
        <f t="shared" si="10"/>
        <v>6860.672</v>
      </c>
      <c r="AF629" s="30">
        <f t="shared" si="5"/>
        <v>1749.099797</v>
      </c>
      <c r="AG629" s="34">
        <v>1.0</v>
      </c>
      <c r="AH629" s="36"/>
      <c r="AI629" s="30">
        <f t="shared" si="6"/>
        <v>3278.688525</v>
      </c>
      <c r="AJ629" s="17">
        <v>4000.0</v>
      </c>
      <c r="AK629" s="30">
        <f t="shared" si="7"/>
        <v>9836.065574</v>
      </c>
      <c r="AL629" s="20">
        <f t="shared" si="8"/>
        <v>12000</v>
      </c>
    </row>
    <row r="630">
      <c r="A630" s="16" t="s">
        <v>2737</v>
      </c>
      <c r="B630" s="17" t="s">
        <v>239</v>
      </c>
      <c r="C630" s="17" t="s">
        <v>314</v>
      </c>
      <c r="D630" s="17" t="s">
        <v>61</v>
      </c>
      <c r="E630" s="17" t="s">
        <v>897</v>
      </c>
      <c r="F630" s="17" t="s">
        <v>103</v>
      </c>
      <c r="G630" s="19">
        <v>46190.0</v>
      </c>
      <c r="H630" s="17" t="s">
        <v>104</v>
      </c>
      <c r="I630" s="20" t="s">
        <v>2738</v>
      </c>
      <c r="J630" s="21" t="s">
        <v>2739</v>
      </c>
      <c r="K630" s="22" t="s">
        <v>2740</v>
      </c>
      <c r="L630" s="22" t="s">
        <v>2741</v>
      </c>
      <c r="M630" s="17">
        <v>2024.0</v>
      </c>
      <c r="N630" s="17">
        <v>17.0</v>
      </c>
      <c r="O630" s="23">
        <v>521.0</v>
      </c>
      <c r="P630" s="24">
        <f t="shared" si="14"/>
        <v>1458.8</v>
      </c>
      <c r="Q630" s="25">
        <v>4.0</v>
      </c>
      <c r="R630" s="17">
        <v>4.0</v>
      </c>
      <c r="S630" s="26">
        <v>4.0</v>
      </c>
      <c r="T630" s="17">
        <v>0.0</v>
      </c>
      <c r="U630" s="17">
        <v>8.0</v>
      </c>
      <c r="V630" s="17" t="s">
        <v>75</v>
      </c>
      <c r="W630" s="28" t="s">
        <v>76</v>
      </c>
      <c r="X630" s="28" t="s">
        <v>78</v>
      </c>
      <c r="Y630" s="24">
        <v>10.0</v>
      </c>
      <c r="Z630" s="17">
        <v>150.0</v>
      </c>
      <c r="AA630" s="17">
        <v>576.0</v>
      </c>
      <c r="AB630" s="17">
        <v>31.0</v>
      </c>
      <c r="AC630" s="20">
        <f t="shared" si="2"/>
        <v>71424</v>
      </c>
      <c r="AD630" s="30">
        <f t="shared" si="3"/>
        <v>8.06</v>
      </c>
      <c r="AE630" s="30">
        <f t="shared" si="10"/>
        <v>11757.928</v>
      </c>
      <c r="AF630" s="30">
        <f t="shared" si="5"/>
        <v>1360.783975</v>
      </c>
      <c r="AG630" s="34">
        <v>1.0</v>
      </c>
      <c r="AH630" s="36"/>
      <c r="AI630" s="30">
        <f t="shared" si="6"/>
        <v>3278.688525</v>
      </c>
      <c r="AJ630" s="17">
        <v>4000.0</v>
      </c>
      <c r="AK630" s="30">
        <f t="shared" si="7"/>
        <v>13114.7541</v>
      </c>
      <c r="AL630" s="20">
        <f t="shared" si="8"/>
        <v>16000</v>
      </c>
    </row>
    <row r="631">
      <c r="A631" s="16" t="s">
        <v>2737</v>
      </c>
      <c r="B631" s="17" t="s">
        <v>239</v>
      </c>
      <c r="C631" s="17" t="s">
        <v>314</v>
      </c>
      <c r="D631" s="17" t="s">
        <v>61</v>
      </c>
      <c r="E631" s="17" t="s">
        <v>897</v>
      </c>
      <c r="F631" s="17" t="s">
        <v>103</v>
      </c>
      <c r="G631" s="19">
        <v>46190.0</v>
      </c>
      <c r="H631" s="17" t="s">
        <v>104</v>
      </c>
      <c r="I631" s="20" t="s">
        <v>2738</v>
      </c>
      <c r="J631" s="21" t="s">
        <v>2742</v>
      </c>
      <c r="K631" s="22" t="s">
        <v>2743</v>
      </c>
      <c r="L631" s="22" t="s">
        <v>2744</v>
      </c>
      <c r="M631" s="17">
        <v>2024.0</v>
      </c>
      <c r="N631" s="17">
        <v>17.0</v>
      </c>
      <c r="O631" s="23">
        <v>352.0</v>
      </c>
      <c r="P631" s="24">
        <f t="shared" si="14"/>
        <v>985.6</v>
      </c>
      <c r="Q631" s="25">
        <v>3.0</v>
      </c>
      <c r="R631" s="17">
        <v>3.0</v>
      </c>
      <c r="S631" s="26">
        <v>2.0</v>
      </c>
      <c r="T631" s="17">
        <v>0.0</v>
      </c>
      <c r="U631" s="17">
        <v>6.0</v>
      </c>
      <c r="V631" s="17" t="s">
        <v>75</v>
      </c>
      <c r="W631" s="28" t="s">
        <v>76</v>
      </c>
      <c r="X631" s="28" t="s">
        <v>78</v>
      </c>
      <c r="Y631" s="24">
        <v>10.0</v>
      </c>
      <c r="Z631" s="17">
        <v>150.0</v>
      </c>
      <c r="AA631" s="17">
        <v>576.0</v>
      </c>
      <c r="AB631" s="17">
        <v>31.0</v>
      </c>
      <c r="AC631" s="20">
        <f t="shared" si="2"/>
        <v>53568</v>
      </c>
      <c r="AD631" s="30">
        <f t="shared" si="3"/>
        <v>12.09</v>
      </c>
      <c r="AE631" s="30">
        <f t="shared" si="10"/>
        <v>11915.904</v>
      </c>
      <c r="AF631" s="30">
        <f t="shared" si="5"/>
        <v>1007.057459</v>
      </c>
      <c r="AG631" s="34">
        <v>1.0</v>
      </c>
      <c r="AH631" s="36"/>
      <c r="AI631" s="30">
        <f t="shared" si="6"/>
        <v>3278.688525</v>
      </c>
      <c r="AJ631" s="17">
        <v>4000.0</v>
      </c>
      <c r="AK631" s="30">
        <f t="shared" si="7"/>
        <v>9836.065574</v>
      </c>
      <c r="AL631" s="20">
        <f t="shared" si="8"/>
        <v>12000</v>
      </c>
    </row>
    <row r="632">
      <c r="A632" s="16" t="s">
        <v>2737</v>
      </c>
      <c r="B632" s="17" t="s">
        <v>239</v>
      </c>
      <c r="C632" s="17" t="s">
        <v>314</v>
      </c>
      <c r="D632" s="17" t="s">
        <v>61</v>
      </c>
      <c r="E632" s="17" t="s">
        <v>897</v>
      </c>
      <c r="F632" s="17" t="s">
        <v>103</v>
      </c>
      <c r="G632" s="19">
        <v>46190.0</v>
      </c>
      <c r="H632" s="17" t="s">
        <v>104</v>
      </c>
      <c r="I632" s="20" t="s">
        <v>2738</v>
      </c>
      <c r="J632" s="21" t="s">
        <v>2745</v>
      </c>
      <c r="K632" s="22" t="s">
        <v>2746</v>
      </c>
      <c r="L632" s="22" t="s">
        <v>2747</v>
      </c>
      <c r="M632" s="17">
        <v>2024.0</v>
      </c>
      <c r="N632" s="17">
        <v>17.0</v>
      </c>
      <c r="O632" s="23">
        <v>352.0</v>
      </c>
      <c r="P632" s="24">
        <f t="shared" si="14"/>
        <v>985.6</v>
      </c>
      <c r="Q632" s="25">
        <v>1.0</v>
      </c>
      <c r="R632" s="17">
        <v>1.0</v>
      </c>
      <c r="S632" s="26">
        <v>4.0</v>
      </c>
      <c r="T632" s="17">
        <v>0.0</v>
      </c>
      <c r="U632" s="17">
        <v>8.0</v>
      </c>
      <c r="V632" s="17" t="s">
        <v>75</v>
      </c>
      <c r="W632" s="28" t="s">
        <v>76</v>
      </c>
      <c r="X632" s="28" t="s">
        <v>78</v>
      </c>
      <c r="Y632" s="24">
        <v>10.0</v>
      </c>
      <c r="Z632" s="17">
        <v>150.0</v>
      </c>
      <c r="AA632" s="17">
        <v>576.0</v>
      </c>
      <c r="AB632" s="17">
        <v>31.0</v>
      </c>
      <c r="AC632" s="20">
        <f t="shared" si="2"/>
        <v>17856</v>
      </c>
      <c r="AD632" s="30">
        <f t="shared" si="3"/>
        <v>2.015</v>
      </c>
      <c r="AE632" s="30">
        <f t="shared" si="10"/>
        <v>1985.984</v>
      </c>
      <c r="AF632" s="30">
        <f t="shared" si="5"/>
        <v>2014.114917</v>
      </c>
      <c r="AG632" s="34">
        <v>1.0</v>
      </c>
      <c r="AH632" s="36"/>
      <c r="AI632" s="30">
        <f t="shared" si="6"/>
        <v>3278.688525</v>
      </c>
      <c r="AJ632" s="17">
        <v>4000.0</v>
      </c>
      <c r="AK632" s="30">
        <f t="shared" si="7"/>
        <v>3278.688525</v>
      </c>
      <c r="AL632" s="20">
        <f t="shared" si="8"/>
        <v>4000</v>
      </c>
    </row>
    <row r="633">
      <c r="A633" s="16" t="s">
        <v>2737</v>
      </c>
      <c r="B633" s="17" t="s">
        <v>239</v>
      </c>
      <c r="C633" s="17" t="s">
        <v>314</v>
      </c>
      <c r="D633" s="17" t="s">
        <v>61</v>
      </c>
      <c r="E633" s="17" t="s">
        <v>897</v>
      </c>
      <c r="F633" s="17" t="s">
        <v>103</v>
      </c>
      <c r="G633" s="19">
        <v>46190.0</v>
      </c>
      <c r="H633" s="17" t="s">
        <v>104</v>
      </c>
      <c r="I633" s="20" t="s">
        <v>2738</v>
      </c>
      <c r="J633" s="21" t="s">
        <v>2748</v>
      </c>
      <c r="K633" s="22" t="s">
        <v>2749</v>
      </c>
      <c r="L633" s="22" t="s">
        <v>2750</v>
      </c>
      <c r="M633" s="17">
        <v>2024.0</v>
      </c>
      <c r="N633" s="17">
        <v>17.0</v>
      </c>
      <c r="O633" s="23">
        <v>176.0</v>
      </c>
      <c r="P633" s="24">
        <f t="shared" si="14"/>
        <v>492.8</v>
      </c>
      <c r="Q633" s="25">
        <v>1.0</v>
      </c>
      <c r="R633" s="17">
        <v>1.0</v>
      </c>
      <c r="S633" s="26">
        <v>1.0</v>
      </c>
      <c r="T633" s="17">
        <v>0.0</v>
      </c>
      <c r="U633" s="17">
        <v>3.0</v>
      </c>
      <c r="V633" s="17" t="s">
        <v>75</v>
      </c>
      <c r="W633" s="28" t="s">
        <v>76</v>
      </c>
      <c r="X633" s="28" t="s">
        <v>78</v>
      </c>
      <c r="Y633" s="24">
        <v>10.0</v>
      </c>
      <c r="Z633" s="17">
        <v>150.0</v>
      </c>
      <c r="AA633" s="17">
        <v>576.0</v>
      </c>
      <c r="AB633" s="17">
        <v>31.0</v>
      </c>
      <c r="AC633" s="20">
        <f t="shared" si="2"/>
        <v>17856</v>
      </c>
      <c r="AD633" s="30">
        <f t="shared" si="3"/>
        <v>8.06</v>
      </c>
      <c r="AE633" s="30">
        <f t="shared" si="10"/>
        <v>3971.968</v>
      </c>
      <c r="AF633" s="30">
        <f t="shared" si="5"/>
        <v>1007.057459</v>
      </c>
      <c r="AG633" s="34">
        <v>1.0</v>
      </c>
      <c r="AH633" s="36"/>
      <c r="AI633" s="30">
        <f t="shared" si="6"/>
        <v>3278.688525</v>
      </c>
      <c r="AJ633" s="17">
        <v>4000.0</v>
      </c>
      <c r="AK633" s="30">
        <f t="shared" si="7"/>
        <v>3278.688525</v>
      </c>
      <c r="AL633" s="20">
        <f t="shared" si="8"/>
        <v>4000</v>
      </c>
    </row>
    <row r="634">
      <c r="A634" s="16" t="s">
        <v>2737</v>
      </c>
      <c r="B634" s="17" t="s">
        <v>239</v>
      </c>
      <c r="C634" s="17" t="s">
        <v>314</v>
      </c>
      <c r="D634" s="17" t="s">
        <v>61</v>
      </c>
      <c r="E634" s="17" t="s">
        <v>897</v>
      </c>
      <c r="F634" s="17" t="s">
        <v>103</v>
      </c>
      <c r="G634" s="19">
        <v>46190.0</v>
      </c>
      <c r="H634" s="17" t="s">
        <v>104</v>
      </c>
      <c r="I634" s="20" t="s">
        <v>2738</v>
      </c>
      <c r="J634" s="21" t="s">
        <v>2751</v>
      </c>
      <c r="K634" s="22" t="s">
        <v>2752</v>
      </c>
      <c r="L634" s="22" t="s">
        <v>2753</v>
      </c>
      <c r="M634" s="17">
        <v>2024.0</v>
      </c>
      <c r="N634" s="17">
        <v>17.0</v>
      </c>
      <c r="O634" s="23">
        <v>352.0</v>
      </c>
      <c r="P634" s="24">
        <f t="shared" si="14"/>
        <v>985.6</v>
      </c>
      <c r="Q634" s="25">
        <v>2.0</v>
      </c>
      <c r="R634" s="17">
        <v>2.0</v>
      </c>
      <c r="S634" s="26">
        <v>2.0</v>
      </c>
      <c r="T634" s="17">
        <v>0.0</v>
      </c>
      <c r="U634" s="17">
        <v>6.0</v>
      </c>
      <c r="V634" s="17" t="s">
        <v>75</v>
      </c>
      <c r="W634" s="28" t="s">
        <v>76</v>
      </c>
      <c r="X634" s="28" t="s">
        <v>78</v>
      </c>
      <c r="Y634" s="24">
        <v>10.0</v>
      </c>
      <c r="Z634" s="17">
        <v>150.0</v>
      </c>
      <c r="AA634" s="17">
        <v>576.0</v>
      </c>
      <c r="AB634" s="17">
        <v>31.0</v>
      </c>
      <c r="AC634" s="20">
        <f t="shared" si="2"/>
        <v>35712</v>
      </c>
      <c r="AD634" s="30">
        <f t="shared" si="3"/>
        <v>8.06</v>
      </c>
      <c r="AE634" s="30">
        <f t="shared" si="10"/>
        <v>7943.936</v>
      </c>
      <c r="AF634" s="30">
        <f t="shared" si="5"/>
        <v>1007.057459</v>
      </c>
      <c r="AG634" s="34">
        <v>1.0</v>
      </c>
      <c r="AH634" s="36"/>
      <c r="AI634" s="30">
        <f t="shared" si="6"/>
        <v>3278.688525</v>
      </c>
      <c r="AJ634" s="17">
        <v>4000.0</v>
      </c>
      <c r="AK634" s="30">
        <f t="shared" si="7"/>
        <v>6557.377049</v>
      </c>
      <c r="AL634" s="20">
        <f t="shared" si="8"/>
        <v>8000</v>
      </c>
    </row>
    <row r="635">
      <c r="A635" s="16" t="s">
        <v>2754</v>
      </c>
      <c r="B635" s="17" t="s">
        <v>239</v>
      </c>
      <c r="C635" s="17" t="s">
        <v>314</v>
      </c>
      <c r="D635" s="17" t="s">
        <v>61</v>
      </c>
      <c r="E635" s="17" t="s">
        <v>897</v>
      </c>
      <c r="F635" s="17" t="s">
        <v>103</v>
      </c>
      <c r="G635" s="19">
        <v>46190.0</v>
      </c>
      <c r="H635" s="17" t="s">
        <v>104</v>
      </c>
      <c r="I635" s="20" t="s">
        <v>2755</v>
      </c>
      <c r="J635" s="21" t="s">
        <v>2756</v>
      </c>
      <c r="K635" s="22" t="s">
        <v>2757</v>
      </c>
      <c r="L635" s="22" t="s">
        <v>2758</v>
      </c>
      <c r="M635" s="17">
        <v>2024.0</v>
      </c>
      <c r="N635" s="17">
        <v>17.0</v>
      </c>
      <c r="O635" s="23">
        <v>658.0</v>
      </c>
      <c r="P635" s="24">
        <f t="shared" si="14"/>
        <v>1842.4</v>
      </c>
      <c r="Q635" s="25">
        <v>5.0</v>
      </c>
      <c r="R635" s="17">
        <v>5.0</v>
      </c>
      <c r="S635" s="26">
        <v>5.0</v>
      </c>
      <c r="T635" s="17">
        <v>0.0</v>
      </c>
      <c r="U635" s="17">
        <v>10.0</v>
      </c>
      <c r="V635" s="17" t="s">
        <v>75</v>
      </c>
      <c r="W635" s="28" t="s">
        <v>76</v>
      </c>
      <c r="X635" s="28" t="s">
        <v>78</v>
      </c>
      <c r="Y635" s="24">
        <v>10.0</v>
      </c>
      <c r="Z635" s="17">
        <v>150.0</v>
      </c>
      <c r="AA635" s="17">
        <v>576.0</v>
      </c>
      <c r="AB635" s="17">
        <v>31.0</v>
      </c>
      <c r="AC635" s="20">
        <f t="shared" si="2"/>
        <v>89280</v>
      </c>
      <c r="AD635" s="30">
        <f t="shared" si="3"/>
        <v>8.06</v>
      </c>
      <c r="AE635" s="30">
        <f t="shared" si="10"/>
        <v>14849.744</v>
      </c>
      <c r="AF635" s="30">
        <f t="shared" si="5"/>
        <v>1346.824565</v>
      </c>
      <c r="AG635" s="34">
        <v>1.0</v>
      </c>
      <c r="AH635" s="36"/>
      <c r="AI635" s="30">
        <f t="shared" si="6"/>
        <v>3278.688525</v>
      </c>
      <c r="AJ635" s="17">
        <v>4000.0</v>
      </c>
      <c r="AK635" s="30">
        <f t="shared" si="7"/>
        <v>16393.44262</v>
      </c>
      <c r="AL635" s="20">
        <f t="shared" si="8"/>
        <v>20000</v>
      </c>
    </row>
    <row r="636">
      <c r="A636" s="16" t="s">
        <v>2754</v>
      </c>
      <c r="B636" s="17" t="s">
        <v>239</v>
      </c>
      <c r="C636" s="17" t="s">
        <v>314</v>
      </c>
      <c r="D636" s="17" t="s">
        <v>61</v>
      </c>
      <c r="E636" s="17" t="s">
        <v>897</v>
      </c>
      <c r="F636" s="17" t="s">
        <v>103</v>
      </c>
      <c r="G636" s="19">
        <v>46190.0</v>
      </c>
      <c r="H636" s="17" t="s">
        <v>104</v>
      </c>
      <c r="I636" s="20" t="s">
        <v>2755</v>
      </c>
      <c r="J636" s="21" t="s">
        <v>2759</v>
      </c>
      <c r="K636" s="22" t="s">
        <v>2760</v>
      </c>
      <c r="L636" s="22" t="s">
        <v>2761</v>
      </c>
      <c r="M636" s="17">
        <v>2024.0</v>
      </c>
      <c r="N636" s="17">
        <v>17.0</v>
      </c>
      <c r="O636" s="23">
        <v>407.0</v>
      </c>
      <c r="P636" s="24">
        <f t="shared" si="14"/>
        <v>1139.6</v>
      </c>
      <c r="Q636" s="25">
        <v>3.0</v>
      </c>
      <c r="R636" s="17">
        <v>3.0</v>
      </c>
      <c r="S636" s="26">
        <v>3.0</v>
      </c>
      <c r="T636" s="17">
        <v>0.0</v>
      </c>
      <c r="U636" s="17">
        <v>6.0</v>
      </c>
      <c r="V636" s="17" t="s">
        <v>75</v>
      </c>
      <c r="W636" s="28" t="s">
        <v>76</v>
      </c>
      <c r="X636" s="28" t="s">
        <v>78</v>
      </c>
      <c r="Y636" s="24">
        <v>10.0</v>
      </c>
      <c r="Z636" s="17">
        <v>150.0</v>
      </c>
      <c r="AA636" s="17">
        <v>576.0</v>
      </c>
      <c r="AB636" s="17">
        <v>31.0</v>
      </c>
      <c r="AC636" s="20">
        <f t="shared" si="2"/>
        <v>53568</v>
      </c>
      <c r="AD636" s="30">
        <f t="shared" si="3"/>
        <v>8.06</v>
      </c>
      <c r="AE636" s="30">
        <f t="shared" si="10"/>
        <v>9185.176</v>
      </c>
      <c r="AF636" s="30">
        <f t="shared" si="5"/>
        <v>1306.452919</v>
      </c>
      <c r="AG636" s="34">
        <v>1.0</v>
      </c>
      <c r="AH636" s="36"/>
      <c r="AI636" s="30">
        <f t="shared" si="6"/>
        <v>3278.688525</v>
      </c>
      <c r="AJ636" s="17">
        <v>4000.0</v>
      </c>
      <c r="AK636" s="30">
        <f t="shared" si="7"/>
        <v>9836.065574</v>
      </c>
      <c r="AL636" s="20">
        <f t="shared" si="8"/>
        <v>12000</v>
      </c>
    </row>
    <row r="637">
      <c r="A637" s="16" t="s">
        <v>2762</v>
      </c>
      <c r="B637" s="17" t="s">
        <v>239</v>
      </c>
      <c r="C637" s="17" t="s">
        <v>314</v>
      </c>
      <c r="D637" s="17" t="s">
        <v>61</v>
      </c>
      <c r="E637" s="17" t="s">
        <v>897</v>
      </c>
      <c r="F637" s="17" t="s">
        <v>103</v>
      </c>
      <c r="G637" s="19">
        <v>46190.0</v>
      </c>
      <c r="H637" s="17" t="s">
        <v>104</v>
      </c>
      <c r="I637" s="20" t="s">
        <v>2763</v>
      </c>
      <c r="J637" s="21" t="s">
        <v>2764</v>
      </c>
      <c r="K637" s="22" t="s">
        <v>2765</v>
      </c>
      <c r="L637" s="22" t="s">
        <v>2766</v>
      </c>
      <c r="M637" s="17">
        <v>2024.0</v>
      </c>
      <c r="N637" s="17">
        <v>17.0</v>
      </c>
      <c r="O637" s="23">
        <v>304.0</v>
      </c>
      <c r="P637" s="24">
        <f t="shared" si="14"/>
        <v>851.2</v>
      </c>
      <c r="Q637" s="25">
        <v>6.0</v>
      </c>
      <c r="R637" s="17">
        <v>6.0</v>
      </c>
      <c r="S637" s="26">
        <v>3.0</v>
      </c>
      <c r="T637" s="17">
        <v>0.0</v>
      </c>
      <c r="U637" s="17">
        <v>6.0</v>
      </c>
      <c r="V637" s="17" t="s">
        <v>75</v>
      </c>
      <c r="W637" s="28" t="s">
        <v>76</v>
      </c>
      <c r="X637" s="28" t="s">
        <v>78</v>
      </c>
      <c r="Y637" s="24">
        <v>10.0</v>
      </c>
      <c r="Z637" s="17">
        <v>150.0</v>
      </c>
      <c r="AA637" s="17">
        <v>576.0</v>
      </c>
      <c r="AB637" s="17">
        <v>31.0</v>
      </c>
      <c r="AC637" s="20">
        <f t="shared" si="2"/>
        <v>107136</v>
      </c>
      <c r="AD637" s="30">
        <f t="shared" si="3"/>
        <v>16.12</v>
      </c>
      <c r="AE637" s="30">
        <f t="shared" si="10"/>
        <v>13721.344</v>
      </c>
      <c r="AF637" s="30">
        <f t="shared" si="5"/>
        <v>1749.099797</v>
      </c>
      <c r="AG637" s="34">
        <v>1.0</v>
      </c>
      <c r="AH637" s="36"/>
      <c r="AI637" s="30">
        <f t="shared" si="6"/>
        <v>3278.688525</v>
      </c>
      <c r="AJ637" s="17">
        <v>4000.0</v>
      </c>
      <c r="AK637" s="30">
        <f t="shared" si="7"/>
        <v>19672.13115</v>
      </c>
      <c r="AL637" s="20">
        <f t="shared" si="8"/>
        <v>24000</v>
      </c>
    </row>
    <row r="638">
      <c r="A638" s="16" t="s">
        <v>2762</v>
      </c>
      <c r="B638" s="17" t="s">
        <v>239</v>
      </c>
      <c r="C638" s="17" t="s">
        <v>314</v>
      </c>
      <c r="D638" s="17" t="s">
        <v>61</v>
      </c>
      <c r="E638" s="17" t="s">
        <v>897</v>
      </c>
      <c r="F638" s="17" t="s">
        <v>103</v>
      </c>
      <c r="G638" s="19">
        <v>46190.0</v>
      </c>
      <c r="H638" s="17" t="s">
        <v>104</v>
      </c>
      <c r="I638" s="20" t="s">
        <v>2763</v>
      </c>
      <c r="J638" s="21" t="s">
        <v>2767</v>
      </c>
      <c r="K638" s="22" t="s">
        <v>2768</v>
      </c>
      <c r="L638" s="22" t="s">
        <v>2769</v>
      </c>
      <c r="M638" s="17">
        <v>2024.0</v>
      </c>
      <c r="N638" s="17">
        <v>17.0</v>
      </c>
      <c r="O638" s="23">
        <v>256.0</v>
      </c>
      <c r="P638" s="24">
        <f t="shared" si="14"/>
        <v>716.8</v>
      </c>
      <c r="Q638" s="25">
        <v>3.0</v>
      </c>
      <c r="R638" s="17">
        <v>3.0</v>
      </c>
      <c r="S638" s="26">
        <v>1.0</v>
      </c>
      <c r="T638" s="17">
        <v>0.0</v>
      </c>
      <c r="U638" s="17">
        <v>3.0</v>
      </c>
      <c r="V638" s="17" t="s">
        <v>75</v>
      </c>
      <c r="W638" s="28" t="s">
        <v>76</v>
      </c>
      <c r="X638" s="28" t="s">
        <v>78</v>
      </c>
      <c r="Y638" s="24">
        <v>10.0</v>
      </c>
      <c r="Z638" s="17">
        <v>150.0</v>
      </c>
      <c r="AA638" s="17">
        <v>576.0</v>
      </c>
      <c r="AB638" s="17">
        <v>31.0</v>
      </c>
      <c r="AC638" s="20">
        <f t="shared" si="2"/>
        <v>53568</v>
      </c>
      <c r="AD638" s="30">
        <f t="shared" si="3"/>
        <v>24.18</v>
      </c>
      <c r="AE638" s="30">
        <f t="shared" si="10"/>
        <v>17332.224</v>
      </c>
      <c r="AF638" s="30">
        <f t="shared" si="5"/>
        <v>692.3520028</v>
      </c>
      <c r="AG638" s="34">
        <v>1.0</v>
      </c>
      <c r="AH638" s="36"/>
      <c r="AI638" s="30">
        <f t="shared" si="6"/>
        <v>3278.688525</v>
      </c>
      <c r="AJ638" s="17">
        <v>4000.0</v>
      </c>
      <c r="AK638" s="30">
        <f t="shared" si="7"/>
        <v>9836.065574</v>
      </c>
      <c r="AL638" s="20">
        <f t="shared" si="8"/>
        <v>12000</v>
      </c>
    </row>
    <row r="639">
      <c r="A639" s="16" t="s">
        <v>2770</v>
      </c>
      <c r="B639" s="17" t="s">
        <v>239</v>
      </c>
      <c r="C639" s="17" t="s">
        <v>329</v>
      </c>
      <c r="D639" s="17" t="s">
        <v>2771</v>
      </c>
      <c r="E639" s="17" t="s">
        <v>897</v>
      </c>
      <c r="F639" s="17" t="s">
        <v>63</v>
      </c>
      <c r="G639" s="19">
        <v>46146.0</v>
      </c>
      <c r="H639" s="17" t="s">
        <v>104</v>
      </c>
      <c r="I639" s="20" t="s">
        <v>1586</v>
      </c>
      <c r="J639" s="21" t="s">
        <v>2772</v>
      </c>
      <c r="K639" s="22" t="s">
        <v>2773</v>
      </c>
      <c r="L639" s="22" t="s">
        <v>2774</v>
      </c>
      <c r="M639" s="17">
        <v>2023.0</v>
      </c>
      <c r="N639" s="17">
        <v>15.0</v>
      </c>
      <c r="O639" s="23">
        <v>259.0</v>
      </c>
      <c r="P639" s="24">
        <f t="shared" si="14"/>
        <v>725.2</v>
      </c>
      <c r="Q639" s="25">
        <v>1.0</v>
      </c>
      <c r="R639" s="17">
        <v>1.0</v>
      </c>
      <c r="S639" s="26">
        <v>3.0</v>
      </c>
      <c r="T639" s="17">
        <v>0.0</v>
      </c>
      <c r="U639" s="17">
        <v>6.0</v>
      </c>
      <c r="V639" s="17" t="s">
        <v>75</v>
      </c>
      <c r="W639" s="28" t="s">
        <v>76</v>
      </c>
      <c r="X639" s="28" t="s">
        <v>78</v>
      </c>
      <c r="Y639" s="24">
        <v>10.0</v>
      </c>
      <c r="Z639" s="17">
        <v>150.0</v>
      </c>
      <c r="AA639" s="17">
        <v>576.0</v>
      </c>
      <c r="AB639" s="17">
        <v>31.0</v>
      </c>
      <c r="AC639" s="20">
        <f t="shared" si="2"/>
        <v>17856</v>
      </c>
      <c r="AD639" s="30">
        <f t="shared" si="3"/>
        <v>2.686666667</v>
      </c>
      <c r="AE639" s="30">
        <f t="shared" si="10"/>
        <v>1948.370667</v>
      </c>
      <c r="AF639" s="30">
        <f t="shared" si="5"/>
        <v>2052.997445</v>
      </c>
      <c r="AG639" s="34">
        <v>1.0</v>
      </c>
      <c r="AH639" s="36"/>
      <c r="AI639" s="30">
        <f t="shared" si="6"/>
        <v>3278.688525</v>
      </c>
      <c r="AJ639" s="17">
        <v>4000.0</v>
      </c>
      <c r="AK639" s="30">
        <f t="shared" si="7"/>
        <v>3278.688525</v>
      </c>
      <c r="AL639" s="20">
        <f t="shared" si="8"/>
        <v>4000</v>
      </c>
    </row>
    <row r="640">
      <c r="A640" s="16" t="s">
        <v>2770</v>
      </c>
      <c r="B640" s="17" t="s">
        <v>239</v>
      </c>
      <c r="C640" s="17" t="s">
        <v>329</v>
      </c>
      <c r="D640" s="17" t="s">
        <v>2771</v>
      </c>
      <c r="E640" s="17" t="s">
        <v>897</v>
      </c>
      <c r="F640" s="17" t="s">
        <v>63</v>
      </c>
      <c r="G640" s="19">
        <v>46146.0</v>
      </c>
      <c r="H640" s="17" t="s">
        <v>104</v>
      </c>
      <c r="I640" s="20" t="s">
        <v>1586</v>
      </c>
      <c r="J640" s="21" t="s">
        <v>2775</v>
      </c>
      <c r="K640" s="22" t="s">
        <v>2776</v>
      </c>
      <c r="L640" s="22" t="s">
        <v>2777</v>
      </c>
      <c r="M640" s="17">
        <v>2023.0</v>
      </c>
      <c r="N640" s="17">
        <v>15.0</v>
      </c>
      <c r="O640" s="23">
        <v>233.0</v>
      </c>
      <c r="P640" s="24">
        <f t="shared" si="14"/>
        <v>652.4</v>
      </c>
      <c r="Q640" s="25">
        <v>2.0</v>
      </c>
      <c r="R640" s="17">
        <v>2.0</v>
      </c>
      <c r="S640" s="26">
        <v>3.0</v>
      </c>
      <c r="T640" s="17">
        <v>0.0</v>
      </c>
      <c r="U640" s="17">
        <v>6.0</v>
      </c>
      <c r="V640" s="17" t="s">
        <v>75</v>
      </c>
      <c r="W640" s="28" t="s">
        <v>76</v>
      </c>
      <c r="X640" s="28" t="s">
        <v>78</v>
      </c>
      <c r="Y640" s="24">
        <v>10.0</v>
      </c>
      <c r="Z640" s="17">
        <v>150.0</v>
      </c>
      <c r="AA640" s="17">
        <v>576.0</v>
      </c>
      <c r="AB640" s="17">
        <v>31.0</v>
      </c>
      <c r="AC640" s="20">
        <f t="shared" si="2"/>
        <v>35712</v>
      </c>
      <c r="AD640" s="30">
        <f t="shared" si="3"/>
        <v>5.373333333</v>
      </c>
      <c r="AE640" s="30">
        <f t="shared" si="10"/>
        <v>3505.562667</v>
      </c>
      <c r="AF640" s="30">
        <f t="shared" si="5"/>
        <v>2282.087288</v>
      </c>
      <c r="AG640" s="34">
        <v>1.0</v>
      </c>
      <c r="AH640" s="36"/>
      <c r="AI640" s="30">
        <f t="shared" si="6"/>
        <v>3278.688525</v>
      </c>
      <c r="AJ640" s="17">
        <v>4000.0</v>
      </c>
      <c r="AK640" s="30">
        <f t="shared" si="7"/>
        <v>6557.377049</v>
      </c>
      <c r="AL640" s="20">
        <f t="shared" si="8"/>
        <v>8000</v>
      </c>
    </row>
    <row r="641">
      <c r="A641" s="16" t="s">
        <v>2770</v>
      </c>
      <c r="B641" s="17" t="s">
        <v>239</v>
      </c>
      <c r="C641" s="17" t="s">
        <v>329</v>
      </c>
      <c r="D641" s="17" t="s">
        <v>2771</v>
      </c>
      <c r="E641" s="17" t="s">
        <v>897</v>
      </c>
      <c r="F641" s="17" t="s">
        <v>63</v>
      </c>
      <c r="G641" s="19">
        <v>46146.0</v>
      </c>
      <c r="H641" s="17" t="s">
        <v>104</v>
      </c>
      <c r="I641" s="20" t="s">
        <v>1586</v>
      </c>
      <c r="J641" s="21" t="s">
        <v>2778</v>
      </c>
      <c r="K641" s="22" t="s">
        <v>2779</v>
      </c>
      <c r="L641" s="22" t="s">
        <v>2780</v>
      </c>
      <c r="M641" s="17">
        <v>2023.0</v>
      </c>
      <c r="N641" s="17">
        <v>15.0</v>
      </c>
      <c r="O641" s="23">
        <v>143.0</v>
      </c>
      <c r="P641" s="24">
        <f t="shared" si="14"/>
        <v>400.4</v>
      </c>
      <c r="Q641" s="25">
        <v>3.0</v>
      </c>
      <c r="R641" s="17">
        <v>3.0</v>
      </c>
      <c r="S641" s="26">
        <v>2.0</v>
      </c>
      <c r="T641" s="17">
        <v>0.0</v>
      </c>
      <c r="U641" s="17">
        <v>4.0</v>
      </c>
      <c r="V641" s="17" t="s">
        <v>75</v>
      </c>
      <c r="W641" s="28" t="s">
        <v>76</v>
      </c>
      <c r="X641" s="28" t="s">
        <v>78</v>
      </c>
      <c r="Y641" s="24">
        <v>10.0</v>
      </c>
      <c r="Z641" s="17">
        <v>150.0</v>
      </c>
      <c r="AA641" s="17">
        <v>576.0</v>
      </c>
      <c r="AB641" s="17">
        <v>31.0</v>
      </c>
      <c r="AC641" s="20">
        <f t="shared" si="2"/>
        <v>53568</v>
      </c>
      <c r="AD641" s="30">
        <f t="shared" si="3"/>
        <v>12.09</v>
      </c>
      <c r="AE641" s="30">
        <f t="shared" si="10"/>
        <v>4840.836</v>
      </c>
      <c r="AF641" s="30">
        <f t="shared" si="5"/>
        <v>2478.910667</v>
      </c>
      <c r="AG641" s="34">
        <v>1.0</v>
      </c>
      <c r="AH641" s="36"/>
      <c r="AI641" s="30">
        <f t="shared" si="6"/>
        <v>3278.688525</v>
      </c>
      <c r="AJ641" s="17">
        <v>4000.0</v>
      </c>
      <c r="AK641" s="30">
        <f t="shared" si="7"/>
        <v>9836.065574</v>
      </c>
      <c r="AL641" s="20">
        <f t="shared" si="8"/>
        <v>12000</v>
      </c>
    </row>
    <row r="642">
      <c r="A642" s="16" t="s">
        <v>2770</v>
      </c>
      <c r="B642" s="17" t="s">
        <v>239</v>
      </c>
      <c r="C642" s="17" t="s">
        <v>329</v>
      </c>
      <c r="D642" s="17" t="s">
        <v>2771</v>
      </c>
      <c r="E642" s="17" t="s">
        <v>897</v>
      </c>
      <c r="F642" s="17" t="s">
        <v>63</v>
      </c>
      <c r="G642" s="19">
        <v>46146.0</v>
      </c>
      <c r="H642" s="17" t="s">
        <v>104</v>
      </c>
      <c r="I642" s="20" t="s">
        <v>1586</v>
      </c>
      <c r="J642" s="21" t="s">
        <v>2778</v>
      </c>
      <c r="K642" s="22" t="s">
        <v>2779</v>
      </c>
      <c r="L642" s="22" t="s">
        <v>2780</v>
      </c>
      <c r="M642" s="17">
        <v>2023.0</v>
      </c>
      <c r="N642" s="17">
        <v>15.0</v>
      </c>
      <c r="O642" s="23">
        <v>143.0</v>
      </c>
      <c r="P642" s="24">
        <f t="shared" si="14"/>
        <v>400.4</v>
      </c>
      <c r="Q642" s="25">
        <v>1.0</v>
      </c>
      <c r="R642" s="17">
        <v>1.0</v>
      </c>
      <c r="S642" s="26">
        <v>2.0</v>
      </c>
      <c r="T642" s="17">
        <v>0.0</v>
      </c>
      <c r="U642" s="17">
        <v>4.0</v>
      </c>
      <c r="V642" s="17" t="s">
        <v>130</v>
      </c>
      <c r="W642" s="28" t="s">
        <v>76</v>
      </c>
      <c r="X642" s="28" t="s">
        <v>78</v>
      </c>
      <c r="Y642" s="24">
        <v>10.0</v>
      </c>
      <c r="Z642" s="17">
        <v>150.0</v>
      </c>
      <c r="AA642" s="17">
        <v>576.0</v>
      </c>
      <c r="AB642" s="17">
        <v>31.0</v>
      </c>
      <c r="AC642" s="20">
        <f t="shared" si="2"/>
        <v>17856</v>
      </c>
      <c r="AD642" s="30">
        <f t="shared" si="3"/>
        <v>4.03</v>
      </c>
      <c r="AE642" s="30">
        <f t="shared" si="10"/>
        <v>1613.612</v>
      </c>
      <c r="AF642" s="30">
        <f t="shared" si="5"/>
        <v>2478.910667</v>
      </c>
      <c r="AG642" s="34">
        <v>1.0</v>
      </c>
      <c r="AH642" s="36"/>
      <c r="AI642" s="30">
        <f t="shared" si="6"/>
        <v>3278.688525</v>
      </c>
      <c r="AJ642" s="17">
        <v>4000.0</v>
      </c>
      <c r="AK642" s="30">
        <f t="shared" si="7"/>
        <v>3278.688525</v>
      </c>
      <c r="AL642" s="20">
        <f t="shared" si="8"/>
        <v>4000</v>
      </c>
    </row>
    <row r="643">
      <c r="A643" s="16" t="s">
        <v>2781</v>
      </c>
      <c r="B643" s="17" t="s">
        <v>239</v>
      </c>
      <c r="C643" s="17" t="s">
        <v>329</v>
      </c>
      <c r="D643" s="17" t="s">
        <v>2771</v>
      </c>
      <c r="E643" s="17" t="s">
        <v>897</v>
      </c>
      <c r="F643" s="17" t="s">
        <v>63</v>
      </c>
      <c r="G643" s="19">
        <v>46146.0</v>
      </c>
      <c r="H643" s="17" t="s">
        <v>104</v>
      </c>
      <c r="I643" s="20" t="s">
        <v>2782</v>
      </c>
      <c r="J643" s="21" t="s">
        <v>2783</v>
      </c>
      <c r="K643" s="22" t="s">
        <v>2784</v>
      </c>
      <c r="L643" s="22" t="s">
        <v>2785</v>
      </c>
      <c r="M643" s="17">
        <v>2023.0</v>
      </c>
      <c r="N643" s="17">
        <v>15.0</v>
      </c>
      <c r="O643" s="23">
        <v>143.0</v>
      </c>
      <c r="P643" s="24">
        <f t="shared" si="14"/>
        <v>400.4</v>
      </c>
      <c r="Q643" s="25">
        <v>1.0</v>
      </c>
      <c r="R643" s="17">
        <v>1.0</v>
      </c>
      <c r="S643" s="26">
        <v>2.0</v>
      </c>
      <c r="T643" s="17">
        <v>0.0</v>
      </c>
      <c r="U643" s="17">
        <v>4.0</v>
      </c>
      <c r="V643" s="17" t="s">
        <v>130</v>
      </c>
      <c r="W643" s="28" t="s">
        <v>76</v>
      </c>
      <c r="X643" s="28" t="s">
        <v>78</v>
      </c>
      <c r="Y643" s="24">
        <v>10.0</v>
      </c>
      <c r="Z643" s="17">
        <v>150.0</v>
      </c>
      <c r="AA643" s="17">
        <v>576.0</v>
      </c>
      <c r="AB643" s="17">
        <v>31.0</v>
      </c>
      <c r="AC643" s="20">
        <f t="shared" si="2"/>
        <v>17856</v>
      </c>
      <c r="AD643" s="30">
        <f t="shared" si="3"/>
        <v>4.03</v>
      </c>
      <c r="AE643" s="30">
        <f t="shared" si="10"/>
        <v>1613.612</v>
      </c>
      <c r="AF643" s="30">
        <f t="shared" si="5"/>
        <v>2478.910667</v>
      </c>
      <c r="AG643" s="34">
        <v>1.0</v>
      </c>
      <c r="AH643" s="36"/>
      <c r="AI643" s="30">
        <f t="shared" si="6"/>
        <v>3278.688525</v>
      </c>
      <c r="AJ643" s="17">
        <v>4000.0</v>
      </c>
      <c r="AK643" s="30">
        <f t="shared" si="7"/>
        <v>3278.688525</v>
      </c>
      <c r="AL643" s="20">
        <f t="shared" si="8"/>
        <v>4000</v>
      </c>
    </row>
    <row r="644">
      <c r="A644" s="16" t="s">
        <v>2781</v>
      </c>
      <c r="B644" s="17" t="s">
        <v>239</v>
      </c>
      <c r="C644" s="17" t="s">
        <v>329</v>
      </c>
      <c r="D644" s="17" t="s">
        <v>2771</v>
      </c>
      <c r="E644" s="17" t="s">
        <v>897</v>
      </c>
      <c r="F644" s="17" t="s">
        <v>63</v>
      </c>
      <c r="G644" s="19">
        <v>46146.0</v>
      </c>
      <c r="H644" s="17" t="s">
        <v>104</v>
      </c>
      <c r="I644" s="20" t="s">
        <v>2782</v>
      </c>
      <c r="J644" s="21" t="s">
        <v>2786</v>
      </c>
      <c r="K644" s="22" t="s">
        <v>2787</v>
      </c>
      <c r="L644" s="22" t="s">
        <v>2788</v>
      </c>
      <c r="M644" s="17">
        <v>2023.0</v>
      </c>
      <c r="N644" s="17">
        <v>15.0</v>
      </c>
      <c r="O644" s="23">
        <v>143.0</v>
      </c>
      <c r="P644" s="24">
        <f t="shared" si="14"/>
        <v>400.4</v>
      </c>
      <c r="Q644" s="25">
        <v>1.0</v>
      </c>
      <c r="R644" s="17">
        <v>1.0</v>
      </c>
      <c r="S644" s="26">
        <v>2.0</v>
      </c>
      <c r="T644" s="17">
        <v>0.0</v>
      </c>
      <c r="U644" s="17">
        <v>4.0</v>
      </c>
      <c r="V644" s="17" t="s">
        <v>130</v>
      </c>
      <c r="W644" s="28" t="s">
        <v>76</v>
      </c>
      <c r="X644" s="28" t="s">
        <v>78</v>
      </c>
      <c r="Y644" s="24">
        <v>10.0</v>
      </c>
      <c r="Z644" s="17">
        <v>150.0</v>
      </c>
      <c r="AA644" s="17">
        <v>576.0</v>
      </c>
      <c r="AB644" s="17">
        <v>31.0</v>
      </c>
      <c r="AC644" s="20">
        <f t="shared" si="2"/>
        <v>17856</v>
      </c>
      <c r="AD644" s="30">
        <f t="shared" si="3"/>
        <v>4.03</v>
      </c>
      <c r="AE644" s="30">
        <f t="shared" si="10"/>
        <v>1613.612</v>
      </c>
      <c r="AF644" s="30">
        <f t="shared" si="5"/>
        <v>2478.910667</v>
      </c>
      <c r="AG644" s="34">
        <v>1.0</v>
      </c>
      <c r="AH644" s="36"/>
      <c r="AI644" s="30">
        <f t="shared" si="6"/>
        <v>3278.688525</v>
      </c>
      <c r="AJ644" s="17">
        <v>4000.0</v>
      </c>
      <c r="AK644" s="30">
        <f t="shared" si="7"/>
        <v>3278.688525</v>
      </c>
      <c r="AL644" s="20">
        <f t="shared" si="8"/>
        <v>4000</v>
      </c>
    </row>
    <row r="645">
      <c r="A645" s="16" t="s">
        <v>2781</v>
      </c>
      <c r="B645" s="17" t="s">
        <v>239</v>
      </c>
      <c r="C645" s="17" t="s">
        <v>329</v>
      </c>
      <c r="D645" s="17" t="s">
        <v>2771</v>
      </c>
      <c r="E645" s="17" t="s">
        <v>897</v>
      </c>
      <c r="F645" s="17" t="s">
        <v>63</v>
      </c>
      <c r="G645" s="19">
        <v>46146.0</v>
      </c>
      <c r="H645" s="17" t="s">
        <v>104</v>
      </c>
      <c r="I645" s="20" t="s">
        <v>2782</v>
      </c>
      <c r="J645" s="21" t="s">
        <v>2789</v>
      </c>
      <c r="K645" s="22" t="s">
        <v>2790</v>
      </c>
      <c r="L645" s="22" t="s">
        <v>2791</v>
      </c>
      <c r="M645" s="17">
        <v>2023.0</v>
      </c>
      <c r="N645" s="17">
        <v>15.0</v>
      </c>
      <c r="O645" s="23">
        <v>143.0</v>
      </c>
      <c r="P645" s="24">
        <f t="shared" si="14"/>
        <v>400.4</v>
      </c>
      <c r="Q645" s="25">
        <v>1.0</v>
      </c>
      <c r="R645" s="17">
        <v>1.0</v>
      </c>
      <c r="S645" s="26">
        <v>1.0</v>
      </c>
      <c r="T645" s="17">
        <v>0.0</v>
      </c>
      <c r="U645" s="17">
        <v>3.0</v>
      </c>
      <c r="V645" s="17" t="s">
        <v>130</v>
      </c>
      <c r="W645" s="28" t="s">
        <v>76</v>
      </c>
      <c r="X645" s="28" t="s">
        <v>78</v>
      </c>
      <c r="Y645" s="24">
        <v>10.0</v>
      </c>
      <c r="Z645" s="17">
        <v>150.0</v>
      </c>
      <c r="AA645" s="17">
        <v>576.0</v>
      </c>
      <c r="AB645" s="17">
        <v>31.0</v>
      </c>
      <c r="AC645" s="20">
        <f t="shared" si="2"/>
        <v>17856</v>
      </c>
      <c r="AD645" s="30">
        <f t="shared" si="3"/>
        <v>8.06</v>
      </c>
      <c r="AE645" s="30">
        <f t="shared" si="10"/>
        <v>3227.224</v>
      </c>
      <c r="AF645" s="30">
        <f t="shared" si="5"/>
        <v>1239.455334</v>
      </c>
      <c r="AG645" s="34">
        <v>1.0</v>
      </c>
      <c r="AH645" s="36"/>
      <c r="AI645" s="30">
        <f t="shared" si="6"/>
        <v>3278.688525</v>
      </c>
      <c r="AJ645" s="17">
        <v>4000.0</v>
      </c>
      <c r="AK645" s="30">
        <f t="shared" si="7"/>
        <v>3278.688525</v>
      </c>
      <c r="AL645" s="20">
        <f t="shared" si="8"/>
        <v>4000</v>
      </c>
    </row>
    <row r="646">
      <c r="A646" s="16" t="s">
        <v>2781</v>
      </c>
      <c r="B646" s="17" t="s">
        <v>239</v>
      </c>
      <c r="C646" s="17" t="s">
        <v>329</v>
      </c>
      <c r="D646" s="17" t="s">
        <v>2771</v>
      </c>
      <c r="E646" s="17" t="s">
        <v>897</v>
      </c>
      <c r="F646" s="17" t="s">
        <v>63</v>
      </c>
      <c r="G646" s="19">
        <v>46146.0</v>
      </c>
      <c r="H646" s="17" t="s">
        <v>104</v>
      </c>
      <c r="I646" s="20" t="s">
        <v>2782</v>
      </c>
      <c r="J646" s="21" t="s">
        <v>2792</v>
      </c>
      <c r="K646" s="22" t="s">
        <v>2793</v>
      </c>
      <c r="L646" s="22" t="s">
        <v>2794</v>
      </c>
      <c r="M646" s="17">
        <v>2023.0</v>
      </c>
      <c r="N646" s="17">
        <v>15.0</v>
      </c>
      <c r="O646" s="23">
        <v>234.0</v>
      </c>
      <c r="P646" s="24">
        <f t="shared" si="14"/>
        <v>655.2</v>
      </c>
      <c r="Q646" s="25">
        <v>3.0</v>
      </c>
      <c r="R646" s="17">
        <v>3.0</v>
      </c>
      <c r="S646" s="26">
        <v>3.0</v>
      </c>
      <c r="T646" s="17">
        <v>0.0</v>
      </c>
      <c r="U646" s="17">
        <v>9.0</v>
      </c>
      <c r="V646" s="17" t="s">
        <v>130</v>
      </c>
      <c r="W646" s="28" t="s">
        <v>76</v>
      </c>
      <c r="X646" s="28" t="s">
        <v>78</v>
      </c>
      <c r="Y646" s="24">
        <v>10.0</v>
      </c>
      <c r="Z646" s="17">
        <v>150.0</v>
      </c>
      <c r="AA646" s="17">
        <v>576.0</v>
      </c>
      <c r="AB646" s="17">
        <v>31.0</v>
      </c>
      <c r="AC646" s="20">
        <f t="shared" si="2"/>
        <v>53568</v>
      </c>
      <c r="AD646" s="30">
        <f t="shared" si="3"/>
        <v>8.06</v>
      </c>
      <c r="AE646" s="30">
        <f t="shared" si="10"/>
        <v>5280.912</v>
      </c>
      <c r="AF646" s="30">
        <f t="shared" si="5"/>
        <v>2272.334779</v>
      </c>
      <c r="AG646" s="34">
        <v>1.0</v>
      </c>
      <c r="AH646" s="36"/>
      <c r="AI646" s="30">
        <f t="shared" si="6"/>
        <v>3278.688525</v>
      </c>
      <c r="AJ646" s="17">
        <v>4000.0</v>
      </c>
      <c r="AK646" s="30">
        <f t="shared" si="7"/>
        <v>9836.065574</v>
      </c>
      <c r="AL646" s="20">
        <f t="shared" si="8"/>
        <v>12000</v>
      </c>
    </row>
    <row r="647">
      <c r="A647" s="16" t="s">
        <v>2781</v>
      </c>
      <c r="B647" s="17" t="s">
        <v>239</v>
      </c>
      <c r="C647" s="17" t="s">
        <v>329</v>
      </c>
      <c r="D647" s="17" t="s">
        <v>2771</v>
      </c>
      <c r="E647" s="17" t="s">
        <v>897</v>
      </c>
      <c r="F647" s="17" t="s">
        <v>63</v>
      </c>
      <c r="G647" s="19">
        <v>46146.0</v>
      </c>
      <c r="H647" s="17" t="s">
        <v>104</v>
      </c>
      <c r="I647" s="20" t="s">
        <v>2782</v>
      </c>
      <c r="J647" s="21" t="s">
        <v>2795</v>
      </c>
      <c r="K647" s="22" t="s">
        <v>2796</v>
      </c>
      <c r="L647" s="22" t="s">
        <v>2797</v>
      </c>
      <c r="M647" s="17">
        <v>2023.0</v>
      </c>
      <c r="N647" s="17">
        <v>15.0</v>
      </c>
      <c r="O647" s="23">
        <v>143.0</v>
      </c>
      <c r="P647" s="24">
        <f t="shared" si="14"/>
        <v>400.4</v>
      </c>
      <c r="Q647" s="25">
        <v>1.0</v>
      </c>
      <c r="R647" s="17">
        <v>1.0</v>
      </c>
      <c r="S647" s="26">
        <v>2.0</v>
      </c>
      <c r="T647" s="17">
        <v>0.0</v>
      </c>
      <c r="U647" s="17">
        <v>4.0</v>
      </c>
      <c r="V647" s="17" t="s">
        <v>130</v>
      </c>
      <c r="W647" s="28" t="s">
        <v>76</v>
      </c>
      <c r="X647" s="28" t="s">
        <v>78</v>
      </c>
      <c r="Y647" s="24">
        <v>10.0</v>
      </c>
      <c r="Z647" s="17">
        <v>150.0</v>
      </c>
      <c r="AA647" s="17">
        <v>576.0</v>
      </c>
      <c r="AB647" s="17">
        <v>31.0</v>
      </c>
      <c r="AC647" s="20">
        <f t="shared" si="2"/>
        <v>17856</v>
      </c>
      <c r="AD647" s="30">
        <f t="shared" si="3"/>
        <v>4.03</v>
      </c>
      <c r="AE647" s="30">
        <f t="shared" si="10"/>
        <v>1613.612</v>
      </c>
      <c r="AF647" s="30">
        <f t="shared" si="5"/>
        <v>2478.910667</v>
      </c>
      <c r="AG647" s="34">
        <v>1.0</v>
      </c>
      <c r="AH647" s="36"/>
      <c r="AI647" s="30">
        <f t="shared" si="6"/>
        <v>3278.688525</v>
      </c>
      <c r="AJ647" s="17">
        <v>4000.0</v>
      </c>
      <c r="AK647" s="30">
        <f t="shared" si="7"/>
        <v>3278.688525</v>
      </c>
      <c r="AL647" s="20">
        <f t="shared" si="8"/>
        <v>4000</v>
      </c>
    </row>
    <row r="648">
      <c r="A648" s="16" t="s">
        <v>2798</v>
      </c>
      <c r="B648" s="17" t="s">
        <v>239</v>
      </c>
      <c r="C648" s="17" t="s">
        <v>329</v>
      </c>
      <c r="D648" s="17" t="s">
        <v>2771</v>
      </c>
      <c r="E648" s="17" t="s">
        <v>897</v>
      </c>
      <c r="F648" s="17" t="s">
        <v>63</v>
      </c>
      <c r="G648" s="19">
        <v>46146.0</v>
      </c>
      <c r="H648" s="17" t="s">
        <v>104</v>
      </c>
      <c r="I648" s="20" t="s">
        <v>2799</v>
      </c>
      <c r="J648" s="21" t="s">
        <v>2800</v>
      </c>
      <c r="K648" s="22" t="s">
        <v>2801</v>
      </c>
      <c r="L648" s="22" t="s">
        <v>2802</v>
      </c>
      <c r="M648" s="17">
        <v>2023.0</v>
      </c>
      <c r="N648" s="17">
        <v>15.0</v>
      </c>
      <c r="O648" s="23">
        <v>234.0</v>
      </c>
      <c r="P648" s="24">
        <f t="shared" si="14"/>
        <v>655.2</v>
      </c>
      <c r="Q648" s="25">
        <v>1.0</v>
      </c>
      <c r="R648" s="17">
        <v>1.0</v>
      </c>
      <c r="S648" s="26">
        <v>3.0</v>
      </c>
      <c r="T648" s="17">
        <v>0.0</v>
      </c>
      <c r="U648" s="17">
        <v>9.0</v>
      </c>
      <c r="V648" s="17" t="s">
        <v>130</v>
      </c>
      <c r="W648" s="28" t="s">
        <v>76</v>
      </c>
      <c r="X648" s="28" t="s">
        <v>78</v>
      </c>
      <c r="Y648" s="24">
        <v>10.0</v>
      </c>
      <c r="Z648" s="17">
        <v>150.0</v>
      </c>
      <c r="AA648" s="17">
        <v>576.0</v>
      </c>
      <c r="AB648" s="17">
        <v>31.0</v>
      </c>
      <c r="AC648" s="20">
        <f t="shared" si="2"/>
        <v>17856</v>
      </c>
      <c r="AD648" s="30">
        <f t="shared" si="3"/>
        <v>2.686666667</v>
      </c>
      <c r="AE648" s="30">
        <f t="shared" si="10"/>
        <v>1760.304</v>
      </c>
      <c r="AF648" s="30">
        <f t="shared" si="5"/>
        <v>2272.334779</v>
      </c>
      <c r="AG648" s="34">
        <v>1.0</v>
      </c>
      <c r="AH648" s="36"/>
      <c r="AI648" s="30">
        <f t="shared" si="6"/>
        <v>3278.688525</v>
      </c>
      <c r="AJ648" s="17">
        <v>4000.0</v>
      </c>
      <c r="AK648" s="30">
        <f t="shared" si="7"/>
        <v>3278.688525</v>
      </c>
      <c r="AL648" s="20">
        <f t="shared" si="8"/>
        <v>4000</v>
      </c>
    </row>
    <row r="649">
      <c r="A649" s="16" t="s">
        <v>2798</v>
      </c>
      <c r="B649" s="17" t="s">
        <v>239</v>
      </c>
      <c r="C649" s="17" t="s">
        <v>329</v>
      </c>
      <c r="D649" s="17" t="s">
        <v>2771</v>
      </c>
      <c r="E649" s="17" t="s">
        <v>897</v>
      </c>
      <c r="F649" s="17" t="s">
        <v>63</v>
      </c>
      <c r="G649" s="19">
        <v>46146.0</v>
      </c>
      <c r="H649" s="17" t="s">
        <v>104</v>
      </c>
      <c r="I649" s="20" t="s">
        <v>2799</v>
      </c>
      <c r="J649" s="21" t="s">
        <v>2803</v>
      </c>
      <c r="K649" s="22" t="s">
        <v>2804</v>
      </c>
      <c r="L649" s="22" t="s">
        <v>2805</v>
      </c>
      <c r="M649" s="17">
        <v>2023.0</v>
      </c>
      <c r="N649" s="17">
        <v>15.0</v>
      </c>
      <c r="O649" s="23">
        <v>143.0</v>
      </c>
      <c r="P649" s="24">
        <f t="shared" si="14"/>
        <v>400.4</v>
      </c>
      <c r="Q649" s="25">
        <v>1.0</v>
      </c>
      <c r="R649" s="17">
        <v>1.0</v>
      </c>
      <c r="S649" s="26">
        <v>2.0</v>
      </c>
      <c r="T649" s="17">
        <v>0.0</v>
      </c>
      <c r="U649" s="17">
        <v>4.0</v>
      </c>
      <c r="V649" s="17" t="s">
        <v>130</v>
      </c>
      <c r="W649" s="28" t="s">
        <v>76</v>
      </c>
      <c r="X649" s="28" t="s">
        <v>78</v>
      </c>
      <c r="Y649" s="24">
        <v>10.0</v>
      </c>
      <c r="Z649" s="17">
        <v>150.0</v>
      </c>
      <c r="AA649" s="17">
        <v>576.0</v>
      </c>
      <c r="AB649" s="17">
        <v>31.0</v>
      </c>
      <c r="AC649" s="20">
        <f t="shared" si="2"/>
        <v>17856</v>
      </c>
      <c r="AD649" s="30">
        <f t="shared" si="3"/>
        <v>4.03</v>
      </c>
      <c r="AE649" s="30">
        <f t="shared" si="10"/>
        <v>1613.612</v>
      </c>
      <c r="AF649" s="30">
        <f t="shared" si="5"/>
        <v>2478.910667</v>
      </c>
      <c r="AG649" s="34">
        <v>1.0</v>
      </c>
      <c r="AH649" s="36"/>
      <c r="AI649" s="30">
        <f t="shared" si="6"/>
        <v>3278.688525</v>
      </c>
      <c r="AJ649" s="17">
        <v>4000.0</v>
      </c>
      <c r="AK649" s="30">
        <f t="shared" si="7"/>
        <v>3278.688525</v>
      </c>
      <c r="AL649" s="20">
        <f t="shared" si="8"/>
        <v>4000</v>
      </c>
    </row>
    <row r="650">
      <c r="A650" s="16" t="s">
        <v>2798</v>
      </c>
      <c r="B650" s="17" t="s">
        <v>239</v>
      </c>
      <c r="C650" s="17" t="s">
        <v>329</v>
      </c>
      <c r="D650" s="17" t="s">
        <v>2771</v>
      </c>
      <c r="E650" s="17" t="s">
        <v>897</v>
      </c>
      <c r="F650" s="17" t="s">
        <v>63</v>
      </c>
      <c r="G650" s="19">
        <v>46146.0</v>
      </c>
      <c r="H650" s="17" t="s">
        <v>104</v>
      </c>
      <c r="I650" s="20" t="s">
        <v>2799</v>
      </c>
      <c r="J650" s="21" t="s">
        <v>2806</v>
      </c>
      <c r="K650" s="22" t="s">
        <v>2807</v>
      </c>
      <c r="L650" s="22" t="s">
        <v>2808</v>
      </c>
      <c r="M650" s="17">
        <v>2023.0</v>
      </c>
      <c r="N650" s="17">
        <v>15.0</v>
      </c>
      <c r="O650" s="23">
        <v>247.0</v>
      </c>
      <c r="P650" s="24">
        <f t="shared" si="14"/>
        <v>691.6</v>
      </c>
      <c r="Q650" s="25">
        <v>3.0</v>
      </c>
      <c r="R650" s="17">
        <v>3.0</v>
      </c>
      <c r="S650" s="26">
        <v>3.0</v>
      </c>
      <c r="T650" s="17">
        <v>0.0</v>
      </c>
      <c r="U650" s="17">
        <v>6.0</v>
      </c>
      <c r="V650" s="17" t="s">
        <v>130</v>
      </c>
      <c r="W650" s="28" t="s">
        <v>76</v>
      </c>
      <c r="X650" s="28" t="s">
        <v>78</v>
      </c>
      <c r="Y650" s="24">
        <v>10.0</v>
      </c>
      <c r="Z650" s="17">
        <v>150.0</v>
      </c>
      <c r="AA650" s="17">
        <v>576.0</v>
      </c>
      <c r="AB650" s="17">
        <v>31.0</v>
      </c>
      <c r="AC650" s="20">
        <f t="shared" si="2"/>
        <v>53568</v>
      </c>
      <c r="AD650" s="30">
        <f t="shared" si="3"/>
        <v>8.06</v>
      </c>
      <c r="AE650" s="30">
        <f t="shared" si="10"/>
        <v>5574.296</v>
      </c>
      <c r="AF650" s="30">
        <f t="shared" si="5"/>
        <v>2152.738211</v>
      </c>
      <c r="AG650" s="34">
        <v>1.0</v>
      </c>
      <c r="AH650" s="36"/>
      <c r="AI650" s="30">
        <f t="shared" si="6"/>
        <v>3278.688525</v>
      </c>
      <c r="AJ650" s="17">
        <v>4000.0</v>
      </c>
      <c r="AK650" s="30">
        <f t="shared" si="7"/>
        <v>9836.065574</v>
      </c>
      <c r="AL650" s="20">
        <f t="shared" si="8"/>
        <v>12000</v>
      </c>
    </row>
    <row r="651">
      <c r="A651" s="16" t="s">
        <v>2798</v>
      </c>
      <c r="B651" s="17" t="s">
        <v>239</v>
      </c>
      <c r="C651" s="17" t="s">
        <v>329</v>
      </c>
      <c r="D651" s="17" t="s">
        <v>2771</v>
      </c>
      <c r="E651" s="17" t="s">
        <v>897</v>
      </c>
      <c r="F651" s="17" t="s">
        <v>63</v>
      </c>
      <c r="G651" s="19">
        <v>46146.0</v>
      </c>
      <c r="H651" s="17" t="s">
        <v>104</v>
      </c>
      <c r="I651" s="20" t="s">
        <v>2799</v>
      </c>
      <c r="J651" s="21" t="s">
        <v>2809</v>
      </c>
      <c r="K651" s="22" t="s">
        <v>2810</v>
      </c>
      <c r="L651" s="22" t="s">
        <v>2811</v>
      </c>
      <c r="M651" s="17">
        <v>2023.0</v>
      </c>
      <c r="N651" s="17">
        <v>15.0</v>
      </c>
      <c r="O651" s="23">
        <v>338.0</v>
      </c>
      <c r="P651" s="24">
        <f t="shared" si="14"/>
        <v>946.4</v>
      </c>
      <c r="Q651" s="25">
        <v>3.0</v>
      </c>
      <c r="R651" s="17">
        <v>3.0</v>
      </c>
      <c r="S651" s="26">
        <v>3.0</v>
      </c>
      <c r="T651" s="17">
        <v>0.0</v>
      </c>
      <c r="U651" s="17">
        <v>9.0</v>
      </c>
      <c r="V651" s="17" t="s">
        <v>130</v>
      </c>
      <c r="W651" s="28" t="s">
        <v>76</v>
      </c>
      <c r="X651" s="28" t="s">
        <v>78</v>
      </c>
      <c r="Y651" s="24">
        <v>10.0</v>
      </c>
      <c r="Z651" s="17">
        <v>150.0</v>
      </c>
      <c r="AA651" s="17">
        <v>576.0</v>
      </c>
      <c r="AB651" s="17">
        <v>31.0</v>
      </c>
      <c r="AC651" s="20">
        <f t="shared" si="2"/>
        <v>53568</v>
      </c>
      <c r="AD651" s="30">
        <f t="shared" si="3"/>
        <v>8.06</v>
      </c>
      <c r="AE651" s="30">
        <f t="shared" si="10"/>
        <v>7627.984</v>
      </c>
      <c r="AF651" s="30">
        <f t="shared" si="5"/>
        <v>1573.154847</v>
      </c>
      <c r="AG651" s="34">
        <v>1.0</v>
      </c>
      <c r="AH651" s="36"/>
      <c r="AI651" s="30">
        <f t="shared" si="6"/>
        <v>3278.688525</v>
      </c>
      <c r="AJ651" s="17">
        <v>4000.0</v>
      </c>
      <c r="AK651" s="30">
        <f t="shared" si="7"/>
        <v>9836.065574</v>
      </c>
      <c r="AL651" s="20">
        <f t="shared" si="8"/>
        <v>12000</v>
      </c>
    </row>
    <row r="652">
      <c r="A652" s="16" t="s">
        <v>2812</v>
      </c>
      <c r="B652" s="17" t="s">
        <v>239</v>
      </c>
      <c r="C652" s="17" t="s">
        <v>329</v>
      </c>
      <c r="D652" s="17" t="s">
        <v>2771</v>
      </c>
      <c r="E652" s="17" t="s">
        <v>897</v>
      </c>
      <c r="F652" s="17" t="s">
        <v>63</v>
      </c>
      <c r="G652" s="19">
        <v>46146.0</v>
      </c>
      <c r="H652" s="17" t="s">
        <v>104</v>
      </c>
      <c r="I652" s="20" t="s">
        <v>2813</v>
      </c>
      <c r="J652" s="21" t="s">
        <v>2814</v>
      </c>
      <c r="K652" s="22" t="s">
        <v>2815</v>
      </c>
      <c r="L652" s="22" t="s">
        <v>2816</v>
      </c>
      <c r="M652" s="17">
        <v>2023.0</v>
      </c>
      <c r="N652" s="17">
        <v>15.0</v>
      </c>
      <c r="O652" s="23">
        <v>234.0</v>
      </c>
      <c r="P652" s="24">
        <f t="shared" si="14"/>
        <v>655.2</v>
      </c>
      <c r="Q652" s="25">
        <v>2.0</v>
      </c>
      <c r="R652" s="17">
        <v>2.0</v>
      </c>
      <c r="S652" s="26">
        <v>3.0</v>
      </c>
      <c r="T652" s="17">
        <v>0.0</v>
      </c>
      <c r="U652" s="17">
        <v>9.0</v>
      </c>
      <c r="V652" s="17" t="s">
        <v>130</v>
      </c>
      <c r="W652" s="28" t="s">
        <v>76</v>
      </c>
      <c r="X652" s="28" t="s">
        <v>78</v>
      </c>
      <c r="Y652" s="24">
        <v>10.0</v>
      </c>
      <c r="Z652" s="17">
        <v>150.0</v>
      </c>
      <c r="AA652" s="17">
        <v>576.0</v>
      </c>
      <c r="AB652" s="17">
        <v>31.0</v>
      </c>
      <c r="AC652" s="20">
        <f t="shared" si="2"/>
        <v>35712</v>
      </c>
      <c r="AD652" s="30">
        <f t="shared" si="3"/>
        <v>5.373333333</v>
      </c>
      <c r="AE652" s="30">
        <f t="shared" si="10"/>
        <v>3520.608</v>
      </c>
      <c r="AF652" s="30">
        <f t="shared" si="5"/>
        <v>2272.334779</v>
      </c>
      <c r="AG652" s="34">
        <v>1.0</v>
      </c>
      <c r="AH652" s="36"/>
      <c r="AI652" s="30">
        <f t="shared" si="6"/>
        <v>3278.688525</v>
      </c>
      <c r="AJ652" s="17">
        <v>4000.0</v>
      </c>
      <c r="AK652" s="30">
        <f t="shared" si="7"/>
        <v>6557.377049</v>
      </c>
      <c r="AL652" s="20">
        <f t="shared" si="8"/>
        <v>8000</v>
      </c>
    </row>
    <row r="653">
      <c r="A653" s="16" t="s">
        <v>2812</v>
      </c>
      <c r="B653" s="17" t="s">
        <v>239</v>
      </c>
      <c r="C653" s="17" t="s">
        <v>329</v>
      </c>
      <c r="D653" s="17" t="s">
        <v>2771</v>
      </c>
      <c r="E653" s="17" t="s">
        <v>897</v>
      </c>
      <c r="F653" s="17" t="s">
        <v>63</v>
      </c>
      <c r="G653" s="19">
        <v>46146.0</v>
      </c>
      <c r="H653" s="17" t="s">
        <v>104</v>
      </c>
      <c r="I653" s="20" t="s">
        <v>2813</v>
      </c>
      <c r="J653" s="21" t="s">
        <v>2817</v>
      </c>
      <c r="K653" s="22" t="s">
        <v>2818</v>
      </c>
      <c r="L653" s="22" t="s">
        <v>2819</v>
      </c>
      <c r="M653" s="17">
        <v>2023.0</v>
      </c>
      <c r="N653" s="17">
        <v>15.0</v>
      </c>
      <c r="O653" s="23">
        <v>143.0</v>
      </c>
      <c r="P653" s="24">
        <f t="shared" si="14"/>
        <v>400.4</v>
      </c>
      <c r="Q653" s="25">
        <v>1.0</v>
      </c>
      <c r="R653" s="17">
        <v>1.0</v>
      </c>
      <c r="S653" s="26">
        <v>2.0</v>
      </c>
      <c r="T653" s="17">
        <v>0.0</v>
      </c>
      <c r="U653" s="17">
        <v>4.0</v>
      </c>
      <c r="V653" s="17" t="s">
        <v>130</v>
      </c>
      <c r="W653" s="28" t="s">
        <v>76</v>
      </c>
      <c r="X653" s="28" t="s">
        <v>78</v>
      </c>
      <c r="Y653" s="24">
        <v>10.0</v>
      </c>
      <c r="Z653" s="17">
        <v>150.0</v>
      </c>
      <c r="AA653" s="17">
        <v>576.0</v>
      </c>
      <c r="AB653" s="17">
        <v>31.0</v>
      </c>
      <c r="AC653" s="20">
        <f t="shared" si="2"/>
        <v>17856</v>
      </c>
      <c r="AD653" s="30">
        <f t="shared" si="3"/>
        <v>4.03</v>
      </c>
      <c r="AE653" s="30">
        <f t="shared" si="10"/>
        <v>1613.612</v>
      </c>
      <c r="AF653" s="30">
        <f t="shared" si="5"/>
        <v>2478.910667</v>
      </c>
      <c r="AG653" s="34">
        <v>1.0</v>
      </c>
      <c r="AH653" s="36"/>
      <c r="AI653" s="30">
        <f t="shared" si="6"/>
        <v>3278.688525</v>
      </c>
      <c r="AJ653" s="17">
        <v>4000.0</v>
      </c>
      <c r="AK653" s="30">
        <f t="shared" si="7"/>
        <v>3278.688525</v>
      </c>
      <c r="AL653" s="20">
        <f t="shared" si="8"/>
        <v>4000</v>
      </c>
    </row>
    <row r="654">
      <c r="A654" s="16" t="s">
        <v>2812</v>
      </c>
      <c r="B654" s="17" t="s">
        <v>239</v>
      </c>
      <c r="C654" s="17" t="s">
        <v>329</v>
      </c>
      <c r="D654" s="17" t="s">
        <v>2771</v>
      </c>
      <c r="E654" s="17" t="s">
        <v>897</v>
      </c>
      <c r="F654" s="17" t="s">
        <v>63</v>
      </c>
      <c r="G654" s="19">
        <v>46146.0</v>
      </c>
      <c r="H654" s="17" t="s">
        <v>104</v>
      </c>
      <c r="I654" s="20" t="s">
        <v>2813</v>
      </c>
      <c r="J654" s="21" t="s">
        <v>2820</v>
      </c>
      <c r="K654" s="22" t="s">
        <v>2821</v>
      </c>
      <c r="L654" s="22" t="s">
        <v>2822</v>
      </c>
      <c r="M654" s="17">
        <v>2023.0</v>
      </c>
      <c r="N654" s="17">
        <v>15.0</v>
      </c>
      <c r="O654" s="23">
        <v>247.0</v>
      </c>
      <c r="P654" s="24">
        <f t="shared" si="14"/>
        <v>691.6</v>
      </c>
      <c r="Q654" s="25">
        <v>3.0</v>
      </c>
      <c r="R654" s="17">
        <v>3.0</v>
      </c>
      <c r="S654" s="26">
        <v>3.0</v>
      </c>
      <c r="T654" s="17">
        <v>0.0</v>
      </c>
      <c r="U654" s="17">
        <v>6.0</v>
      </c>
      <c r="V654" s="17" t="s">
        <v>130</v>
      </c>
      <c r="W654" s="28" t="s">
        <v>76</v>
      </c>
      <c r="X654" s="28" t="s">
        <v>78</v>
      </c>
      <c r="Y654" s="24">
        <v>10.0</v>
      </c>
      <c r="Z654" s="17">
        <v>150.0</v>
      </c>
      <c r="AA654" s="17">
        <v>576.0</v>
      </c>
      <c r="AB654" s="17">
        <v>31.0</v>
      </c>
      <c r="AC654" s="20">
        <f t="shared" si="2"/>
        <v>53568</v>
      </c>
      <c r="AD654" s="30">
        <f t="shared" si="3"/>
        <v>8.06</v>
      </c>
      <c r="AE654" s="30">
        <f t="shared" si="10"/>
        <v>5574.296</v>
      </c>
      <c r="AF654" s="30">
        <f t="shared" si="5"/>
        <v>2152.738211</v>
      </c>
      <c r="AG654" s="34">
        <v>1.0</v>
      </c>
      <c r="AH654" s="36"/>
      <c r="AI654" s="30">
        <f t="shared" si="6"/>
        <v>3278.688525</v>
      </c>
      <c r="AJ654" s="17">
        <v>4000.0</v>
      </c>
      <c r="AK654" s="30">
        <f t="shared" si="7"/>
        <v>9836.065574</v>
      </c>
      <c r="AL654" s="20">
        <f t="shared" si="8"/>
        <v>12000</v>
      </c>
    </row>
    <row r="655">
      <c r="A655" s="16" t="s">
        <v>2812</v>
      </c>
      <c r="B655" s="17" t="s">
        <v>239</v>
      </c>
      <c r="C655" s="17" t="s">
        <v>329</v>
      </c>
      <c r="D655" s="17" t="s">
        <v>2771</v>
      </c>
      <c r="E655" s="17" t="s">
        <v>897</v>
      </c>
      <c r="F655" s="17" t="s">
        <v>63</v>
      </c>
      <c r="G655" s="19">
        <v>46146.0</v>
      </c>
      <c r="H655" s="17" t="s">
        <v>104</v>
      </c>
      <c r="I655" s="20" t="s">
        <v>2813</v>
      </c>
      <c r="J655" s="21" t="s">
        <v>2823</v>
      </c>
      <c r="K655" s="22" t="s">
        <v>2824</v>
      </c>
      <c r="L655" s="22" t="s">
        <v>2825</v>
      </c>
      <c r="M655" s="17">
        <v>2023.0</v>
      </c>
      <c r="N655" s="17">
        <v>15.0</v>
      </c>
      <c r="O655" s="23">
        <v>130.0</v>
      </c>
      <c r="P655" s="24">
        <f t="shared" si="14"/>
        <v>364</v>
      </c>
      <c r="Q655" s="25">
        <v>1.0</v>
      </c>
      <c r="R655" s="17">
        <v>1.0</v>
      </c>
      <c r="S655" s="26">
        <v>2.0</v>
      </c>
      <c r="T655" s="17">
        <v>0.0</v>
      </c>
      <c r="U655" s="17">
        <v>4.0</v>
      </c>
      <c r="V655" s="17" t="s">
        <v>2826</v>
      </c>
      <c r="W655" s="28" t="s">
        <v>76</v>
      </c>
      <c r="X655" s="28" t="s">
        <v>78</v>
      </c>
      <c r="Y655" s="24">
        <v>10.0</v>
      </c>
      <c r="Z655" s="17">
        <v>150.0</v>
      </c>
      <c r="AA655" s="17">
        <v>576.0</v>
      </c>
      <c r="AB655" s="17">
        <v>31.0</v>
      </c>
      <c r="AC655" s="20">
        <f t="shared" si="2"/>
        <v>17856</v>
      </c>
      <c r="AD655" s="30">
        <f t="shared" si="3"/>
        <v>4.03</v>
      </c>
      <c r="AE655" s="30">
        <f t="shared" si="10"/>
        <v>1466.92</v>
      </c>
      <c r="AF655" s="30">
        <f t="shared" si="5"/>
        <v>2726.801734</v>
      </c>
      <c r="AG655" s="34">
        <v>1.0</v>
      </c>
      <c r="AH655" s="36"/>
      <c r="AI655" s="30">
        <f t="shared" si="6"/>
        <v>3278.688525</v>
      </c>
      <c r="AJ655" s="17">
        <v>4000.0</v>
      </c>
      <c r="AK655" s="30">
        <f t="shared" si="7"/>
        <v>3278.688525</v>
      </c>
      <c r="AL655" s="20">
        <f t="shared" si="8"/>
        <v>4000</v>
      </c>
    </row>
    <row r="656">
      <c r="A656" s="16" t="s">
        <v>2827</v>
      </c>
      <c r="B656" s="17" t="s">
        <v>239</v>
      </c>
      <c r="C656" s="17" t="s">
        <v>349</v>
      </c>
      <c r="D656" s="17" t="s">
        <v>349</v>
      </c>
      <c r="E656" s="17" t="s">
        <v>897</v>
      </c>
      <c r="F656" s="17" t="s">
        <v>103</v>
      </c>
      <c r="G656" s="19">
        <v>46202.0</v>
      </c>
      <c r="H656" s="17" t="s">
        <v>104</v>
      </c>
      <c r="I656" s="20" t="s">
        <v>2828</v>
      </c>
      <c r="J656" s="21" t="s">
        <v>2829</v>
      </c>
      <c r="K656" s="22" t="s">
        <v>2830</v>
      </c>
      <c r="L656" s="22" t="s">
        <v>2831</v>
      </c>
      <c r="M656" s="17">
        <v>2023.0</v>
      </c>
      <c r="N656" s="17">
        <v>12.0</v>
      </c>
      <c r="O656" s="23">
        <v>1068.0</v>
      </c>
      <c r="P656" s="24">
        <f t="shared" si="14"/>
        <v>2990.4</v>
      </c>
      <c r="Q656" s="25">
        <v>3.0</v>
      </c>
      <c r="R656" s="17">
        <v>3.0</v>
      </c>
      <c r="S656" s="26">
        <v>3.0</v>
      </c>
      <c r="T656" s="17">
        <v>0.0</v>
      </c>
      <c r="U656" s="17">
        <v>6.0</v>
      </c>
      <c r="V656" s="17" t="s">
        <v>130</v>
      </c>
      <c r="W656" s="28" t="s">
        <v>76</v>
      </c>
      <c r="X656" s="28" t="s">
        <v>78</v>
      </c>
      <c r="Y656" s="24">
        <v>10.0</v>
      </c>
      <c r="Z656" s="17">
        <v>150.0</v>
      </c>
      <c r="AA656" s="17">
        <v>576.0</v>
      </c>
      <c r="AB656" s="17">
        <v>31.0</v>
      </c>
      <c r="AC656" s="20">
        <f t="shared" si="2"/>
        <v>53568</v>
      </c>
      <c r="AD656" s="30">
        <f t="shared" si="3"/>
        <v>8.06</v>
      </c>
      <c r="AE656" s="30">
        <f t="shared" si="10"/>
        <v>24102.624</v>
      </c>
      <c r="AF656" s="30">
        <f t="shared" si="5"/>
        <v>497.8711032</v>
      </c>
      <c r="AG656" s="34">
        <v>1.0</v>
      </c>
      <c r="AH656" s="36"/>
      <c r="AI656" s="30">
        <f t="shared" si="6"/>
        <v>3278.688525</v>
      </c>
      <c r="AJ656" s="17">
        <v>4000.0</v>
      </c>
      <c r="AK656" s="30">
        <f t="shared" si="7"/>
        <v>9836.065574</v>
      </c>
      <c r="AL656" s="20">
        <f t="shared" si="8"/>
        <v>12000</v>
      </c>
    </row>
    <row r="657">
      <c r="A657" s="16" t="s">
        <v>2827</v>
      </c>
      <c r="B657" s="17" t="s">
        <v>239</v>
      </c>
      <c r="C657" s="17" t="s">
        <v>349</v>
      </c>
      <c r="D657" s="17" t="s">
        <v>349</v>
      </c>
      <c r="E657" s="17" t="s">
        <v>897</v>
      </c>
      <c r="F657" s="17" t="s">
        <v>103</v>
      </c>
      <c r="G657" s="19">
        <v>46202.0</v>
      </c>
      <c r="H657" s="17" t="s">
        <v>104</v>
      </c>
      <c r="I657" s="20" t="s">
        <v>2828</v>
      </c>
      <c r="J657" s="21" t="s">
        <v>2832</v>
      </c>
      <c r="K657" s="22" t="s">
        <v>2833</v>
      </c>
      <c r="L657" s="22" t="s">
        <v>2834</v>
      </c>
      <c r="M657" s="17">
        <v>2023.0</v>
      </c>
      <c r="N657" s="17">
        <v>12.0</v>
      </c>
      <c r="O657" s="23">
        <v>1068.0</v>
      </c>
      <c r="P657" s="24">
        <f t="shared" si="14"/>
        <v>2990.4</v>
      </c>
      <c r="Q657" s="25">
        <v>6.0</v>
      </c>
      <c r="R657" s="17">
        <v>6.0</v>
      </c>
      <c r="S657" s="26">
        <v>6.0</v>
      </c>
      <c r="T657" s="17">
        <v>0.0</v>
      </c>
      <c r="U657" s="17">
        <v>12.0</v>
      </c>
      <c r="V657" s="17" t="s">
        <v>2826</v>
      </c>
      <c r="W657" s="28" t="s">
        <v>76</v>
      </c>
      <c r="X657" s="28" t="s">
        <v>78</v>
      </c>
      <c r="Y657" s="24">
        <v>10.0</v>
      </c>
      <c r="Z657" s="17">
        <v>150.0</v>
      </c>
      <c r="AA657" s="17">
        <v>576.0</v>
      </c>
      <c r="AB657" s="17">
        <v>31.0</v>
      </c>
      <c r="AC657" s="20">
        <f t="shared" si="2"/>
        <v>107136</v>
      </c>
      <c r="AD657" s="30">
        <f t="shared" si="3"/>
        <v>8.06</v>
      </c>
      <c r="AE657" s="30">
        <f t="shared" si="10"/>
        <v>24102.624</v>
      </c>
      <c r="AF657" s="30">
        <f t="shared" si="5"/>
        <v>995.7422063</v>
      </c>
      <c r="AG657" s="34">
        <v>1.0</v>
      </c>
      <c r="AH657" s="36"/>
      <c r="AI657" s="30">
        <f t="shared" si="6"/>
        <v>3278.688525</v>
      </c>
      <c r="AJ657" s="17">
        <v>4000.0</v>
      </c>
      <c r="AK657" s="30">
        <f t="shared" si="7"/>
        <v>19672.13115</v>
      </c>
      <c r="AL657" s="20">
        <f t="shared" si="8"/>
        <v>24000</v>
      </c>
    </row>
    <row r="658">
      <c r="A658" s="16" t="s">
        <v>2835</v>
      </c>
      <c r="B658" s="17" t="s">
        <v>239</v>
      </c>
      <c r="C658" s="17" t="s">
        <v>349</v>
      </c>
      <c r="D658" s="17" t="s">
        <v>349</v>
      </c>
      <c r="E658" s="17" t="s">
        <v>897</v>
      </c>
      <c r="F658" s="17" t="s">
        <v>103</v>
      </c>
      <c r="G658" s="19">
        <v>46202.0</v>
      </c>
      <c r="H658" s="17" t="s">
        <v>104</v>
      </c>
      <c r="I658" s="17" t="s">
        <v>2836</v>
      </c>
      <c r="J658" s="21" t="s">
        <v>2837</v>
      </c>
      <c r="K658" s="28" t="s">
        <v>2838</v>
      </c>
      <c r="L658" s="28" t="s">
        <v>2839</v>
      </c>
      <c r="M658" s="17">
        <v>2022.0</v>
      </c>
      <c r="N658" s="17">
        <v>12.0</v>
      </c>
      <c r="O658" s="23">
        <v>300.0</v>
      </c>
      <c r="P658" s="24">
        <f t="shared" si="14"/>
        <v>840</v>
      </c>
      <c r="Q658" s="25">
        <v>6.0</v>
      </c>
      <c r="R658" s="17">
        <v>6.0</v>
      </c>
      <c r="S658" s="26">
        <v>6.0</v>
      </c>
      <c r="T658" s="17">
        <v>0.0</v>
      </c>
      <c r="U658" s="17">
        <v>12.0</v>
      </c>
      <c r="V658" s="17" t="s">
        <v>2826</v>
      </c>
      <c r="W658" s="28" t="s">
        <v>76</v>
      </c>
      <c r="X658" s="28" t="s">
        <v>78</v>
      </c>
      <c r="Y658" s="24">
        <v>10.0</v>
      </c>
      <c r="Z658" s="17">
        <v>150.0</v>
      </c>
      <c r="AA658" s="17">
        <v>576.0</v>
      </c>
      <c r="AB658" s="17">
        <v>31.0</v>
      </c>
      <c r="AC658" s="20">
        <f t="shared" si="2"/>
        <v>107136</v>
      </c>
      <c r="AD658" s="30">
        <f t="shared" si="3"/>
        <v>8.06</v>
      </c>
      <c r="AE658" s="30">
        <f t="shared" si="10"/>
        <v>6770.4</v>
      </c>
      <c r="AF658" s="30">
        <f t="shared" si="5"/>
        <v>3544.842255</v>
      </c>
      <c r="AG658" s="34">
        <v>1.0</v>
      </c>
      <c r="AH658" s="36"/>
      <c r="AI658" s="30">
        <f t="shared" si="6"/>
        <v>3278.688525</v>
      </c>
      <c r="AJ658" s="17">
        <v>4000.0</v>
      </c>
      <c r="AK658" s="30">
        <f t="shared" si="7"/>
        <v>19672.13115</v>
      </c>
      <c r="AL658" s="20">
        <f t="shared" si="8"/>
        <v>24000</v>
      </c>
    </row>
    <row r="659">
      <c r="A659" s="16" t="s">
        <v>2835</v>
      </c>
      <c r="B659" s="17" t="s">
        <v>239</v>
      </c>
      <c r="C659" s="17" t="s">
        <v>349</v>
      </c>
      <c r="D659" s="17" t="s">
        <v>349</v>
      </c>
      <c r="E659" s="17" t="s">
        <v>897</v>
      </c>
      <c r="F659" s="17" t="s">
        <v>103</v>
      </c>
      <c r="G659" s="19">
        <v>46202.0</v>
      </c>
      <c r="H659" s="17" t="s">
        <v>104</v>
      </c>
      <c r="I659" s="17" t="s">
        <v>2836</v>
      </c>
      <c r="J659" s="21" t="s">
        <v>2840</v>
      </c>
      <c r="K659" s="28" t="s">
        <v>2841</v>
      </c>
      <c r="L659" s="28" t="s">
        <v>2842</v>
      </c>
      <c r="M659" s="17">
        <v>2022.0</v>
      </c>
      <c r="N659" s="17">
        <v>14.0</v>
      </c>
      <c r="O659" s="23">
        <v>346.0</v>
      </c>
      <c r="P659" s="24">
        <f t="shared" si="14"/>
        <v>968.8</v>
      </c>
      <c r="Q659" s="25">
        <v>4.0</v>
      </c>
      <c r="R659" s="17">
        <v>4.0</v>
      </c>
      <c r="S659" s="26">
        <v>4.0</v>
      </c>
      <c r="T659" s="17">
        <v>0.0</v>
      </c>
      <c r="U659" s="17">
        <v>8.0</v>
      </c>
      <c r="V659" s="17" t="s">
        <v>2826</v>
      </c>
      <c r="W659" s="28" t="s">
        <v>76</v>
      </c>
      <c r="X659" s="28" t="s">
        <v>78</v>
      </c>
      <c r="Y659" s="24">
        <v>10.0</v>
      </c>
      <c r="Z659" s="17">
        <v>150.0</v>
      </c>
      <c r="AA659" s="17">
        <v>576.0</v>
      </c>
      <c r="AB659" s="17">
        <v>31.0</v>
      </c>
      <c r="AC659" s="20">
        <f t="shared" si="2"/>
        <v>71424</v>
      </c>
      <c r="AD659" s="30">
        <f t="shared" si="3"/>
        <v>8.06</v>
      </c>
      <c r="AE659" s="30">
        <f t="shared" si="10"/>
        <v>7808.528</v>
      </c>
      <c r="AF659" s="30">
        <f t="shared" si="5"/>
        <v>2049.041766</v>
      </c>
      <c r="AG659" s="34">
        <v>1.0</v>
      </c>
      <c r="AH659" s="36"/>
      <c r="AI659" s="30">
        <f t="shared" si="6"/>
        <v>3278.688525</v>
      </c>
      <c r="AJ659" s="17">
        <v>4000.0</v>
      </c>
      <c r="AK659" s="30">
        <f t="shared" si="7"/>
        <v>13114.7541</v>
      </c>
      <c r="AL659" s="20">
        <f t="shared" si="8"/>
        <v>16000</v>
      </c>
    </row>
    <row r="660">
      <c r="A660" s="16" t="s">
        <v>2843</v>
      </c>
      <c r="B660" s="17" t="s">
        <v>239</v>
      </c>
      <c r="C660" s="17" t="s">
        <v>349</v>
      </c>
      <c r="D660" s="17" t="s">
        <v>349</v>
      </c>
      <c r="E660" s="17" t="s">
        <v>897</v>
      </c>
      <c r="F660" s="17" t="s">
        <v>103</v>
      </c>
      <c r="G660" s="19">
        <v>46202.0</v>
      </c>
      <c r="H660" s="17" t="s">
        <v>104</v>
      </c>
      <c r="I660" s="17" t="s">
        <v>2844</v>
      </c>
      <c r="J660" s="21" t="s">
        <v>2845</v>
      </c>
      <c r="K660" s="28" t="s">
        <v>2846</v>
      </c>
      <c r="L660" s="28" t="s">
        <v>2847</v>
      </c>
      <c r="M660" s="17">
        <v>2022.0</v>
      </c>
      <c r="N660" s="17">
        <v>17.0</v>
      </c>
      <c r="O660" s="23">
        <v>792.0</v>
      </c>
      <c r="P660" s="24">
        <f t="shared" si="14"/>
        <v>2217.6</v>
      </c>
      <c r="Q660" s="25">
        <v>5.0</v>
      </c>
      <c r="R660" s="17">
        <v>5.0</v>
      </c>
      <c r="S660" s="26">
        <v>5.0</v>
      </c>
      <c r="T660" s="17">
        <v>0.0</v>
      </c>
      <c r="U660" s="17">
        <v>10.0</v>
      </c>
      <c r="V660" s="17" t="s">
        <v>2826</v>
      </c>
      <c r="W660" s="28" t="s">
        <v>76</v>
      </c>
      <c r="X660" s="28" t="s">
        <v>78</v>
      </c>
      <c r="Y660" s="24">
        <v>10.0</v>
      </c>
      <c r="Z660" s="17">
        <v>150.0</v>
      </c>
      <c r="AA660" s="17">
        <v>576.0</v>
      </c>
      <c r="AB660" s="17">
        <v>31.0</v>
      </c>
      <c r="AC660" s="20">
        <f t="shared" si="2"/>
        <v>89280</v>
      </c>
      <c r="AD660" s="30">
        <f t="shared" si="3"/>
        <v>8.06</v>
      </c>
      <c r="AE660" s="30">
        <f t="shared" si="10"/>
        <v>17873.856</v>
      </c>
      <c r="AF660" s="30">
        <f t="shared" si="5"/>
        <v>1118.952732</v>
      </c>
      <c r="AG660" s="34">
        <v>1.0</v>
      </c>
      <c r="AH660" s="36"/>
      <c r="AI660" s="30">
        <f t="shared" si="6"/>
        <v>3278.688525</v>
      </c>
      <c r="AJ660" s="17">
        <v>4000.0</v>
      </c>
      <c r="AK660" s="30">
        <f t="shared" si="7"/>
        <v>16393.44262</v>
      </c>
      <c r="AL660" s="20">
        <f t="shared" si="8"/>
        <v>20000</v>
      </c>
    </row>
    <row r="661">
      <c r="A661" s="16" t="s">
        <v>2843</v>
      </c>
      <c r="B661" s="17" t="s">
        <v>239</v>
      </c>
      <c r="C661" s="17" t="s">
        <v>349</v>
      </c>
      <c r="D661" s="17" t="s">
        <v>349</v>
      </c>
      <c r="E661" s="17" t="s">
        <v>897</v>
      </c>
      <c r="F661" s="17" t="s">
        <v>103</v>
      </c>
      <c r="G661" s="19">
        <v>46202.0</v>
      </c>
      <c r="H661" s="17" t="s">
        <v>104</v>
      </c>
      <c r="I661" s="17" t="s">
        <v>2844</v>
      </c>
      <c r="J661" s="21" t="s">
        <v>2848</v>
      </c>
      <c r="K661" s="28" t="s">
        <v>2849</v>
      </c>
      <c r="L661" s="28" t="s">
        <v>2850</v>
      </c>
      <c r="M661" s="17">
        <v>2023.0</v>
      </c>
      <c r="N661" s="17">
        <v>12.0</v>
      </c>
      <c r="O661" s="23">
        <v>210.0</v>
      </c>
      <c r="P661" s="24">
        <f t="shared" si="14"/>
        <v>588</v>
      </c>
      <c r="Q661" s="25">
        <v>2.0</v>
      </c>
      <c r="R661" s="17">
        <v>2.0</v>
      </c>
      <c r="S661" s="26">
        <v>2.0</v>
      </c>
      <c r="T661" s="17">
        <v>0.0</v>
      </c>
      <c r="U661" s="17">
        <v>4.0</v>
      </c>
      <c r="V661" s="17" t="s">
        <v>2826</v>
      </c>
      <c r="W661" s="28" t="s">
        <v>76</v>
      </c>
      <c r="X661" s="28" t="s">
        <v>78</v>
      </c>
      <c r="Y661" s="24">
        <v>10.0</v>
      </c>
      <c r="Z661" s="17">
        <v>150.0</v>
      </c>
      <c r="AA661" s="17">
        <v>576.0</v>
      </c>
      <c r="AB661" s="17">
        <v>31.0</v>
      </c>
      <c r="AC661" s="20">
        <f t="shared" si="2"/>
        <v>35712</v>
      </c>
      <c r="AD661" s="30">
        <f t="shared" si="3"/>
        <v>8.06</v>
      </c>
      <c r="AE661" s="30">
        <f t="shared" si="10"/>
        <v>4739.28</v>
      </c>
      <c r="AF661" s="30">
        <f t="shared" si="5"/>
        <v>1688.020121</v>
      </c>
      <c r="AG661" s="34">
        <v>1.0</v>
      </c>
      <c r="AH661" s="36"/>
      <c r="AI661" s="30">
        <f t="shared" si="6"/>
        <v>3278.688525</v>
      </c>
      <c r="AJ661" s="17">
        <v>4000.0</v>
      </c>
      <c r="AK661" s="30">
        <f t="shared" si="7"/>
        <v>6557.377049</v>
      </c>
      <c r="AL661" s="20">
        <f t="shared" si="8"/>
        <v>8000</v>
      </c>
    </row>
    <row r="662">
      <c r="A662" s="16" t="s">
        <v>2851</v>
      </c>
      <c r="B662" s="17" t="s">
        <v>239</v>
      </c>
      <c r="C662" s="17" t="s">
        <v>349</v>
      </c>
      <c r="D662" s="17" t="s">
        <v>349</v>
      </c>
      <c r="E662" s="17" t="s">
        <v>897</v>
      </c>
      <c r="F662" s="17" t="s">
        <v>103</v>
      </c>
      <c r="G662" s="19">
        <v>46202.0</v>
      </c>
      <c r="H662" s="17" t="s">
        <v>104</v>
      </c>
      <c r="I662" s="17" t="s">
        <v>2852</v>
      </c>
      <c r="J662" s="21" t="s">
        <v>2853</v>
      </c>
      <c r="K662" s="28" t="s">
        <v>2854</v>
      </c>
      <c r="L662" s="28" t="s">
        <v>2855</v>
      </c>
      <c r="M662" s="17">
        <v>2024.0</v>
      </c>
      <c r="N662" s="17">
        <v>14.0</v>
      </c>
      <c r="O662" s="23">
        <v>385.0</v>
      </c>
      <c r="P662" s="24">
        <f t="shared" si="14"/>
        <v>1078</v>
      </c>
      <c r="Q662" s="25">
        <v>4.0</v>
      </c>
      <c r="R662" s="17">
        <v>4.0</v>
      </c>
      <c r="S662" s="26">
        <v>4.0</v>
      </c>
      <c r="T662" s="17">
        <v>0.0</v>
      </c>
      <c r="U662" s="17">
        <v>8.0</v>
      </c>
      <c r="V662" s="17" t="s">
        <v>2826</v>
      </c>
      <c r="W662" s="28" t="s">
        <v>76</v>
      </c>
      <c r="X662" s="28" t="s">
        <v>78</v>
      </c>
      <c r="Y662" s="24">
        <v>10.0</v>
      </c>
      <c r="Z662" s="17">
        <v>150.0</v>
      </c>
      <c r="AA662" s="17">
        <v>576.0</v>
      </c>
      <c r="AB662" s="17">
        <v>31.0</v>
      </c>
      <c r="AC662" s="20">
        <f t="shared" si="2"/>
        <v>71424</v>
      </c>
      <c r="AD662" s="30">
        <f t="shared" si="3"/>
        <v>8.06</v>
      </c>
      <c r="AE662" s="30">
        <f t="shared" si="10"/>
        <v>8688.68</v>
      </c>
      <c r="AF662" s="30">
        <f t="shared" si="5"/>
        <v>1841.476496</v>
      </c>
      <c r="AG662" s="34">
        <v>1.0</v>
      </c>
      <c r="AH662" s="36"/>
      <c r="AI662" s="30">
        <f t="shared" si="6"/>
        <v>3278.688525</v>
      </c>
      <c r="AJ662" s="17">
        <v>4000.0</v>
      </c>
      <c r="AK662" s="30">
        <f t="shared" si="7"/>
        <v>13114.7541</v>
      </c>
      <c r="AL662" s="20">
        <f t="shared" si="8"/>
        <v>16000</v>
      </c>
    </row>
    <row r="663">
      <c r="A663" s="16" t="s">
        <v>2851</v>
      </c>
      <c r="B663" s="17" t="s">
        <v>239</v>
      </c>
      <c r="C663" s="17" t="s">
        <v>349</v>
      </c>
      <c r="D663" s="17" t="s">
        <v>349</v>
      </c>
      <c r="E663" s="17" t="s">
        <v>897</v>
      </c>
      <c r="F663" s="17" t="s">
        <v>103</v>
      </c>
      <c r="G663" s="19">
        <v>46202.0</v>
      </c>
      <c r="H663" s="17" t="s">
        <v>104</v>
      </c>
      <c r="I663" s="17" t="s">
        <v>2852</v>
      </c>
      <c r="J663" s="21" t="s">
        <v>2856</v>
      </c>
      <c r="K663" s="28" t="s">
        <v>2857</v>
      </c>
      <c r="L663" s="28" t="s">
        <v>2858</v>
      </c>
      <c r="M663" s="17">
        <v>2024.0</v>
      </c>
      <c r="N663" s="17">
        <v>16.0</v>
      </c>
      <c r="O663" s="23">
        <v>154.0</v>
      </c>
      <c r="P663" s="24">
        <f t="shared" si="14"/>
        <v>431.2</v>
      </c>
      <c r="Q663" s="25">
        <v>1.0</v>
      </c>
      <c r="R663" s="17">
        <v>1.0</v>
      </c>
      <c r="S663" s="26">
        <v>1.0</v>
      </c>
      <c r="T663" s="17">
        <v>0.0</v>
      </c>
      <c r="U663" s="17">
        <v>2.0</v>
      </c>
      <c r="V663" s="17" t="s">
        <v>2826</v>
      </c>
      <c r="W663" s="28" t="s">
        <v>76</v>
      </c>
      <c r="X663" s="28" t="s">
        <v>78</v>
      </c>
      <c r="Y663" s="24">
        <v>10.0</v>
      </c>
      <c r="Z663" s="17">
        <v>150.0</v>
      </c>
      <c r="AA663" s="17">
        <v>576.0</v>
      </c>
      <c r="AB663" s="17">
        <v>31.0</v>
      </c>
      <c r="AC663" s="20">
        <f t="shared" si="2"/>
        <v>17856</v>
      </c>
      <c r="AD663" s="30">
        <f t="shared" si="3"/>
        <v>8.06</v>
      </c>
      <c r="AE663" s="30">
        <f t="shared" si="10"/>
        <v>3475.472</v>
      </c>
      <c r="AF663" s="30">
        <f t="shared" si="5"/>
        <v>1150.92281</v>
      </c>
      <c r="AG663" s="34">
        <v>1.0</v>
      </c>
      <c r="AH663" s="36"/>
      <c r="AI663" s="30">
        <f t="shared" si="6"/>
        <v>3278.688525</v>
      </c>
      <c r="AJ663" s="17">
        <v>4000.0</v>
      </c>
      <c r="AK663" s="30">
        <f t="shared" si="7"/>
        <v>3278.688525</v>
      </c>
      <c r="AL663" s="20">
        <f t="shared" si="8"/>
        <v>4000</v>
      </c>
    </row>
    <row r="664">
      <c r="A664" s="16" t="s">
        <v>2851</v>
      </c>
      <c r="B664" s="17" t="s">
        <v>239</v>
      </c>
      <c r="C664" s="17" t="s">
        <v>349</v>
      </c>
      <c r="D664" s="17" t="s">
        <v>349</v>
      </c>
      <c r="E664" s="17" t="s">
        <v>897</v>
      </c>
      <c r="F664" s="17" t="s">
        <v>103</v>
      </c>
      <c r="G664" s="19">
        <v>46202.0</v>
      </c>
      <c r="H664" s="17" t="s">
        <v>104</v>
      </c>
      <c r="I664" s="17" t="s">
        <v>2852</v>
      </c>
      <c r="J664" s="21" t="s">
        <v>2859</v>
      </c>
      <c r="K664" s="28" t="s">
        <v>2860</v>
      </c>
      <c r="L664" s="28" t="s">
        <v>2861</v>
      </c>
      <c r="M664" s="17">
        <v>2024.0</v>
      </c>
      <c r="N664" s="17">
        <v>16.0</v>
      </c>
      <c r="O664" s="23">
        <v>140.0</v>
      </c>
      <c r="P664" s="24">
        <f t="shared" si="14"/>
        <v>392</v>
      </c>
      <c r="Q664" s="25">
        <v>1.0</v>
      </c>
      <c r="R664" s="17">
        <v>1.0</v>
      </c>
      <c r="S664" s="26">
        <v>1.0</v>
      </c>
      <c r="T664" s="17">
        <v>0.0</v>
      </c>
      <c r="U664" s="17">
        <v>2.0</v>
      </c>
      <c r="V664" s="17" t="s">
        <v>2826</v>
      </c>
      <c r="W664" s="28" t="s">
        <v>76</v>
      </c>
      <c r="X664" s="28" t="s">
        <v>78</v>
      </c>
      <c r="Y664" s="24">
        <v>10.0</v>
      </c>
      <c r="Z664" s="17">
        <v>150.0</v>
      </c>
      <c r="AA664" s="17">
        <v>576.0</v>
      </c>
      <c r="AB664" s="17">
        <v>31.0</v>
      </c>
      <c r="AC664" s="20">
        <f t="shared" si="2"/>
        <v>17856</v>
      </c>
      <c r="AD664" s="30">
        <f t="shared" si="3"/>
        <v>8.06</v>
      </c>
      <c r="AE664" s="30">
        <f t="shared" si="10"/>
        <v>3159.52</v>
      </c>
      <c r="AF664" s="30">
        <f t="shared" si="5"/>
        <v>1266.015091</v>
      </c>
      <c r="AG664" s="34">
        <v>1.0</v>
      </c>
      <c r="AH664" s="36"/>
      <c r="AI664" s="30">
        <f t="shared" si="6"/>
        <v>3278.688525</v>
      </c>
      <c r="AJ664" s="17">
        <v>4000.0</v>
      </c>
      <c r="AK664" s="30">
        <f t="shared" si="7"/>
        <v>3278.688525</v>
      </c>
      <c r="AL664" s="20">
        <f t="shared" si="8"/>
        <v>4000</v>
      </c>
    </row>
    <row r="665">
      <c r="A665" s="16" t="s">
        <v>2862</v>
      </c>
      <c r="B665" s="17" t="s">
        <v>239</v>
      </c>
      <c r="C665" s="17" t="s">
        <v>349</v>
      </c>
      <c r="D665" s="17" t="s">
        <v>349</v>
      </c>
      <c r="E665" s="17" t="s">
        <v>897</v>
      </c>
      <c r="F665" s="17" t="s">
        <v>103</v>
      </c>
      <c r="G665" s="19">
        <v>46202.0</v>
      </c>
      <c r="H665" s="17" t="s">
        <v>104</v>
      </c>
      <c r="I665" s="17" t="s">
        <v>2863</v>
      </c>
      <c r="J665" s="21" t="s">
        <v>2864</v>
      </c>
      <c r="K665" s="28" t="s">
        <v>2865</v>
      </c>
      <c r="L665" s="28" t="s">
        <v>2858</v>
      </c>
      <c r="M665" s="17">
        <v>2024.0</v>
      </c>
      <c r="N665" s="17">
        <v>14.0</v>
      </c>
      <c r="O665" s="23">
        <v>385.0</v>
      </c>
      <c r="P665" s="24">
        <f t="shared" si="14"/>
        <v>1078</v>
      </c>
      <c r="Q665" s="25">
        <v>4.0</v>
      </c>
      <c r="R665" s="17">
        <v>4.0</v>
      </c>
      <c r="S665" s="26">
        <v>4.0</v>
      </c>
      <c r="T665" s="17">
        <v>0.0</v>
      </c>
      <c r="U665" s="17">
        <v>8.0</v>
      </c>
      <c r="V665" s="17" t="s">
        <v>2826</v>
      </c>
      <c r="W665" s="28" t="s">
        <v>76</v>
      </c>
      <c r="X665" s="28" t="s">
        <v>78</v>
      </c>
      <c r="Y665" s="24">
        <v>10.0</v>
      </c>
      <c r="Z665" s="17">
        <v>150.0</v>
      </c>
      <c r="AA665" s="17">
        <v>576.0</v>
      </c>
      <c r="AB665" s="17">
        <v>31.0</v>
      </c>
      <c r="AC665" s="20">
        <f t="shared" si="2"/>
        <v>71424</v>
      </c>
      <c r="AD665" s="30">
        <f t="shared" si="3"/>
        <v>8.06</v>
      </c>
      <c r="AE665" s="30">
        <f t="shared" si="10"/>
        <v>8688.68</v>
      </c>
      <c r="AF665" s="30">
        <f t="shared" si="5"/>
        <v>1841.476496</v>
      </c>
      <c r="AG665" s="34">
        <v>1.0</v>
      </c>
      <c r="AH665" s="36"/>
      <c r="AI665" s="30">
        <f t="shared" si="6"/>
        <v>3278.688525</v>
      </c>
      <c r="AJ665" s="17">
        <v>4000.0</v>
      </c>
      <c r="AK665" s="30">
        <f t="shared" si="7"/>
        <v>13114.7541</v>
      </c>
      <c r="AL665" s="20">
        <f t="shared" si="8"/>
        <v>16000</v>
      </c>
    </row>
    <row r="666">
      <c r="A666" s="16" t="s">
        <v>2862</v>
      </c>
      <c r="B666" s="17" t="s">
        <v>239</v>
      </c>
      <c r="C666" s="17" t="s">
        <v>349</v>
      </c>
      <c r="D666" s="17" t="s">
        <v>349</v>
      </c>
      <c r="E666" s="17" t="s">
        <v>897</v>
      </c>
      <c r="F666" s="17" t="s">
        <v>103</v>
      </c>
      <c r="G666" s="19">
        <v>46202.0</v>
      </c>
      <c r="H666" s="17" t="s">
        <v>104</v>
      </c>
      <c r="I666" s="17" t="s">
        <v>2863</v>
      </c>
      <c r="J666" s="21" t="s">
        <v>2866</v>
      </c>
      <c r="K666" s="28" t="s">
        <v>2867</v>
      </c>
      <c r="L666" s="28" t="s">
        <v>2868</v>
      </c>
      <c r="M666" s="17">
        <v>2024.0</v>
      </c>
      <c r="N666" s="17">
        <v>16.0</v>
      </c>
      <c r="O666" s="23">
        <v>154.0</v>
      </c>
      <c r="P666" s="24">
        <f t="shared" si="14"/>
        <v>431.2</v>
      </c>
      <c r="Q666" s="25">
        <v>1.0</v>
      </c>
      <c r="R666" s="17">
        <v>1.0</v>
      </c>
      <c r="S666" s="26">
        <v>1.0</v>
      </c>
      <c r="T666" s="17">
        <v>0.0</v>
      </c>
      <c r="U666" s="17">
        <v>2.0</v>
      </c>
      <c r="V666" s="17" t="s">
        <v>2826</v>
      </c>
      <c r="W666" s="28" t="s">
        <v>76</v>
      </c>
      <c r="X666" s="28" t="s">
        <v>78</v>
      </c>
      <c r="Y666" s="24">
        <v>10.0</v>
      </c>
      <c r="Z666" s="17">
        <v>150.0</v>
      </c>
      <c r="AA666" s="17">
        <v>576.0</v>
      </c>
      <c r="AB666" s="17">
        <v>31.0</v>
      </c>
      <c r="AC666" s="20">
        <f t="shared" si="2"/>
        <v>17856</v>
      </c>
      <c r="AD666" s="30">
        <f t="shared" si="3"/>
        <v>8.06</v>
      </c>
      <c r="AE666" s="30">
        <f t="shared" si="10"/>
        <v>3475.472</v>
      </c>
      <c r="AF666" s="30">
        <f t="shared" si="5"/>
        <v>1150.92281</v>
      </c>
      <c r="AG666" s="34">
        <v>1.0</v>
      </c>
      <c r="AH666" s="36"/>
      <c r="AI666" s="30">
        <f t="shared" si="6"/>
        <v>3278.688525</v>
      </c>
      <c r="AJ666" s="17">
        <v>4000.0</v>
      </c>
      <c r="AK666" s="30">
        <f t="shared" si="7"/>
        <v>3278.688525</v>
      </c>
      <c r="AL666" s="20">
        <f t="shared" si="8"/>
        <v>4000</v>
      </c>
    </row>
    <row r="667">
      <c r="A667" s="16" t="s">
        <v>2862</v>
      </c>
      <c r="B667" s="17" t="s">
        <v>239</v>
      </c>
      <c r="C667" s="17" t="s">
        <v>349</v>
      </c>
      <c r="D667" s="17" t="s">
        <v>349</v>
      </c>
      <c r="E667" s="17" t="s">
        <v>897</v>
      </c>
      <c r="F667" s="17" t="s">
        <v>103</v>
      </c>
      <c r="G667" s="19">
        <v>46202.0</v>
      </c>
      <c r="H667" s="17" t="s">
        <v>104</v>
      </c>
      <c r="I667" s="17" t="s">
        <v>2863</v>
      </c>
      <c r="J667" s="21" t="s">
        <v>2869</v>
      </c>
      <c r="K667" s="28" t="s">
        <v>2870</v>
      </c>
      <c r="L667" s="28" t="s">
        <v>2871</v>
      </c>
      <c r="M667" s="17">
        <v>2024.0</v>
      </c>
      <c r="N667" s="17">
        <v>16.0</v>
      </c>
      <c r="O667" s="23">
        <v>140.0</v>
      </c>
      <c r="P667" s="24">
        <f t="shared" si="14"/>
        <v>392</v>
      </c>
      <c r="Q667" s="25">
        <v>1.0</v>
      </c>
      <c r="R667" s="17">
        <v>1.0</v>
      </c>
      <c r="S667" s="26">
        <v>1.0</v>
      </c>
      <c r="T667" s="17">
        <v>0.0</v>
      </c>
      <c r="U667" s="17">
        <v>2.0</v>
      </c>
      <c r="V667" s="17" t="s">
        <v>2826</v>
      </c>
      <c r="W667" s="28" t="s">
        <v>76</v>
      </c>
      <c r="X667" s="28" t="s">
        <v>78</v>
      </c>
      <c r="Y667" s="24">
        <v>10.0</v>
      </c>
      <c r="Z667" s="17">
        <v>150.0</v>
      </c>
      <c r="AA667" s="17">
        <v>576.0</v>
      </c>
      <c r="AB667" s="17">
        <v>31.0</v>
      </c>
      <c r="AC667" s="20">
        <f t="shared" si="2"/>
        <v>17856</v>
      </c>
      <c r="AD667" s="30">
        <f t="shared" si="3"/>
        <v>8.06</v>
      </c>
      <c r="AE667" s="30">
        <f t="shared" si="10"/>
        <v>3159.52</v>
      </c>
      <c r="AF667" s="30">
        <f t="shared" si="5"/>
        <v>1266.015091</v>
      </c>
      <c r="AG667" s="34">
        <v>1.0</v>
      </c>
      <c r="AH667" s="36"/>
      <c r="AI667" s="30">
        <f t="shared" si="6"/>
        <v>3278.688525</v>
      </c>
      <c r="AJ667" s="17">
        <v>4000.0</v>
      </c>
      <c r="AK667" s="30">
        <f t="shared" si="7"/>
        <v>3278.688525</v>
      </c>
      <c r="AL667" s="20">
        <f t="shared" si="8"/>
        <v>4000</v>
      </c>
    </row>
    <row r="668">
      <c r="A668" s="16" t="s">
        <v>2872</v>
      </c>
      <c r="B668" s="17" t="s">
        <v>239</v>
      </c>
      <c r="C668" s="17" t="s">
        <v>349</v>
      </c>
      <c r="D668" s="17" t="s">
        <v>349</v>
      </c>
      <c r="E668" s="17" t="s">
        <v>897</v>
      </c>
      <c r="F668" s="17" t="s">
        <v>103</v>
      </c>
      <c r="G668" s="19">
        <v>46202.0</v>
      </c>
      <c r="H668" s="17" t="s">
        <v>104</v>
      </c>
      <c r="I668" s="17" t="s">
        <v>2873</v>
      </c>
      <c r="J668" s="21" t="s">
        <v>2874</v>
      </c>
      <c r="K668" s="28" t="s">
        <v>2875</v>
      </c>
      <c r="L668" s="28" t="s">
        <v>2876</v>
      </c>
      <c r="M668" s="17">
        <v>2023.0</v>
      </c>
      <c r="N668" s="17">
        <v>15.0</v>
      </c>
      <c r="O668" s="23">
        <v>199.0</v>
      </c>
      <c r="P668" s="24">
        <f t="shared" si="14"/>
        <v>557.2</v>
      </c>
      <c r="Q668" s="25">
        <v>2.0</v>
      </c>
      <c r="R668" s="17">
        <v>2.0</v>
      </c>
      <c r="S668" s="26">
        <v>2.0</v>
      </c>
      <c r="T668" s="17">
        <v>0.0</v>
      </c>
      <c r="U668" s="17">
        <v>4.0</v>
      </c>
      <c r="V668" s="17" t="s">
        <v>2826</v>
      </c>
      <c r="W668" s="28" t="s">
        <v>76</v>
      </c>
      <c r="X668" s="28" t="s">
        <v>78</v>
      </c>
      <c r="Y668" s="24">
        <v>10.0</v>
      </c>
      <c r="Z668" s="17">
        <v>150.0</v>
      </c>
      <c r="AA668" s="17">
        <v>576.0</v>
      </c>
      <c r="AB668" s="17">
        <v>31.0</v>
      </c>
      <c r="AC668" s="20">
        <f t="shared" si="2"/>
        <v>35712</v>
      </c>
      <c r="AD668" s="30">
        <f t="shared" si="3"/>
        <v>8.06</v>
      </c>
      <c r="AE668" s="30">
        <f t="shared" si="10"/>
        <v>4491.032</v>
      </c>
      <c r="AF668" s="30">
        <f t="shared" si="5"/>
        <v>1781.327766</v>
      </c>
      <c r="AG668" s="34">
        <v>1.0</v>
      </c>
      <c r="AH668" s="36"/>
      <c r="AI668" s="30">
        <f t="shared" si="6"/>
        <v>3278.688525</v>
      </c>
      <c r="AJ668" s="17">
        <v>4000.0</v>
      </c>
      <c r="AK668" s="30">
        <f t="shared" si="7"/>
        <v>6557.377049</v>
      </c>
      <c r="AL668" s="20">
        <f t="shared" si="8"/>
        <v>8000</v>
      </c>
    </row>
    <row r="669">
      <c r="A669" s="16" t="s">
        <v>2872</v>
      </c>
      <c r="B669" s="17" t="s">
        <v>239</v>
      </c>
      <c r="C669" s="17" t="s">
        <v>349</v>
      </c>
      <c r="D669" s="17" t="s">
        <v>349</v>
      </c>
      <c r="E669" s="17" t="s">
        <v>897</v>
      </c>
      <c r="F669" s="17" t="s">
        <v>103</v>
      </c>
      <c r="G669" s="19">
        <v>46202.0</v>
      </c>
      <c r="H669" s="17" t="s">
        <v>104</v>
      </c>
      <c r="I669" s="17" t="s">
        <v>2873</v>
      </c>
      <c r="J669" s="21" t="s">
        <v>2877</v>
      </c>
      <c r="K669" s="28" t="s">
        <v>2878</v>
      </c>
      <c r="L669" s="28" t="s">
        <v>2879</v>
      </c>
      <c r="M669" s="17">
        <v>2023.0</v>
      </c>
      <c r="N669" s="17">
        <v>15.0</v>
      </c>
      <c r="O669" s="23">
        <v>423.0</v>
      </c>
      <c r="P669" s="24">
        <f t="shared" si="14"/>
        <v>1184.4</v>
      </c>
      <c r="Q669" s="25">
        <v>3.0</v>
      </c>
      <c r="R669" s="17">
        <v>3.0</v>
      </c>
      <c r="S669" s="26">
        <v>2.0</v>
      </c>
      <c r="T669" s="17">
        <v>0.0</v>
      </c>
      <c r="U669" s="17">
        <v>6.0</v>
      </c>
      <c r="V669" s="17" t="s">
        <v>2826</v>
      </c>
      <c r="W669" s="28" t="s">
        <v>76</v>
      </c>
      <c r="X669" s="28" t="s">
        <v>78</v>
      </c>
      <c r="Y669" s="24">
        <v>10.0</v>
      </c>
      <c r="Z669" s="17">
        <v>150.0</v>
      </c>
      <c r="AA669" s="17">
        <v>576.0</v>
      </c>
      <c r="AB669" s="17">
        <v>31.0</v>
      </c>
      <c r="AC669" s="20">
        <f t="shared" si="2"/>
        <v>53568</v>
      </c>
      <c r="AD669" s="30">
        <f t="shared" si="3"/>
        <v>12.09</v>
      </c>
      <c r="AE669" s="30">
        <f t="shared" si="10"/>
        <v>14319.396</v>
      </c>
      <c r="AF669" s="30">
        <f t="shared" si="5"/>
        <v>838.0241736</v>
      </c>
      <c r="AG669" s="34">
        <v>1.0</v>
      </c>
      <c r="AH669" s="36"/>
      <c r="AI669" s="30">
        <f t="shared" si="6"/>
        <v>3278.688525</v>
      </c>
      <c r="AJ669" s="17">
        <v>4000.0</v>
      </c>
      <c r="AK669" s="30">
        <f t="shared" si="7"/>
        <v>9836.065574</v>
      </c>
      <c r="AL669" s="20">
        <f t="shared" si="8"/>
        <v>12000</v>
      </c>
    </row>
    <row r="670">
      <c r="A670" s="16" t="s">
        <v>2872</v>
      </c>
      <c r="B670" s="17" t="s">
        <v>239</v>
      </c>
      <c r="C670" s="17" t="s">
        <v>349</v>
      </c>
      <c r="D670" s="17" t="s">
        <v>349</v>
      </c>
      <c r="E670" s="17" t="s">
        <v>897</v>
      </c>
      <c r="F670" s="17" t="s">
        <v>103</v>
      </c>
      <c r="G670" s="19">
        <v>46202.0</v>
      </c>
      <c r="H670" s="17" t="s">
        <v>104</v>
      </c>
      <c r="I670" s="17" t="s">
        <v>2873</v>
      </c>
      <c r="J670" s="21" t="s">
        <v>2880</v>
      </c>
      <c r="K670" s="28" t="s">
        <v>2881</v>
      </c>
      <c r="L670" s="28" t="s">
        <v>2882</v>
      </c>
      <c r="M670" s="17">
        <v>2023.0</v>
      </c>
      <c r="N670" s="17">
        <v>15.0</v>
      </c>
      <c r="O670" s="23">
        <v>288.0</v>
      </c>
      <c r="P670" s="24">
        <f t="shared" si="14"/>
        <v>806.4</v>
      </c>
      <c r="Q670" s="25">
        <v>3.0</v>
      </c>
      <c r="R670" s="17">
        <v>3.0</v>
      </c>
      <c r="S670" s="26">
        <v>3.0</v>
      </c>
      <c r="T670" s="17">
        <v>0.0</v>
      </c>
      <c r="U670" s="17">
        <v>6.0</v>
      </c>
      <c r="V670" s="17" t="s">
        <v>2826</v>
      </c>
      <c r="W670" s="28" t="s">
        <v>76</v>
      </c>
      <c r="X670" s="28" t="s">
        <v>78</v>
      </c>
      <c r="Y670" s="24">
        <v>10.0</v>
      </c>
      <c r="Z670" s="17">
        <v>150.0</v>
      </c>
      <c r="AA670" s="17">
        <v>576.0</v>
      </c>
      <c r="AB670" s="17">
        <v>31.0</v>
      </c>
      <c r="AC670" s="20">
        <f t="shared" si="2"/>
        <v>53568</v>
      </c>
      <c r="AD670" s="30">
        <f t="shared" si="3"/>
        <v>8.06</v>
      </c>
      <c r="AE670" s="30">
        <f t="shared" si="10"/>
        <v>6499.584</v>
      </c>
      <c r="AF670" s="30">
        <f t="shared" si="5"/>
        <v>1846.272008</v>
      </c>
      <c r="AG670" s="34">
        <v>1.0</v>
      </c>
      <c r="AH670" s="36"/>
      <c r="AI670" s="30">
        <f t="shared" si="6"/>
        <v>3278.688525</v>
      </c>
      <c r="AJ670" s="17">
        <v>4000.0</v>
      </c>
      <c r="AK670" s="30">
        <f t="shared" si="7"/>
        <v>9836.065574</v>
      </c>
      <c r="AL670" s="20">
        <f t="shared" si="8"/>
        <v>12000</v>
      </c>
    </row>
    <row r="671">
      <c r="A671" s="16" t="s">
        <v>2883</v>
      </c>
      <c r="B671" s="17" t="s">
        <v>239</v>
      </c>
      <c r="C671" s="17" t="s">
        <v>349</v>
      </c>
      <c r="D671" s="17" t="s">
        <v>349</v>
      </c>
      <c r="E671" s="17" t="s">
        <v>897</v>
      </c>
      <c r="F671" s="17" t="s">
        <v>103</v>
      </c>
      <c r="G671" s="19">
        <v>46202.0</v>
      </c>
      <c r="H671" s="17" t="s">
        <v>104</v>
      </c>
      <c r="I671" s="17" t="s">
        <v>2884</v>
      </c>
      <c r="J671" s="21" t="s">
        <v>2885</v>
      </c>
      <c r="K671" s="28" t="s">
        <v>2886</v>
      </c>
      <c r="L671" s="28" t="s">
        <v>2887</v>
      </c>
      <c r="M671" s="17">
        <v>2023.0</v>
      </c>
      <c r="N671" s="17">
        <v>15.0</v>
      </c>
      <c r="O671" s="23">
        <v>535.0</v>
      </c>
      <c r="P671" s="24">
        <f t="shared" si="14"/>
        <v>1498</v>
      </c>
      <c r="Q671" s="25">
        <v>4.0</v>
      </c>
      <c r="R671" s="25">
        <v>4.0</v>
      </c>
      <c r="S671" s="26">
        <v>4.0</v>
      </c>
      <c r="T671" s="17">
        <v>0.0</v>
      </c>
      <c r="U671" s="17">
        <v>8.0</v>
      </c>
      <c r="V671" s="17" t="s">
        <v>2826</v>
      </c>
      <c r="W671" s="28" t="s">
        <v>76</v>
      </c>
      <c r="X671" s="28" t="s">
        <v>78</v>
      </c>
      <c r="Y671" s="24">
        <v>10.0</v>
      </c>
      <c r="Z671" s="17">
        <v>150.0</v>
      </c>
      <c r="AA671" s="17">
        <v>576.0</v>
      </c>
      <c r="AB671" s="17">
        <v>31.0</v>
      </c>
      <c r="AC671" s="20">
        <f t="shared" si="2"/>
        <v>71424</v>
      </c>
      <c r="AD671" s="30">
        <f t="shared" si="3"/>
        <v>8.06</v>
      </c>
      <c r="AE671" s="30">
        <f t="shared" si="10"/>
        <v>12073.88</v>
      </c>
      <c r="AF671" s="30">
        <f t="shared" si="5"/>
        <v>1325.174675</v>
      </c>
      <c r="AG671" s="34">
        <v>1.0</v>
      </c>
      <c r="AH671" s="36"/>
      <c r="AI671" s="30">
        <f t="shared" si="6"/>
        <v>3278.688525</v>
      </c>
      <c r="AJ671" s="17">
        <v>4000.0</v>
      </c>
      <c r="AK671" s="30">
        <f t="shared" si="7"/>
        <v>13114.7541</v>
      </c>
      <c r="AL671" s="20">
        <f t="shared" si="8"/>
        <v>16000</v>
      </c>
    </row>
    <row r="672">
      <c r="A672" s="16" t="s">
        <v>2883</v>
      </c>
      <c r="B672" s="17" t="s">
        <v>239</v>
      </c>
      <c r="C672" s="17" t="s">
        <v>349</v>
      </c>
      <c r="D672" s="17" t="s">
        <v>349</v>
      </c>
      <c r="E672" s="17" t="s">
        <v>897</v>
      </c>
      <c r="F672" s="17" t="s">
        <v>103</v>
      </c>
      <c r="G672" s="19">
        <v>46202.0</v>
      </c>
      <c r="H672" s="17" t="s">
        <v>104</v>
      </c>
      <c r="I672" s="17" t="s">
        <v>2884</v>
      </c>
      <c r="J672" s="21" t="s">
        <v>2888</v>
      </c>
      <c r="K672" s="28" t="s">
        <v>2889</v>
      </c>
      <c r="L672" s="28" t="s">
        <v>2890</v>
      </c>
      <c r="M672" s="17">
        <v>2023.0</v>
      </c>
      <c r="N672" s="17">
        <v>15.0</v>
      </c>
      <c r="O672" s="23">
        <v>423.0</v>
      </c>
      <c r="P672" s="24">
        <f t="shared" si="14"/>
        <v>1184.4</v>
      </c>
      <c r="Q672" s="25">
        <v>3.0</v>
      </c>
      <c r="R672" s="25">
        <v>3.0</v>
      </c>
      <c r="S672" s="26">
        <v>3.0</v>
      </c>
      <c r="T672" s="17">
        <v>0.0</v>
      </c>
      <c r="U672" s="17">
        <v>6.0</v>
      </c>
      <c r="V672" s="17" t="s">
        <v>2826</v>
      </c>
      <c r="W672" s="28" t="s">
        <v>76</v>
      </c>
      <c r="X672" s="28" t="s">
        <v>78</v>
      </c>
      <c r="Y672" s="24">
        <v>10.0</v>
      </c>
      <c r="Z672" s="17">
        <v>150.0</v>
      </c>
      <c r="AA672" s="17">
        <v>576.0</v>
      </c>
      <c r="AB672" s="17">
        <v>31.0</v>
      </c>
      <c r="AC672" s="20">
        <f t="shared" si="2"/>
        <v>53568</v>
      </c>
      <c r="AD672" s="30">
        <f t="shared" si="3"/>
        <v>8.06</v>
      </c>
      <c r="AE672" s="30">
        <f t="shared" si="10"/>
        <v>9546.264</v>
      </c>
      <c r="AF672" s="30">
        <f t="shared" si="5"/>
        <v>1257.03626</v>
      </c>
      <c r="AG672" s="34">
        <v>1.0</v>
      </c>
      <c r="AH672" s="36"/>
      <c r="AI672" s="30">
        <f t="shared" si="6"/>
        <v>3278.688525</v>
      </c>
      <c r="AJ672" s="17">
        <v>4000.0</v>
      </c>
      <c r="AK672" s="30">
        <f t="shared" si="7"/>
        <v>9836.065574</v>
      </c>
      <c r="AL672" s="20">
        <f t="shared" si="8"/>
        <v>12000</v>
      </c>
    </row>
    <row r="673">
      <c r="A673" s="16" t="s">
        <v>2883</v>
      </c>
      <c r="B673" s="17" t="s">
        <v>239</v>
      </c>
      <c r="C673" s="17" t="s">
        <v>349</v>
      </c>
      <c r="D673" s="17" t="s">
        <v>349</v>
      </c>
      <c r="E673" s="17" t="s">
        <v>897</v>
      </c>
      <c r="F673" s="17" t="s">
        <v>103</v>
      </c>
      <c r="G673" s="19">
        <v>46202.0</v>
      </c>
      <c r="H673" s="17" t="s">
        <v>104</v>
      </c>
      <c r="I673" s="17" t="s">
        <v>2884</v>
      </c>
      <c r="J673" s="21" t="s">
        <v>2891</v>
      </c>
      <c r="K673" s="28" t="s">
        <v>2892</v>
      </c>
      <c r="L673" s="28" t="s">
        <v>2893</v>
      </c>
      <c r="M673" s="17">
        <v>2022.0</v>
      </c>
      <c r="N673" s="17">
        <v>15.0</v>
      </c>
      <c r="O673" s="23">
        <v>293.0</v>
      </c>
      <c r="P673" s="24">
        <f t="shared" si="14"/>
        <v>820.4</v>
      </c>
      <c r="Q673" s="25">
        <v>2.0</v>
      </c>
      <c r="R673" s="25">
        <v>2.0</v>
      </c>
      <c r="S673" s="26">
        <v>2.0</v>
      </c>
      <c r="T673" s="17">
        <v>0.0</v>
      </c>
      <c r="U673" s="17">
        <v>4.0</v>
      </c>
      <c r="V673" s="17" t="s">
        <v>2826</v>
      </c>
      <c r="W673" s="28" t="s">
        <v>76</v>
      </c>
      <c r="X673" s="28" t="s">
        <v>78</v>
      </c>
      <c r="Y673" s="24">
        <v>10.0</v>
      </c>
      <c r="Z673" s="17">
        <v>150.0</v>
      </c>
      <c r="AA673" s="17">
        <v>576.0</v>
      </c>
      <c r="AB673" s="17">
        <v>31.0</v>
      </c>
      <c r="AC673" s="20">
        <f t="shared" si="2"/>
        <v>35712</v>
      </c>
      <c r="AD673" s="30">
        <f t="shared" si="3"/>
        <v>8.06</v>
      </c>
      <c r="AE673" s="30">
        <f t="shared" si="10"/>
        <v>6612.424</v>
      </c>
      <c r="AF673" s="30">
        <f t="shared" si="5"/>
        <v>1209.843773</v>
      </c>
      <c r="AG673" s="34">
        <v>1.0</v>
      </c>
      <c r="AH673" s="36"/>
      <c r="AI673" s="30">
        <f t="shared" si="6"/>
        <v>3278.688525</v>
      </c>
      <c r="AJ673" s="17">
        <v>4000.0</v>
      </c>
      <c r="AK673" s="30">
        <f t="shared" si="7"/>
        <v>6557.377049</v>
      </c>
      <c r="AL673" s="20">
        <f t="shared" si="8"/>
        <v>8000</v>
      </c>
    </row>
    <row r="674">
      <c r="A674" s="16" t="s">
        <v>2894</v>
      </c>
      <c r="B674" s="17" t="s">
        <v>239</v>
      </c>
      <c r="C674" s="17" t="s">
        <v>349</v>
      </c>
      <c r="D674" s="17" t="s">
        <v>349</v>
      </c>
      <c r="E674" s="17" t="s">
        <v>897</v>
      </c>
      <c r="F674" s="17" t="s">
        <v>103</v>
      </c>
      <c r="G674" s="19">
        <v>46202.0</v>
      </c>
      <c r="H674" s="17" t="s">
        <v>104</v>
      </c>
      <c r="I674" s="17" t="s">
        <v>2895</v>
      </c>
      <c r="J674" s="21" t="s">
        <v>2896</v>
      </c>
      <c r="K674" s="28" t="s">
        <v>2897</v>
      </c>
      <c r="L674" s="28" t="s">
        <v>2898</v>
      </c>
      <c r="M674" s="17">
        <v>2022.0</v>
      </c>
      <c r="N674" s="17">
        <v>15.0</v>
      </c>
      <c r="O674" s="23">
        <v>608.0</v>
      </c>
      <c r="P674" s="24">
        <f t="shared" si="14"/>
        <v>1702.4</v>
      </c>
      <c r="Q674" s="25">
        <v>8.0</v>
      </c>
      <c r="R674" s="25">
        <v>8.0</v>
      </c>
      <c r="S674" s="26">
        <v>8.0</v>
      </c>
      <c r="T674" s="17">
        <v>0.0</v>
      </c>
      <c r="U674" s="17">
        <v>16.0</v>
      </c>
      <c r="V674" s="17" t="s">
        <v>2826</v>
      </c>
      <c r="W674" s="28" t="s">
        <v>76</v>
      </c>
      <c r="X674" s="28" t="s">
        <v>78</v>
      </c>
      <c r="Y674" s="24">
        <v>10.0</v>
      </c>
      <c r="Z674" s="17">
        <v>150.0</v>
      </c>
      <c r="AA674" s="17">
        <v>576.0</v>
      </c>
      <c r="AB674" s="17">
        <v>31.0</v>
      </c>
      <c r="AC674" s="20">
        <f t="shared" si="2"/>
        <v>142848</v>
      </c>
      <c r="AD674" s="30">
        <f t="shared" si="3"/>
        <v>8.06</v>
      </c>
      <c r="AE674" s="30">
        <f t="shared" si="10"/>
        <v>13721.344</v>
      </c>
      <c r="AF674" s="30">
        <f t="shared" si="5"/>
        <v>2332.133062</v>
      </c>
      <c r="AG674" s="34">
        <v>1.0</v>
      </c>
      <c r="AH674" s="36"/>
      <c r="AI674" s="30">
        <f t="shared" si="6"/>
        <v>3278.688525</v>
      </c>
      <c r="AJ674" s="17">
        <v>4000.0</v>
      </c>
      <c r="AK674" s="30">
        <f t="shared" si="7"/>
        <v>26229.5082</v>
      </c>
      <c r="AL674" s="20">
        <f t="shared" si="8"/>
        <v>32000</v>
      </c>
    </row>
    <row r="675">
      <c r="A675" s="16" t="s">
        <v>2899</v>
      </c>
      <c r="B675" s="17" t="s">
        <v>239</v>
      </c>
      <c r="C675" s="17" t="s">
        <v>349</v>
      </c>
      <c r="D675" s="17" t="s">
        <v>349</v>
      </c>
      <c r="E675" s="17" t="s">
        <v>897</v>
      </c>
      <c r="F675" s="17" t="s">
        <v>103</v>
      </c>
      <c r="G675" s="19">
        <v>46202.0</v>
      </c>
      <c r="H675" s="17" t="s">
        <v>104</v>
      </c>
      <c r="I675" s="17" t="s">
        <v>2900</v>
      </c>
      <c r="J675" s="21" t="s">
        <v>2901</v>
      </c>
      <c r="K675" s="28" t="s">
        <v>2902</v>
      </c>
      <c r="L675" s="28" t="s">
        <v>2903</v>
      </c>
      <c r="M675" s="17">
        <v>2022.0</v>
      </c>
      <c r="N675" s="17">
        <v>15.0</v>
      </c>
      <c r="O675" s="23">
        <v>674.0</v>
      </c>
      <c r="P675" s="24">
        <f t="shared" si="14"/>
        <v>1887.2</v>
      </c>
      <c r="Q675" s="25">
        <v>8.0</v>
      </c>
      <c r="R675" s="25">
        <v>8.0</v>
      </c>
      <c r="S675" s="26">
        <v>8.0</v>
      </c>
      <c r="T675" s="17">
        <v>0.0</v>
      </c>
      <c r="U675" s="17">
        <v>16.0</v>
      </c>
      <c r="V675" s="17" t="s">
        <v>2826</v>
      </c>
      <c r="W675" s="28" t="s">
        <v>76</v>
      </c>
      <c r="X675" s="28" t="s">
        <v>78</v>
      </c>
      <c r="Y675" s="24">
        <v>10.0</v>
      </c>
      <c r="Z675" s="17">
        <v>150.0</v>
      </c>
      <c r="AA675" s="17">
        <v>576.0</v>
      </c>
      <c r="AB675" s="17">
        <v>31.0</v>
      </c>
      <c r="AC675" s="20">
        <f t="shared" si="2"/>
        <v>142848</v>
      </c>
      <c r="AD675" s="30">
        <f t="shared" si="3"/>
        <v>8.06</v>
      </c>
      <c r="AE675" s="30">
        <f t="shared" si="10"/>
        <v>15210.832</v>
      </c>
      <c r="AF675" s="30">
        <f t="shared" si="5"/>
        <v>2103.763949</v>
      </c>
      <c r="AG675" s="34">
        <v>1.0</v>
      </c>
      <c r="AH675" s="36"/>
      <c r="AI675" s="30">
        <f t="shared" si="6"/>
        <v>3278.688525</v>
      </c>
      <c r="AJ675" s="17">
        <v>4000.0</v>
      </c>
      <c r="AK675" s="30">
        <f t="shared" si="7"/>
        <v>26229.5082</v>
      </c>
      <c r="AL675" s="20">
        <f t="shared" si="8"/>
        <v>32000</v>
      </c>
    </row>
    <row r="676">
      <c r="A676" s="16" t="s">
        <v>2904</v>
      </c>
      <c r="B676" s="17" t="s">
        <v>239</v>
      </c>
      <c r="C676" s="17" t="s">
        <v>349</v>
      </c>
      <c r="D676" s="17" t="s">
        <v>349</v>
      </c>
      <c r="E676" s="17" t="s">
        <v>897</v>
      </c>
      <c r="F676" s="17" t="s">
        <v>103</v>
      </c>
      <c r="G676" s="19">
        <v>46202.0</v>
      </c>
      <c r="H676" s="17" t="s">
        <v>104</v>
      </c>
      <c r="I676" s="17" t="s">
        <v>2905</v>
      </c>
      <c r="J676" s="21" t="s">
        <v>2906</v>
      </c>
      <c r="K676" s="28" t="s">
        <v>2907</v>
      </c>
      <c r="L676" s="28" t="s">
        <v>2908</v>
      </c>
      <c r="M676" s="17">
        <v>2022.0</v>
      </c>
      <c r="N676" s="17">
        <v>15.0</v>
      </c>
      <c r="O676" s="23">
        <v>614.0</v>
      </c>
      <c r="P676" s="24">
        <f t="shared" si="14"/>
        <v>1719.2</v>
      </c>
      <c r="Q676" s="25">
        <v>8.0</v>
      </c>
      <c r="R676" s="25">
        <v>8.0</v>
      </c>
      <c r="S676" s="26">
        <v>8.0</v>
      </c>
      <c r="T676" s="17">
        <v>0.0</v>
      </c>
      <c r="U676" s="17">
        <v>16.0</v>
      </c>
      <c r="V676" s="17" t="s">
        <v>2826</v>
      </c>
      <c r="W676" s="28" t="s">
        <v>76</v>
      </c>
      <c r="X676" s="28" t="s">
        <v>78</v>
      </c>
      <c r="Y676" s="24">
        <v>10.0</v>
      </c>
      <c r="Z676" s="17">
        <v>150.0</v>
      </c>
      <c r="AA676" s="17">
        <v>576.0</v>
      </c>
      <c r="AB676" s="17">
        <v>31.0</v>
      </c>
      <c r="AC676" s="20">
        <f t="shared" si="2"/>
        <v>142848</v>
      </c>
      <c r="AD676" s="30">
        <f t="shared" si="3"/>
        <v>8.06</v>
      </c>
      <c r="AE676" s="30">
        <f t="shared" si="10"/>
        <v>13856.752</v>
      </c>
      <c r="AF676" s="30">
        <f t="shared" si="5"/>
        <v>2309.343488</v>
      </c>
      <c r="AG676" s="34">
        <v>1.0</v>
      </c>
      <c r="AH676" s="36"/>
      <c r="AI676" s="30">
        <f t="shared" si="6"/>
        <v>3278.688525</v>
      </c>
      <c r="AJ676" s="17">
        <v>4000.0</v>
      </c>
      <c r="AK676" s="30">
        <f t="shared" si="7"/>
        <v>26229.5082</v>
      </c>
      <c r="AL676" s="20">
        <f t="shared" si="8"/>
        <v>32000</v>
      </c>
    </row>
    <row r="677">
      <c r="A677" s="16" t="s">
        <v>2909</v>
      </c>
      <c r="B677" s="17" t="s">
        <v>239</v>
      </c>
      <c r="C677" s="17" t="s">
        <v>349</v>
      </c>
      <c r="D677" s="17" t="s">
        <v>349</v>
      </c>
      <c r="E677" s="17" t="s">
        <v>897</v>
      </c>
      <c r="F677" s="17" t="s">
        <v>103</v>
      </c>
      <c r="G677" s="19">
        <v>46202.0</v>
      </c>
      <c r="H677" s="17" t="s">
        <v>104</v>
      </c>
      <c r="I677" s="17" t="s">
        <v>2910</v>
      </c>
      <c r="J677" s="21" t="s">
        <v>2911</v>
      </c>
      <c r="K677" s="28" t="s">
        <v>2912</v>
      </c>
      <c r="L677" s="28" t="s">
        <v>2913</v>
      </c>
      <c r="M677" s="17">
        <v>2021.0</v>
      </c>
      <c r="N677" s="17">
        <v>15.0</v>
      </c>
      <c r="O677" s="23">
        <v>678.0</v>
      </c>
      <c r="P677" s="24">
        <f t="shared" si="14"/>
        <v>1898.4</v>
      </c>
      <c r="Q677" s="25">
        <v>8.0</v>
      </c>
      <c r="R677" s="25">
        <v>8.0</v>
      </c>
      <c r="S677" s="26">
        <v>8.0</v>
      </c>
      <c r="T677" s="17">
        <v>0.0</v>
      </c>
      <c r="U677" s="17">
        <v>16.0</v>
      </c>
      <c r="V677" s="17" t="s">
        <v>2826</v>
      </c>
      <c r="W677" s="28" t="s">
        <v>76</v>
      </c>
      <c r="X677" s="28" t="s">
        <v>78</v>
      </c>
      <c r="Y677" s="24">
        <v>10.0</v>
      </c>
      <c r="Z677" s="17">
        <v>150.0</v>
      </c>
      <c r="AA677" s="17">
        <v>576.0</v>
      </c>
      <c r="AB677" s="17">
        <v>31.0</v>
      </c>
      <c r="AC677" s="20">
        <f t="shared" si="2"/>
        <v>142848</v>
      </c>
      <c r="AD677" s="30">
        <f t="shared" si="3"/>
        <v>8.06</v>
      </c>
      <c r="AE677" s="30">
        <f t="shared" si="10"/>
        <v>15301.104</v>
      </c>
      <c r="AF677" s="30">
        <f t="shared" si="5"/>
        <v>2091.352363</v>
      </c>
      <c r="AG677" s="34">
        <v>1.0</v>
      </c>
      <c r="AH677" s="36"/>
      <c r="AI677" s="30">
        <f t="shared" si="6"/>
        <v>3278.688525</v>
      </c>
      <c r="AJ677" s="17">
        <v>4000.0</v>
      </c>
      <c r="AK677" s="30">
        <f t="shared" si="7"/>
        <v>26229.5082</v>
      </c>
      <c r="AL677" s="20">
        <f t="shared" si="8"/>
        <v>32000</v>
      </c>
    </row>
    <row r="678">
      <c r="A678" s="16" t="s">
        <v>2914</v>
      </c>
      <c r="B678" s="17" t="s">
        <v>239</v>
      </c>
      <c r="C678" s="17" t="s">
        <v>349</v>
      </c>
      <c r="D678" s="17" t="s">
        <v>349</v>
      </c>
      <c r="E678" s="17" t="s">
        <v>897</v>
      </c>
      <c r="F678" s="17" t="s">
        <v>103</v>
      </c>
      <c r="G678" s="19">
        <v>46202.0</v>
      </c>
      <c r="H678" s="17" t="s">
        <v>104</v>
      </c>
      <c r="I678" s="17" t="s">
        <v>2915</v>
      </c>
      <c r="J678" s="21" t="s">
        <v>2916</v>
      </c>
      <c r="K678" s="28" t="s">
        <v>2917</v>
      </c>
      <c r="L678" s="28" t="s">
        <v>2918</v>
      </c>
      <c r="M678" s="17">
        <v>2024.0</v>
      </c>
      <c r="N678" s="17">
        <v>15.0</v>
      </c>
      <c r="O678" s="23">
        <v>757.0</v>
      </c>
      <c r="P678" s="24">
        <f t="shared" si="14"/>
        <v>2119.6</v>
      </c>
      <c r="Q678" s="25">
        <v>3.0</v>
      </c>
      <c r="R678" s="25">
        <v>3.0</v>
      </c>
      <c r="S678" s="26">
        <v>3.0</v>
      </c>
      <c r="T678" s="17">
        <v>0.0</v>
      </c>
      <c r="U678" s="17">
        <v>6.0</v>
      </c>
      <c r="V678" s="17" t="s">
        <v>2826</v>
      </c>
      <c r="W678" s="28" t="s">
        <v>76</v>
      </c>
      <c r="X678" s="28" t="s">
        <v>78</v>
      </c>
      <c r="Y678" s="24">
        <v>10.0</v>
      </c>
      <c r="Z678" s="17">
        <v>150.0</v>
      </c>
      <c r="AA678" s="17">
        <v>576.0</v>
      </c>
      <c r="AB678" s="17">
        <v>31.0</v>
      </c>
      <c r="AC678" s="20">
        <f t="shared" si="2"/>
        <v>53568</v>
      </c>
      <c r="AD678" s="30">
        <f t="shared" si="3"/>
        <v>8.06</v>
      </c>
      <c r="AE678" s="30">
        <f t="shared" si="10"/>
        <v>17083.976</v>
      </c>
      <c r="AF678" s="30">
        <f t="shared" si="5"/>
        <v>702.4126</v>
      </c>
      <c r="AG678" s="34">
        <v>1.0</v>
      </c>
      <c r="AH678" s="36"/>
      <c r="AI678" s="30">
        <f t="shared" si="6"/>
        <v>3278.688525</v>
      </c>
      <c r="AJ678" s="17">
        <v>4000.0</v>
      </c>
      <c r="AK678" s="30">
        <f t="shared" si="7"/>
        <v>9836.065574</v>
      </c>
      <c r="AL678" s="20">
        <f t="shared" si="8"/>
        <v>12000</v>
      </c>
    </row>
    <row r="679">
      <c r="A679" s="16" t="s">
        <v>2914</v>
      </c>
      <c r="B679" s="17" t="s">
        <v>239</v>
      </c>
      <c r="C679" s="17" t="s">
        <v>349</v>
      </c>
      <c r="D679" s="17" t="s">
        <v>349</v>
      </c>
      <c r="E679" s="17" t="s">
        <v>897</v>
      </c>
      <c r="F679" s="17" t="s">
        <v>103</v>
      </c>
      <c r="G679" s="19">
        <v>46202.0</v>
      </c>
      <c r="H679" s="17" t="s">
        <v>104</v>
      </c>
      <c r="I679" s="17" t="s">
        <v>2915</v>
      </c>
      <c r="J679" s="21" t="s">
        <v>2919</v>
      </c>
      <c r="K679" s="28" t="s">
        <v>2920</v>
      </c>
      <c r="L679" s="28" t="s">
        <v>2921</v>
      </c>
      <c r="M679" s="17">
        <v>2024.0</v>
      </c>
      <c r="N679" s="17">
        <v>15.0</v>
      </c>
      <c r="O679" s="23">
        <v>569.0</v>
      </c>
      <c r="P679" s="24">
        <f t="shared" si="14"/>
        <v>1593.2</v>
      </c>
      <c r="Q679" s="25">
        <v>5.0</v>
      </c>
      <c r="R679" s="25">
        <v>5.0</v>
      </c>
      <c r="S679" s="26">
        <v>5.0</v>
      </c>
      <c r="T679" s="17">
        <v>0.0</v>
      </c>
      <c r="U679" s="17">
        <v>16.0</v>
      </c>
      <c r="V679" s="17" t="s">
        <v>2922</v>
      </c>
      <c r="W679" s="28" t="s">
        <v>76</v>
      </c>
      <c r="X679" s="28" t="s">
        <v>78</v>
      </c>
      <c r="Y679" s="24">
        <v>10.0</v>
      </c>
      <c r="Z679" s="17">
        <v>150.0</v>
      </c>
      <c r="AA679" s="17">
        <v>576.0</v>
      </c>
      <c r="AB679" s="17">
        <v>31.0</v>
      </c>
      <c r="AC679" s="20">
        <f t="shared" si="2"/>
        <v>89280</v>
      </c>
      <c r="AD679" s="30">
        <f t="shared" si="3"/>
        <v>8.06</v>
      </c>
      <c r="AE679" s="30">
        <f t="shared" si="10"/>
        <v>12841.192</v>
      </c>
      <c r="AF679" s="30">
        <f t="shared" si="5"/>
        <v>1557.48781</v>
      </c>
      <c r="AG679" s="34">
        <v>1.0</v>
      </c>
      <c r="AH679" s="36"/>
      <c r="AI679" s="30">
        <f t="shared" si="6"/>
        <v>3278.688525</v>
      </c>
      <c r="AJ679" s="17">
        <v>4000.0</v>
      </c>
      <c r="AK679" s="30">
        <f t="shared" si="7"/>
        <v>16393.44262</v>
      </c>
      <c r="AL679" s="20">
        <f t="shared" si="8"/>
        <v>20000</v>
      </c>
    </row>
    <row r="680">
      <c r="A680" s="16" t="s">
        <v>2923</v>
      </c>
      <c r="B680" s="17" t="s">
        <v>239</v>
      </c>
      <c r="C680" s="17" t="s">
        <v>349</v>
      </c>
      <c r="D680" s="17" t="s">
        <v>349</v>
      </c>
      <c r="E680" s="17" t="s">
        <v>897</v>
      </c>
      <c r="F680" s="17" t="s">
        <v>103</v>
      </c>
      <c r="G680" s="19">
        <v>46202.0</v>
      </c>
      <c r="H680" s="17" t="s">
        <v>104</v>
      </c>
      <c r="I680" s="17" t="s">
        <v>2924</v>
      </c>
      <c r="J680" s="21" t="s">
        <v>2925</v>
      </c>
      <c r="K680" s="28" t="s">
        <v>2926</v>
      </c>
      <c r="L680" s="28" t="s">
        <v>2927</v>
      </c>
      <c r="M680" s="17">
        <v>2024.0</v>
      </c>
      <c r="N680" s="17">
        <v>15.0</v>
      </c>
      <c r="O680" s="23">
        <v>617.0</v>
      </c>
      <c r="P680" s="24">
        <f t="shared" si="14"/>
        <v>1727.6</v>
      </c>
      <c r="Q680" s="25">
        <v>6.0</v>
      </c>
      <c r="R680" s="25">
        <v>6.0</v>
      </c>
      <c r="S680" s="26">
        <v>6.0</v>
      </c>
      <c r="T680" s="17">
        <v>0.0</v>
      </c>
      <c r="U680" s="17">
        <v>12.0</v>
      </c>
      <c r="V680" s="17" t="s">
        <v>2922</v>
      </c>
      <c r="W680" s="28" t="s">
        <v>76</v>
      </c>
      <c r="X680" s="28" t="s">
        <v>78</v>
      </c>
      <c r="Y680" s="24">
        <v>10.0</v>
      </c>
      <c r="Z680" s="17">
        <v>150.0</v>
      </c>
      <c r="AA680" s="17">
        <v>576.0</v>
      </c>
      <c r="AB680" s="17">
        <v>31.0</v>
      </c>
      <c r="AC680" s="20">
        <f t="shared" si="2"/>
        <v>107136</v>
      </c>
      <c r="AD680" s="30">
        <f t="shared" si="3"/>
        <v>8.06</v>
      </c>
      <c r="AE680" s="30">
        <f t="shared" si="10"/>
        <v>13924.456</v>
      </c>
      <c r="AF680" s="30">
        <f t="shared" si="5"/>
        <v>1723.586185</v>
      </c>
      <c r="AG680" s="34">
        <v>1.0</v>
      </c>
      <c r="AH680" s="36"/>
      <c r="AI680" s="30">
        <f t="shared" si="6"/>
        <v>3278.688525</v>
      </c>
      <c r="AJ680" s="17">
        <v>4000.0</v>
      </c>
      <c r="AK680" s="30">
        <f t="shared" si="7"/>
        <v>19672.13115</v>
      </c>
      <c r="AL680" s="20">
        <f t="shared" si="8"/>
        <v>24000</v>
      </c>
    </row>
    <row r="681">
      <c r="A681" s="16" t="s">
        <v>2923</v>
      </c>
      <c r="B681" s="17" t="s">
        <v>239</v>
      </c>
      <c r="C681" s="17" t="s">
        <v>349</v>
      </c>
      <c r="D681" s="17" t="s">
        <v>349</v>
      </c>
      <c r="E681" s="17" t="s">
        <v>897</v>
      </c>
      <c r="F681" s="17" t="s">
        <v>103</v>
      </c>
      <c r="G681" s="19">
        <v>46202.0</v>
      </c>
      <c r="H681" s="17" t="s">
        <v>104</v>
      </c>
      <c r="I681" s="17" t="s">
        <v>2924</v>
      </c>
      <c r="J681" s="21" t="s">
        <v>2928</v>
      </c>
      <c r="K681" s="28" t="s">
        <v>2929</v>
      </c>
      <c r="L681" s="28" t="s">
        <v>2930</v>
      </c>
      <c r="M681" s="17">
        <v>2024.0</v>
      </c>
      <c r="N681" s="17">
        <v>15.0</v>
      </c>
      <c r="O681" s="23">
        <v>189.0</v>
      </c>
      <c r="P681" s="24">
        <f t="shared" si="14"/>
        <v>529.2</v>
      </c>
      <c r="Q681" s="25">
        <v>1.0</v>
      </c>
      <c r="R681" s="25">
        <v>1.0</v>
      </c>
      <c r="S681" s="26">
        <v>1.0</v>
      </c>
      <c r="T681" s="17">
        <v>0.0</v>
      </c>
      <c r="U681" s="17">
        <v>1.0</v>
      </c>
      <c r="V681" s="17" t="s">
        <v>2826</v>
      </c>
      <c r="W681" s="28" t="s">
        <v>76</v>
      </c>
      <c r="X681" s="28" t="s">
        <v>78</v>
      </c>
      <c r="Y681" s="24">
        <v>10.0</v>
      </c>
      <c r="Z681" s="17">
        <v>150.0</v>
      </c>
      <c r="AA681" s="17">
        <v>576.0</v>
      </c>
      <c r="AB681" s="17">
        <v>31.0</v>
      </c>
      <c r="AC681" s="20">
        <f t="shared" si="2"/>
        <v>17856</v>
      </c>
      <c r="AD681" s="30">
        <f t="shared" si="3"/>
        <v>8.06</v>
      </c>
      <c r="AE681" s="30">
        <f t="shared" si="10"/>
        <v>4265.352</v>
      </c>
      <c r="AF681" s="30">
        <f t="shared" si="5"/>
        <v>937.7889562</v>
      </c>
      <c r="AG681" s="34">
        <v>1.0</v>
      </c>
      <c r="AH681" s="36"/>
      <c r="AI681" s="30">
        <f t="shared" si="6"/>
        <v>3278.688525</v>
      </c>
      <c r="AJ681" s="17">
        <v>4000.0</v>
      </c>
      <c r="AK681" s="30">
        <f t="shared" si="7"/>
        <v>3278.688525</v>
      </c>
      <c r="AL681" s="20">
        <f t="shared" si="8"/>
        <v>4000</v>
      </c>
    </row>
    <row r="682">
      <c r="A682" s="156" t="str">
        <f t="array" ref="A682">IF(I754="","", IFERROR(INDEX(A$2:A753, MATCH(I754, I$2:I753, 0)), "Введите новый GID"))</f>
        <v/>
      </c>
      <c r="B682" s="20"/>
      <c r="C682" s="20"/>
      <c r="D682" s="20"/>
      <c r="E682" s="20"/>
      <c r="F682" s="20"/>
      <c r="G682" s="20"/>
      <c r="H682" s="20"/>
      <c r="I682" s="20"/>
      <c r="J682" s="157"/>
      <c r="K682" s="98"/>
      <c r="L682" s="98"/>
      <c r="M682" s="17"/>
      <c r="N682" s="17"/>
      <c r="O682" s="20"/>
      <c r="P682" s="158">
        <f t="shared" si="14"/>
        <v>0</v>
      </c>
      <c r="Q682" s="159"/>
      <c r="R682" s="159"/>
      <c r="S682" s="20"/>
      <c r="T682" s="159"/>
      <c r="U682" s="20"/>
      <c r="V682" s="20"/>
      <c r="W682" s="98"/>
      <c r="X682" s="98"/>
      <c r="Y682" s="98"/>
      <c r="Z682" s="98"/>
      <c r="AA682" s="98"/>
      <c r="AB682" s="98"/>
      <c r="AC682" s="98"/>
      <c r="AD682" s="98"/>
      <c r="AE682" s="98"/>
      <c r="AF682" s="98"/>
      <c r="AG682" s="98"/>
      <c r="AH682" s="98"/>
      <c r="AI682" s="20"/>
      <c r="AJ682" s="20"/>
      <c r="AK682" s="20"/>
      <c r="AL682" s="20"/>
    </row>
    <row r="683">
      <c r="A683" s="156"/>
      <c r="B683" s="20"/>
      <c r="C683" s="20"/>
      <c r="D683" s="20"/>
      <c r="E683" s="20"/>
      <c r="F683" s="20"/>
      <c r="G683" s="20"/>
      <c r="H683" s="20"/>
      <c r="I683" s="20"/>
      <c r="J683" s="21"/>
      <c r="K683" s="98"/>
      <c r="L683" s="98"/>
      <c r="M683" s="17"/>
      <c r="N683" s="17"/>
      <c r="O683" s="20"/>
      <c r="P683" s="158">
        <f t="shared" si="14"/>
        <v>0</v>
      </c>
      <c r="Q683" s="159"/>
      <c r="R683" s="159"/>
      <c r="S683" s="20"/>
      <c r="T683" s="20"/>
      <c r="U683" s="20"/>
      <c r="V683" s="20"/>
      <c r="W683" s="98"/>
      <c r="X683" s="98"/>
      <c r="Y683" s="98"/>
      <c r="Z683" s="98"/>
      <c r="AA683" s="98"/>
      <c r="AB683" s="98"/>
      <c r="AC683" s="98"/>
      <c r="AD683" s="98"/>
      <c r="AE683" s="98"/>
      <c r="AF683" s="98"/>
      <c r="AG683" s="98"/>
      <c r="AH683" s="98"/>
      <c r="AI683" s="20"/>
      <c r="AJ683" s="20"/>
      <c r="AK683" s="20"/>
      <c r="AL683" s="20"/>
    </row>
    <row r="684">
      <c r="A684" s="156"/>
      <c r="B684" s="20"/>
      <c r="C684" s="20"/>
      <c r="D684" s="20"/>
      <c r="E684" s="20"/>
      <c r="F684" s="20"/>
      <c r="G684" s="20"/>
      <c r="H684" s="20"/>
      <c r="I684" s="20"/>
      <c r="J684" s="21"/>
      <c r="K684" s="98"/>
      <c r="L684" s="98"/>
      <c r="M684" s="17"/>
      <c r="N684" s="17"/>
      <c r="O684" s="20"/>
      <c r="P684" s="158">
        <f t="shared" si="14"/>
        <v>0</v>
      </c>
      <c r="Q684" s="159"/>
      <c r="R684" s="159"/>
      <c r="S684" s="20"/>
      <c r="T684" s="20"/>
      <c r="U684" s="20"/>
      <c r="V684" s="20"/>
      <c r="W684" s="98"/>
      <c r="X684" s="98"/>
      <c r="Y684" s="98"/>
      <c r="Z684" s="98"/>
      <c r="AA684" s="98"/>
      <c r="AB684" s="98"/>
      <c r="AC684" s="98"/>
      <c r="AD684" s="98"/>
      <c r="AE684" s="98"/>
      <c r="AF684" s="98"/>
      <c r="AG684" s="98"/>
      <c r="AH684" s="98"/>
      <c r="AI684" s="20"/>
      <c r="AJ684" s="20"/>
      <c r="AK684" s="20"/>
      <c r="AL684" s="20"/>
    </row>
    <row r="685">
      <c r="A685" s="156"/>
      <c r="B685" s="20"/>
      <c r="C685" s="20"/>
      <c r="D685" s="20"/>
      <c r="E685" s="20"/>
      <c r="F685" s="20"/>
      <c r="G685" s="20"/>
      <c r="H685" s="20"/>
      <c r="I685" s="20"/>
      <c r="J685" s="21"/>
      <c r="K685" s="98"/>
      <c r="L685" s="98"/>
      <c r="M685" s="17"/>
      <c r="N685" s="17"/>
      <c r="O685" s="20"/>
      <c r="P685" s="158">
        <f t="shared" si="14"/>
        <v>0</v>
      </c>
      <c r="Q685" s="159"/>
      <c r="R685" s="159"/>
      <c r="S685" s="20"/>
      <c r="T685" s="20"/>
      <c r="U685" s="20"/>
      <c r="V685" s="20"/>
      <c r="W685" s="98"/>
      <c r="X685" s="98"/>
      <c r="Y685" s="98"/>
      <c r="Z685" s="98"/>
      <c r="AA685" s="98"/>
      <c r="AB685" s="98"/>
      <c r="AC685" s="98"/>
      <c r="AD685" s="98"/>
      <c r="AE685" s="98"/>
      <c r="AF685" s="98"/>
      <c r="AG685" s="98"/>
      <c r="AH685" s="98"/>
      <c r="AI685" s="20"/>
      <c r="AJ685" s="20"/>
      <c r="AK685" s="20"/>
      <c r="AL685" s="20"/>
    </row>
    <row r="686">
      <c r="A686" s="156"/>
      <c r="B686" s="20"/>
      <c r="C686" s="20"/>
      <c r="D686" s="20"/>
      <c r="E686" s="20"/>
      <c r="F686" s="20"/>
      <c r="G686" s="20"/>
      <c r="H686" s="20"/>
      <c r="I686" s="20"/>
      <c r="J686" s="21"/>
      <c r="K686" s="98"/>
      <c r="L686" s="98"/>
      <c r="M686" s="17"/>
      <c r="N686" s="17"/>
      <c r="O686" s="20"/>
      <c r="P686" s="158">
        <f t="shared" si="14"/>
        <v>0</v>
      </c>
      <c r="Q686" s="159"/>
      <c r="R686" s="159"/>
      <c r="S686" s="20"/>
      <c r="T686" s="20"/>
      <c r="U686" s="20"/>
      <c r="V686" s="20"/>
      <c r="W686" s="98"/>
      <c r="X686" s="98"/>
      <c r="Y686" s="98"/>
      <c r="Z686" s="98"/>
      <c r="AA686" s="98"/>
      <c r="AB686" s="98"/>
      <c r="AC686" s="98"/>
      <c r="AD686" s="98"/>
      <c r="AE686" s="98"/>
      <c r="AF686" s="98"/>
      <c r="AG686" s="98"/>
      <c r="AH686" s="98"/>
      <c r="AI686" s="20"/>
      <c r="AJ686" s="20"/>
      <c r="AK686" s="20"/>
      <c r="AL686" s="20"/>
    </row>
    <row r="687">
      <c r="A687" s="156"/>
      <c r="B687" s="20"/>
      <c r="C687" s="20"/>
      <c r="D687" s="20"/>
      <c r="E687" s="20"/>
      <c r="F687" s="20"/>
      <c r="G687" s="20"/>
      <c r="H687" s="20"/>
      <c r="I687" s="20"/>
      <c r="J687" s="21"/>
      <c r="K687" s="98"/>
      <c r="L687" s="98"/>
      <c r="M687" s="17"/>
      <c r="N687" s="17"/>
      <c r="O687" s="20"/>
      <c r="P687" s="158">
        <f t="shared" si="14"/>
        <v>0</v>
      </c>
      <c r="Q687" s="159"/>
      <c r="R687" s="159"/>
      <c r="S687" s="20"/>
      <c r="T687" s="20"/>
      <c r="U687" s="20"/>
      <c r="V687" s="20"/>
      <c r="W687" s="98"/>
      <c r="X687" s="98"/>
      <c r="Y687" s="98"/>
      <c r="Z687" s="98"/>
      <c r="AA687" s="98"/>
      <c r="AB687" s="98"/>
      <c r="AC687" s="98"/>
      <c r="AD687" s="98"/>
      <c r="AE687" s="98"/>
      <c r="AF687" s="98"/>
      <c r="AG687" s="98"/>
      <c r="AH687" s="98"/>
      <c r="AI687" s="20"/>
      <c r="AJ687" s="20"/>
      <c r="AK687" s="20"/>
      <c r="AL687" s="20"/>
    </row>
    <row r="688">
      <c r="A688" s="156"/>
      <c r="B688" s="20"/>
      <c r="C688" s="20"/>
      <c r="D688" s="20"/>
      <c r="E688" s="20"/>
      <c r="F688" s="20"/>
      <c r="G688" s="20"/>
      <c r="H688" s="20"/>
      <c r="I688" s="20"/>
      <c r="J688" s="21"/>
      <c r="K688" s="98"/>
      <c r="L688" s="98"/>
      <c r="M688" s="17"/>
      <c r="N688" s="17"/>
      <c r="O688" s="20"/>
      <c r="P688" s="158">
        <f t="shared" si="14"/>
        <v>0</v>
      </c>
      <c r="Q688" s="159"/>
      <c r="R688" s="159"/>
      <c r="S688" s="20"/>
      <c r="T688" s="20"/>
      <c r="U688" s="20"/>
      <c r="V688" s="20"/>
      <c r="W688" s="98"/>
      <c r="X688" s="98"/>
      <c r="Y688" s="98"/>
      <c r="Z688" s="98"/>
      <c r="AA688" s="98"/>
      <c r="AB688" s="98"/>
      <c r="AC688" s="98"/>
      <c r="AD688" s="98"/>
      <c r="AE688" s="98"/>
      <c r="AF688" s="98"/>
      <c r="AG688" s="98"/>
      <c r="AH688" s="98"/>
      <c r="AI688" s="20"/>
      <c r="AJ688" s="20"/>
      <c r="AK688" s="20"/>
      <c r="AL688" s="20"/>
    </row>
    <row r="689">
      <c r="A689" s="156"/>
      <c r="B689" s="20"/>
      <c r="C689" s="20"/>
      <c r="D689" s="20"/>
      <c r="E689" s="20"/>
      <c r="F689" s="20"/>
      <c r="G689" s="20"/>
      <c r="H689" s="20"/>
      <c r="I689" s="20"/>
      <c r="J689" s="21"/>
      <c r="K689" s="98"/>
      <c r="L689" s="98"/>
      <c r="M689" s="17"/>
      <c r="N689" s="17"/>
      <c r="O689" s="20"/>
      <c r="P689" s="158">
        <f t="shared" si="14"/>
        <v>0</v>
      </c>
      <c r="Q689" s="159"/>
      <c r="R689" s="159"/>
      <c r="S689" s="20"/>
      <c r="T689" s="20"/>
      <c r="U689" s="20"/>
      <c r="V689" s="20"/>
      <c r="W689" s="98"/>
      <c r="X689" s="98"/>
      <c r="Y689" s="98"/>
      <c r="Z689" s="98"/>
      <c r="AA689" s="98"/>
      <c r="AB689" s="98"/>
      <c r="AC689" s="98"/>
      <c r="AD689" s="98"/>
      <c r="AE689" s="98"/>
      <c r="AF689" s="98"/>
      <c r="AG689" s="98"/>
      <c r="AH689" s="98"/>
      <c r="AI689" s="20"/>
      <c r="AJ689" s="20"/>
      <c r="AK689" s="20"/>
      <c r="AL689" s="20"/>
    </row>
    <row r="690">
      <c r="A690" s="156"/>
      <c r="B690" s="20"/>
      <c r="C690" s="20"/>
      <c r="D690" s="20"/>
      <c r="E690" s="20"/>
      <c r="F690" s="20"/>
      <c r="G690" s="20"/>
      <c r="H690" s="20"/>
      <c r="I690" s="20"/>
      <c r="J690" s="21"/>
      <c r="K690" s="98"/>
      <c r="L690" s="98"/>
      <c r="M690" s="17"/>
      <c r="N690" s="17"/>
      <c r="O690" s="20"/>
      <c r="P690" s="158">
        <f t="shared" si="14"/>
        <v>0</v>
      </c>
      <c r="Q690" s="159"/>
      <c r="R690" s="159"/>
      <c r="S690" s="20"/>
      <c r="T690" s="20"/>
      <c r="U690" s="20"/>
      <c r="V690" s="20"/>
      <c r="W690" s="98"/>
      <c r="X690" s="98"/>
      <c r="Y690" s="98"/>
      <c r="Z690" s="98"/>
      <c r="AA690" s="98"/>
      <c r="AB690" s="98"/>
      <c r="AC690" s="98"/>
      <c r="AD690" s="98"/>
      <c r="AE690" s="98"/>
      <c r="AF690" s="98"/>
      <c r="AG690" s="98"/>
      <c r="AH690" s="98"/>
      <c r="AI690" s="20"/>
      <c r="AJ690" s="20"/>
      <c r="AK690" s="20"/>
      <c r="AL690" s="20"/>
    </row>
    <row r="691">
      <c r="A691" s="156"/>
      <c r="B691" s="20"/>
      <c r="C691" s="20"/>
      <c r="D691" s="20"/>
      <c r="E691" s="20"/>
      <c r="F691" s="20"/>
      <c r="G691" s="20"/>
      <c r="H691" s="20"/>
      <c r="I691" s="20"/>
      <c r="J691" s="21"/>
      <c r="K691" s="98"/>
      <c r="L691" s="98"/>
      <c r="M691" s="17"/>
      <c r="N691" s="17"/>
      <c r="O691" s="20"/>
      <c r="P691" s="158">
        <f t="shared" si="14"/>
        <v>0</v>
      </c>
      <c r="Q691" s="159"/>
      <c r="R691" s="159"/>
      <c r="S691" s="20"/>
      <c r="T691" s="20"/>
      <c r="U691" s="20"/>
      <c r="V691" s="20"/>
      <c r="W691" s="98"/>
      <c r="X691" s="98"/>
      <c r="Y691" s="98"/>
      <c r="Z691" s="98"/>
      <c r="AA691" s="98"/>
      <c r="AB691" s="98"/>
      <c r="AC691" s="98"/>
      <c r="AD691" s="98"/>
      <c r="AE691" s="98"/>
      <c r="AF691" s="98"/>
      <c r="AG691" s="98"/>
      <c r="AH691" s="98"/>
      <c r="AI691" s="20"/>
      <c r="AJ691" s="20"/>
      <c r="AK691" s="20"/>
      <c r="AL691" s="20"/>
    </row>
    <row r="692">
      <c r="A692" s="156"/>
      <c r="B692" s="20"/>
      <c r="C692" s="20"/>
      <c r="D692" s="20"/>
      <c r="E692" s="20"/>
      <c r="F692" s="20"/>
      <c r="G692" s="20"/>
      <c r="H692" s="20"/>
      <c r="I692" s="20"/>
      <c r="J692" s="21"/>
      <c r="K692" s="98"/>
      <c r="L692" s="98"/>
      <c r="M692" s="17"/>
      <c r="N692" s="17"/>
      <c r="O692" s="20"/>
      <c r="P692" s="158">
        <f t="shared" si="14"/>
        <v>0</v>
      </c>
      <c r="Q692" s="159"/>
      <c r="R692" s="159"/>
      <c r="S692" s="20"/>
      <c r="T692" s="20"/>
      <c r="U692" s="20"/>
      <c r="V692" s="20"/>
      <c r="W692" s="98"/>
      <c r="X692" s="98"/>
      <c r="Y692" s="98"/>
      <c r="Z692" s="98"/>
      <c r="AA692" s="98"/>
      <c r="AB692" s="98"/>
      <c r="AC692" s="98"/>
      <c r="AD692" s="98"/>
      <c r="AE692" s="98"/>
      <c r="AF692" s="98"/>
      <c r="AG692" s="98"/>
      <c r="AH692" s="98"/>
      <c r="AI692" s="20"/>
      <c r="AJ692" s="20"/>
      <c r="AK692" s="20"/>
      <c r="AL692" s="20"/>
    </row>
    <row r="693">
      <c r="A693" s="156"/>
      <c r="B693" s="20"/>
      <c r="C693" s="20"/>
      <c r="D693" s="20"/>
      <c r="E693" s="20"/>
      <c r="F693" s="20"/>
      <c r="G693" s="20"/>
      <c r="H693" s="20"/>
      <c r="I693" s="20"/>
      <c r="J693" s="21"/>
      <c r="K693" s="98"/>
      <c r="L693" s="98"/>
      <c r="M693" s="17"/>
      <c r="N693" s="17"/>
      <c r="O693" s="20"/>
      <c r="P693" s="158">
        <f t="shared" si="14"/>
        <v>0</v>
      </c>
      <c r="Q693" s="159"/>
      <c r="R693" s="159"/>
      <c r="S693" s="20"/>
      <c r="T693" s="20"/>
      <c r="U693" s="20"/>
      <c r="V693" s="20"/>
      <c r="W693" s="98"/>
      <c r="X693" s="98"/>
      <c r="Y693" s="98"/>
      <c r="Z693" s="98"/>
      <c r="AA693" s="98"/>
      <c r="AB693" s="98"/>
      <c r="AC693" s="98"/>
      <c r="AD693" s="98"/>
      <c r="AE693" s="98"/>
      <c r="AF693" s="98"/>
      <c r="AG693" s="98"/>
      <c r="AH693" s="98"/>
      <c r="AI693" s="20"/>
      <c r="AJ693" s="20"/>
      <c r="AK693" s="20"/>
      <c r="AL693" s="20"/>
    </row>
    <row r="694">
      <c r="A694" s="156"/>
      <c r="B694" s="20"/>
      <c r="C694" s="20"/>
      <c r="D694" s="20"/>
      <c r="E694" s="20"/>
      <c r="F694" s="20"/>
      <c r="G694" s="20"/>
      <c r="H694" s="20"/>
      <c r="I694" s="20"/>
      <c r="J694" s="21"/>
      <c r="K694" s="98"/>
      <c r="L694" s="98"/>
      <c r="M694" s="17"/>
      <c r="N694" s="17"/>
      <c r="O694" s="20"/>
      <c r="P694" s="158">
        <f t="shared" si="14"/>
        <v>0</v>
      </c>
      <c r="Q694" s="159"/>
      <c r="R694" s="159"/>
      <c r="S694" s="20"/>
      <c r="T694" s="20"/>
      <c r="U694" s="20"/>
      <c r="V694" s="20"/>
      <c r="W694" s="98"/>
      <c r="X694" s="98"/>
      <c r="Y694" s="98"/>
      <c r="Z694" s="98"/>
      <c r="AA694" s="98"/>
      <c r="AB694" s="98"/>
      <c r="AC694" s="98"/>
      <c r="AD694" s="98"/>
      <c r="AE694" s="98"/>
      <c r="AF694" s="98"/>
      <c r="AG694" s="98"/>
      <c r="AH694" s="98"/>
      <c r="AI694" s="20"/>
      <c r="AJ694" s="20"/>
      <c r="AK694" s="20"/>
      <c r="AL694" s="20"/>
    </row>
    <row r="695">
      <c r="A695" s="156"/>
      <c r="B695" s="20"/>
      <c r="C695" s="20"/>
      <c r="D695" s="20"/>
      <c r="E695" s="20"/>
      <c r="F695" s="20"/>
      <c r="G695" s="20"/>
      <c r="H695" s="20"/>
      <c r="I695" s="20"/>
      <c r="J695" s="21"/>
      <c r="K695" s="98"/>
      <c r="L695" s="98"/>
      <c r="M695" s="17"/>
      <c r="N695" s="17"/>
      <c r="O695" s="20"/>
      <c r="P695" s="158">
        <f t="shared" si="14"/>
        <v>0</v>
      </c>
      <c r="Q695" s="159"/>
      <c r="R695" s="159"/>
      <c r="S695" s="20"/>
      <c r="T695" s="20"/>
      <c r="U695" s="20"/>
      <c r="V695" s="20"/>
      <c r="W695" s="98"/>
      <c r="X695" s="98"/>
      <c r="Y695" s="98"/>
      <c r="Z695" s="98"/>
      <c r="AA695" s="98"/>
      <c r="AB695" s="98"/>
      <c r="AC695" s="98"/>
      <c r="AD695" s="98"/>
      <c r="AE695" s="98"/>
      <c r="AF695" s="98"/>
      <c r="AG695" s="98"/>
      <c r="AH695" s="98"/>
      <c r="AI695" s="20"/>
      <c r="AJ695" s="20"/>
      <c r="AK695" s="20"/>
      <c r="AL695" s="20"/>
    </row>
    <row r="696">
      <c r="A696" s="156"/>
      <c r="B696" s="20"/>
      <c r="C696" s="20"/>
      <c r="D696" s="20"/>
      <c r="E696" s="20"/>
      <c r="F696" s="20"/>
      <c r="G696" s="20"/>
      <c r="H696" s="20"/>
      <c r="I696" s="20"/>
      <c r="J696" s="21"/>
      <c r="K696" s="98"/>
      <c r="L696" s="98"/>
      <c r="M696" s="17"/>
      <c r="N696" s="17"/>
      <c r="O696" s="20"/>
      <c r="P696" s="158">
        <f t="shared" si="14"/>
        <v>0</v>
      </c>
      <c r="Q696" s="159"/>
      <c r="R696" s="159"/>
      <c r="S696" s="20"/>
      <c r="T696" s="20"/>
      <c r="U696" s="20"/>
      <c r="V696" s="20"/>
      <c r="W696" s="98"/>
      <c r="X696" s="98"/>
      <c r="Y696" s="98"/>
      <c r="Z696" s="98"/>
      <c r="AA696" s="98"/>
      <c r="AB696" s="98"/>
      <c r="AC696" s="98"/>
      <c r="AD696" s="98"/>
      <c r="AE696" s="98"/>
      <c r="AF696" s="98"/>
      <c r="AG696" s="98"/>
      <c r="AH696" s="98"/>
      <c r="AI696" s="20"/>
      <c r="AJ696" s="20"/>
      <c r="AK696" s="20"/>
      <c r="AL696" s="20"/>
    </row>
    <row r="697">
      <c r="A697" s="156"/>
      <c r="B697" s="20"/>
      <c r="C697" s="20"/>
      <c r="D697" s="20"/>
      <c r="E697" s="20"/>
      <c r="F697" s="20"/>
      <c r="G697" s="20"/>
      <c r="H697" s="20"/>
      <c r="I697" s="20"/>
      <c r="J697" s="21"/>
      <c r="K697" s="98"/>
      <c r="L697" s="98"/>
      <c r="M697" s="17"/>
      <c r="N697" s="17"/>
      <c r="O697" s="20"/>
      <c r="P697" s="158">
        <f t="shared" si="14"/>
        <v>0</v>
      </c>
      <c r="Q697" s="159"/>
      <c r="R697" s="159"/>
      <c r="S697" s="20"/>
      <c r="T697" s="20"/>
      <c r="U697" s="20"/>
      <c r="V697" s="20"/>
      <c r="W697" s="98"/>
      <c r="X697" s="98"/>
      <c r="Y697" s="98"/>
      <c r="Z697" s="98"/>
      <c r="AA697" s="98"/>
      <c r="AB697" s="98"/>
      <c r="AC697" s="98"/>
      <c r="AD697" s="98"/>
      <c r="AE697" s="98"/>
      <c r="AF697" s="98"/>
      <c r="AG697" s="98"/>
      <c r="AH697" s="98"/>
      <c r="AI697" s="20"/>
      <c r="AJ697" s="20"/>
      <c r="AK697" s="20"/>
      <c r="AL697" s="20"/>
    </row>
    <row r="698">
      <c r="A698" s="156"/>
      <c r="B698" s="20"/>
      <c r="C698" s="20"/>
      <c r="D698" s="20"/>
      <c r="E698" s="20"/>
      <c r="F698" s="20"/>
      <c r="G698" s="20"/>
      <c r="H698" s="20"/>
      <c r="I698" s="20"/>
      <c r="J698" s="21"/>
      <c r="K698" s="98"/>
      <c r="L698" s="98"/>
      <c r="M698" s="17"/>
      <c r="N698" s="17"/>
      <c r="O698" s="20"/>
      <c r="P698" s="158">
        <f t="shared" si="14"/>
        <v>0</v>
      </c>
      <c r="Q698" s="159"/>
      <c r="R698" s="159"/>
      <c r="S698" s="20"/>
      <c r="T698" s="20"/>
      <c r="U698" s="20"/>
      <c r="V698" s="20"/>
      <c r="W698" s="98"/>
      <c r="X698" s="98"/>
      <c r="Y698" s="98"/>
      <c r="Z698" s="98"/>
      <c r="AA698" s="98"/>
      <c r="AB698" s="98"/>
      <c r="AC698" s="98"/>
      <c r="AD698" s="98"/>
      <c r="AE698" s="98"/>
      <c r="AF698" s="98"/>
      <c r="AG698" s="98"/>
      <c r="AH698" s="98"/>
      <c r="AI698" s="20"/>
      <c r="AJ698" s="20"/>
      <c r="AK698" s="20"/>
      <c r="AL698" s="20"/>
    </row>
    <row r="699">
      <c r="A699" s="156"/>
      <c r="B699" s="20"/>
      <c r="C699" s="20"/>
      <c r="D699" s="20"/>
      <c r="E699" s="20"/>
      <c r="F699" s="20"/>
      <c r="G699" s="20"/>
      <c r="H699" s="20"/>
      <c r="I699" s="20"/>
      <c r="J699" s="21"/>
      <c r="K699" s="98"/>
      <c r="L699" s="98"/>
      <c r="M699" s="17"/>
      <c r="N699" s="17"/>
      <c r="O699" s="20"/>
      <c r="P699" s="158">
        <f t="shared" si="14"/>
        <v>0</v>
      </c>
      <c r="Q699" s="159"/>
      <c r="R699" s="159"/>
      <c r="S699" s="20"/>
      <c r="T699" s="20"/>
      <c r="U699" s="20"/>
      <c r="V699" s="20"/>
      <c r="W699" s="98"/>
      <c r="X699" s="98"/>
      <c r="Y699" s="98"/>
      <c r="Z699" s="98"/>
      <c r="AA699" s="98"/>
      <c r="AB699" s="98"/>
      <c r="AC699" s="98"/>
      <c r="AD699" s="98"/>
      <c r="AE699" s="98"/>
      <c r="AF699" s="98"/>
      <c r="AG699" s="98"/>
      <c r="AH699" s="98"/>
      <c r="AI699" s="20"/>
      <c r="AJ699" s="20"/>
      <c r="AK699" s="20"/>
      <c r="AL699" s="20"/>
    </row>
    <row r="700">
      <c r="A700" s="156"/>
      <c r="B700" s="20"/>
      <c r="C700" s="20"/>
      <c r="D700" s="20"/>
      <c r="E700" s="20"/>
      <c r="F700" s="20"/>
      <c r="G700" s="20"/>
      <c r="H700" s="20"/>
      <c r="I700" s="20"/>
      <c r="J700" s="21"/>
      <c r="K700" s="98"/>
      <c r="L700" s="98"/>
      <c r="M700" s="17"/>
      <c r="N700" s="17"/>
      <c r="O700" s="20"/>
      <c r="P700" s="158">
        <f t="shared" si="14"/>
        <v>0</v>
      </c>
      <c r="Q700" s="159"/>
      <c r="R700" s="159"/>
      <c r="S700" s="20"/>
      <c r="T700" s="20"/>
      <c r="U700" s="20"/>
      <c r="V700" s="20"/>
      <c r="W700" s="98"/>
      <c r="X700" s="98"/>
      <c r="Y700" s="98"/>
      <c r="Z700" s="98"/>
      <c r="AA700" s="98"/>
      <c r="AB700" s="98"/>
      <c r="AC700" s="98"/>
      <c r="AD700" s="98"/>
      <c r="AE700" s="98"/>
      <c r="AF700" s="98"/>
      <c r="AG700" s="98"/>
      <c r="AH700" s="98"/>
      <c r="AI700" s="20"/>
      <c r="AJ700" s="20"/>
      <c r="AK700" s="20"/>
      <c r="AL700" s="20"/>
    </row>
    <row r="701">
      <c r="A701" s="156"/>
      <c r="B701" s="20"/>
      <c r="C701" s="20"/>
      <c r="D701" s="20"/>
      <c r="E701" s="20"/>
      <c r="F701" s="20"/>
      <c r="G701" s="20"/>
      <c r="H701" s="20"/>
      <c r="I701" s="20"/>
      <c r="J701" s="21"/>
      <c r="K701" s="98"/>
      <c r="L701" s="98"/>
      <c r="M701" s="17"/>
      <c r="N701" s="17"/>
      <c r="O701" s="20"/>
      <c r="P701" s="158">
        <f t="shared" si="14"/>
        <v>0</v>
      </c>
      <c r="Q701" s="159"/>
      <c r="R701" s="159"/>
      <c r="S701" s="20"/>
      <c r="T701" s="20"/>
      <c r="U701" s="20"/>
      <c r="V701" s="20"/>
      <c r="W701" s="98"/>
      <c r="X701" s="98"/>
      <c r="Y701" s="98"/>
      <c r="Z701" s="98"/>
      <c r="AA701" s="98"/>
      <c r="AB701" s="98"/>
      <c r="AC701" s="98"/>
      <c r="AD701" s="98"/>
      <c r="AE701" s="98"/>
      <c r="AF701" s="98"/>
      <c r="AG701" s="98"/>
      <c r="AH701" s="98"/>
      <c r="AI701" s="20"/>
      <c r="AJ701" s="20"/>
      <c r="AK701" s="20"/>
      <c r="AL701" s="20"/>
    </row>
    <row r="702">
      <c r="A702" s="156"/>
      <c r="B702" s="20"/>
      <c r="C702" s="20"/>
      <c r="D702" s="20"/>
      <c r="E702" s="20"/>
      <c r="F702" s="20"/>
      <c r="G702" s="20"/>
      <c r="H702" s="20"/>
      <c r="I702" s="20"/>
      <c r="J702" s="21"/>
      <c r="K702" s="98"/>
      <c r="L702" s="98"/>
      <c r="M702" s="17"/>
      <c r="N702" s="17"/>
      <c r="O702" s="20"/>
      <c r="P702" s="158">
        <f t="shared" si="14"/>
        <v>0</v>
      </c>
      <c r="Q702" s="159"/>
      <c r="R702" s="159"/>
      <c r="S702" s="20"/>
      <c r="T702" s="20"/>
      <c r="U702" s="20"/>
      <c r="V702" s="20"/>
      <c r="W702" s="98"/>
      <c r="X702" s="98"/>
      <c r="Y702" s="98"/>
      <c r="Z702" s="98"/>
      <c r="AA702" s="98"/>
      <c r="AB702" s="98"/>
      <c r="AC702" s="98"/>
      <c r="AD702" s="98"/>
      <c r="AE702" s="98"/>
      <c r="AF702" s="98"/>
      <c r="AG702" s="98"/>
      <c r="AH702" s="98"/>
      <c r="AI702" s="20"/>
      <c r="AJ702" s="20"/>
      <c r="AK702" s="20"/>
      <c r="AL702" s="20"/>
    </row>
    <row r="703">
      <c r="A703" s="156"/>
      <c r="B703" s="20"/>
      <c r="C703" s="20"/>
      <c r="D703" s="20"/>
      <c r="E703" s="20"/>
      <c r="F703" s="20"/>
      <c r="G703" s="20"/>
      <c r="H703" s="20"/>
      <c r="I703" s="20"/>
      <c r="J703" s="21"/>
      <c r="K703" s="98"/>
      <c r="L703" s="98"/>
      <c r="M703" s="17"/>
      <c r="N703" s="17"/>
      <c r="O703" s="20"/>
      <c r="P703" s="158">
        <f t="shared" si="14"/>
        <v>0</v>
      </c>
      <c r="Q703" s="159"/>
      <c r="R703" s="159"/>
      <c r="S703" s="20"/>
      <c r="T703" s="20"/>
      <c r="U703" s="20"/>
      <c r="V703" s="20"/>
      <c r="W703" s="98"/>
      <c r="X703" s="98"/>
      <c r="Y703" s="98"/>
      <c r="Z703" s="98"/>
      <c r="AA703" s="98"/>
      <c r="AB703" s="98"/>
      <c r="AC703" s="98"/>
      <c r="AD703" s="98"/>
      <c r="AE703" s="98"/>
      <c r="AF703" s="98"/>
      <c r="AG703" s="98"/>
      <c r="AH703" s="98"/>
      <c r="AI703" s="20"/>
      <c r="AJ703" s="20"/>
      <c r="AK703" s="20"/>
      <c r="AL703" s="20"/>
    </row>
    <row r="704">
      <c r="A704" s="156"/>
      <c r="B704" s="20"/>
      <c r="C704" s="20"/>
      <c r="D704" s="20"/>
      <c r="E704" s="20"/>
      <c r="F704" s="20"/>
      <c r="G704" s="20"/>
      <c r="H704" s="20"/>
      <c r="I704" s="20"/>
      <c r="J704" s="21"/>
      <c r="K704" s="98"/>
      <c r="L704" s="98"/>
      <c r="M704" s="17"/>
      <c r="N704" s="17"/>
      <c r="O704" s="20"/>
      <c r="P704" s="158">
        <f t="shared" si="14"/>
        <v>0</v>
      </c>
      <c r="Q704" s="159"/>
      <c r="R704" s="159"/>
      <c r="S704" s="20"/>
      <c r="T704" s="20"/>
      <c r="U704" s="20"/>
      <c r="V704" s="20"/>
      <c r="W704" s="98"/>
      <c r="X704" s="98"/>
      <c r="Y704" s="98"/>
      <c r="Z704" s="98"/>
      <c r="AA704" s="98"/>
      <c r="AB704" s="98"/>
      <c r="AC704" s="98"/>
      <c r="AD704" s="98"/>
      <c r="AE704" s="98"/>
      <c r="AF704" s="98"/>
      <c r="AG704" s="98"/>
      <c r="AH704" s="98"/>
      <c r="AI704" s="20"/>
      <c r="AJ704" s="20"/>
      <c r="AK704" s="20"/>
      <c r="AL704" s="20"/>
    </row>
    <row r="705">
      <c r="A705" s="156"/>
      <c r="B705" s="20"/>
      <c r="C705" s="20"/>
      <c r="D705" s="20"/>
      <c r="E705" s="20"/>
      <c r="F705" s="20"/>
      <c r="G705" s="20"/>
      <c r="H705" s="20"/>
      <c r="I705" s="20"/>
      <c r="J705" s="21"/>
      <c r="K705" s="98"/>
      <c r="L705" s="98"/>
      <c r="M705" s="17"/>
      <c r="N705" s="17"/>
      <c r="O705" s="20"/>
      <c r="P705" s="158">
        <f t="shared" si="14"/>
        <v>0</v>
      </c>
      <c r="Q705" s="159"/>
      <c r="R705" s="159"/>
      <c r="S705" s="20"/>
      <c r="T705" s="20"/>
      <c r="U705" s="20"/>
      <c r="V705" s="20"/>
      <c r="W705" s="98"/>
      <c r="X705" s="98"/>
      <c r="Y705" s="98"/>
      <c r="Z705" s="98"/>
      <c r="AA705" s="98"/>
      <c r="AB705" s="98"/>
      <c r="AC705" s="98"/>
      <c r="AD705" s="98"/>
      <c r="AE705" s="98"/>
      <c r="AF705" s="98"/>
      <c r="AG705" s="98"/>
      <c r="AH705" s="98"/>
      <c r="AI705" s="20"/>
      <c r="AJ705" s="20"/>
      <c r="AK705" s="20"/>
      <c r="AL705" s="20"/>
    </row>
    <row r="706">
      <c r="A706" s="156"/>
      <c r="B706" s="20"/>
      <c r="C706" s="20"/>
      <c r="D706" s="20"/>
      <c r="E706" s="20"/>
      <c r="F706" s="20"/>
      <c r="G706" s="20"/>
      <c r="H706" s="20"/>
      <c r="I706" s="20"/>
      <c r="J706" s="21"/>
      <c r="K706" s="98"/>
      <c r="L706" s="98"/>
      <c r="M706" s="17"/>
      <c r="N706" s="17"/>
      <c r="O706" s="20"/>
      <c r="P706" s="158">
        <f t="shared" si="14"/>
        <v>0</v>
      </c>
      <c r="Q706" s="159"/>
      <c r="R706" s="159"/>
      <c r="S706" s="20"/>
      <c r="T706" s="20"/>
      <c r="U706" s="20"/>
      <c r="V706" s="20"/>
      <c r="W706" s="98"/>
      <c r="X706" s="98"/>
      <c r="Y706" s="98"/>
      <c r="Z706" s="98"/>
      <c r="AA706" s="98"/>
      <c r="AB706" s="98"/>
      <c r="AC706" s="98"/>
      <c r="AD706" s="98"/>
      <c r="AE706" s="98"/>
      <c r="AF706" s="98"/>
      <c r="AG706" s="98"/>
      <c r="AH706" s="98"/>
      <c r="AI706" s="20"/>
      <c r="AJ706" s="20"/>
      <c r="AK706" s="20"/>
      <c r="AL706" s="20"/>
    </row>
    <row r="707">
      <c r="A707" s="156"/>
      <c r="B707" s="20"/>
      <c r="C707" s="20"/>
      <c r="D707" s="20"/>
      <c r="E707" s="20"/>
      <c r="F707" s="20"/>
      <c r="G707" s="20"/>
      <c r="H707" s="20"/>
      <c r="I707" s="20"/>
      <c r="J707" s="21"/>
      <c r="K707" s="98"/>
      <c r="L707" s="98"/>
      <c r="M707" s="17"/>
      <c r="N707" s="17"/>
      <c r="O707" s="20"/>
      <c r="P707" s="158">
        <f t="shared" si="14"/>
        <v>0</v>
      </c>
      <c r="Q707" s="159"/>
      <c r="R707" s="159"/>
      <c r="S707" s="20"/>
      <c r="T707" s="20"/>
      <c r="U707" s="20"/>
      <c r="V707" s="20"/>
      <c r="W707" s="98"/>
      <c r="X707" s="98"/>
      <c r="Y707" s="98"/>
      <c r="Z707" s="98"/>
      <c r="AA707" s="98"/>
      <c r="AB707" s="98"/>
      <c r="AC707" s="98"/>
      <c r="AD707" s="98"/>
      <c r="AE707" s="98"/>
      <c r="AF707" s="98"/>
      <c r="AG707" s="98"/>
      <c r="AH707" s="98"/>
      <c r="AI707" s="20"/>
      <c r="AJ707" s="20"/>
      <c r="AK707" s="20"/>
      <c r="AL707" s="20"/>
    </row>
    <row r="708">
      <c r="A708" s="156"/>
      <c r="B708" s="20"/>
      <c r="C708" s="20"/>
      <c r="D708" s="20"/>
      <c r="E708" s="20"/>
      <c r="F708" s="20"/>
      <c r="G708" s="20"/>
      <c r="H708" s="20"/>
      <c r="I708" s="20"/>
      <c r="J708" s="21"/>
      <c r="K708" s="98"/>
      <c r="L708" s="98"/>
      <c r="M708" s="17"/>
      <c r="N708" s="17"/>
      <c r="O708" s="20"/>
      <c r="P708" s="158">
        <f t="shared" si="14"/>
        <v>0</v>
      </c>
      <c r="Q708" s="159"/>
      <c r="R708" s="159"/>
      <c r="S708" s="20"/>
      <c r="T708" s="20"/>
      <c r="U708" s="20"/>
      <c r="V708" s="20"/>
      <c r="W708" s="98"/>
      <c r="X708" s="98"/>
      <c r="Y708" s="98"/>
      <c r="Z708" s="98"/>
      <c r="AA708" s="98"/>
      <c r="AB708" s="98"/>
      <c r="AC708" s="98"/>
      <c r="AD708" s="98"/>
      <c r="AE708" s="98"/>
      <c r="AF708" s="98"/>
      <c r="AG708" s="98"/>
      <c r="AH708" s="98"/>
      <c r="AI708" s="20"/>
      <c r="AJ708" s="20"/>
      <c r="AK708" s="20"/>
      <c r="AL708" s="20"/>
    </row>
    <row r="709">
      <c r="A709" s="156"/>
      <c r="B709" s="20"/>
      <c r="C709" s="20"/>
      <c r="D709" s="20"/>
      <c r="E709" s="20"/>
      <c r="F709" s="20"/>
      <c r="G709" s="20"/>
      <c r="H709" s="20"/>
      <c r="I709" s="20"/>
      <c r="J709" s="21"/>
      <c r="K709" s="98"/>
      <c r="L709" s="98"/>
      <c r="M709" s="17"/>
      <c r="N709" s="17"/>
      <c r="O709" s="20"/>
      <c r="P709" s="158">
        <f t="shared" si="14"/>
        <v>0</v>
      </c>
      <c r="Q709" s="159"/>
      <c r="R709" s="159"/>
      <c r="S709" s="20"/>
      <c r="T709" s="20"/>
      <c r="U709" s="20"/>
      <c r="V709" s="20"/>
      <c r="W709" s="98"/>
      <c r="X709" s="98"/>
      <c r="Y709" s="98"/>
      <c r="Z709" s="98"/>
      <c r="AA709" s="98"/>
      <c r="AB709" s="98"/>
      <c r="AC709" s="98"/>
      <c r="AD709" s="98"/>
      <c r="AE709" s="98"/>
      <c r="AF709" s="98"/>
      <c r="AG709" s="98"/>
      <c r="AH709" s="98"/>
      <c r="AI709" s="20"/>
      <c r="AJ709" s="20"/>
      <c r="AK709" s="20"/>
      <c r="AL709" s="20"/>
    </row>
    <row r="710">
      <c r="A710" s="156"/>
      <c r="B710" s="20"/>
      <c r="C710" s="20"/>
      <c r="D710" s="20"/>
      <c r="E710" s="20"/>
      <c r="F710" s="20"/>
      <c r="G710" s="20"/>
      <c r="H710" s="20"/>
      <c r="I710" s="20"/>
      <c r="J710" s="21"/>
      <c r="K710" s="98"/>
      <c r="L710" s="98"/>
      <c r="M710" s="17"/>
      <c r="N710" s="17"/>
      <c r="O710" s="20"/>
      <c r="P710" s="158">
        <f t="shared" si="14"/>
        <v>0</v>
      </c>
      <c r="Q710" s="159"/>
      <c r="R710" s="159"/>
      <c r="S710" s="20"/>
      <c r="T710" s="20"/>
      <c r="U710" s="20"/>
      <c r="V710" s="20"/>
      <c r="W710" s="98"/>
      <c r="X710" s="98"/>
      <c r="Y710" s="98"/>
      <c r="Z710" s="98"/>
      <c r="AA710" s="98"/>
      <c r="AB710" s="98"/>
      <c r="AC710" s="98"/>
      <c r="AD710" s="98"/>
      <c r="AE710" s="98"/>
      <c r="AF710" s="98"/>
      <c r="AG710" s="98"/>
      <c r="AH710" s="98"/>
      <c r="AI710" s="20"/>
      <c r="AJ710" s="20"/>
      <c r="AK710" s="20"/>
      <c r="AL710" s="20"/>
    </row>
    <row r="711">
      <c r="A711" s="156"/>
      <c r="B711" s="20"/>
      <c r="C711" s="20"/>
      <c r="D711" s="20"/>
      <c r="E711" s="20"/>
      <c r="F711" s="20"/>
      <c r="G711" s="20"/>
      <c r="H711" s="20"/>
      <c r="I711" s="20"/>
      <c r="J711" s="21"/>
      <c r="K711" s="98"/>
      <c r="L711" s="98"/>
      <c r="M711" s="17"/>
      <c r="N711" s="17"/>
      <c r="O711" s="20"/>
      <c r="P711" s="158">
        <f t="shared" si="14"/>
        <v>0</v>
      </c>
      <c r="Q711" s="159"/>
      <c r="R711" s="159"/>
      <c r="S711" s="20"/>
      <c r="T711" s="20"/>
      <c r="U711" s="20"/>
      <c r="V711" s="20"/>
      <c r="W711" s="98"/>
      <c r="X711" s="98"/>
      <c r="Y711" s="98"/>
      <c r="Z711" s="98"/>
      <c r="AA711" s="98"/>
      <c r="AB711" s="98"/>
      <c r="AC711" s="98"/>
      <c r="AD711" s="98"/>
      <c r="AE711" s="98"/>
      <c r="AF711" s="98"/>
      <c r="AG711" s="98"/>
      <c r="AH711" s="98"/>
      <c r="AI711" s="20"/>
      <c r="AJ711" s="20"/>
      <c r="AK711" s="20"/>
      <c r="AL711" s="20"/>
    </row>
    <row r="712">
      <c r="A712" s="156"/>
      <c r="B712" s="20"/>
      <c r="C712" s="20"/>
      <c r="D712" s="20"/>
      <c r="E712" s="20"/>
      <c r="F712" s="20"/>
      <c r="G712" s="20"/>
      <c r="H712" s="20"/>
      <c r="I712" s="20"/>
      <c r="J712" s="21"/>
      <c r="K712" s="98"/>
      <c r="L712" s="98"/>
      <c r="M712" s="17"/>
      <c r="N712" s="17"/>
      <c r="O712" s="20"/>
      <c r="P712" s="158">
        <f t="shared" si="14"/>
        <v>0</v>
      </c>
      <c r="Q712" s="159"/>
      <c r="R712" s="159"/>
      <c r="S712" s="20"/>
      <c r="T712" s="20"/>
      <c r="U712" s="20"/>
      <c r="V712" s="20"/>
      <c r="W712" s="98"/>
      <c r="X712" s="98"/>
      <c r="Y712" s="98"/>
      <c r="Z712" s="98"/>
      <c r="AA712" s="98"/>
      <c r="AB712" s="98"/>
      <c r="AC712" s="98"/>
      <c r="AD712" s="98"/>
      <c r="AE712" s="98"/>
      <c r="AF712" s="98"/>
      <c r="AG712" s="98"/>
      <c r="AH712" s="98"/>
      <c r="AI712" s="20"/>
      <c r="AJ712" s="20"/>
      <c r="AK712" s="20"/>
      <c r="AL712" s="20"/>
    </row>
    <row r="713">
      <c r="A713" s="156"/>
      <c r="B713" s="20"/>
      <c r="C713" s="20"/>
      <c r="D713" s="20"/>
      <c r="E713" s="20"/>
      <c r="F713" s="20"/>
      <c r="G713" s="20"/>
      <c r="H713" s="20"/>
      <c r="I713" s="20"/>
      <c r="J713" s="21"/>
      <c r="K713" s="98"/>
      <c r="L713" s="98"/>
      <c r="M713" s="17"/>
      <c r="N713" s="17"/>
      <c r="O713" s="20"/>
      <c r="P713" s="158">
        <f t="shared" si="14"/>
        <v>0</v>
      </c>
      <c r="Q713" s="159"/>
      <c r="R713" s="159"/>
      <c r="S713" s="20"/>
      <c r="T713" s="20"/>
      <c r="U713" s="20"/>
      <c r="V713" s="20"/>
      <c r="W713" s="98"/>
      <c r="X713" s="98"/>
      <c r="Y713" s="98"/>
      <c r="Z713" s="98"/>
      <c r="AA713" s="98"/>
      <c r="AB713" s="98"/>
      <c r="AC713" s="98"/>
      <c r="AD713" s="98"/>
      <c r="AE713" s="98"/>
      <c r="AF713" s="98"/>
      <c r="AG713" s="98"/>
      <c r="AH713" s="98"/>
      <c r="AI713" s="20"/>
      <c r="AJ713" s="20"/>
      <c r="AK713" s="20"/>
      <c r="AL713" s="20"/>
    </row>
    <row r="714">
      <c r="A714" s="156"/>
      <c r="B714" s="20"/>
      <c r="C714" s="20"/>
      <c r="D714" s="20"/>
      <c r="E714" s="20"/>
      <c r="F714" s="20"/>
      <c r="G714" s="20"/>
      <c r="H714" s="20"/>
      <c r="I714" s="20"/>
      <c r="J714" s="21"/>
      <c r="K714" s="98"/>
      <c r="L714" s="98"/>
      <c r="M714" s="17"/>
      <c r="N714" s="17"/>
      <c r="O714" s="20"/>
      <c r="P714" s="158">
        <f t="shared" si="14"/>
        <v>0</v>
      </c>
      <c r="Q714" s="159"/>
      <c r="R714" s="160"/>
      <c r="S714" s="20"/>
      <c r="T714" s="20"/>
      <c r="U714" s="20"/>
      <c r="V714" s="20"/>
      <c r="W714" s="98"/>
      <c r="X714" s="98"/>
      <c r="Y714" s="98"/>
      <c r="Z714" s="98"/>
      <c r="AA714" s="98"/>
      <c r="AB714" s="98"/>
      <c r="AC714" s="98"/>
      <c r="AD714" s="98"/>
      <c r="AE714" s="98"/>
      <c r="AF714" s="98"/>
      <c r="AG714" s="98"/>
      <c r="AH714" s="98"/>
      <c r="AI714" s="20"/>
      <c r="AJ714" s="20"/>
      <c r="AK714" s="20"/>
      <c r="AL714" s="20"/>
    </row>
    <row r="715">
      <c r="A715" s="156"/>
      <c r="B715" s="20"/>
      <c r="C715" s="20"/>
      <c r="D715" s="20"/>
      <c r="E715" s="20"/>
      <c r="F715" s="20"/>
      <c r="G715" s="20"/>
      <c r="H715" s="20"/>
      <c r="I715" s="20"/>
      <c r="J715" s="21"/>
      <c r="K715" s="98"/>
      <c r="L715" s="98"/>
      <c r="M715" s="17"/>
      <c r="N715" s="17"/>
      <c r="O715" s="20"/>
      <c r="P715" s="158">
        <f t="shared" si="14"/>
        <v>0</v>
      </c>
      <c r="Q715" s="159"/>
      <c r="R715" s="20"/>
      <c r="S715" s="20"/>
      <c r="T715" s="20"/>
      <c r="U715" s="20"/>
      <c r="V715" s="20"/>
      <c r="W715" s="98"/>
      <c r="X715" s="98"/>
      <c r="Y715" s="98"/>
      <c r="Z715" s="98"/>
      <c r="AA715" s="98"/>
      <c r="AB715" s="98"/>
      <c r="AC715" s="98"/>
      <c r="AD715" s="98"/>
      <c r="AE715" s="98"/>
      <c r="AF715" s="98"/>
      <c r="AG715" s="98"/>
      <c r="AH715" s="98"/>
      <c r="AI715" s="20"/>
      <c r="AJ715" s="20"/>
      <c r="AK715" s="20"/>
      <c r="AL715" s="20"/>
    </row>
    <row r="716">
      <c r="A716" s="156"/>
      <c r="B716" s="20"/>
      <c r="C716" s="20"/>
      <c r="D716" s="20"/>
      <c r="E716" s="20"/>
      <c r="F716" s="20"/>
      <c r="G716" s="20"/>
      <c r="H716" s="20"/>
      <c r="I716" s="20"/>
      <c r="J716" s="21"/>
      <c r="K716" s="98"/>
      <c r="L716" s="98"/>
      <c r="M716" s="17"/>
      <c r="N716" s="17"/>
      <c r="O716" s="20"/>
      <c r="P716" s="158">
        <f t="shared" si="14"/>
        <v>0</v>
      </c>
      <c r="Q716" s="159"/>
      <c r="R716" s="20"/>
      <c r="S716" s="20"/>
      <c r="T716" s="20"/>
      <c r="U716" s="20"/>
      <c r="V716" s="20"/>
      <c r="W716" s="98"/>
      <c r="X716" s="98"/>
      <c r="Y716" s="98"/>
      <c r="Z716" s="98"/>
      <c r="AA716" s="98"/>
      <c r="AB716" s="98"/>
      <c r="AC716" s="98"/>
      <c r="AD716" s="98"/>
      <c r="AE716" s="98"/>
      <c r="AF716" s="98"/>
      <c r="AG716" s="98"/>
      <c r="AH716" s="98"/>
      <c r="AI716" s="20"/>
      <c r="AJ716" s="20"/>
      <c r="AK716" s="20"/>
      <c r="AL716" s="20"/>
    </row>
    <row r="717">
      <c r="A717" s="156"/>
      <c r="B717" s="20"/>
      <c r="C717" s="20"/>
      <c r="D717" s="20"/>
      <c r="E717" s="20"/>
      <c r="F717" s="20"/>
      <c r="G717" s="20"/>
      <c r="H717" s="20"/>
      <c r="I717" s="20"/>
      <c r="J717" s="21"/>
      <c r="K717" s="98"/>
      <c r="L717" s="98"/>
      <c r="M717" s="17"/>
      <c r="N717" s="17"/>
      <c r="O717" s="20"/>
      <c r="P717" s="158">
        <f t="shared" si="14"/>
        <v>0</v>
      </c>
      <c r="Q717" s="159"/>
      <c r="R717" s="20"/>
      <c r="S717" s="20"/>
      <c r="T717" s="20"/>
      <c r="U717" s="20"/>
      <c r="V717" s="20"/>
      <c r="W717" s="98"/>
      <c r="X717" s="98"/>
      <c r="Y717" s="98"/>
      <c r="Z717" s="98"/>
      <c r="AA717" s="98"/>
      <c r="AB717" s="98"/>
      <c r="AC717" s="98"/>
      <c r="AD717" s="98"/>
      <c r="AE717" s="98"/>
      <c r="AF717" s="98"/>
      <c r="AG717" s="98"/>
      <c r="AH717" s="98"/>
      <c r="AI717" s="20"/>
      <c r="AJ717" s="20"/>
      <c r="AK717" s="20"/>
      <c r="AL717" s="20"/>
    </row>
    <row r="718">
      <c r="A718" s="156"/>
      <c r="B718" s="20"/>
      <c r="C718" s="20"/>
      <c r="D718" s="20"/>
      <c r="E718" s="20"/>
      <c r="F718" s="20"/>
      <c r="G718" s="20"/>
      <c r="H718" s="20"/>
      <c r="I718" s="20"/>
      <c r="J718" s="21"/>
      <c r="K718" s="98"/>
      <c r="L718" s="98"/>
      <c r="M718" s="17"/>
      <c r="N718" s="17"/>
      <c r="O718" s="20"/>
      <c r="P718" s="158">
        <f t="shared" si="14"/>
        <v>0</v>
      </c>
      <c r="Q718" s="159"/>
      <c r="R718" s="20"/>
      <c r="S718" s="20"/>
      <c r="T718" s="20"/>
      <c r="U718" s="20"/>
      <c r="V718" s="20"/>
      <c r="W718" s="98"/>
      <c r="X718" s="98"/>
      <c r="Y718" s="98"/>
      <c r="Z718" s="98"/>
      <c r="AA718" s="98"/>
      <c r="AB718" s="98"/>
      <c r="AC718" s="98"/>
      <c r="AD718" s="98"/>
      <c r="AE718" s="98"/>
      <c r="AF718" s="98"/>
      <c r="AG718" s="98"/>
      <c r="AH718" s="98"/>
      <c r="AI718" s="20"/>
      <c r="AJ718" s="20"/>
      <c r="AK718" s="20"/>
      <c r="AL718" s="20"/>
    </row>
    <row r="719">
      <c r="A719" s="156"/>
      <c r="B719" s="20"/>
      <c r="C719" s="20"/>
      <c r="D719" s="20"/>
      <c r="E719" s="20"/>
      <c r="F719" s="20"/>
      <c r="G719" s="20"/>
      <c r="H719" s="20"/>
      <c r="I719" s="20"/>
      <c r="J719" s="21"/>
      <c r="K719" s="98"/>
      <c r="L719" s="98"/>
      <c r="M719" s="17"/>
      <c r="N719" s="17"/>
      <c r="O719" s="20"/>
      <c r="P719" s="158">
        <f t="shared" si="14"/>
        <v>0</v>
      </c>
      <c r="Q719" s="159"/>
      <c r="R719" s="20"/>
      <c r="S719" s="20"/>
      <c r="T719" s="20"/>
      <c r="U719" s="20"/>
      <c r="V719" s="20"/>
      <c r="W719" s="98"/>
      <c r="X719" s="98"/>
      <c r="Y719" s="98"/>
      <c r="Z719" s="98"/>
      <c r="AA719" s="98"/>
      <c r="AB719" s="98"/>
      <c r="AC719" s="98"/>
      <c r="AD719" s="98"/>
      <c r="AE719" s="98"/>
      <c r="AF719" s="98"/>
      <c r="AG719" s="98"/>
      <c r="AH719" s="98"/>
      <c r="AI719" s="20"/>
      <c r="AJ719" s="20"/>
      <c r="AK719" s="20"/>
      <c r="AL719" s="20"/>
    </row>
    <row r="720">
      <c r="A720" s="156"/>
      <c r="B720" s="20"/>
      <c r="C720" s="20"/>
      <c r="D720" s="20"/>
      <c r="E720" s="20"/>
      <c r="F720" s="20"/>
      <c r="G720" s="20"/>
      <c r="H720" s="20"/>
      <c r="I720" s="20"/>
      <c r="J720" s="21"/>
      <c r="K720" s="98"/>
      <c r="L720" s="98"/>
      <c r="M720" s="17"/>
      <c r="N720" s="17"/>
      <c r="O720" s="20"/>
      <c r="P720" s="158">
        <f t="shared" si="14"/>
        <v>0</v>
      </c>
      <c r="Q720" s="159"/>
      <c r="R720" s="20"/>
      <c r="S720" s="20"/>
      <c r="T720" s="20"/>
      <c r="U720" s="20"/>
      <c r="V720" s="20"/>
      <c r="W720" s="98"/>
      <c r="X720" s="98"/>
      <c r="Y720" s="98"/>
      <c r="Z720" s="98"/>
      <c r="AA720" s="98"/>
      <c r="AB720" s="98"/>
      <c r="AC720" s="98"/>
      <c r="AD720" s="98"/>
      <c r="AE720" s="98"/>
      <c r="AF720" s="98"/>
      <c r="AG720" s="98"/>
      <c r="AH720" s="98"/>
      <c r="AI720" s="20"/>
      <c r="AJ720" s="20"/>
      <c r="AK720" s="20"/>
      <c r="AL720" s="20"/>
    </row>
    <row r="721">
      <c r="A721" s="156"/>
      <c r="B721" s="20"/>
      <c r="C721" s="20"/>
      <c r="D721" s="20"/>
      <c r="E721" s="20"/>
      <c r="F721" s="20"/>
      <c r="G721" s="20"/>
      <c r="H721" s="20"/>
      <c r="I721" s="20"/>
      <c r="J721" s="21"/>
      <c r="K721" s="98"/>
      <c r="L721" s="98"/>
      <c r="M721" s="17"/>
      <c r="N721" s="17"/>
      <c r="O721" s="20"/>
      <c r="P721" s="158">
        <f t="shared" si="14"/>
        <v>0</v>
      </c>
      <c r="Q721" s="159"/>
      <c r="R721" s="20"/>
      <c r="S721" s="20"/>
      <c r="T721" s="20"/>
      <c r="U721" s="20"/>
      <c r="V721" s="20"/>
      <c r="W721" s="98"/>
      <c r="X721" s="98"/>
      <c r="Y721" s="98"/>
      <c r="Z721" s="98"/>
      <c r="AA721" s="98"/>
      <c r="AB721" s="98"/>
      <c r="AC721" s="98"/>
      <c r="AD721" s="98"/>
      <c r="AE721" s="98"/>
      <c r="AF721" s="98"/>
      <c r="AG721" s="98"/>
      <c r="AH721" s="98"/>
      <c r="AI721" s="20"/>
      <c r="AJ721" s="20"/>
      <c r="AK721" s="20"/>
      <c r="AL721" s="20"/>
    </row>
    <row r="722">
      <c r="A722" s="156"/>
      <c r="B722" s="20"/>
      <c r="C722" s="20"/>
      <c r="D722" s="20"/>
      <c r="E722" s="20"/>
      <c r="F722" s="20"/>
      <c r="G722" s="20"/>
      <c r="H722" s="20"/>
      <c r="I722" s="20"/>
      <c r="J722" s="21"/>
      <c r="K722" s="98"/>
      <c r="L722" s="98"/>
      <c r="M722" s="17"/>
      <c r="N722" s="17"/>
      <c r="O722" s="20"/>
      <c r="P722" s="158">
        <f t="shared" si="14"/>
        <v>0</v>
      </c>
      <c r="Q722" s="159"/>
      <c r="R722" s="20"/>
      <c r="S722" s="20"/>
      <c r="T722" s="20"/>
      <c r="U722" s="20"/>
      <c r="V722" s="20"/>
      <c r="W722" s="98"/>
      <c r="X722" s="98"/>
      <c r="Y722" s="98"/>
      <c r="Z722" s="98"/>
      <c r="AA722" s="98"/>
      <c r="AB722" s="98"/>
      <c r="AC722" s="98"/>
      <c r="AD722" s="98"/>
      <c r="AE722" s="98"/>
      <c r="AF722" s="98"/>
      <c r="AG722" s="98"/>
      <c r="AH722" s="98"/>
      <c r="AI722" s="20"/>
      <c r="AJ722" s="20"/>
      <c r="AK722" s="20"/>
      <c r="AL722" s="20"/>
    </row>
    <row r="723">
      <c r="A723" s="156"/>
      <c r="B723" s="20"/>
      <c r="C723" s="20"/>
      <c r="D723" s="20"/>
      <c r="E723" s="20"/>
      <c r="F723" s="20"/>
      <c r="G723" s="20"/>
      <c r="H723" s="20"/>
      <c r="I723" s="20"/>
      <c r="J723" s="21"/>
      <c r="K723" s="98"/>
      <c r="L723" s="98"/>
      <c r="M723" s="17"/>
      <c r="N723" s="17"/>
      <c r="O723" s="20"/>
      <c r="P723" s="158">
        <f t="shared" si="14"/>
        <v>0</v>
      </c>
      <c r="Q723" s="159"/>
      <c r="R723" s="20"/>
      <c r="S723" s="20"/>
      <c r="T723" s="20"/>
      <c r="U723" s="20"/>
      <c r="V723" s="20"/>
      <c r="W723" s="98"/>
      <c r="X723" s="98"/>
      <c r="Y723" s="98"/>
      <c r="Z723" s="98"/>
      <c r="AA723" s="98"/>
      <c r="AB723" s="98"/>
      <c r="AC723" s="98"/>
      <c r="AD723" s="98"/>
      <c r="AE723" s="98"/>
      <c r="AF723" s="98"/>
      <c r="AG723" s="98"/>
      <c r="AH723" s="98"/>
      <c r="AI723" s="20"/>
      <c r="AJ723" s="20"/>
      <c r="AK723" s="20"/>
      <c r="AL723" s="20"/>
    </row>
    <row r="724">
      <c r="A724" s="156"/>
      <c r="B724" s="20"/>
      <c r="C724" s="20"/>
      <c r="D724" s="20"/>
      <c r="E724" s="20"/>
      <c r="F724" s="20"/>
      <c r="G724" s="20"/>
      <c r="H724" s="20"/>
      <c r="I724" s="20"/>
      <c r="J724" s="21"/>
      <c r="K724" s="98"/>
      <c r="L724" s="98"/>
      <c r="M724" s="17"/>
      <c r="N724" s="17"/>
      <c r="O724" s="20"/>
      <c r="P724" s="158">
        <f t="shared" si="14"/>
        <v>0</v>
      </c>
      <c r="Q724" s="159"/>
      <c r="R724" s="20"/>
      <c r="S724" s="20"/>
      <c r="T724" s="20"/>
      <c r="U724" s="20"/>
      <c r="V724" s="20"/>
      <c r="W724" s="98"/>
      <c r="X724" s="98"/>
      <c r="Y724" s="98"/>
      <c r="Z724" s="98"/>
      <c r="AA724" s="98"/>
      <c r="AB724" s="98"/>
      <c r="AC724" s="98"/>
      <c r="AD724" s="98"/>
      <c r="AE724" s="98"/>
      <c r="AF724" s="98"/>
      <c r="AG724" s="98"/>
      <c r="AH724" s="98"/>
      <c r="AI724" s="20"/>
      <c r="AJ724" s="20"/>
      <c r="AK724" s="20"/>
      <c r="AL724" s="20"/>
    </row>
    <row r="725">
      <c r="A725" s="156"/>
      <c r="B725" s="20"/>
      <c r="C725" s="20"/>
      <c r="D725" s="20"/>
      <c r="E725" s="20"/>
      <c r="F725" s="20"/>
      <c r="G725" s="20"/>
      <c r="H725" s="20"/>
      <c r="I725" s="20"/>
      <c r="J725" s="21"/>
      <c r="K725" s="98"/>
      <c r="L725" s="98"/>
      <c r="M725" s="17"/>
      <c r="N725" s="17"/>
      <c r="O725" s="20"/>
      <c r="P725" s="158">
        <f t="shared" si="14"/>
        <v>0</v>
      </c>
      <c r="Q725" s="159"/>
      <c r="R725" s="20"/>
      <c r="S725" s="20"/>
      <c r="T725" s="20"/>
      <c r="U725" s="20"/>
      <c r="V725" s="20"/>
      <c r="W725" s="98"/>
      <c r="X725" s="98"/>
      <c r="Y725" s="98"/>
      <c r="Z725" s="98"/>
      <c r="AA725" s="98"/>
      <c r="AB725" s="98"/>
      <c r="AC725" s="98"/>
      <c r="AD725" s="98"/>
      <c r="AE725" s="98"/>
      <c r="AF725" s="98"/>
      <c r="AG725" s="98"/>
      <c r="AH725" s="98"/>
      <c r="AI725" s="20"/>
      <c r="AJ725" s="20"/>
      <c r="AK725" s="20"/>
      <c r="AL725" s="20"/>
    </row>
    <row r="726">
      <c r="A726" s="156"/>
      <c r="B726" s="20"/>
      <c r="C726" s="20"/>
      <c r="D726" s="20"/>
      <c r="E726" s="20"/>
      <c r="F726" s="20"/>
      <c r="G726" s="20"/>
      <c r="H726" s="20"/>
      <c r="I726" s="20"/>
      <c r="J726" s="21"/>
      <c r="K726" s="98"/>
      <c r="L726" s="98"/>
      <c r="M726" s="17"/>
      <c r="N726" s="17"/>
      <c r="O726" s="20"/>
      <c r="P726" s="158">
        <f t="shared" si="14"/>
        <v>0</v>
      </c>
      <c r="Q726" s="159"/>
      <c r="R726" s="20"/>
      <c r="S726" s="20"/>
      <c r="T726" s="20"/>
      <c r="U726" s="20"/>
      <c r="V726" s="20"/>
      <c r="W726" s="98"/>
      <c r="X726" s="98"/>
      <c r="Y726" s="98"/>
      <c r="Z726" s="98"/>
      <c r="AA726" s="98"/>
      <c r="AB726" s="98"/>
      <c r="AC726" s="98"/>
      <c r="AD726" s="98"/>
      <c r="AE726" s="98"/>
      <c r="AF726" s="98"/>
      <c r="AG726" s="98"/>
      <c r="AH726" s="98"/>
      <c r="AI726" s="20"/>
      <c r="AJ726" s="20"/>
      <c r="AK726" s="20"/>
      <c r="AL726" s="20"/>
    </row>
    <row r="727">
      <c r="A727" s="156"/>
      <c r="B727" s="20"/>
      <c r="C727" s="20"/>
      <c r="D727" s="20"/>
      <c r="E727" s="20"/>
      <c r="F727" s="20"/>
      <c r="G727" s="20"/>
      <c r="H727" s="20"/>
      <c r="I727" s="20"/>
      <c r="J727" s="21"/>
      <c r="K727" s="98"/>
      <c r="L727" s="98"/>
      <c r="M727" s="17"/>
      <c r="N727" s="17"/>
      <c r="O727" s="20"/>
      <c r="P727" s="158">
        <f t="shared" si="14"/>
        <v>0</v>
      </c>
      <c r="Q727" s="159"/>
      <c r="R727" s="20"/>
      <c r="S727" s="20"/>
      <c r="T727" s="20"/>
      <c r="U727" s="20"/>
      <c r="V727" s="20"/>
      <c r="W727" s="98"/>
      <c r="X727" s="98"/>
      <c r="Y727" s="98"/>
      <c r="Z727" s="98"/>
      <c r="AA727" s="98"/>
      <c r="AB727" s="98"/>
      <c r="AC727" s="98"/>
      <c r="AD727" s="98"/>
      <c r="AE727" s="98"/>
      <c r="AF727" s="98"/>
      <c r="AG727" s="98"/>
      <c r="AH727" s="98"/>
      <c r="AI727" s="20"/>
      <c r="AJ727" s="20"/>
      <c r="AK727" s="20"/>
      <c r="AL727" s="20"/>
    </row>
    <row r="728">
      <c r="A728" s="156"/>
      <c r="B728" s="20"/>
      <c r="C728" s="20"/>
      <c r="D728" s="20"/>
      <c r="E728" s="20"/>
      <c r="F728" s="20"/>
      <c r="G728" s="20"/>
      <c r="H728" s="20"/>
      <c r="I728" s="20"/>
      <c r="J728" s="21"/>
      <c r="K728" s="98"/>
      <c r="L728" s="98"/>
      <c r="M728" s="17"/>
      <c r="N728" s="17"/>
      <c r="O728" s="20"/>
      <c r="P728" s="158">
        <f t="shared" si="14"/>
        <v>0</v>
      </c>
      <c r="Q728" s="159"/>
      <c r="R728" s="20"/>
      <c r="S728" s="20"/>
      <c r="T728" s="20"/>
      <c r="U728" s="20"/>
      <c r="V728" s="20"/>
      <c r="W728" s="98"/>
      <c r="X728" s="98"/>
      <c r="Y728" s="98"/>
      <c r="Z728" s="98"/>
      <c r="AA728" s="98"/>
      <c r="AB728" s="98"/>
      <c r="AC728" s="98"/>
      <c r="AD728" s="98"/>
      <c r="AE728" s="98"/>
      <c r="AF728" s="98"/>
      <c r="AG728" s="98"/>
      <c r="AH728" s="98"/>
      <c r="AI728" s="20"/>
      <c r="AJ728" s="20"/>
      <c r="AK728" s="20"/>
      <c r="AL728" s="20"/>
    </row>
    <row r="729">
      <c r="A729" s="156"/>
      <c r="B729" s="20"/>
      <c r="C729" s="20"/>
      <c r="D729" s="20"/>
      <c r="E729" s="20"/>
      <c r="F729" s="20"/>
      <c r="G729" s="20"/>
      <c r="H729" s="20"/>
      <c r="I729" s="20"/>
      <c r="J729" s="21"/>
      <c r="K729" s="98"/>
      <c r="L729" s="98"/>
      <c r="M729" s="17"/>
      <c r="N729" s="17"/>
      <c r="O729" s="20"/>
      <c r="P729" s="158">
        <f t="shared" si="14"/>
        <v>0</v>
      </c>
      <c r="Q729" s="159"/>
      <c r="R729" s="20"/>
      <c r="S729" s="20"/>
      <c r="T729" s="20"/>
      <c r="U729" s="20"/>
      <c r="V729" s="20"/>
      <c r="W729" s="98"/>
      <c r="X729" s="98"/>
      <c r="Y729" s="98"/>
      <c r="Z729" s="98"/>
      <c r="AA729" s="98"/>
      <c r="AB729" s="98"/>
      <c r="AC729" s="98"/>
      <c r="AD729" s="98"/>
      <c r="AE729" s="98"/>
      <c r="AF729" s="98"/>
      <c r="AG729" s="98"/>
      <c r="AH729" s="98"/>
      <c r="AI729" s="20"/>
      <c r="AJ729" s="20"/>
      <c r="AK729" s="20"/>
      <c r="AL729" s="20"/>
    </row>
    <row r="730">
      <c r="A730" s="156"/>
      <c r="B730" s="20"/>
      <c r="C730" s="20"/>
      <c r="D730" s="20"/>
      <c r="E730" s="20"/>
      <c r="F730" s="20"/>
      <c r="G730" s="20"/>
      <c r="H730" s="20"/>
      <c r="I730" s="20"/>
      <c r="J730" s="21"/>
      <c r="K730" s="98"/>
      <c r="L730" s="98"/>
      <c r="M730" s="17"/>
      <c r="N730" s="17"/>
      <c r="O730" s="20"/>
      <c r="P730" s="158">
        <f t="shared" si="14"/>
        <v>0</v>
      </c>
      <c r="Q730" s="159"/>
      <c r="R730" s="20"/>
      <c r="S730" s="20"/>
      <c r="T730" s="20"/>
      <c r="U730" s="20"/>
      <c r="V730" s="20"/>
      <c r="W730" s="98"/>
      <c r="X730" s="98"/>
      <c r="Y730" s="98"/>
      <c r="Z730" s="98"/>
      <c r="AA730" s="98"/>
      <c r="AB730" s="98"/>
      <c r="AC730" s="98"/>
      <c r="AD730" s="98"/>
      <c r="AE730" s="98"/>
      <c r="AF730" s="98"/>
      <c r="AG730" s="98"/>
      <c r="AH730" s="98"/>
      <c r="AI730" s="20"/>
      <c r="AJ730" s="20"/>
      <c r="AK730" s="20"/>
      <c r="AL730" s="20"/>
    </row>
    <row r="731">
      <c r="A731" s="156"/>
      <c r="B731" s="20"/>
      <c r="C731" s="20"/>
      <c r="D731" s="20"/>
      <c r="E731" s="20"/>
      <c r="F731" s="20"/>
      <c r="G731" s="20"/>
      <c r="H731" s="20"/>
      <c r="I731" s="20"/>
      <c r="J731" s="21"/>
      <c r="K731" s="98"/>
      <c r="L731" s="98"/>
      <c r="M731" s="17"/>
      <c r="N731" s="17"/>
      <c r="O731" s="20"/>
      <c r="P731" s="158">
        <f t="shared" si="14"/>
        <v>0</v>
      </c>
      <c r="Q731" s="159"/>
      <c r="R731" s="20"/>
      <c r="S731" s="20"/>
      <c r="T731" s="20"/>
      <c r="U731" s="20"/>
      <c r="V731" s="20"/>
      <c r="W731" s="98"/>
      <c r="X731" s="98"/>
      <c r="Y731" s="98"/>
      <c r="Z731" s="98"/>
      <c r="AA731" s="98"/>
      <c r="AB731" s="98"/>
      <c r="AC731" s="98"/>
      <c r="AD731" s="98"/>
      <c r="AE731" s="98"/>
      <c r="AF731" s="98"/>
      <c r="AG731" s="98"/>
      <c r="AH731" s="98"/>
      <c r="AI731" s="20"/>
      <c r="AJ731" s="20"/>
      <c r="AK731" s="20"/>
      <c r="AL731" s="20"/>
    </row>
    <row r="732">
      <c r="A732" s="156"/>
      <c r="B732" s="20"/>
      <c r="C732" s="20"/>
      <c r="D732" s="20"/>
      <c r="E732" s="20"/>
      <c r="F732" s="20"/>
      <c r="G732" s="20"/>
      <c r="H732" s="20"/>
      <c r="I732" s="20"/>
      <c r="J732" s="21"/>
      <c r="K732" s="98"/>
      <c r="L732" s="98"/>
      <c r="M732" s="17"/>
      <c r="N732" s="17"/>
      <c r="O732" s="20"/>
      <c r="P732" s="158">
        <f t="shared" si="14"/>
        <v>0</v>
      </c>
      <c r="Q732" s="159"/>
      <c r="R732" s="20"/>
      <c r="S732" s="20"/>
      <c r="T732" s="20"/>
      <c r="U732" s="20"/>
      <c r="V732" s="20"/>
      <c r="W732" s="98"/>
      <c r="X732" s="98"/>
      <c r="Y732" s="98"/>
      <c r="Z732" s="98"/>
      <c r="AA732" s="98"/>
      <c r="AB732" s="98"/>
      <c r="AC732" s="98"/>
      <c r="AD732" s="98"/>
      <c r="AE732" s="98"/>
      <c r="AF732" s="98"/>
      <c r="AG732" s="98"/>
      <c r="AH732" s="98"/>
      <c r="AI732" s="20"/>
      <c r="AJ732" s="20"/>
      <c r="AK732" s="20"/>
      <c r="AL732" s="20"/>
    </row>
    <row r="733">
      <c r="A733" s="156"/>
      <c r="B733" s="20"/>
      <c r="C733" s="20"/>
      <c r="D733" s="20"/>
      <c r="E733" s="20"/>
      <c r="F733" s="20"/>
      <c r="G733" s="20"/>
      <c r="H733" s="20"/>
      <c r="I733" s="20"/>
      <c r="J733" s="21"/>
      <c r="K733" s="98"/>
      <c r="L733" s="98"/>
      <c r="M733" s="17"/>
      <c r="N733" s="17"/>
      <c r="O733" s="20"/>
      <c r="P733" s="158">
        <f t="shared" si="14"/>
        <v>0</v>
      </c>
      <c r="Q733" s="159"/>
      <c r="R733" s="20"/>
      <c r="S733" s="20"/>
      <c r="T733" s="20"/>
      <c r="U733" s="20"/>
      <c r="V733" s="20"/>
      <c r="W733" s="98"/>
      <c r="X733" s="98"/>
      <c r="Y733" s="98"/>
      <c r="Z733" s="98"/>
      <c r="AA733" s="98"/>
      <c r="AB733" s="98"/>
      <c r="AC733" s="98"/>
      <c r="AD733" s="98"/>
      <c r="AE733" s="98"/>
      <c r="AF733" s="98"/>
      <c r="AG733" s="98"/>
      <c r="AH733" s="98"/>
      <c r="AI733" s="20"/>
      <c r="AJ733" s="20"/>
      <c r="AK733" s="20"/>
      <c r="AL733" s="20"/>
    </row>
    <row r="734">
      <c r="A734" s="156"/>
      <c r="B734" s="20"/>
      <c r="C734" s="20"/>
      <c r="D734" s="20"/>
      <c r="E734" s="20"/>
      <c r="F734" s="20"/>
      <c r="G734" s="20"/>
      <c r="H734" s="20"/>
      <c r="I734" s="20"/>
      <c r="J734" s="21"/>
      <c r="K734" s="98"/>
      <c r="L734" s="98"/>
      <c r="M734" s="17"/>
      <c r="N734" s="17"/>
      <c r="O734" s="20"/>
      <c r="P734" s="158">
        <f t="shared" si="14"/>
        <v>0</v>
      </c>
      <c r="Q734" s="159"/>
      <c r="R734" s="20"/>
      <c r="S734" s="20"/>
      <c r="T734" s="20"/>
      <c r="U734" s="20"/>
      <c r="V734" s="20"/>
      <c r="W734" s="98"/>
      <c r="X734" s="98"/>
      <c r="Y734" s="98"/>
      <c r="Z734" s="98"/>
      <c r="AA734" s="98"/>
      <c r="AB734" s="98"/>
      <c r="AC734" s="98"/>
      <c r="AD734" s="98"/>
      <c r="AE734" s="98"/>
      <c r="AF734" s="98"/>
      <c r="AG734" s="98"/>
      <c r="AH734" s="98"/>
      <c r="AI734" s="20"/>
      <c r="AJ734" s="20"/>
      <c r="AK734" s="20"/>
      <c r="AL734" s="20"/>
    </row>
    <row r="735">
      <c r="A735" s="156"/>
      <c r="B735" s="20"/>
      <c r="C735" s="20"/>
      <c r="D735" s="20"/>
      <c r="E735" s="20"/>
      <c r="F735" s="20"/>
      <c r="G735" s="20"/>
      <c r="H735" s="20"/>
      <c r="I735" s="20"/>
      <c r="J735" s="21"/>
      <c r="K735" s="98"/>
      <c r="L735" s="98"/>
      <c r="M735" s="17"/>
      <c r="N735" s="17"/>
      <c r="O735" s="20"/>
      <c r="P735" s="158">
        <f t="shared" si="14"/>
        <v>0</v>
      </c>
      <c r="Q735" s="159"/>
      <c r="R735" s="20"/>
      <c r="S735" s="20"/>
      <c r="T735" s="20"/>
      <c r="U735" s="20"/>
      <c r="V735" s="20"/>
      <c r="W735" s="98"/>
      <c r="X735" s="98"/>
      <c r="Y735" s="98"/>
      <c r="Z735" s="98"/>
      <c r="AA735" s="98"/>
      <c r="AB735" s="98"/>
      <c r="AC735" s="98"/>
      <c r="AD735" s="98"/>
      <c r="AE735" s="98"/>
      <c r="AF735" s="98"/>
      <c r="AG735" s="98"/>
      <c r="AH735" s="98"/>
      <c r="AI735" s="20"/>
      <c r="AJ735" s="20"/>
      <c r="AK735" s="20"/>
      <c r="AL735" s="20"/>
    </row>
    <row r="736">
      <c r="A736" s="156"/>
      <c r="B736" s="20"/>
      <c r="C736" s="20"/>
      <c r="D736" s="20"/>
      <c r="E736" s="20"/>
      <c r="F736" s="20"/>
      <c r="G736" s="20"/>
      <c r="H736" s="20"/>
      <c r="I736" s="20"/>
      <c r="J736" s="21"/>
      <c r="K736" s="98"/>
      <c r="L736" s="98"/>
      <c r="M736" s="17"/>
      <c r="N736" s="17"/>
      <c r="O736" s="20"/>
      <c r="P736" s="158">
        <f t="shared" si="14"/>
        <v>0</v>
      </c>
      <c r="Q736" s="159"/>
      <c r="R736" s="20"/>
      <c r="S736" s="20"/>
      <c r="T736" s="20"/>
      <c r="U736" s="20"/>
      <c r="V736" s="20"/>
      <c r="W736" s="98"/>
      <c r="X736" s="98"/>
      <c r="Y736" s="98"/>
      <c r="Z736" s="98"/>
      <c r="AA736" s="98"/>
      <c r="AB736" s="98"/>
      <c r="AC736" s="98"/>
      <c r="AD736" s="98"/>
      <c r="AE736" s="98"/>
      <c r="AF736" s="98"/>
      <c r="AG736" s="98"/>
      <c r="AH736" s="98"/>
      <c r="AI736" s="20"/>
      <c r="AJ736" s="20"/>
      <c r="AK736" s="20"/>
      <c r="AL736" s="20"/>
    </row>
    <row r="737">
      <c r="A737" s="156"/>
      <c r="B737" s="20"/>
      <c r="C737" s="20"/>
      <c r="D737" s="20"/>
      <c r="E737" s="20"/>
      <c r="F737" s="20"/>
      <c r="G737" s="20"/>
      <c r="H737" s="20"/>
      <c r="I737" s="20"/>
      <c r="J737" s="21"/>
      <c r="K737" s="98"/>
      <c r="L737" s="98"/>
      <c r="M737" s="17"/>
      <c r="N737" s="17"/>
      <c r="O737" s="20"/>
      <c r="P737" s="158">
        <f t="shared" si="14"/>
        <v>0</v>
      </c>
      <c r="Q737" s="159"/>
      <c r="R737" s="20"/>
      <c r="S737" s="20"/>
      <c r="T737" s="20"/>
      <c r="U737" s="20"/>
      <c r="V737" s="20"/>
      <c r="W737" s="98"/>
      <c r="X737" s="98"/>
      <c r="Y737" s="98"/>
      <c r="Z737" s="98"/>
      <c r="AA737" s="98"/>
      <c r="AB737" s="98"/>
      <c r="AC737" s="98"/>
      <c r="AD737" s="98"/>
      <c r="AE737" s="98"/>
      <c r="AF737" s="98"/>
      <c r="AG737" s="98"/>
      <c r="AH737" s="98"/>
      <c r="AI737" s="20"/>
      <c r="AJ737" s="20"/>
      <c r="AK737" s="20"/>
      <c r="AL737" s="20"/>
    </row>
    <row r="738">
      <c r="A738" s="156"/>
      <c r="B738" s="20"/>
      <c r="C738" s="20"/>
      <c r="D738" s="20"/>
      <c r="E738" s="20"/>
      <c r="F738" s="20"/>
      <c r="G738" s="20"/>
      <c r="H738" s="20"/>
      <c r="I738" s="20"/>
      <c r="J738" s="21"/>
      <c r="K738" s="98"/>
      <c r="L738" s="98"/>
      <c r="M738" s="17"/>
      <c r="N738" s="17"/>
      <c r="O738" s="20"/>
      <c r="P738" s="158">
        <f t="shared" si="14"/>
        <v>0</v>
      </c>
      <c r="Q738" s="159"/>
      <c r="R738" s="20"/>
      <c r="S738" s="20"/>
      <c r="T738" s="20"/>
      <c r="U738" s="20"/>
      <c r="V738" s="20"/>
      <c r="W738" s="98"/>
      <c r="X738" s="98"/>
      <c r="Y738" s="98"/>
      <c r="Z738" s="98"/>
      <c r="AA738" s="98"/>
      <c r="AB738" s="98"/>
      <c r="AC738" s="98"/>
      <c r="AD738" s="98"/>
      <c r="AE738" s="98"/>
      <c r="AF738" s="98"/>
      <c r="AG738" s="98"/>
      <c r="AH738" s="98"/>
      <c r="AI738" s="20"/>
      <c r="AJ738" s="20"/>
      <c r="AK738" s="20"/>
      <c r="AL738" s="20"/>
    </row>
    <row r="739">
      <c r="A739" s="156"/>
      <c r="B739" s="20"/>
      <c r="C739" s="20"/>
      <c r="D739" s="20"/>
      <c r="E739" s="20"/>
      <c r="F739" s="20"/>
      <c r="G739" s="20"/>
      <c r="H739" s="20"/>
      <c r="I739" s="20"/>
      <c r="J739" s="21"/>
      <c r="K739" s="98"/>
      <c r="L739" s="98"/>
      <c r="M739" s="17"/>
      <c r="N739" s="17"/>
      <c r="O739" s="20"/>
      <c r="P739" s="158">
        <f t="shared" si="14"/>
        <v>0</v>
      </c>
      <c r="Q739" s="159"/>
      <c r="R739" s="20"/>
      <c r="S739" s="20"/>
      <c r="T739" s="20"/>
      <c r="U739" s="20"/>
      <c r="V739" s="20"/>
      <c r="W739" s="98"/>
      <c r="X739" s="98"/>
      <c r="Y739" s="98"/>
      <c r="Z739" s="98"/>
      <c r="AA739" s="98"/>
      <c r="AB739" s="98"/>
      <c r="AC739" s="98"/>
      <c r="AD739" s="98"/>
      <c r="AE739" s="98"/>
      <c r="AF739" s="98"/>
      <c r="AG739" s="98"/>
      <c r="AH739" s="98"/>
      <c r="AI739" s="20"/>
      <c r="AJ739" s="20"/>
      <c r="AK739" s="20"/>
      <c r="AL739" s="20"/>
    </row>
    <row r="740">
      <c r="A740" s="156"/>
      <c r="B740" s="20"/>
      <c r="C740" s="20"/>
      <c r="D740" s="20"/>
      <c r="E740" s="20"/>
      <c r="F740" s="20"/>
      <c r="G740" s="20"/>
      <c r="H740" s="20"/>
      <c r="I740" s="20"/>
      <c r="J740" s="21"/>
      <c r="K740" s="98"/>
      <c r="L740" s="98"/>
      <c r="M740" s="17"/>
      <c r="N740" s="17"/>
      <c r="O740" s="20"/>
      <c r="P740" s="158">
        <f t="shared" si="14"/>
        <v>0</v>
      </c>
      <c r="Q740" s="159"/>
      <c r="R740" s="20"/>
      <c r="S740" s="20"/>
      <c r="T740" s="20"/>
      <c r="U740" s="20"/>
      <c r="V740" s="20"/>
      <c r="W740" s="98"/>
      <c r="X740" s="98"/>
      <c r="Y740" s="98"/>
      <c r="Z740" s="98"/>
      <c r="AA740" s="98"/>
      <c r="AB740" s="98"/>
      <c r="AC740" s="98"/>
      <c r="AD740" s="98"/>
      <c r="AE740" s="98"/>
      <c r="AF740" s="98"/>
      <c r="AG740" s="98"/>
      <c r="AH740" s="98"/>
      <c r="AI740" s="20"/>
      <c r="AJ740" s="20"/>
      <c r="AK740" s="20"/>
      <c r="AL740" s="20"/>
    </row>
    <row r="741">
      <c r="A741" s="156"/>
      <c r="B741" s="20"/>
      <c r="C741" s="20"/>
      <c r="D741" s="20"/>
      <c r="E741" s="20"/>
      <c r="F741" s="20"/>
      <c r="G741" s="20"/>
      <c r="H741" s="20"/>
      <c r="I741" s="20"/>
      <c r="J741" s="21"/>
      <c r="K741" s="98"/>
      <c r="L741" s="98"/>
      <c r="M741" s="17"/>
      <c r="N741" s="17"/>
      <c r="O741" s="20"/>
      <c r="P741" s="158">
        <f t="shared" si="14"/>
        <v>0</v>
      </c>
      <c r="Q741" s="159"/>
      <c r="R741" s="20"/>
      <c r="S741" s="20"/>
      <c r="T741" s="20"/>
      <c r="U741" s="20"/>
      <c r="V741" s="20"/>
      <c r="W741" s="98"/>
      <c r="X741" s="98"/>
      <c r="Y741" s="98"/>
      <c r="Z741" s="98"/>
      <c r="AA741" s="98"/>
      <c r="AB741" s="98"/>
      <c r="AC741" s="98"/>
      <c r="AD741" s="98"/>
      <c r="AE741" s="98"/>
      <c r="AF741" s="98"/>
      <c r="AG741" s="98"/>
      <c r="AH741" s="98"/>
      <c r="AI741" s="20"/>
      <c r="AJ741" s="20"/>
      <c r="AK741" s="20"/>
      <c r="AL741" s="20"/>
    </row>
    <row r="742">
      <c r="A742" s="156"/>
      <c r="B742" s="20"/>
      <c r="C742" s="20"/>
      <c r="D742" s="20"/>
      <c r="E742" s="20"/>
      <c r="F742" s="20"/>
      <c r="G742" s="20"/>
      <c r="H742" s="20"/>
      <c r="I742" s="20"/>
      <c r="J742" s="21"/>
      <c r="K742" s="98"/>
      <c r="L742" s="98"/>
      <c r="M742" s="17"/>
      <c r="N742" s="17"/>
      <c r="O742" s="20"/>
      <c r="P742" s="158">
        <f t="shared" si="14"/>
        <v>0</v>
      </c>
      <c r="Q742" s="159"/>
      <c r="R742" s="20"/>
      <c r="S742" s="20"/>
      <c r="T742" s="20"/>
      <c r="U742" s="20"/>
      <c r="V742" s="20"/>
      <c r="W742" s="98"/>
      <c r="X742" s="98"/>
      <c r="Y742" s="98"/>
      <c r="Z742" s="98"/>
      <c r="AA742" s="98"/>
      <c r="AB742" s="98"/>
      <c r="AC742" s="98"/>
      <c r="AD742" s="98"/>
      <c r="AE742" s="98"/>
      <c r="AF742" s="98"/>
      <c r="AG742" s="98"/>
      <c r="AH742" s="98"/>
      <c r="AI742" s="20"/>
      <c r="AJ742" s="20"/>
      <c r="AK742" s="20"/>
      <c r="AL742" s="20"/>
    </row>
    <row r="743">
      <c r="A743" s="156"/>
      <c r="B743" s="20"/>
      <c r="C743" s="20"/>
      <c r="D743" s="20"/>
      <c r="E743" s="20"/>
      <c r="F743" s="20"/>
      <c r="G743" s="20"/>
      <c r="H743" s="20"/>
      <c r="I743" s="20"/>
      <c r="J743" s="21"/>
      <c r="K743" s="98"/>
      <c r="L743" s="98"/>
      <c r="M743" s="17"/>
      <c r="N743" s="17"/>
      <c r="O743" s="20"/>
      <c r="P743" s="158">
        <f t="shared" si="14"/>
        <v>0</v>
      </c>
      <c r="Q743" s="159"/>
      <c r="R743" s="20"/>
      <c r="S743" s="20"/>
      <c r="T743" s="20"/>
      <c r="U743" s="20"/>
      <c r="V743" s="20"/>
      <c r="W743" s="98"/>
      <c r="X743" s="98"/>
      <c r="Y743" s="98"/>
      <c r="Z743" s="98"/>
      <c r="AA743" s="98"/>
      <c r="AB743" s="98"/>
      <c r="AC743" s="98"/>
      <c r="AD743" s="98"/>
      <c r="AE743" s="98"/>
      <c r="AF743" s="98"/>
      <c r="AG743" s="98"/>
      <c r="AH743" s="98"/>
      <c r="AI743" s="20"/>
      <c r="AJ743" s="20"/>
      <c r="AK743" s="20"/>
      <c r="AL743" s="20"/>
    </row>
    <row r="744">
      <c r="A744" s="156"/>
      <c r="B744" s="20"/>
      <c r="C744" s="20"/>
      <c r="D744" s="20"/>
      <c r="E744" s="20"/>
      <c r="F744" s="20"/>
      <c r="G744" s="20"/>
      <c r="H744" s="20"/>
      <c r="I744" s="20"/>
      <c r="J744" s="21"/>
      <c r="K744" s="98"/>
      <c r="L744" s="98"/>
      <c r="M744" s="17"/>
      <c r="N744" s="17"/>
      <c r="O744" s="20"/>
      <c r="P744" s="158">
        <f t="shared" si="14"/>
        <v>0</v>
      </c>
      <c r="Q744" s="159"/>
      <c r="R744" s="20"/>
      <c r="S744" s="20"/>
      <c r="T744" s="20"/>
      <c r="U744" s="20"/>
      <c r="V744" s="20"/>
      <c r="W744" s="98"/>
      <c r="X744" s="98"/>
      <c r="Y744" s="98"/>
      <c r="Z744" s="98"/>
      <c r="AA744" s="98"/>
      <c r="AB744" s="98"/>
      <c r="AC744" s="98"/>
      <c r="AD744" s="98"/>
      <c r="AE744" s="98"/>
      <c r="AF744" s="98"/>
      <c r="AG744" s="98"/>
      <c r="AH744" s="98"/>
      <c r="AI744" s="20"/>
      <c r="AJ744" s="20"/>
      <c r="AK744" s="20"/>
      <c r="AL744" s="20"/>
    </row>
    <row r="745">
      <c r="A745" s="156"/>
      <c r="B745" s="20"/>
      <c r="C745" s="20"/>
      <c r="D745" s="20"/>
      <c r="E745" s="20"/>
      <c r="F745" s="20"/>
      <c r="G745" s="20"/>
      <c r="H745" s="20"/>
      <c r="I745" s="20"/>
      <c r="J745" s="21"/>
      <c r="K745" s="98"/>
      <c r="L745" s="98"/>
      <c r="M745" s="17"/>
      <c r="N745" s="17"/>
      <c r="O745" s="20"/>
      <c r="P745" s="158">
        <f t="shared" si="14"/>
        <v>0</v>
      </c>
      <c r="Q745" s="159"/>
      <c r="R745" s="20"/>
      <c r="S745" s="20"/>
      <c r="T745" s="20"/>
      <c r="U745" s="20"/>
      <c r="V745" s="20"/>
      <c r="W745" s="98"/>
      <c r="X745" s="98"/>
      <c r="Y745" s="98"/>
      <c r="Z745" s="98"/>
      <c r="AA745" s="98"/>
      <c r="AB745" s="98"/>
      <c r="AC745" s="98"/>
      <c r="AD745" s="98"/>
      <c r="AE745" s="98"/>
      <c r="AF745" s="98"/>
      <c r="AG745" s="98"/>
      <c r="AH745" s="98"/>
      <c r="AI745" s="20"/>
      <c r="AJ745" s="20"/>
      <c r="AK745" s="20"/>
      <c r="AL745" s="20"/>
    </row>
    <row r="746">
      <c r="A746" s="156"/>
      <c r="B746" s="20"/>
      <c r="C746" s="20"/>
      <c r="D746" s="20"/>
      <c r="E746" s="20"/>
      <c r="F746" s="20"/>
      <c r="G746" s="20"/>
      <c r="H746" s="20"/>
      <c r="I746" s="20"/>
      <c r="J746" s="21"/>
      <c r="K746" s="98"/>
      <c r="L746" s="98"/>
      <c r="M746" s="17"/>
      <c r="N746" s="17"/>
      <c r="O746" s="20"/>
      <c r="P746" s="158">
        <f t="shared" si="14"/>
        <v>0</v>
      </c>
      <c r="Q746" s="159"/>
      <c r="R746" s="20"/>
      <c r="S746" s="20"/>
      <c r="T746" s="20"/>
      <c r="U746" s="20"/>
      <c r="V746" s="20"/>
      <c r="W746" s="98"/>
      <c r="X746" s="98"/>
      <c r="Y746" s="98"/>
      <c r="Z746" s="98"/>
      <c r="AA746" s="98"/>
      <c r="AB746" s="98"/>
      <c r="AC746" s="98"/>
      <c r="AD746" s="98"/>
      <c r="AE746" s="98"/>
      <c r="AF746" s="98"/>
      <c r="AG746" s="98"/>
      <c r="AH746" s="98"/>
      <c r="AI746" s="20"/>
      <c r="AJ746" s="20"/>
      <c r="AK746" s="20"/>
      <c r="AL746" s="20"/>
    </row>
    <row r="747">
      <c r="A747" s="156"/>
      <c r="B747" s="20"/>
      <c r="C747" s="20"/>
      <c r="D747" s="20"/>
      <c r="E747" s="20"/>
      <c r="F747" s="20"/>
      <c r="G747" s="20"/>
      <c r="H747" s="20"/>
      <c r="I747" s="20"/>
      <c r="J747" s="21"/>
      <c r="K747" s="98"/>
      <c r="L747" s="98"/>
      <c r="M747" s="17"/>
      <c r="N747" s="17"/>
      <c r="O747" s="20"/>
      <c r="P747" s="158">
        <f t="shared" si="14"/>
        <v>0</v>
      </c>
      <c r="Q747" s="159"/>
      <c r="R747" s="20"/>
      <c r="S747" s="20"/>
      <c r="T747" s="20"/>
      <c r="U747" s="20"/>
      <c r="V747" s="20"/>
      <c r="W747" s="98"/>
      <c r="X747" s="98"/>
      <c r="Y747" s="98"/>
      <c r="Z747" s="98"/>
      <c r="AA747" s="98"/>
      <c r="AB747" s="98"/>
      <c r="AC747" s="98"/>
      <c r="AD747" s="98"/>
      <c r="AE747" s="98"/>
      <c r="AF747" s="98"/>
      <c r="AG747" s="98"/>
      <c r="AH747" s="98"/>
      <c r="AI747" s="20"/>
      <c r="AJ747" s="20"/>
      <c r="AK747" s="20"/>
      <c r="AL747" s="20"/>
    </row>
    <row r="748">
      <c r="A748" s="156"/>
      <c r="B748" s="20"/>
      <c r="C748" s="20"/>
      <c r="D748" s="20"/>
      <c r="E748" s="20"/>
      <c r="F748" s="20"/>
      <c r="G748" s="20"/>
      <c r="H748" s="20"/>
      <c r="I748" s="20"/>
      <c r="J748" s="21"/>
      <c r="K748" s="98"/>
      <c r="L748" s="98"/>
      <c r="M748" s="17"/>
      <c r="N748" s="17"/>
      <c r="O748" s="20"/>
      <c r="P748" s="158">
        <f t="shared" si="14"/>
        <v>0</v>
      </c>
      <c r="Q748" s="159"/>
      <c r="R748" s="20"/>
      <c r="S748" s="20"/>
      <c r="T748" s="20"/>
      <c r="U748" s="20"/>
      <c r="V748" s="20"/>
      <c r="W748" s="98"/>
      <c r="X748" s="98"/>
      <c r="Y748" s="98"/>
      <c r="Z748" s="98"/>
      <c r="AA748" s="98"/>
      <c r="AB748" s="98"/>
      <c r="AC748" s="98"/>
      <c r="AD748" s="98"/>
      <c r="AE748" s="98"/>
      <c r="AF748" s="98"/>
      <c r="AG748" s="98"/>
      <c r="AH748" s="98"/>
      <c r="AI748" s="20"/>
      <c r="AJ748" s="20"/>
      <c r="AK748" s="20"/>
      <c r="AL748" s="20"/>
    </row>
    <row r="749">
      <c r="A749" s="156"/>
      <c r="B749" s="20"/>
      <c r="C749" s="20"/>
      <c r="D749" s="20"/>
      <c r="E749" s="20"/>
      <c r="F749" s="20"/>
      <c r="G749" s="20"/>
      <c r="H749" s="20"/>
      <c r="I749" s="20"/>
      <c r="J749" s="21"/>
      <c r="K749" s="98"/>
      <c r="L749" s="98"/>
      <c r="M749" s="17"/>
      <c r="N749" s="17"/>
      <c r="O749" s="20"/>
      <c r="P749" s="158">
        <f t="shared" si="14"/>
        <v>0</v>
      </c>
      <c r="Q749" s="159"/>
      <c r="R749" s="20"/>
      <c r="S749" s="20"/>
      <c r="T749" s="20"/>
      <c r="U749" s="20"/>
      <c r="V749" s="20"/>
      <c r="W749" s="98"/>
      <c r="X749" s="98"/>
      <c r="Y749" s="98"/>
      <c r="Z749" s="98"/>
      <c r="AA749" s="98"/>
      <c r="AB749" s="98"/>
      <c r="AC749" s="98"/>
      <c r="AD749" s="98"/>
      <c r="AE749" s="98"/>
      <c r="AF749" s="98"/>
      <c r="AG749" s="98"/>
      <c r="AH749" s="98"/>
      <c r="AI749" s="20"/>
      <c r="AJ749" s="20"/>
      <c r="AK749" s="20"/>
      <c r="AL749" s="20"/>
    </row>
    <row r="750">
      <c r="A750" s="156"/>
      <c r="B750" s="20"/>
      <c r="C750" s="20"/>
      <c r="D750" s="20"/>
      <c r="E750" s="20"/>
      <c r="F750" s="20"/>
      <c r="G750" s="20"/>
      <c r="H750" s="20"/>
      <c r="I750" s="20"/>
      <c r="J750" s="21"/>
      <c r="K750" s="98"/>
      <c r="L750" s="98"/>
      <c r="M750" s="17"/>
      <c r="N750" s="17"/>
      <c r="O750" s="20"/>
      <c r="P750" s="158">
        <f t="shared" si="14"/>
        <v>0</v>
      </c>
      <c r="Q750" s="159"/>
      <c r="R750" s="20"/>
      <c r="S750" s="20"/>
      <c r="T750" s="20"/>
      <c r="U750" s="20"/>
      <c r="V750" s="20"/>
      <c r="W750" s="98"/>
      <c r="X750" s="98"/>
      <c r="Y750" s="98"/>
      <c r="Z750" s="98"/>
      <c r="AA750" s="98"/>
      <c r="AB750" s="98"/>
      <c r="AC750" s="98"/>
      <c r="AD750" s="98"/>
      <c r="AE750" s="98"/>
      <c r="AF750" s="98"/>
      <c r="AG750" s="98"/>
      <c r="AH750" s="98"/>
      <c r="AI750" s="20"/>
      <c r="AJ750" s="20"/>
      <c r="AK750" s="20"/>
      <c r="AL750" s="20"/>
    </row>
    <row r="751">
      <c r="A751" s="156"/>
      <c r="B751" s="20"/>
      <c r="C751" s="20"/>
      <c r="D751" s="20"/>
      <c r="E751" s="20"/>
      <c r="F751" s="20"/>
      <c r="G751" s="20"/>
      <c r="H751" s="20"/>
      <c r="I751" s="20"/>
      <c r="J751" s="21"/>
      <c r="K751" s="98"/>
      <c r="L751" s="98"/>
      <c r="M751" s="17"/>
      <c r="N751" s="17"/>
      <c r="O751" s="20"/>
      <c r="P751" s="158">
        <f t="shared" si="14"/>
        <v>0</v>
      </c>
      <c r="Q751" s="159"/>
      <c r="R751" s="20"/>
      <c r="S751" s="20"/>
      <c r="T751" s="20"/>
      <c r="U751" s="20"/>
      <c r="V751" s="20"/>
      <c r="W751" s="98"/>
      <c r="X751" s="98"/>
      <c r="Y751" s="98"/>
      <c r="Z751" s="98"/>
      <c r="AA751" s="98"/>
      <c r="AB751" s="98"/>
      <c r="AC751" s="98"/>
      <c r="AD751" s="98"/>
      <c r="AE751" s="98"/>
      <c r="AF751" s="98"/>
      <c r="AG751" s="98"/>
      <c r="AH751" s="98"/>
      <c r="AI751" s="20"/>
      <c r="AJ751" s="20"/>
      <c r="AK751" s="20"/>
      <c r="AL751" s="20"/>
    </row>
    <row r="752">
      <c r="A752" s="156"/>
      <c r="B752" s="20"/>
      <c r="C752" s="20"/>
      <c r="D752" s="20"/>
      <c r="E752" s="20"/>
      <c r="F752" s="20"/>
      <c r="G752" s="20"/>
      <c r="H752" s="20"/>
      <c r="I752" s="20"/>
      <c r="J752" s="21"/>
      <c r="K752" s="98"/>
      <c r="L752" s="98"/>
      <c r="M752" s="17"/>
      <c r="N752" s="17"/>
      <c r="O752" s="20"/>
      <c r="P752" s="158">
        <f t="shared" si="14"/>
        <v>0</v>
      </c>
      <c r="Q752" s="159"/>
      <c r="R752" s="20"/>
      <c r="S752" s="20"/>
      <c r="T752" s="20"/>
      <c r="U752" s="20"/>
      <c r="V752" s="20"/>
      <c r="W752" s="98"/>
      <c r="X752" s="98"/>
      <c r="Y752" s="98"/>
      <c r="Z752" s="98"/>
      <c r="AA752" s="98"/>
      <c r="AB752" s="98"/>
      <c r="AC752" s="98"/>
      <c r="AD752" s="98"/>
      <c r="AE752" s="98"/>
      <c r="AF752" s="98"/>
      <c r="AG752" s="98"/>
      <c r="AH752" s="98"/>
      <c r="AI752" s="20"/>
      <c r="AJ752" s="20"/>
      <c r="AK752" s="20"/>
      <c r="AL752" s="20"/>
    </row>
    <row r="753">
      <c r="A753" s="156"/>
      <c r="B753" s="20"/>
      <c r="C753" s="20"/>
      <c r="D753" s="20"/>
      <c r="E753" s="20"/>
      <c r="F753" s="20"/>
      <c r="G753" s="20"/>
      <c r="H753" s="20"/>
      <c r="I753" s="20"/>
      <c r="J753" s="21"/>
      <c r="K753" s="98"/>
      <c r="L753" s="98"/>
      <c r="M753" s="17"/>
      <c r="N753" s="17"/>
      <c r="O753" s="20"/>
      <c r="P753" s="158">
        <f t="shared" si="14"/>
        <v>0</v>
      </c>
      <c r="Q753" s="159"/>
      <c r="R753" s="20"/>
      <c r="S753" s="20"/>
      <c r="T753" s="20"/>
      <c r="U753" s="20"/>
      <c r="V753" s="20"/>
      <c r="W753" s="98"/>
      <c r="X753" s="98"/>
      <c r="Y753" s="98"/>
      <c r="Z753" s="98"/>
      <c r="AA753" s="98"/>
      <c r="AB753" s="98"/>
      <c r="AC753" s="98"/>
      <c r="AD753" s="98"/>
      <c r="AE753" s="98"/>
      <c r="AF753" s="98"/>
      <c r="AG753" s="98"/>
      <c r="AH753" s="98"/>
      <c r="AI753" s="20"/>
      <c r="AJ753" s="20"/>
      <c r="AK753" s="20"/>
      <c r="AL753" s="20"/>
    </row>
    <row r="754">
      <c r="A754" s="156"/>
      <c r="B754" s="20"/>
      <c r="C754" s="20"/>
      <c r="D754" s="20"/>
      <c r="E754" s="20"/>
      <c r="F754" s="20"/>
      <c r="G754" s="20"/>
      <c r="H754" s="20"/>
      <c r="I754" s="20"/>
      <c r="J754" s="21"/>
      <c r="K754" s="98"/>
      <c r="L754" s="98"/>
      <c r="M754" s="17"/>
      <c r="N754" s="17"/>
      <c r="O754" s="20"/>
      <c r="P754" s="158">
        <f t="shared" si="14"/>
        <v>0</v>
      </c>
      <c r="Q754" s="159"/>
      <c r="R754" s="20"/>
      <c r="S754" s="20"/>
      <c r="T754" s="20"/>
      <c r="U754" s="20"/>
      <c r="V754" s="20"/>
      <c r="W754" s="98"/>
      <c r="X754" s="98"/>
      <c r="Y754" s="98"/>
      <c r="Z754" s="98"/>
      <c r="AA754" s="98"/>
      <c r="AB754" s="98"/>
      <c r="AC754" s="98"/>
      <c r="AD754" s="98"/>
      <c r="AE754" s="98"/>
      <c r="AF754" s="98"/>
      <c r="AG754" s="98"/>
      <c r="AH754" s="98"/>
      <c r="AI754" s="20"/>
      <c r="AJ754" s="20"/>
      <c r="AK754" s="20"/>
      <c r="AL754" s="20"/>
    </row>
    <row r="755">
      <c r="A755" s="156"/>
      <c r="B755" s="20"/>
      <c r="C755" s="20"/>
      <c r="D755" s="20"/>
      <c r="E755" s="20"/>
      <c r="F755" s="20"/>
      <c r="G755" s="20"/>
      <c r="H755" s="20"/>
      <c r="I755" s="20"/>
      <c r="J755" s="21"/>
      <c r="K755" s="98"/>
      <c r="L755" s="98"/>
      <c r="M755" s="17"/>
      <c r="N755" s="17"/>
      <c r="O755" s="20"/>
      <c r="P755" s="20"/>
      <c r="Q755" s="159"/>
      <c r="R755" s="20"/>
      <c r="S755" s="20"/>
      <c r="T755" s="20"/>
      <c r="U755" s="20"/>
      <c r="V755" s="20"/>
      <c r="W755" s="98"/>
      <c r="X755" s="98"/>
      <c r="Y755" s="98"/>
      <c r="Z755" s="98"/>
      <c r="AA755" s="98"/>
      <c r="AB755" s="98"/>
      <c r="AC755" s="98"/>
      <c r="AD755" s="98"/>
      <c r="AE755" s="98"/>
      <c r="AF755" s="98"/>
      <c r="AG755" s="98"/>
      <c r="AH755" s="98"/>
      <c r="AI755" s="20"/>
      <c r="AJ755" s="20"/>
      <c r="AK755" s="20"/>
      <c r="AL755" s="20"/>
    </row>
    <row r="756">
      <c r="A756" s="156"/>
      <c r="B756" s="20"/>
      <c r="C756" s="20"/>
      <c r="D756" s="20"/>
      <c r="E756" s="20"/>
      <c r="F756" s="20"/>
      <c r="G756" s="20"/>
      <c r="H756" s="20"/>
      <c r="I756" s="20"/>
      <c r="J756" s="21"/>
      <c r="K756" s="98"/>
      <c r="L756" s="98"/>
      <c r="M756" s="17"/>
      <c r="N756" s="17"/>
      <c r="O756" s="20"/>
      <c r="P756" s="20"/>
      <c r="Q756" s="159"/>
      <c r="R756" s="20"/>
      <c r="S756" s="20"/>
      <c r="T756" s="20"/>
      <c r="U756" s="20"/>
      <c r="V756" s="20"/>
      <c r="W756" s="98"/>
      <c r="X756" s="98"/>
      <c r="Y756" s="98"/>
      <c r="Z756" s="98"/>
      <c r="AA756" s="98"/>
      <c r="AB756" s="98"/>
      <c r="AC756" s="98"/>
      <c r="AD756" s="98"/>
      <c r="AE756" s="98"/>
      <c r="AF756" s="98"/>
      <c r="AG756" s="98"/>
      <c r="AH756" s="98"/>
      <c r="AI756" s="20"/>
      <c r="AJ756" s="20"/>
      <c r="AK756" s="20"/>
      <c r="AL756" s="20"/>
    </row>
    <row r="757">
      <c r="A757" s="156"/>
      <c r="B757" s="20"/>
      <c r="C757" s="20"/>
      <c r="D757" s="20"/>
      <c r="E757" s="20"/>
      <c r="F757" s="20"/>
      <c r="G757" s="20"/>
      <c r="H757" s="20"/>
      <c r="I757" s="20"/>
      <c r="J757" s="21"/>
      <c r="K757" s="98"/>
      <c r="L757" s="98"/>
      <c r="M757" s="17"/>
      <c r="N757" s="17"/>
      <c r="O757" s="20"/>
      <c r="P757" s="20"/>
      <c r="Q757" s="159"/>
      <c r="R757" s="20"/>
      <c r="S757" s="20"/>
      <c r="T757" s="20"/>
      <c r="U757" s="20"/>
      <c r="V757" s="20"/>
      <c r="W757" s="98"/>
      <c r="X757" s="98"/>
      <c r="Y757" s="98"/>
      <c r="Z757" s="98"/>
      <c r="AA757" s="98"/>
      <c r="AB757" s="98"/>
      <c r="AC757" s="98"/>
      <c r="AD757" s="98"/>
      <c r="AE757" s="98"/>
      <c r="AF757" s="98"/>
      <c r="AG757" s="98"/>
      <c r="AH757" s="98"/>
      <c r="AI757" s="20"/>
      <c r="AJ757" s="20"/>
      <c r="AK757" s="20"/>
      <c r="AL757" s="20"/>
    </row>
    <row r="758">
      <c r="A758" s="156"/>
      <c r="B758" s="20"/>
      <c r="C758" s="20"/>
      <c r="D758" s="20"/>
      <c r="E758" s="20"/>
      <c r="F758" s="20"/>
      <c r="G758" s="20"/>
      <c r="H758" s="20"/>
      <c r="I758" s="20"/>
      <c r="J758" s="21"/>
      <c r="K758" s="98"/>
      <c r="L758" s="98"/>
      <c r="M758" s="17"/>
      <c r="N758" s="17"/>
      <c r="O758" s="20"/>
      <c r="P758" s="20"/>
      <c r="Q758" s="159"/>
      <c r="R758" s="20"/>
      <c r="S758" s="20"/>
      <c r="T758" s="20"/>
      <c r="U758" s="20"/>
      <c r="V758" s="20"/>
      <c r="W758" s="98"/>
      <c r="X758" s="98"/>
      <c r="Y758" s="98"/>
      <c r="Z758" s="98"/>
      <c r="AA758" s="98"/>
      <c r="AB758" s="98"/>
      <c r="AC758" s="98"/>
      <c r="AD758" s="98"/>
      <c r="AE758" s="98"/>
      <c r="AF758" s="98"/>
      <c r="AG758" s="98"/>
      <c r="AH758" s="98"/>
      <c r="AI758" s="20"/>
      <c r="AJ758" s="20"/>
      <c r="AK758" s="20"/>
      <c r="AL758" s="20"/>
    </row>
    <row r="759">
      <c r="A759" s="156"/>
      <c r="B759" s="20"/>
      <c r="C759" s="20"/>
      <c r="D759" s="20"/>
      <c r="E759" s="20"/>
      <c r="F759" s="20"/>
      <c r="G759" s="20"/>
      <c r="H759" s="20"/>
      <c r="I759" s="20"/>
      <c r="J759" s="21"/>
      <c r="K759" s="98"/>
      <c r="L759" s="98"/>
      <c r="M759" s="17"/>
      <c r="N759" s="17"/>
      <c r="O759" s="20"/>
      <c r="P759" s="20"/>
      <c r="Q759" s="159"/>
      <c r="R759" s="20"/>
      <c r="S759" s="20"/>
      <c r="T759" s="20"/>
      <c r="U759" s="20"/>
      <c r="V759" s="20"/>
      <c r="W759" s="98"/>
      <c r="X759" s="98"/>
      <c r="Y759" s="98"/>
      <c r="Z759" s="98"/>
      <c r="AA759" s="98"/>
      <c r="AB759" s="98"/>
      <c r="AC759" s="98"/>
      <c r="AD759" s="98"/>
      <c r="AE759" s="98"/>
      <c r="AF759" s="98"/>
      <c r="AG759" s="98"/>
      <c r="AH759" s="98"/>
      <c r="AI759" s="20"/>
      <c r="AJ759" s="20"/>
      <c r="AK759" s="20"/>
      <c r="AL759" s="20"/>
    </row>
    <row r="760">
      <c r="A760" s="156"/>
      <c r="B760" s="20"/>
      <c r="C760" s="20"/>
      <c r="D760" s="20"/>
      <c r="E760" s="20"/>
      <c r="F760" s="20"/>
      <c r="G760" s="20"/>
      <c r="H760" s="20"/>
      <c r="I760" s="20"/>
      <c r="J760" s="21"/>
      <c r="K760" s="98"/>
      <c r="L760" s="98"/>
      <c r="M760" s="17"/>
      <c r="N760" s="17"/>
      <c r="O760" s="20"/>
      <c r="P760" s="20"/>
      <c r="Q760" s="159"/>
      <c r="R760" s="20"/>
      <c r="S760" s="20"/>
      <c r="T760" s="20"/>
      <c r="U760" s="20"/>
      <c r="V760" s="20"/>
      <c r="W760" s="98"/>
      <c r="X760" s="98"/>
      <c r="Y760" s="98"/>
      <c r="Z760" s="98"/>
      <c r="AA760" s="98"/>
      <c r="AB760" s="98"/>
      <c r="AC760" s="98"/>
      <c r="AD760" s="98"/>
      <c r="AE760" s="98"/>
      <c r="AF760" s="98"/>
      <c r="AG760" s="98"/>
      <c r="AH760" s="98"/>
      <c r="AI760" s="20"/>
      <c r="AJ760" s="20"/>
      <c r="AK760" s="20"/>
      <c r="AL760" s="20"/>
    </row>
    <row r="761">
      <c r="A761" s="156"/>
      <c r="B761" s="20"/>
      <c r="C761" s="20"/>
      <c r="D761" s="20"/>
      <c r="E761" s="20"/>
      <c r="F761" s="20"/>
      <c r="G761" s="20"/>
      <c r="H761" s="20"/>
      <c r="I761" s="20"/>
      <c r="J761" s="21"/>
      <c r="K761" s="98"/>
      <c r="L761" s="98"/>
      <c r="M761" s="17"/>
      <c r="N761" s="17"/>
      <c r="O761" s="20"/>
      <c r="P761" s="20"/>
      <c r="Q761" s="159"/>
      <c r="R761" s="20"/>
      <c r="S761" s="20"/>
      <c r="T761" s="20"/>
      <c r="U761" s="20"/>
      <c r="V761" s="20"/>
      <c r="W761" s="98"/>
      <c r="X761" s="98"/>
      <c r="Y761" s="98"/>
      <c r="Z761" s="98"/>
      <c r="AA761" s="98"/>
      <c r="AB761" s="98"/>
      <c r="AC761" s="98"/>
      <c r="AD761" s="98"/>
      <c r="AE761" s="98"/>
      <c r="AF761" s="98"/>
      <c r="AG761" s="98"/>
      <c r="AH761" s="98"/>
      <c r="AI761" s="20"/>
      <c r="AJ761" s="20"/>
      <c r="AK761" s="20"/>
      <c r="AL761" s="20"/>
    </row>
    <row r="762">
      <c r="A762" s="156"/>
      <c r="B762" s="20"/>
      <c r="C762" s="20"/>
      <c r="D762" s="20"/>
      <c r="E762" s="20"/>
      <c r="F762" s="20"/>
      <c r="G762" s="20"/>
      <c r="H762" s="20"/>
      <c r="I762" s="20"/>
      <c r="J762" s="21"/>
      <c r="K762" s="98"/>
      <c r="L762" s="98"/>
      <c r="M762" s="17"/>
      <c r="N762" s="17"/>
      <c r="O762" s="20"/>
      <c r="P762" s="20"/>
      <c r="Q762" s="159"/>
      <c r="R762" s="20"/>
      <c r="S762" s="20"/>
      <c r="T762" s="20"/>
      <c r="U762" s="20"/>
      <c r="V762" s="20"/>
      <c r="W762" s="98"/>
      <c r="X762" s="98"/>
      <c r="Y762" s="98"/>
      <c r="Z762" s="98"/>
      <c r="AA762" s="98"/>
      <c r="AB762" s="98"/>
      <c r="AC762" s="98"/>
      <c r="AD762" s="98"/>
      <c r="AE762" s="98"/>
      <c r="AF762" s="98"/>
      <c r="AG762" s="98"/>
      <c r="AH762" s="98"/>
      <c r="AI762" s="20"/>
      <c r="AJ762" s="20"/>
      <c r="AK762" s="20"/>
      <c r="AL762" s="20"/>
    </row>
    <row r="763">
      <c r="A763" s="156"/>
      <c r="B763" s="20"/>
      <c r="C763" s="20"/>
      <c r="D763" s="20"/>
      <c r="E763" s="20"/>
      <c r="F763" s="20"/>
      <c r="G763" s="20"/>
      <c r="H763" s="20"/>
      <c r="I763" s="20"/>
      <c r="J763" s="21"/>
      <c r="K763" s="98"/>
      <c r="L763" s="98"/>
      <c r="M763" s="17"/>
      <c r="N763" s="17"/>
      <c r="O763" s="20"/>
      <c r="P763" s="20"/>
      <c r="Q763" s="159"/>
      <c r="R763" s="20"/>
      <c r="S763" s="20"/>
      <c r="T763" s="20"/>
      <c r="U763" s="20"/>
      <c r="V763" s="20"/>
      <c r="W763" s="98"/>
      <c r="X763" s="98"/>
      <c r="Y763" s="98"/>
      <c r="Z763" s="98"/>
      <c r="AA763" s="98"/>
      <c r="AB763" s="98"/>
      <c r="AC763" s="98"/>
      <c r="AD763" s="98"/>
      <c r="AE763" s="98"/>
      <c r="AF763" s="98"/>
      <c r="AG763" s="98"/>
      <c r="AH763" s="98"/>
      <c r="AI763" s="20"/>
      <c r="AJ763" s="20"/>
      <c r="AK763" s="20"/>
      <c r="AL763" s="20"/>
    </row>
    <row r="764">
      <c r="A764" s="156"/>
      <c r="B764" s="20"/>
      <c r="C764" s="20"/>
      <c r="D764" s="20"/>
      <c r="E764" s="20"/>
      <c r="F764" s="20"/>
      <c r="G764" s="20"/>
      <c r="H764" s="20"/>
      <c r="I764" s="20"/>
      <c r="J764" s="21"/>
      <c r="K764" s="98"/>
      <c r="L764" s="98"/>
      <c r="M764" s="17"/>
      <c r="N764" s="17"/>
      <c r="O764" s="20"/>
      <c r="P764" s="20"/>
      <c r="Q764" s="159"/>
      <c r="R764" s="20"/>
      <c r="S764" s="20"/>
      <c r="T764" s="20"/>
      <c r="U764" s="20"/>
      <c r="V764" s="20"/>
      <c r="W764" s="98"/>
      <c r="X764" s="98"/>
      <c r="Y764" s="98"/>
      <c r="Z764" s="98"/>
      <c r="AA764" s="98"/>
      <c r="AB764" s="98"/>
      <c r="AC764" s="98"/>
      <c r="AD764" s="98"/>
      <c r="AE764" s="98"/>
      <c r="AF764" s="98"/>
      <c r="AG764" s="98"/>
      <c r="AH764" s="98"/>
      <c r="AI764" s="20"/>
      <c r="AJ764" s="20"/>
      <c r="AK764" s="20"/>
      <c r="AL764" s="20"/>
    </row>
    <row r="765">
      <c r="A765" s="156"/>
      <c r="B765" s="20"/>
      <c r="C765" s="20"/>
      <c r="D765" s="20"/>
      <c r="E765" s="20"/>
      <c r="F765" s="20"/>
      <c r="G765" s="20"/>
      <c r="H765" s="20"/>
      <c r="I765" s="20"/>
      <c r="J765" s="21"/>
      <c r="K765" s="98"/>
      <c r="L765" s="98"/>
      <c r="M765" s="17"/>
      <c r="N765" s="17"/>
      <c r="O765" s="20"/>
      <c r="P765" s="20"/>
      <c r="Q765" s="159"/>
      <c r="R765" s="20"/>
      <c r="S765" s="20"/>
      <c r="T765" s="20"/>
      <c r="U765" s="20"/>
      <c r="V765" s="20"/>
      <c r="W765" s="98"/>
      <c r="X765" s="98"/>
      <c r="Y765" s="98"/>
      <c r="Z765" s="98"/>
      <c r="AA765" s="98"/>
      <c r="AB765" s="98"/>
      <c r="AC765" s="98"/>
      <c r="AD765" s="98"/>
      <c r="AE765" s="98"/>
      <c r="AF765" s="98"/>
      <c r="AG765" s="98"/>
      <c r="AH765" s="98"/>
      <c r="AI765" s="20"/>
      <c r="AJ765" s="20"/>
      <c r="AK765" s="20"/>
      <c r="AL765" s="20"/>
    </row>
    <row r="766">
      <c r="A766" s="156"/>
      <c r="B766" s="20"/>
      <c r="C766" s="20"/>
      <c r="D766" s="20"/>
      <c r="E766" s="20"/>
      <c r="F766" s="20"/>
      <c r="G766" s="20"/>
      <c r="H766" s="20"/>
      <c r="I766" s="20"/>
      <c r="J766" s="21"/>
      <c r="K766" s="98"/>
      <c r="L766" s="98"/>
      <c r="M766" s="17"/>
      <c r="N766" s="17"/>
      <c r="O766" s="20"/>
      <c r="P766" s="20"/>
      <c r="Q766" s="159"/>
      <c r="R766" s="20"/>
      <c r="S766" s="20"/>
      <c r="T766" s="20"/>
      <c r="U766" s="20"/>
      <c r="V766" s="20"/>
      <c r="W766" s="98"/>
      <c r="X766" s="98"/>
      <c r="Y766" s="98"/>
      <c r="Z766" s="98"/>
      <c r="AA766" s="98"/>
      <c r="AB766" s="98"/>
      <c r="AC766" s="98"/>
      <c r="AD766" s="98"/>
      <c r="AE766" s="98"/>
      <c r="AF766" s="98"/>
      <c r="AG766" s="98"/>
      <c r="AH766" s="98"/>
      <c r="AI766" s="20"/>
      <c r="AJ766" s="20"/>
      <c r="AK766" s="20"/>
      <c r="AL766" s="20"/>
    </row>
    <row r="767">
      <c r="A767" s="156"/>
      <c r="B767" s="20"/>
      <c r="C767" s="20"/>
      <c r="D767" s="20"/>
      <c r="E767" s="20"/>
      <c r="F767" s="20"/>
      <c r="G767" s="20"/>
      <c r="H767" s="20"/>
      <c r="I767" s="20"/>
      <c r="J767" s="21"/>
      <c r="K767" s="98"/>
      <c r="L767" s="98"/>
      <c r="M767" s="17"/>
      <c r="N767" s="17"/>
      <c r="O767" s="20"/>
      <c r="P767" s="20"/>
      <c r="Q767" s="159"/>
      <c r="R767" s="20"/>
      <c r="S767" s="20"/>
      <c r="T767" s="20"/>
      <c r="U767" s="20"/>
      <c r="V767" s="20"/>
      <c r="W767" s="98"/>
      <c r="X767" s="98"/>
      <c r="Y767" s="98"/>
      <c r="Z767" s="98"/>
      <c r="AA767" s="98"/>
      <c r="AB767" s="98"/>
      <c r="AC767" s="98"/>
      <c r="AD767" s="98"/>
      <c r="AE767" s="98"/>
      <c r="AF767" s="98"/>
      <c r="AG767" s="98"/>
      <c r="AH767" s="98"/>
      <c r="AI767" s="20"/>
      <c r="AJ767" s="20"/>
      <c r="AK767" s="20"/>
      <c r="AL767" s="20"/>
    </row>
    <row r="768">
      <c r="A768" s="156"/>
      <c r="B768" s="20"/>
      <c r="C768" s="20"/>
      <c r="D768" s="20"/>
      <c r="E768" s="20"/>
      <c r="F768" s="20"/>
      <c r="G768" s="20"/>
      <c r="H768" s="20"/>
      <c r="I768" s="20"/>
      <c r="J768" s="21"/>
      <c r="K768" s="98"/>
      <c r="L768" s="98"/>
      <c r="M768" s="17"/>
      <c r="N768" s="17"/>
      <c r="O768" s="20"/>
      <c r="P768" s="20"/>
      <c r="Q768" s="159"/>
      <c r="R768" s="20"/>
      <c r="S768" s="20"/>
      <c r="T768" s="20"/>
      <c r="U768" s="20"/>
      <c r="V768" s="20"/>
      <c r="W768" s="98"/>
      <c r="X768" s="98"/>
      <c r="Y768" s="98"/>
      <c r="Z768" s="98"/>
      <c r="AA768" s="98"/>
      <c r="AB768" s="98"/>
      <c r="AC768" s="98"/>
      <c r="AD768" s="98"/>
      <c r="AE768" s="98"/>
      <c r="AF768" s="98"/>
      <c r="AG768" s="98"/>
      <c r="AH768" s="98"/>
      <c r="AI768" s="20"/>
      <c r="AJ768" s="20"/>
      <c r="AK768" s="20"/>
      <c r="AL768" s="20"/>
    </row>
    <row r="769">
      <c r="A769" s="156"/>
      <c r="B769" s="20"/>
      <c r="C769" s="20"/>
      <c r="D769" s="20"/>
      <c r="E769" s="20"/>
      <c r="F769" s="20"/>
      <c r="G769" s="20"/>
      <c r="H769" s="20"/>
      <c r="I769" s="20"/>
      <c r="J769" s="21"/>
      <c r="K769" s="98"/>
      <c r="L769" s="98"/>
      <c r="M769" s="17"/>
      <c r="N769" s="17"/>
      <c r="O769" s="20"/>
      <c r="P769" s="20"/>
      <c r="Q769" s="159"/>
      <c r="R769" s="20"/>
      <c r="S769" s="20"/>
      <c r="T769" s="20"/>
      <c r="U769" s="20"/>
      <c r="V769" s="20"/>
      <c r="W769" s="98"/>
      <c r="X769" s="98"/>
      <c r="Y769" s="98"/>
      <c r="Z769" s="98"/>
      <c r="AA769" s="98"/>
      <c r="AB769" s="98"/>
      <c r="AC769" s="98"/>
      <c r="AD769" s="98"/>
      <c r="AE769" s="98"/>
      <c r="AF769" s="98"/>
      <c r="AG769" s="98"/>
      <c r="AH769" s="98"/>
      <c r="AI769" s="20"/>
      <c r="AJ769" s="20"/>
      <c r="AK769" s="20"/>
      <c r="AL769" s="20"/>
    </row>
    <row r="770">
      <c r="A770" s="156"/>
      <c r="B770" s="20"/>
      <c r="C770" s="20"/>
      <c r="D770" s="20"/>
      <c r="E770" s="20"/>
      <c r="F770" s="20"/>
      <c r="G770" s="20"/>
      <c r="H770" s="20"/>
      <c r="I770" s="20"/>
      <c r="J770" s="21"/>
      <c r="K770" s="98"/>
      <c r="L770" s="98"/>
      <c r="M770" s="17"/>
      <c r="N770" s="17"/>
      <c r="O770" s="20"/>
      <c r="P770" s="20"/>
      <c r="Q770" s="159"/>
      <c r="R770" s="20"/>
      <c r="S770" s="20"/>
      <c r="T770" s="20"/>
      <c r="U770" s="20"/>
      <c r="V770" s="20"/>
      <c r="W770" s="98"/>
      <c r="X770" s="98"/>
      <c r="Y770" s="98"/>
      <c r="Z770" s="98"/>
      <c r="AA770" s="98"/>
      <c r="AB770" s="98"/>
      <c r="AC770" s="98"/>
      <c r="AD770" s="98"/>
      <c r="AE770" s="98"/>
      <c r="AF770" s="98"/>
      <c r="AG770" s="98"/>
      <c r="AH770" s="98"/>
      <c r="AI770" s="20"/>
      <c r="AJ770" s="20"/>
      <c r="AK770" s="20"/>
      <c r="AL770" s="20"/>
    </row>
    <row r="771">
      <c r="A771" s="156"/>
      <c r="B771" s="20"/>
      <c r="C771" s="20"/>
      <c r="D771" s="20"/>
      <c r="E771" s="20"/>
      <c r="F771" s="20"/>
      <c r="G771" s="20"/>
      <c r="H771" s="20"/>
      <c r="I771" s="20"/>
      <c r="J771" s="21"/>
      <c r="K771" s="98"/>
      <c r="L771" s="98"/>
      <c r="M771" s="17"/>
      <c r="N771" s="17"/>
      <c r="O771" s="20"/>
      <c r="P771" s="20"/>
      <c r="Q771" s="159"/>
      <c r="R771" s="20"/>
      <c r="S771" s="20"/>
      <c r="T771" s="20"/>
      <c r="U771" s="20"/>
      <c r="V771" s="20"/>
      <c r="W771" s="98"/>
      <c r="X771" s="98"/>
      <c r="Y771" s="98"/>
      <c r="Z771" s="98"/>
      <c r="AA771" s="98"/>
      <c r="AB771" s="98"/>
      <c r="AC771" s="98"/>
      <c r="AD771" s="98"/>
      <c r="AE771" s="98"/>
      <c r="AF771" s="98"/>
      <c r="AG771" s="98"/>
      <c r="AH771" s="98"/>
      <c r="AI771" s="20"/>
      <c r="AJ771" s="20"/>
      <c r="AK771" s="20"/>
      <c r="AL771" s="20"/>
    </row>
    <row r="772">
      <c r="A772" s="156"/>
      <c r="B772" s="20"/>
      <c r="C772" s="20"/>
      <c r="D772" s="20"/>
      <c r="E772" s="20"/>
      <c r="F772" s="20"/>
      <c r="G772" s="20"/>
      <c r="H772" s="20"/>
      <c r="I772" s="20"/>
      <c r="J772" s="21"/>
      <c r="K772" s="98"/>
      <c r="L772" s="98"/>
      <c r="M772" s="17"/>
      <c r="N772" s="17"/>
      <c r="O772" s="20"/>
      <c r="P772" s="20"/>
      <c r="Q772" s="159"/>
      <c r="R772" s="20"/>
      <c r="S772" s="20"/>
      <c r="T772" s="20"/>
      <c r="U772" s="20"/>
      <c r="V772" s="20"/>
      <c r="W772" s="98"/>
      <c r="X772" s="98"/>
      <c r="Y772" s="98"/>
      <c r="Z772" s="98"/>
      <c r="AA772" s="98"/>
      <c r="AB772" s="98"/>
      <c r="AC772" s="98"/>
      <c r="AD772" s="98"/>
      <c r="AE772" s="98"/>
      <c r="AF772" s="98"/>
      <c r="AG772" s="98"/>
      <c r="AH772" s="98"/>
      <c r="AI772" s="20"/>
      <c r="AJ772" s="20"/>
      <c r="AK772" s="20"/>
      <c r="AL772" s="20"/>
    </row>
    <row r="773">
      <c r="A773" s="156"/>
      <c r="B773" s="20"/>
      <c r="C773" s="20"/>
      <c r="D773" s="20"/>
      <c r="E773" s="20"/>
      <c r="F773" s="20"/>
      <c r="G773" s="20"/>
      <c r="H773" s="20"/>
      <c r="I773" s="20"/>
      <c r="J773" s="21"/>
      <c r="K773" s="98"/>
      <c r="L773" s="98"/>
      <c r="M773" s="17"/>
      <c r="N773" s="17"/>
      <c r="O773" s="20"/>
      <c r="P773" s="20"/>
      <c r="Q773" s="159"/>
      <c r="R773" s="20"/>
      <c r="S773" s="20"/>
      <c r="T773" s="20"/>
      <c r="U773" s="20"/>
      <c r="V773" s="20"/>
      <c r="W773" s="98"/>
      <c r="X773" s="98"/>
      <c r="Y773" s="98"/>
      <c r="Z773" s="98"/>
      <c r="AA773" s="98"/>
      <c r="AB773" s="98"/>
      <c r="AC773" s="98"/>
      <c r="AD773" s="98"/>
      <c r="AE773" s="98"/>
      <c r="AF773" s="98"/>
      <c r="AG773" s="98"/>
      <c r="AH773" s="98"/>
      <c r="AI773" s="20"/>
      <c r="AJ773" s="20"/>
      <c r="AK773" s="20"/>
      <c r="AL773" s="20"/>
    </row>
    <row r="774">
      <c r="A774" s="156"/>
      <c r="B774" s="20"/>
      <c r="C774" s="20"/>
      <c r="D774" s="20"/>
      <c r="E774" s="20"/>
      <c r="F774" s="20"/>
      <c r="G774" s="20"/>
      <c r="H774" s="20"/>
      <c r="I774" s="20"/>
      <c r="J774" s="21"/>
      <c r="K774" s="98"/>
      <c r="L774" s="98"/>
      <c r="M774" s="17"/>
      <c r="N774" s="17"/>
      <c r="O774" s="20"/>
      <c r="P774" s="20"/>
      <c r="Q774" s="159"/>
      <c r="R774" s="20"/>
      <c r="S774" s="20"/>
      <c r="T774" s="20"/>
      <c r="U774" s="20"/>
      <c r="V774" s="20"/>
      <c r="W774" s="98"/>
      <c r="X774" s="98"/>
      <c r="Y774" s="98"/>
      <c r="Z774" s="98"/>
      <c r="AA774" s="98"/>
      <c r="AB774" s="98"/>
      <c r="AC774" s="98"/>
      <c r="AD774" s="98"/>
      <c r="AE774" s="98"/>
      <c r="AF774" s="98"/>
      <c r="AG774" s="98"/>
      <c r="AH774" s="98"/>
      <c r="AI774" s="20"/>
      <c r="AJ774" s="20"/>
      <c r="AK774" s="20"/>
      <c r="AL774" s="20"/>
    </row>
    <row r="775">
      <c r="A775" s="156"/>
      <c r="B775" s="20"/>
      <c r="C775" s="20"/>
      <c r="D775" s="20"/>
      <c r="E775" s="20"/>
      <c r="F775" s="20"/>
      <c r="G775" s="20"/>
      <c r="H775" s="20"/>
      <c r="I775" s="20"/>
      <c r="J775" s="21"/>
      <c r="K775" s="98"/>
      <c r="L775" s="98"/>
      <c r="M775" s="17"/>
      <c r="N775" s="17"/>
      <c r="O775" s="20"/>
      <c r="P775" s="20"/>
      <c r="Q775" s="159"/>
      <c r="R775" s="20"/>
      <c r="S775" s="20"/>
      <c r="T775" s="20"/>
      <c r="U775" s="20"/>
      <c r="V775" s="20"/>
      <c r="W775" s="98"/>
      <c r="X775" s="98"/>
      <c r="Y775" s="98"/>
      <c r="Z775" s="98"/>
      <c r="AA775" s="98"/>
      <c r="AB775" s="98"/>
      <c r="AC775" s="98"/>
      <c r="AD775" s="98"/>
      <c r="AE775" s="98"/>
      <c r="AF775" s="98"/>
      <c r="AG775" s="98"/>
      <c r="AH775" s="98"/>
      <c r="AI775" s="20"/>
      <c r="AJ775" s="20"/>
      <c r="AK775" s="20"/>
      <c r="AL775" s="20"/>
    </row>
    <row r="776">
      <c r="A776" s="156"/>
      <c r="B776" s="20"/>
      <c r="C776" s="20"/>
      <c r="D776" s="20"/>
      <c r="E776" s="20"/>
      <c r="F776" s="20"/>
      <c r="G776" s="20"/>
      <c r="H776" s="20"/>
      <c r="I776" s="20"/>
      <c r="J776" s="21"/>
      <c r="K776" s="98"/>
      <c r="L776" s="98"/>
      <c r="M776" s="17"/>
      <c r="N776" s="17"/>
      <c r="O776" s="20"/>
      <c r="P776" s="20"/>
      <c r="Q776" s="159"/>
      <c r="R776" s="20"/>
      <c r="S776" s="20"/>
      <c r="T776" s="20"/>
      <c r="U776" s="20"/>
      <c r="V776" s="20"/>
      <c r="W776" s="98"/>
      <c r="X776" s="98"/>
      <c r="Y776" s="98"/>
      <c r="Z776" s="98"/>
      <c r="AA776" s="98"/>
      <c r="AB776" s="98"/>
      <c r="AC776" s="98"/>
      <c r="AD776" s="98"/>
      <c r="AE776" s="98"/>
      <c r="AF776" s="98"/>
      <c r="AG776" s="98"/>
      <c r="AH776" s="98"/>
      <c r="AI776" s="20"/>
      <c r="AJ776" s="20"/>
      <c r="AK776" s="20"/>
      <c r="AL776" s="20"/>
    </row>
    <row r="777">
      <c r="A777" s="156"/>
      <c r="B777" s="20"/>
      <c r="C777" s="20"/>
      <c r="D777" s="20"/>
      <c r="E777" s="20"/>
      <c r="F777" s="20"/>
      <c r="G777" s="20"/>
      <c r="H777" s="20"/>
      <c r="I777" s="20"/>
      <c r="J777" s="21"/>
      <c r="K777" s="98"/>
      <c r="L777" s="98"/>
      <c r="M777" s="17"/>
      <c r="N777" s="17"/>
      <c r="O777" s="20"/>
      <c r="P777" s="20"/>
      <c r="Q777" s="159"/>
      <c r="R777" s="20"/>
      <c r="S777" s="20"/>
      <c r="T777" s="20"/>
      <c r="U777" s="20"/>
      <c r="V777" s="20"/>
      <c r="W777" s="98"/>
      <c r="X777" s="98"/>
      <c r="Y777" s="98"/>
      <c r="Z777" s="98"/>
      <c r="AA777" s="98"/>
      <c r="AB777" s="98"/>
      <c r="AC777" s="98"/>
      <c r="AD777" s="98"/>
      <c r="AE777" s="98"/>
      <c r="AF777" s="98"/>
      <c r="AG777" s="98"/>
      <c r="AH777" s="98"/>
      <c r="AI777" s="20"/>
      <c r="AJ777" s="20"/>
      <c r="AK777" s="20"/>
      <c r="AL777" s="20"/>
    </row>
    <row r="778">
      <c r="A778" s="156"/>
      <c r="B778" s="20"/>
      <c r="C778" s="20"/>
      <c r="D778" s="20"/>
      <c r="E778" s="20"/>
      <c r="F778" s="20"/>
      <c r="G778" s="20"/>
      <c r="H778" s="20"/>
      <c r="I778" s="20"/>
      <c r="J778" s="21"/>
      <c r="K778" s="98"/>
      <c r="L778" s="98"/>
      <c r="M778" s="17"/>
      <c r="N778" s="17"/>
      <c r="O778" s="20"/>
      <c r="P778" s="20"/>
      <c r="Q778" s="159"/>
      <c r="R778" s="20"/>
      <c r="S778" s="20"/>
      <c r="T778" s="20"/>
      <c r="U778" s="20"/>
      <c r="V778" s="20"/>
      <c r="W778" s="98"/>
      <c r="X778" s="98"/>
      <c r="Y778" s="98"/>
      <c r="Z778" s="98"/>
      <c r="AA778" s="98"/>
      <c r="AB778" s="98"/>
      <c r="AC778" s="98"/>
      <c r="AD778" s="98"/>
      <c r="AE778" s="98"/>
      <c r="AF778" s="98"/>
      <c r="AG778" s="98"/>
      <c r="AH778" s="98"/>
      <c r="AI778" s="20"/>
      <c r="AJ778" s="20"/>
      <c r="AK778" s="20"/>
      <c r="AL778" s="20"/>
    </row>
    <row r="779">
      <c r="A779" s="156"/>
      <c r="B779" s="20"/>
      <c r="C779" s="20"/>
      <c r="D779" s="20"/>
      <c r="E779" s="20"/>
      <c r="F779" s="20"/>
      <c r="G779" s="20"/>
      <c r="H779" s="20"/>
      <c r="I779" s="20"/>
      <c r="J779" s="21"/>
      <c r="K779" s="98"/>
      <c r="L779" s="98"/>
      <c r="M779" s="17"/>
      <c r="N779" s="17"/>
      <c r="O779" s="20"/>
      <c r="P779" s="20"/>
      <c r="Q779" s="159"/>
      <c r="R779" s="20"/>
      <c r="S779" s="20"/>
      <c r="T779" s="20"/>
      <c r="U779" s="20"/>
      <c r="V779" s="20"/>
      <c r="W779" s="98"/>
      <c r="X779" s="98"/>
      <c r="Y779" s="98"/>
      <c r="Z779" s="98"/>
      <c r="AA779" s="98"/>
      <c r="AB779" s="98"/>
      <c r="AC779" s="98"/>
      <c r="AD779" s="98"/>
      <c r="AE779" s="98"/>
      <c r="AF779" s="98"/>
      <c r="AG779" s="98"/>
      <c r="AH779" s="98"/>
      <c r="AI779" s="20"/>
      <c r="AJ779" s="20"/>
      <c r="AK779" s="20"/>
      <c r="AL779" s="20"/>
    </row>
    <row r="780">
      <c r="A780" s="156"/>
      <c r="B780" s="20"/>
      <c r="C780" s="20"/>
      <c r="D780" s="20"/>
      <c r="E780" s="20"/>
      <c r="F780" s="20"/>
      <c r="G780" s="20"/>
      <c r="H780" s="20"/>
      <c r="I780" s="20"/>
      <c r="J780" s="21"/>
      <c r="K780" s="98"/>
      <c r="L780" s="98"/>
      <c r="M780" s="17"/>
      <c r="N780" s="17"/>
      <c r="O780" s="20"/>
      <c r="P780" s="20"/>
      <c r="Q780" s="159"/>
      <c r="R780" s="20"/>
      <c r="S780" s="20"/>
      <c r="T780" s="20"/>
      <c r="U780" s="20"/>
      <c r="V780" s="20"/>
      <c r="W780" s="98"/>
      <c r="X780" s="98"/>
      <c r="Y780" s="98"/>
      <c r="Z780" s="98"/>
      <c r="AA780" s="98"/>
      <c r="AB780" s="98"/>
      <c r="AC780" s="98"/>
      <c r="AD780" s="98"/>
      <c r="AE780" s="98"/>
      <c r="AF780" s="98"/>
      <c r="AG780" s="98"/>
      <c r="AH780" s="98"/>
      <c r="AI780" s="20"/>
      <c r="AJ780" s="20"/>
      <c r="AK780" s="20"/>
      <c r="AL780" s="20"/>
    </row>
    <row r="781">
      <c r="A781" s="156"/>
      <c r="B781" s="20"/>
      <c r="C781" s="20"/>
      <c r="D781" s="20"/>
      <c r="E781" s="20"/>
      <c r="F781" s="20"/>
      <c r="G781" s="20"/>
      <c r="H781" s="20"/>
      <c r="I781" s="20"/>
      <c r="J781" s="21"/>
      <c r="K781" s="98"/>
      <c r="L781" s="98"/>
      <c r="M781" s="17"/>
      <c r="N781" s="17"/>
      <c r="O781" s="20"/>
      <c r="P781" s="20"/>
      <c r="Q781" s="159"/>
      <c r="R781" s="20"/>
      <c r="S781" s="20"/>
      <c r="T781" s="20"/>
      <c r="U781" s="20"/>
      <c r="V781" s="20"/>
      <c r="W781" s="98"/>
      <c r="X781" s="98"/>
      <c r="Y781" s="98"/>
      <c r="Z781" s="98"/>
      <c r="AA781" s="98"/>
      <c r="AB781" s="98"/>
      <c r="AC781" s="98"/>
      <c r="AD781" s="98"/>
      <c r="AE781" s="98"/>
      <c r="AF781" s="98"/>
      <c r="AG781" s="98"/>
      <c r="AH781" s="98"/>
      <c r="AI781" s="20"/>
      <c r="AJ781" s="20"/>
      <c r="AK781" s="20"/>
      <c r="AL781" s="20"/>
    </row>
    <row r="782">
      <c r="A782" s="156"/>
      <c r="B782" s="20"/>
      <c r="C782" s="20"/>
      <c r="D782" s="20"/>
      <c r="E782" s="20"/>
      <c r="F782" s="20"/>
      <c r="G782" s="20"/>
      <c r="H782" s="20"/>
      <c r="I782" s="20"/>
      <c r="J782" s="21"/>
      <c r="K782" s="98"/>
      <c r="L782" s="98"/>
      <c r="M782" s="17"/>
      <c r="N782" s="17"/>
      <c r="O782" s="20"/>
      <c r="P782" s="20"/>
      <c r="Q782" s="159"/>
      <c r="R782" s="20"/>
      <c r="S782" s="20"/>
      <c r="T782" s="20"/>
      <c r="U782" s="20"/>
      <c r="V782" s="20"/>
      <c r="W782" s="98"/>
      <c r="X782" s="98"/>
      <c r="Y782" s="98"/>
      <c r="Z782" s="98"/>
      <c r="AA782" s="98"/>
      <c r="AB782" s="98"/>
      <c r="AC782" s="98"/>
      <c r="AD782" s="98"/>
      <c r="AE782" s="98"/>
      <c r="AF782" s="98"/>
      <c r="AG782" s="98"/>
      <c r="AH782" s="98"/>
      <c r="AI782" s="20"/>
      <c r="AJ782" s="20"/>
      <c r="AK782" s="20"/>
      <c r="AL782" s="20"/>
    </row>
    <row r="783">
      <c r="A783" s="156"/>
      <c r="B783" s="20"/>
      <c r="C783" s="20"/>
      <c r="D783" s="20"/>
      <c r="E783" s="20"/>
      <c r="F783" s="20"/>
      <c r="G783" s="20"/>
      <c r="H783" s="20"/>
      <c r="I783" s="20"/>
      <c r="J783" s="21"/>
      <c r="K783" s="98"/>
      <c r="L783" s="98"/>
      <c r="M783" s="17"/>
      <c r="N783" s="17"/>
      <c r="O783" s="20"/>
      <c r="P783" s="20"/>
      <c r="Q783" s="159"/>
      <c r="R783" s="20"/>
      <c r="S783" s="20"/>
      <c r="T783" s="20"/>
      <c r="U783" s="20"/>
      <c r="V783" s="20"/>
      <c r="W783" s="98"/>
      <c r="X783" s="98"/>
      <c r="Y783" s="98"/>
      <c r="Z783" s="98"/>
      <c r="AA783" s="98"/>
      <c r="AB783" s="98"/>
      <c r="AC783" s="98"/>
      <c r="AD783" s="98"/>
      <c r="AE783" s="98"/>
      <c r="AF783" s="98"/>
      <c r="AG783" s="98"/>
      <c r="AH783" s="98"/>
      <c r="AI783" s="20"/>
      <c r="AJ783" s="20"/>
      <c r="AK783" s="20"/>
      <c r="AL783" s="20"/>
    </row>
    <row r="784">
      <c r="A784" s="156"/>
      <c r="B784" s="20"/>
      <c r="C784" s="20"/>
      <c r="D784" s="20"/>
      <c r="E784" s="20"/>
      <c r="F784" s="20"/>
      <c r="G784" s="20"/>
      <c r="H784" s="20"/>
      <c r="I784" s="20"/>
      <c r="J784" s="21"/>
      <c r="K784" s="98"/>
      <c r="L784" s="98"/>
      <c r="M784" s="17"/>
      <c r="N784" s="17"/>
      <c r="O784" s="20"/>
      <c r="P784" s="20"/>
      <c r="Q784" s="159"/>
      <c r="R784" s="20"/>
      <c r="S784" s="20"/>
      <c r="T784" s="20"/>
      <c r="U784" s="20"/>
      <c r="V784" s="20"/>
      <c r="W784" s="98"/>
      <c r="X784" s="98"/>
      <c r="Y784" s="98"/>
      <c r="Z784" s="98"/>
      <c r="AA784" s="98"/>
      <c r="AB784" s="98"/>
      <c r="AC784" s="98"/>
      <c r="AD784" s="98"/>
      <c r="AE784" s="98"/>
      <c r="AF784" s="98"/>
      <c r="AG784" s="98"/>
      <c r="AH784" s="98"/>
      <c r="AI784" s="20"/>
      <c r="AJ784" s="20"/>
      <c r="AK784" s="20"/>
      <c r="AL784" s="20"/>
    </row>
    <row r="785">
      <c r="A785" s="156"/>
      <c r="B785" s="20"/>
      <c r="C785" s="20"/>
      <c r="D785" s="20"/>
      <c r="E785" s="20"/>
      <c r="F785" s="20"/>
      <c r="G785" s="20"/>
      <c r="H785" s="20"/>
      <c r="I785" s="20"/>
      <c r="J785" s="21"/>
      <c r="K785" s="98"/>
      <c r="L785" s="98"/>
      <c r="M785" s="17"/>
      <c r="N785" s="17"/>
      <c r="O785" s="20"/>
      <c r="P785" s="20"/>
      <c r="Q785" s="159"/>
      <c r="R785" s="20"/>
      <c r="S785" s="20"/>
      <c r="T785" s="20"/>
      <c r="U785" s="20"/>
      <c r="V785" s="20"/>
      <c r="W785" s="98"/>
      <c r="X785" s="98"/>
      <c r="Y785" s="98"/>
      <c r="Z785" s="98"/>
      <c r="AA785" s="98"/>
      <c r="AB785" s="98"/>
      <c r="AC785" s="98"/>
      <c r="AD785" s="98"/>
      <c r="AE785" s="98"/>
      <c r="AF785" s="98"/>
      <c r="AG785" s="98"/>
      <c r="AH785" s="98"/>
      <c r="AI785" s="20"/>
      <c r="AJ785" s="20"/>
      <c r="AK785" s="20"/>
      <c r="AL785" s="20"/>
    </row>
    <row r="786">
      <c r="A786" s="156"/>
      <c r="B786" s="20"/>
      <c r="C786" s="20"/>
      <c r="D786" s="20"/>
      <c r="E786" s="20"/>
      <c r="F786" s="20"/>
      <c r="G786" s="20"/>
      <c r="H786" s="20"/>
      <c r="I786" s="20"/>
      <c r="J786" s="21"/>
      <c r="K786" s="98"/>
      <c r="L786" s="98"/>
      <c r="M786" s="17"/>
      <c r="N786" s="17"/>
      <c r="O786" s="20"/>
      <c r="P786" s="20"/>
      <c r="Q786" s="159"/>
      <c r="R786" s="20"/>
      <c r="S786" s="20"/>
      <c r="T786" s="20"/>
      <c r="U786" s="20"/>
      <c r="V786" s="20"/>
      <c r="W786" s="98"/>
      <c r="X786" s="98"/>
      <c r="Y786" s="98"/>
      <c r="Z786" s="98"/>
      <c r="AA786" s="98"/>
      <c r="AB786" s="98"/>
      <c r="AC786" s="98"/>
      <c r="AD786" s="98"/>
      <c r="AE786" s="98"/>
      <c r="AF786" s="98"/>
      <c r="AG786" s="98"/>
      <c r="AH786" s="98"/>
      <c r="AI786" s="20"/>
      <c r="AJ786" s="20"/>
      <c r="AK786" s="20"/>
      <c r="AL786" s="20"/>
    </row>
    <row r="787">
      <c r="A787" s="156"/>
      <c r="B787" s="20"/>
      <c r="C787" s="20"/>
      <c r="D787" s="20"/>
      <c r="E787" s="20"/>
      <c r="F787" s="20"/>
      <c r="G787" s="20"/>
      <c r="H787" s="20"/>
      <c r="I787" s="20"/>
      <c r="J787" s="21"/>
      <c r="K787" s="98"/>
      <c r="L787" s="98"/>
      <c r="M787" s="17"/>
      <c r="N787" s="17"/>
      <c r="O787" s="20"/>
      <c r="P787" s="20"/>
      <c r="Q787" s="159"/>
      <c r="R787" s="20"/>
      <c r="S787" s="20"/>
      <c r="T787" s="20"/>
      <c r="U787" s="20"/>
      <c r="V787" s="20"/>
      <c r="W787" s="98"/>
      <c r="X787" s="98"/>
      <c r="Y787" s="98"/>
      <c r="Z787" s="98"/>
      <c r="AA787" s="98"/>
      <c r="AB787" s="98"/>
      <c r="AC787" s="98"/>
      <c r="AD787" s="98"/>
      <c r="AE787" s="98"/>
      <c r="AF787" s="98"/>
      <c r="AG787" s="98"/>
      <c r="AH787" s="98"/>
      <c r="AI787" s="20"/>
      <c r="AJ787" s="20"/>
      <c r="AK787" s="20"/>
      <c r="AL787" s="20"/>
    </row>
    <row r="788">
      <c r="A788" s="156"/>
      <c r="B788" s="20"/>
      <c r="C788" s="20"/>
      <c r="D788" s="20"/>
      <c r="E788" s="20"/>
      <c r="F788" s="20"/>
      <c r="G788" s="20"/>
      <c r="H788" s="20"/>
      <c r="I788" s="20"/>
      <c r="J788" s="21"/>
      <c r="K788" s="98"/>
      <c r="L788" s="98"/>
      <c r="M788" s="17"/>
      <c r="N788" s="17"/>
      <c r="O788" s="20"/>
      <c r="P788" s="20"/>
      <c r="Q788" s="159"/>
      <c r="R788" s="20"/>
      <c r="S788" s="20"/>
      <c r="T788" s="20"/>
      <c r="U788" s="20"/>
      <c r="V788" s="20"/>
      <c r="W788" s="98"/>
      <c r="X788" s="98"/>
      <c r="Y788" s="98"/>
      <c r="Z788" s="98"/>
      <c r="AA788" s="98"/>
      <c r="AB788" s="98"/>
      <c r="AC788" s="98"/>
      <c r="AD788" s="98"/>
      <c r="AE788" s="98"/>
      <c r="AF788" s="98"/>
      <c r="AG788" s="98"/>
      <c r="AH788" s="98"/>
      <c r="AI788" s="20"/>
      <c r="AJ788" s="20"/>
      <c r="AK788" s="20"/>
      <c r="AL788" s="20"/>
    </row>
    <row r="789">
      <c r="A789" s="156"/>
      <c r="B789" s="20"/>
      <c r="C789" s="20"/>
      <c r="D789" s="20"/>
      <c r="E789" s="20"/>
      <c r="F789" s="20"/>
      <c r="G789" s="20"/>
      <c r="H789" s="20"/>
      <c r="I789" s="20"/>
      <c r="J789" s="21"/>
      <c r="K789" s="98"/>
      <c r="L789" s="98"/>
      <c r="M789" s="17"/>
      <c r="N789" s="17"/>
      <c r="O789" s="20"/>
      <c r="P789" s="20"/>
      <c r="Q789" s="159"/>
      <c r="R789" s="20"/>
      <c r="S789" s="20"/>
      <c r="T789" s="20"/>
      <c r="U789" s="20"/>
      <c r="V789" s="20"/>
      <c r="W789" s="98"/>
      <c r="X789" s="98"/>
      <c r="Y789" s="98"/>
      <c r="Z789" s="98"/>
      <c r="AA789" s="98"/>
      <c r="AB789" s="98"/>
      <c r="AC789" s="98"/>
      <c r="AD789" s="98"/>
      <c r="AE789" s="98"/>
      <c r="AF789" s="98"/>
      <c r="AG789" s="98"/>
      <c r="AH789" s="98"/>
      <c r="AI789" s="20"/>
      <c r="AJ789" s="20"/>
      <c r="AK789" s="20"/>
      <c r="AL789" s="20"/>
    </row>
    <row r="790">
      <c r="A790" s="156"/>
      <c r="B790" s="20"/>
      <c r="C790" s="20"/>
      <c r="D790" s="20"/>
      <c r="E790" s="20"/>
      <c r="F790" s="20"/>
      <c r="G790" s="20"/>
      <c r="H790" s="20"/>
      <c r="I790" s="20"/>
      <c r="J790" s="21"/>
      <c r="K790" s="98"/>
      <c r="L790" s="98"/>
      <c r="M790" s="17"/>
      <c r="N790" s="17"/>
      <c r="O790" s="20"/>
      <c r="P790" s="20"/>
      <c r="Q790" s="159"/>
      <c r="R790" s="20"/>
      <c r="S790" s="20"/>
      <c r="T790" s="20"/>
      <c r="U790" s="20"/>
      <c r="V790" s="20"/>
      <c r="W790" s="98"/>
      <c r="X790" s="98"/>
      <c r="Y790" s="98"/>
      <c r="Z790" s="98"/>
      <c r="AA790" s="98"/>
      <c r="AB790" s="98"/>
      <c r="AC790" s="98"/>
      <c r="AD790" s="98"/>
      <c r="AE790" s="98"/>
      <c r="AF790" s="98"/>
      <c r="AG790" s="98"/>
      <c r="AH790" s="98"/>
      <c r="AI790" s="20"/>
      <c r="AJ790" s="20"/>
      <c r="AK790" s="20"/>
      <c r="AL790" s="20"/>
    </row>
    <row r="791">
      <c r="A791" s="156"/>
      <c r="B791" s="20"/>
      <c r="C791" s="20"/>
      <c r="D791" s="20"/>
      <c r="E791" s="20"/>
      <c r="F791" s="20"/>
      <c r="G791" s="20"/>
      <c r="H791" s="20"/>
      <c r="I791" s="20"/>
      <c r="J791" s="21"/>
      <c r="K791" s="98"/>
      <c r="L791" s="98"/>
      <c r="M791" s="17"/>
      <c r="N791" s="17"/>
      <c r="O791" s="20"/>
      <c r="P791" s="20"/>
      <c r="Q791" s="159"/>
      <c r="R791" s="20"/>
      <c r="S791" s="20"/>
      <c r="T791" s="20"/>
      <c r="U791" s="20"/>
      <c r="V791" s="20"/>
      <c r="W791" s="98"/>
      <c r="X791" s="98"/>
      <c r="Y791" s="98"/>
      <c r="Z791" s="98"/>
      <c r="AA791" s="98"/>
      <c r="AB791" s="98"/>
      <c r="AC791" s="98"/>
      <c r="AD791" s="98"/>
      <c r="AE791" s="98"/>
      <c r="AF791" s="98"/>
      <c r="AG791" s="98"/>
      <c r="AH791" s="98"/>
      <c r="AI791" s="20"/>
      <c r="AJ791" s="20"/>
      <c r="AK791" s="20"/>
      <c r="AL791" s="20"/>
    </row>
    <row r="792">
      <c r="A792" s="156"/>
      <c r="B792" s="20"/>
      <c r="C792" s="20"/>
      <c r="D792" s="20"/>
      <c r="E792" s="20"/>
      <c r="F792" s="20"/>
      <c r="G792" s="20"/>
      <c r="H792" s="20"/>
      <c r="I792" s="20"/>
      <c r="J792" s="21"/>
      <c r="K792" s="98"/>
      <c r="L792" s="98"/>
      <c r="M792" s="17"/>
      <c r="N792" s="17"/>
      <c r="O792" s="20"/>
      <c r="P792" s="20"/>
      <c r="Q792" s="159"/>
      <c r="R792" s="20"/>
      <c r="S792" s="20"/>
      <c r="T792" s="20"/>
      <c r="U792" s="20"/>
      <c r="V792" s="20"/>
      <c r="W792" s="98"/>
      <c r="X792" s="98"/>
      <c r="Y792" s="98"/>
      <c r="Z792" s="98"/>
      <c r="AA792" s="98"/>
      <c r="AB792" s="98"/>
      <c r="AC792" s="98"/>
      <c r="AD792" s="98"/>
      <c r="AE792" s="98"/>
      <c r="AF792" s="98"/>
      <c r="AG792" s="98"/>
      <c r="AH792" s="98"/>
      <c r="AI792" s="20"/>
      <c r="AJ792" s="20"/>
      <c r="AK792" s="20"/>
      <c r="AL792" s="20"/>
    </row>
    <row r="793">
      <c r="A793" s="156"/>
      <c r="B793" s="20"/>
      <c r="C793" s="20"/>
      <c r="D793" s="20"/>
      <c r="E793" s="20"/>
      <c r="F793" s="20"/>
      <c r="G793" s="20"/>
      <c r="H793" s="20"/>
      <c r="I793" s="20"/>
      <c r="J793" s="21"/>
      <c r="K793" s="98"/>
      <c r="L793" s="98"/>
      <c r="M793" s="17"/>
      <c r="N793" s="17"/>
      <c r="O793" s="20"/>
      <c r="P793" s="20"/>
      <c r="Q793" s="159"/>
      <c r="R793" s="20"/>
      <c r="S793" s="20"/>
      <c r="T793" s="20"/>
      <c r="U793" s="20"/>
      <c r="V793" s="20"/>
      <c r="W793" s="98"/>
      <c r="X793" s="98"/>
      <c r="Y793" s="98"/>
      <c r="Z793" s="98"/>
      <c r="AA793" s="98"/>
      <c r="AB793" s="98"/>
      <c r="AC793" s="98"/>
      <c r="AD793" s="98"/>
      <c r="AE793" s="98"/>
      <c r="AF793" s="98"/>
      <c r="AG793" s="98"/>
      <c r="AH793" s="98"/>
      <c r="AI793" s="20"/>
      <c r="AJ793" s="20"/>
      <c r="AK793" s="20"/>
      <c r="AL793" s="20"/>
    </row>
    <row r="794">
      <c r="A794" s="156"/>
      <c r="B794" s="20"/>
      <c r="C794" s="20"/>
      <c r="D794" s="20"/>
      <c r="E794" s="20"/>
      <c r="F794" s="20"/>
      <c r="G794" s="20"/>
      <c r="H794" s="20"/>
      <c r="I794" s="20"/>
      <c r="J794" s="21"/>
      <c r="K794" s="98"/>
      <c r="L794" s="98"/>
      <c r="M794" s="17"/>
      <c r="N794" s="17"/>
      <c r="O794" s="20"/>
      <c r="P794" s="20"/>
      <c r="Q794" s="159"/>
      <c r="R794" s="20"/>
      <c r="S794" s="20"/>
      <c r="T794" s="20"/>
      <c r="U794" s="20"/>
      <c r="V794" s="20"/>
      <c r="W794" s="98"/>
      <c r="X794" s="98"/>
      <c r="Y794" s="98"/>
      <c r="Z794" s="98"/>
      <c r="AA794" s="98"/>
      <c r="AB794" s="98"/>
      <c r="AC794" s="98"/>
      <c r="AD794" s="98"/>
      <c r="AE794" s="98"/>
      <c r="AF794" s="98"/>
      <c r="AG794" s="98"/>
      <c r="AH794" s="98"/>
      <c r="AI794" s="20"/>
      <c r="AJ794" s="20"/>
      <c r="AK794" s="20"/>
      <c r="AL794" s="20"/>
    </row>
    <row r="795">
      <c r="A795" s="156"/>
      <c r="B795" s="20"/>
      <c r="C795" s="20"/>
      <c r="D795" s="20"/>
      <c r="E795" s="20"/>
      <c r="F795" s="20"/>
      <c r="G795" s="20"/>
      <c r="H795" s="20"/>
      <c r="I795" s="20"/>
      <c r="J795" s="21"/>
      <c r="K795" s="98"/>
      <c r="L795" s="98"/>
      <c r="M795" s="17"/>
      <c r="N795" s="17"/>
      <c r="O795" s="20"/>
      <c r="P795" s="20"/>
      <c r="Q795" s="159"/>
      <c r="R795" s="20"/>
      <c r="S795" s="20"/>
      <c r="T795" s="20"/>
      <c r="U795" s="20"/>
      <c r="V795" s="20"/>
      <c r="W795" s="98"/>
      <c r="X795" s="98"/>
      <c r="Y795" s="98"/>
      <c r="Z795" s="98"/>
      <c r="AA795" s="98"/>
      <c r="AB795" s="98"/>
      <c r="AC795" s="98"/>
      <c r="AD795" s="98"/>
      <c r="AE795" s="98"/>
      <c r="AF795" s="98"/>
      <c r="AG795" s="98"/>
      <c r="AH795" s="98"/>
      <c r="AI795" s="20"/>
      <c r="AJ795" s="20"/>
      <c r="AK795" s="20"/>
      <c r="AL795" s="20"/>
    </row>
    <row r="796">
      <c r="A796" s="156"/>
      <c r="B796" s="20"/>
      <c r="C796" s="20"/>
      <c r="D796" s="20"/>
      <c r="E796" s="20"/>
      <c r="F796" s="20"/>
      <c r="G796" s="20"/>
      <c r="H796" s="20"/>
      <c r="I796" s="20"/>
      <c r="J796" s="21"/>
      <c r="K796" s="98"/>
      <c r="L796" s="98"/>
      <c r="M796" s="17"/>
      <c r="N796" s="17"/>
      <c r="O796" s="20"/>
      <c r="P796" s="20"/>
      <c r="Q796" s="159"/>
      <c r="R796" s="20"/>
      <c r="S796" s="20"/>
      <c r="T796" s="20"/>
      <c r="U796" s="20"/>
      <c r="V796" s="20"/>
      <c r="W796" s="98"/>
      <c r="X796" s="98"/>
      <c r="Y796" s="98"/>
      <c r="Z796" s="98"/>
      <c r="AA796" s="98"/>
      <c r="AB796" s="98"/>
      <c r="AC796" s="98"/>
      <c r="AD796" s="98"/>
      <c r="AE796" s="98"/>
      <c r="AF796" s="98"/>
      <c r="AG796" s="98"/>
      <c r="AH796" s="98"/>
      <c r="AI796" s="20"/>
      <c r="AJ796" s="20"/>
      <c r="AK796" s="20"/>
      <c r="AL796" s="20"/>
    </row>
    <row r="797">
      <c r="A797" s="156"/>
      <c r="B797" s="20"/>
      <c r="C797" s="20"/>
      <c r="D797" s="20"/>
      <c r="E797" s="20"/>
      <c r="F797" s="20"/>
      <c r="G797" s="20"/>
      <c r="H797" s="20"/>
      <c r="I797" s="20"/>
      <c r="J797" s="21"/>
      <c r="K797" s="98"/>
      <c r="L797" s="98"/>
      <c r="M797" s="17"/>
      <c r="N797" s="17"/>
      <c r="O797" s="20"/>
      <c r="P797" s="20"/>
      <c r="Q797" s="159"/>
      <c r="R797" s="20"/>
      <c r="S797" s="20"/>
      <c r="T797" s="20"/>
      <c r="U797" s="20"/>
      <c r="V797" s="20"/>
      <c r="W797" s="98"/>
      <c r="X797" s="98"/>
      <c r="Y797" s="98"/>
      <c r="Z797" s="98"/>
      <c r="AA797" s="98"/>
      <c r="AB797" s="98"/>
      <c r="AC797" s="98"/>
      <c r="AD797" s="98"/>
      <c r="AE797" s="98"/>
      <c r="AF797" s="98"/>
      <c r="AG797" s="98"/>
      <c r="AH797" s="98"/>
      <c r="AI797" s="20"/>
      <c r="AJ797" s="20"/>
      <c r="AK797" s="20"/>
      <c r="AL797" s="20"/>
    </row>
    <row r="798">
      <c r="A798" s="156"/>
      <c r="B798" s="20"/>
      <c r="C798" s="20"/>
      <c r="D798" s="20"/>
      <c r="E798" s="20"/>
      <c r="F798" s="20"/>
      <c r="G798" s="20"/>
      <c r="H798" s="20"/>
      <c r="I798" s="20"/>
      <c r="J798" s="21"/>
      <c r="K798" s="98"/>
      <c r="L798" s="98"/>
      <c r="M798" s="17"/>
      <c r="N798" s="17"/>
      <c r="O798" s="20"/>
      <c r="P798" s="20"/>
      <c r="Q798" s="159"/>
      <c r="R798" s="20"/>
      <c r="S798" s="20"/>
      <c r="T798" s="20"/>
      <c r="U798" s="20"/>
      <c r="V798" s="20"/>
      <c r="W798" s="98"/>
      <c r="X798" s="98"/>
      <c r="Y798" s="98"/>
      <c r="Z798" s="98"/>
      <c r="AA798" s="98"/>
      <c r="AB798" s="98"/>
      <c r="AC798" s="98"/>
      <c r="AD798" s="98"/>
      <c r="AE798" s="98"/>
      <c r="AF798" s="98"/>
      <c r="AG798" s="98"/>
      <c r="AH798" s="98"/>
      <c r="AI798" s="20"/>
      <c r="AJ798" s="20"/>
      <c r="AK798" s="20"/>
      <c r="AL798" s="20"/>
    </row>
    <row r="799">
      <c r="A799" s="156"/>
      <c r="B799" s="20"/>
      <c r="C799" s="20"/>
      <c r="D799" s="20"/>
      <c r="E799" s="20"/>
      <c r="F799" s="20"/>
      <c r="G799" s="20"/>
      <c r="H799" s="20"/>
      <c r="I799" s="20"/>
      <c r="J799" s="21"/>
      <c r="K799" s="98"/>
      <c r="L799" s="98"/>
      <c r="M799" s="17"/>
      <c r="N799" s="17"/>
      <c r="O799" s="20"/>
      <c r="P799" s="20"/>
      <c r="Q799" s="159"/>
      <c r="R799" s="20"/>
      <c r="S799" s="20"/>
      <c r="T799" s="20"/>
      <c r="U799" s="20"/>
      <c r="V799" s="20"/>
      <c r="W799" s="98"/>
      <c r="X799" s="98"/>
      <c r="Y799" s="98"/>
      <c r="Z799" s="98"/>
      <c r="AA799" s="98"/>
      <c r="AB799" s="98"/>
      <c r="AC799" s="98"/>
      <c r="AD799" s="98"/>
      <c r="AE799" s="98"/>
      <c r="AF799" s="98"/>
      <c r="AG799" s="98"/>
      <c r="AH799" s="98"/>
      <c r="AI799" s="20"/>
      <c r="AJ799" s="20"/>
      <c r="AK799" s="20"/>
      <c r="AL799" s="20"/>
    </row>
    <row r="800">
      <c r="A800" s="156"/>
      <c r="B800" s="20"/>
      <c r="C800" s="20"/>
      <c r="D800" s="20"/>
      <c r="E800" s="20"/>
      <c r="F800" s="20"/>
      <c r="G800" s="20"/>
      <c r="H800" s="20"/>
      <c r="I800" s="20"/>
      <c r="J800" s="21"/>
      <c r="K800" s="98"/>
      <c r="L800" s="98"/>
      <c r="M800" s="17"/>
      <c r="N800" s="17"/>
      <c r="O800" s="20"/>
      <c r="P800" s="20"/>
      <c r="Q800" s="159"/>
      <c r="R800" s="20"/>
      <c r="S800" s="20"/>
      <c r="T800" s="20"/>
      <c r="U800" s="20"/>
      <c r="V800" s="20"/>
      <c r="W800" s="98"/>
      <c r="X800" s="98"/>
      <c r="Y800" s="98"/>
      <c r="Z800" s="98"/>
      <c r="AA800" s="98"/>
      <c r="AB800" s="98"/>
      <c r="AC800" s="98"/>
      <c r="AD800" s="98"/>
      <c r="AE800" s="98"/>
      <c r="AF800" s="98"/>
      <c r="AG800" s="98"/>
      <c r="AH800" s="98"/>
      <c r="AI800" s="20"/>
      <c r="AJ800" s="20"/>
      <c r="AK800" s="20"/>
      <c r="AL800" s="20"/>
    </row>
    <row r="801">
      <c r="A801" s="156"/>
      <c r="B801" s="20"/>
      <c r="C801" s="20"/>
      <c r="D801" s="20"/>
      <c r="E801" s="20"/>
      <c r="F801" s="20"/>
      <c r="G801" s="20"/>
      <c r="H801" s="20"/>
      <c r="I801" s="20"/>
      <c r="J801" s="21"/>
      <c r="K801" s="98"/>
      <c r="L801" s="98"/>
      <c r="M801" s="17"/>
      <c r="N801" s="17"/>
      <c r="O801" s="20"/>
      <c r="P801" s="20"/>
      <c r="Q801" s="159"/>
      <c r="R801" s="20"/>
      <c r="S801" s="20"/>
      <c r="T801" s="20"/>
      <c r="U801" s="20"/>
      <c r="V801" s="20"/>
      <c r="W801" s="98"/>
      <c r="X801" s="98"/>
      <c r="Y801" s="98"/>
      <c r="Z801" s="98"/>
      <c r="AA801" s="98"/>
      <c r="AB801" s="98"/>
      <c r="AC801" s="98"/>
      <c r="AD801" s="98"/>
      <c r="AE801" s="98"/>
      <c r="AF801" s="98"/>
      <c r="AG801" s="98"/>
      <c r="AH801" s="98"/>
      <c r="AI801" s="20"/>
      <c r="AJ801" s="20"/>
      <c r="AK801" s="20"/>
      <c r="AL801" s="20"/>
    </row>
    <row r="802">
      <c r="A802" s="156"/>
      <c r="B802" s="20"/>
      <c r="C802" s="20"/>
      <c r="D802" s="20"/>
      <c r="E802" s="20"/>
      <c r="F802" s="20"/>
      <c r="G802" s="20"/>
      <c r="H802" s="20"/>
      <c r="I802" s="20"/>
      <c r="J802" s="21"/>
      <c r="K802" s="98"/>
      <c r="L802" s="98"/>
      <c r="M802" s="17"/>
      <c r="N802" s="17"/>
      <c r="O802" s="20"/>
      <c r="P802" s="20"/>
      <c r="Q802" s="159"/>
      <c r="R802" s="20"/>
      <c r="S802" s="20"/>
      <c r="T802" s="20"/>
      <c r="U802" s="20"/>
      <c r="V802" s="20"/>
      <c r="W802" s="98"/>
      <c r="X802" s="98"/>
      <c r="Y802" s="98"/>
      <c r="Z802" s="98"/>
      <c r="AA802" s="98"/>
      <c r="AB802" s="98"/>
      <c r="AC802" s="98"/>
      <c r="AD802" s="98"/>
      <c r="AE802" s="98"/>
      <c r="AF802" s="98"/>
      <c r="AG802" s="98"/>
      <c r="AH802" s="98"/>
      <c r="AI802" s="20"/>
      <c r="AJ802" s="20"/>
      <c r="AK802" s="20"/>
      <c r="AL802" s="20"/>
    </row>
    <row r="803">
      <c r="A803" s="156"/>
      <c r="B803" s="20"/>
      <c r="C803" s="20"/>
      <c r="D803" s="20"/>
      <c r="E803" s="20"/>
      <c r="F803" s="20"/>
      <c r="G803" s="20"/>
      <c r="H803" s="20"/>
      <c r="I803" s="20"/>
      <c r="J803" s="21"/>
      <c r="K803" s="98"/>
      <c r="L803" s="98"/>
      <c r="M803" s="17"/>
      <c r="N803" s="17"/>
      <c r="O803" s="20"/>
      <c r="P803" s="20"/>
      <c r="Q803" s="159"/>
      <c r="R803" s="20"/>
      <c r="S803" s="20"/>
      <c r="T803" s="20"/>
      <c r="U803" s="20"/>
      <c r="V803" s="20"/>
      <c r="W803" s="98"/>
      <c r="X803" s="98"/>
      <c r="Y803" s="98"/>
      <c r="Z803" s="98"/>
      <c r="AA803" s="98"/>
      <c r="AB803" s="98"/>
      <c r="AC803" s="98"/>
      <c r="AD803" s="98"/>
      <c r="AE803" s="98"/>
      <c r="AF803" s="98"/>
      <c r="AG803" s="98"/>
      <c r="AH803" s="98"/>
      <c r="AI803" s="20"/>
      <c r="AJ803" s="20"/>
      <c r="AK803" s="20"/>
      <c r="AL803" s="20"/>
    </row>
    <row r="804">
      <c r="A804" s="156"/>
      <c r="B804" s="20"/>
      <c r="C804" s="20"/>
      <c r="D804" s="20"/>
      <c r="E804" s="20"/>
      <c r="F804" s="20"/>
      <c r="G804" s="20"/>
      <c r="H804" s="20"/>
      <c r="I804" s="20"/>
      <c r="J804" s="21"/>
      <c r="K804" s="98"/>
      <c r="L804" s="98"/>
      <c r="M804" s="17"/>
      <c r="N804" s="17"/>
      <c r="O804" s="20"/>
      <c r="P804" s="20"/>
      <c r="Q804" s="159"/>
      <c r="R804" s="20"/>
      <c r="S804" s="20"/>
      <c r="T804" s="20"/>
      <c r="U804" s="20"/>
      <c r="V804" s="20"/>
      <c r="W804" s="98"/>
      <c r="X804" s="98"/>
      <c r="Y804" s="98"/>
      <c r="Z804" s="98"/>
      <c r="AA804" s="98"/>
      <c r="AB804" s="98"/>
      <c r="AC804" s="98"/>
      <c r="AD804" s="98"/>
      <c r="AE804" s="98"/>
      <c r="AF804" s="98"/>
      <c r="AG804" s="98"/>
      <c r="AH804" s="98"/>
      <c r="AI804" s="20"/>
      <c r="AJ804" s="20"/>
      <c r="AK804" s="20"/>
      <c r="AL804" s="20"/>
    </row>
    <row r="805">
      <c r="A805" s="156"/>
      <c r="B805" s="20"/>
      <c r="C805" s="20"/>
      <c r="D805" s="20"/>
      <c r="E805" s="20"/>
      <c r="F805" s="20"/>
      <c r="G805" s="20"/>
      <c r="H805" s="20"/>
      <c r="I805" s="20"/>
      <c r="J805" s="21"/>
      <c r="K805" s="98"/>
      <c r="L805" s="98"/>
      <c r="M805" s="17"/>
      <c r="N805" s="17"/>
      <c r="O805" s="20"/>
      <c r="P805" s="20"/>
      <c r="Q805" s="159"/>
      <c r="R805" s="20"/>
      <c r="S805" s="20"/>
      <c r="T805" s="20"/>
      <c r="U805" s="20"/>
      <c r="V805" s="20"/>
      <c r="W805" s="98"/>
      <c r="X805" s="98"/>
      <c r="Y805" s="98"/>
      <c r="Z805" s="98"/>
      <c r="AA805" s="98"/>
      <c r="AB805" s="98"/>
      <c r="AC805" s="98"/>
      <c r="AD805" s="98"/>
      <c r="AE805" s="98"/>
      <c r="AF805" s="98"/>
      <c r="AG805" s="98"/>
      <c r="AH805" s="98"/>
      <c r="AI805" s="20"/>
      <c r="AJ805" s="20"/>
      <c r="AK805" s="20"/>
      <c r="AL805" s="20"/>
    </row>
    <row r="806">
      <c r="A806" s="156"/>
      <c r="B806" s="20"/>
      <c r="C806" s="20"/>
      <c r="D806" s="20"/>
      <c r="E806" s="20"/>
      <c r="F806" s="20"/>
      <c r="G806" s="20"/>
      <c r="H806" s="20"/>
      <c r="I806" s="20"/>
      <c r="J806" s="21"/>
      <c r="K806" s="98"/>
      <c r="L806" s="98"/>
      <c r="M806" s="17"/>
      <c r="N806" s="17"/>
      <c r="O806" s="20"/>
      <c r="P806" s="20"/>
      <c r="Q806" s="159"/>
      <c r="R806" s="20"/>
      <c r="S806" s="20"/>
      <c r="T806" s="20"/>
      <c r="U806" s="20"/>
      <c r="V806" s="20"/>
      <c r="W806" s="98"/>
      <c r="X806" s="98"/>
      <c r="Y806" s="98"/>
      <c r="Z806" s="98"/>
      <c r="AA806" s="98"/>
      <c r="AB806" s="98"/>
      <c r="AC806" s="98"/>
      <c r="AD806" s="98"/>
      <c r="AE806" s="98"/>
      <c r="AF806" s="98"/>
      <c r="AG806" s="98"/>
      <c r="AH806" s="98"/>
      <c r="AI806" s="20"/>
      <c r="AJ806" s="20"/>
      <c r="AK806" s="20"/>
      <c r="AL806" s="20"/>
    </row>
    <row r="807">
      <c r="A807" s="156"/>
      <c r="B807" s="20"/>
      <c r="C807" s="20"/>
      <c r="D807" s="20"/>
      <c r="E807" s="20"/>
      <c r="F807" s="20"/>
      <c r="G807" s="20"/>
      <c r="H807" s="20"/>
      <c r="I807" s="20"/>
      <c r="J807" s="21"/>
      <c r="K807" s="98"/>
      <c r="L807" s="98"/>
      <c r="M807" s="17"/>
      <c r="N807" s="17"/>
      <c r="O807" s="20"/>
      <c r="P807" s="20"/>
      <c r="Q807" s="159"/>
      <c r="R807" s="20"/>
      <c r="S807" s="20"/>
      <c r="T807" s="20"/>
      <c r="U807" s="20"/>
      <c r="V807" s="20"/>
      <c r="W807" s="98"/>
      <c r="X807" s="98"/>
      <c r="Y807" s="98"/>
      <c r="Z807" s="98"/>
      <c r="AA807" s="98"/>
      <c r="AB807" s="98"/>
      <c r="AC807" s="98"/>
      <c r="AD807" s="98"/>
      <c r="AE807" s="98"/>
      <c r="AF807" s="98"/>
      <c r="AG807" s="98"/>
      <c r="AH807" s="98"/>
      <c r="AI807" s="20"/>
      <c r="AJ807" s="20"/>
      <c r="AK807" s="20"/>
      <c r="AL807" s="20"/>
    </row>
    <row r="808">
      <c r="A808" s="156"/>
      <c r="B808" s="20"/>
      <c r="C808" s="20"/>
      <c r="D808" s="20"/>
      <c r="E808" s="20"/>
      <c r="F808" s="20"/>
      <c r="G808" s="20"/>
      <c r="H808" s="20"/>
      <c r="I808" s="20"/>
      <c r="J808" s="21"/>
      <c r="K808" s="98"/>
      <c r="L808" s="98"/>
      <c r="M808" s="17"/>
      <c r="N808" s="17"/>
      <c r="O808" s="20"/>
      <c r="P808" s="20"/>
      <c r="Q808" s="159"/>
      <c r="R808" s="20"/>
      <c r="S808" s="20"/>
      <c r="T808" s="20"/>
      <c r="U808" s="20"/>
      <c r="V808" s="20"/>
      <c r="W808" s="98"/>
      <c r="X808" s="98"/>
      <c r="Y808" s="98"/>
      <c r="Z808" s="98"/>
      <c r="AA808" s="98"/>
      <c r="AB808" s="98"/>
      <c r="AC808" s="98"/>
      <c r="AD808" s="98"/>
      <c r="AE808" s="98"/>
      <c r="AF808" s="98"/>
      <c r="AG808" s="98"/>
      <c r="AH808" s="98"/>
      <c r="AI808" s="20"/>
      <c r="AJ808" s="20"/>
      <c r="AK808" s="20"/>
      <c r="AL808" s="20"/>
    </row>
    <row r="809">
      <c r="A809" s="156"/>
      <c r="B809" s="20"/>
      <c r="C809" s="20"/>
      <c r="D809" s="20"/>
      <c r="E809" s="20"/>
      <c r="F809" s="20"/>
      <c r="G809" s="20"/>
      <c r="H809" s="20"/>
      <c r="I809" s="20"/>
      <c r="J809" s="21"/>
      <c r="K809" s="98"/>
      <c r="L809" s="98"/>
      <c r="M809" s="17"/>
      <c r="N809" s="17"/>
      <c r="O809" s="20"/>
      <c r="P809" s="20"/>
      <c r="Q809" s="159"/>
      <c r="R809" s="20"/>
      <c r="S809" s="20"/>
      <c r="T809" s="20"/>
      <c r="U809" s="20"/>
      <c r="V809" s="20"/>
      <c r="W809" s="98"/>
      <c r="X809" s="98"/>
      <c r="Y809" s="98"/>
      <c r="Z809" s="98"/>
      <c r="AA809" s="98"/>
      <c r="AB809" s="98"/>
      <c r="AC809" s="98"/>
      <c r="AD809" s="98"/>
      <c r="AE809" s="98"/>
      <c r="AF809" s="98"/>
      <c r="AG809" s="98"/>
      <c r="AH809" s="98"/>
      <c r="AI809" s="20"/>
      <c r="AJ809" s="20"/>
      <c r="AK809" s="20"/>
      <c r="AL809" s="20"/>
    </row>
    <row r="810">
      <c r="A810" s="156"/>
      <c r="B810" s="20"/>
      <c r="C810" s="20"/>
      <c r="D810" s="20"/>
      <c r="E810" s="20"/>
      <c r="F810" s="20"/>
      <c r="G810" s="20"/>
      <c r="H810" s="20"/>
      <c r="I810" s="20"/>
      <c r="J810" s="21"/>
      <c r="K810" s="98"/>
      <c r="L810" s="98"/>
      <c r="M810" s="17"/>
      <c r="N810" s="17"/>
      <c r="O810" s="20"/>
      <c r="P810" s="20"/>
      <c r="Q810" s="159"/>
      <c r="R810" s="20"/>
      <c r="S810" s="20"/>
      <c r="T810" s="20"/>
      <c r="U810" s="20"/>
      <c r="V810" s="20"/>
      <c r="W810" s="98"/>
      <c r="X810" s="98"/>
      <c r="Y810" s="98"/>
      <c r="Z810" s="98"/>
      <c r="AA810" s="98"/>
      <c r="AB810" s="98"/>
      <c r="AC810" s="98"/>
      <c r="AD810" s="98"/>
      <c r="AE810" s="98"/>
      <c r="AF810" s="98"/>
      <c r="AG810" s="98"/>
      <c r="AH810" s="98"/>
      <c r="AI810" s="20"/>
      <c r="AJ810" s="20"/>
      <c r="AK810" s="20"/>
      <c r="AL810" s="20"/>
    </row>
    <row r="811">
      <c r="A811" s="156"/>
      <c r="B811" s="20"/>
      <c r="C811" s="20"/>
      <c r="D811" s="20"/>
      <c r="E811" s="20"/>
      <c r="F811" s="20"/>
      <c r="G811" s="20"/>
      <c r="H811" s="20"/>
      <c r="I811" s="20"/>
      <c r="J811" s="21"/>
      <c r="K811" s="98"/>
      <c r="L811" s="98"/>
      <c r="M811" s="17"/>
      <c r="N811" s="17"/>
      <c r="O811" s="20"/>
      <c r="P811" s="20"/>
      <c r="Q811" s="159"/>
      <c r="R811" s="20"/>
      <c r="S811" s="20"/>
      <c r="T811" s="20"/>
      <c r="U811" s="20"/>
      <c r="V811" s="20"/>
      <c r="W811" s="98"/>
      <c r="X811" s="98"/>
      <c r="Y811" s="98"/>
      <c r="Z811" s="98"/>
      <c r="AA811" s="98"/>
      <c r="AB811" s="98"/>
      <c r="AC811" s="98"/>
      <c r="AD811" s="98"/>
      <c r="AE811" s="98"/>
      <c r="AF811" s="98"/>
      <c r="AG811" s="98"/>
      <c r="AH811" s="98"/>
      <c r="AI811" s="20"/>
      <c r="AJ811" s="20"/>
      <c r="AK811" s="20"/>
      <c r="AL811" s="20"/>
    </row>
    <row r="812">
      <c r="A812" s="156"/>
      <c r="B812" s="20"/>
      <c r="C812" s="20"/>
      <c r="D812" s="20"/>
      <c r="E812" s="20"/>
      <c r="F812" s="20"/>
      <c r="G812" s="20"/>
      <c r="H812" s="20"/>
      <c r="I812" s="20"/>
      <c r="J812" s="21"/>
      <c r="K812" s="98"/>
      <c r="L812" s="98"/>
      <c r="M812" s="17"/>
      <c r="N812" s="17"/>
      <c r="O812" s="20"/>
      <c r="P812" s="20"/>
      <c r="Q812" s="159"/>
      <c r="R812" s="20"/>
      <c r="S812" s="20"/>
      <c r="T812" s="20"/>
      <c r="U812" s="20"/>
      <c r="V812" s="20"/>
      <c r="W812" s="98"/>
      <c r="X812" s="98"/>
      <c r="Y812" s="98"/>
      <c r="Z812" s="98"/>
      <c r="AA812" s="98"/>
      <c r="AB812" s="98"/>
      <c r="AC812" s="98"/>
      <c r="AD812" s="98"/>
      <c r="AE812" s="98"/>
      <c r="AF812" s="98"/>
      <c r="AG812" s="98"/>
      <c r="AH812" s="98"/>
      <c r="AI812" s="20"/>
      <c r="AJ812" s="20"/>
      <c r="AK812" s="20"/>
      <c r="AL812" s="20"/>
    </row>
    <row r="813">
      <c r="A813" s="156"/>
      <c r="B813" s="20"/>
      <c r="C813" s="20"/>
      <c r="D813" s="20"/>
      <c r="E813" s="20"/>
      <c r="F813" s="20"/>
      <c r="G813" s="20"/>
      <c r="H813" s="20"/>
      <c r="I813" s="20"/>
      <c r="J813" s="21"/>
      <c r="K813" s="98"/>
      <c r="L813" s="98"/>
      <c r="M813" s="17"/>
      <c r="N813" s="17"/>
      <c r="O813" s="20"/>
      <c r="P813" s="20"/>
      <c r="Q813" s="159"/>
      <c r="R813" s="20"/>
      <c r="S813" s="20"/>
      <c r="T813" s="20"/>
      <c r="U813" s="20"/>
      <c r="V813" s="20"/>
      <c r="W813" s="98"/>
      <c r="X813" s="98"/>
      <c r="Y813" s="98"/>
      <c r="Z813" s="98"/>
      <c r="AA813" s="98"/>
      <c r="AB813" s="98"/>
      <c r="AC813" s="98"/>
      <c r="AD813" s="98"/>
      <c r="AE813" s="98"/>
      <c r="AF813" s="98"/>
      <c r="AG813" s="98"/>
      <c r="AH813" s="98"/>
      <c r="AI813" s="20"/>
      <c r="AJ813" s="20"/>
      <c r="AK813" s="20"/>
      <c r="AL813" s="20"/>
    </row>
    <row r="814">
      <c r="A814" s="156"/>
      <c r="B814" s="20"/>
      <c r="C814" s="20"/>
      <c r="D814" s="20"/>
      <c r="E814" s="20"/>
      <c r="F814" s="20"/>
      <c r="G814" s="20"/>
      <c r="H814" s="20"/>
      <c r="I814" s="20"/>
      <c r="J814" s="21"/>
      <c r="K814" s="98"/>
      <c r="L814" s="98"/>
      <c r="M814" s="17"/>
      <c r="N814" s="17"/>
      <c r="O814" s="20"/>
      <c r="P814" s="20"/>
      <c r="Q814" s="159"/>
      <c r="R814" s="20"/>
      <c r="S814" s="20"/>
      <c r="T814" s="20"/>
      <c r="U814" s="20"/>
      <c r="V814" s="20"/>
      <c r="W814" s="98"/>
      <c r="X814" s="98"/>
      <c r="Y814" s="98"/>
      <c r="Z814" s="98"/>
      <c r="AA814" s="98"/>
      <c r="AB814" s="98"/>
      <c r="AC814" s="98"/>
      <c r="AD814" s="98"/>
      <c r="AE814" s="98"/>
      <c r="AF814" s="98"/>
      <c r="AG814" s="98"/>
      <c r="AH814" s="98"/>
      <c r="AI814" s="20"/>
      <c r="AJ814" s="20"/>
      <c r="AK814" s="20"/>
      <c r="AL814" s="20"/>
    </row>
    <row r="815">
      <c r="A815" s="156"/>
      <c r="B815" s="20"/>
      <c r="C815" s="20"/>
      <c r="D815" s="20"/>
      <c r="E815" s="20"/>
      <c r="F815" s="20"/>
      <c r="G815" s="20"/>
      <c r="H815" s="20"/>
      <c r="I815" s="20"/>
      <c r="J815" s="21"/>
      <c r="K815" s="98"/>
      <c r="L815" s="98"/>
      <c r="M815" s="17"/>
      <c r="N815" s="17"/>
      <c r="O815" s="20"/>
      <c r="P815" s="20"/>
      <c r="Q815" s="159"/>
      <c r="R815" s="20"/>
      <c r="S815" s="20"/>
      <c r="T815" s="20"/>
      <c r="U815" s="20"/>
      <c r="V815" s="20"/>
      <c r="W815" s="98"/>
      <c r="X815" s="98"/>
      <c r="Y815" s="98"/>
      <c r="Z815" s="98"/>
      <c r="AA815" s="98"/>
      <c r="AB815" s="98"/>
      <c r="AC815" s="98"/>
      <c r="AD815" s="98"/>
      <c r="AE815" s="98"/>
      <c r="AF815" s="98"/>
      <c r="AG815" s="98"/>
      <c r="AH815" s="98"/>
      <c r="AI815" s="20"/>
      <c r="AJ815" s="20"/>
      <c r="AK815" s="20"/>
      <c r="AL815" s="20"/>
    </row>
    <row r="816">
      <c r="A816" s="156"/>
      <c r="B816" s="20"/>
      <c r="C816" s="20"/>
      <c r="D816" s="20"/>
      <c r="E816" s="20"/>
      <c r="F816" s="20"/>
      <c r="G816" s="20"/>
      <c r="H816" s="20"/>
      <c r="I816" s="20"/>
      <c r="J816" s="21"/>
      <c r="K816" s="98"/>
      <c r="L816" s="98"/>
      <c r="M816" s="17"/>
      <c r="N816" s="17"/>
      <c r="O816" s="20"/>
      <c r="P816" s="20"/>
      <c r="Q816" s="159"/>
      <c r="R816" s="20"/>
      <c r="S816" s="20"/>
      <c r="T816" s="20"/>
      <c r="U816" s="20"/>
      <c r="V816" s="20"/>
      <c r="W816" s="98"/>
      <c r="X816" s="98"/>
      <c r="Y816" s="98"/>
      <c r="Z816" s="98"/>
      <c r="AA816" s="98"/>
      <c r="AB816" s="98"/>
      <c r="AC816" s="98"/>
      <c r="AD816" s="98"/>
      <c r="AE816" s="98"/>
      <c r="AF816" s="98"/>
      <c r="AG816" s="98"/>
      <c r="AH816" s="98"/>
      <c r="AI816" s="20"/>
      <c r="AJ816" s="20"/>
      <c r="AK816" s="20"/>
      <c r="AL816" s="20"/>
    </row>
    <row r="817">
      <c r="A817" s="156"/>
      <c r="B817" s="20"/>
      <c r="C817" s="20"/>
      <c r="D817" s="20"/>
      <c r="E817" s="20"/>
      <c r="F817" s="20"/>
      <c r="G817" s="20"/>
      <c r="H817" s="20"/>
      <c r="I817" s="20"/>
      <c r="J817" s="21"/>
      <c r="K817" s="98"/>
      <c r="L817" s="98"/>
      <c r="M817" s="17"/>
      <c r="N817" s="17"/>
      <c r="O817" s="20"/>
      <c r="P817" s="20"/>
      <c r="Q817" s="159"/>
      <c r="R817" s="20"/>
      <c r="S817" s="20"/>
      <c r="T817" s="20"/>
      <c r="U817" s="20"/>
      <c r="V817" s="20"/>
      <c r="W817" s="98"/>
      <c r="X817" s="98"/>
      <c r="Y817" s="98"/>
      <c r="Z817" s="98"/>
      <c r="AA817" s="98"/>
      <c r="AB817" s="98"/>
      <c r="AC817" s="98"/>
      <c r="AD817" s="98"/>
      <c r="AE817" s="98"/>
      <c r="AF817" s="98"/>
      <c r="AG817" s="98"/>
      <c r="AH817" s="98"/>
      <c r="AI817" s="20"/>
      <c r="AJ817" s="20"/>
      <c r="AK817" s="20"/>
      <c r="AL817" s="20"/>
    </row>
    <row r="818">
      <c r="A818" s="156"/>
      <c r="B818" s="20"/>
      <c r="C818" s="20"/>
      <c r="D818" s="20"/>
      <c r="E818" s="20"/>
      <c r="F818" s="20"/>
      <c r="G818" s="20"/>
      <c r="H818" s="20"/>
      <c r="I818" s="20"/>
      <c r="J818" s="21"/>
      <c r="K818" s="98"/>
      <c r="L818" s="98"/>
      <c r="M818" s="17"/>
      <c r="N818" s="17"/>
      <c r="O818" s="20"/>
      <c r="P818" s="20"/>
      <c r="Q818" s="159"/>
      <c r="R818" s="20"/>
      <c r="S818" s="20"/>
      <c r="T818" s="20"/>
      <c r="U818" s="20"/>
      <c r="V818" s="20"/>
      <c r="W818" s="98"/>
      <c r="X818" s="98"/>
      <c r="Y818" s="98"/>
      <c r="Z818" s="98"/>
      <c r="AA818" s="98"/>
      <c r="AB818" s="98"/>
      <c r="AC818" s="98"/>
      <c r="AD818" s="98"/>
      <c r="AE818" s="98"/>
      <c r="AF818" s="98"/>
      <c r="AG818" s="98"/>
      <c r="AH818" s="98"/>
      <c r="AI818" s="20"/>
      <c r="AJ818" s="20"/>
      <c r="AK818" s="20"/>
      <c r="AL818" s="20"/>
    </row>
    <row r="819">
      <c r="A819" s="156"/>
      <c r="B819" s="20"/>
      <c r="C819" s="20"/>
      <c r="D819" s="20"/>
      <c r="E819" s="20"/>
      <c r="F819" s="20"/>
      <c r="G819" s="20"/>
      <c r="H819" s="20"/>
      <c r="I819" s="20"/>
      <c r="J819" s="21"/>
      <c r="K819" s="98"/>
      <c r="L819" s="98"/>
      <c r="M819" s="17"/>
      <c r="N819" s="17"/>
      <c r="O819" s="20"/>
      <c r="P819" s="20"/>
      <c r="Q819" s="159"/>
      <c r="R819" s="20"/>
      <c r="S819" s="20"/>
      <c r="T819" s="20"/>
      <c r="U819" s="20"/>
      <c r="V819" s="20"/>
      <c r="W819" s="98"/>
      <c r="X819" s="98"/>
      <c r="Y819" s="98"/>
      <c r="Z819" s="98"/>
      <c r="AA819" s="98"/>
      <c r="AB819" s="98"/>
      <c r="AC819" s="98"/>
      <c r="AD819" s="98"/>
      <c r="AE819" s="98"/>
      <c r="AF819" s="98"/>
      <c r="AG819" s="98"/>
      <c r="AH819" s="98"/>
      <c r="AI819" s="20"/>
      <c r="AJ819" s="20"/>
      <c r="AK819" s="20"/>
      <c r="AL819" s="20"/>
    </row>
    <row r="820">
      <c r="A820" s="156"/>
      <c r="B820" s="20"/>
      <c r="C820" s="20"/>
      <c r="D820" s="20"/>
      <c r="E820" s="20"/>
      <c r="F820" s="20"/>
      <c r="G820" s="20"/>
      <c r="H820" s="20"/>
      <c r="I820" s="20"/>
      <c r="J820" s="21"/>
      <c r="K820" s="98"/>
      <c r="L820" s="98"/>
      <c r="M820" s="17"/>
      <c r="N820" s="17"/>
      <c r="O820" s="20"/>
      <c r="P820" s="20"/>
      <c r="Q820" s="159"/>
      <c r="R820" s="20"/>
      <c r="S820" s="20"/>
      <c r="T820" s="20"/>
      <c r="U820" s="20"/>
      <c r="V820" s="20"/>
      <c r="W820" s="98"/>
      <c r="X820" s="98"/>
      <c r="Y820" s="98"/>
      <c r="Z820" s="98"/>
      <c r="AA820" s="98"/>
      <c r="AB820" s="98"/>
      <c r="AC820" s="98"/>
      <c r="AD820" s="98"/>
      <c r="AE820" s="98"/>
      <c r="AF820" s="98"/>
      <c r="AG820" s="98"/>
      <c r="AH820" s="98"/>
      <c r="AI820" s="20"/>
      <c r="AJ820" s="20"/>
      <c r="AK820" s="20"/>
      <c r="AL820" s="20"/>
    </row>
    <row r="821">
      <c r="A821" s="156"/>
      <c r="B821" s="20"/>
      <c r="C821" s="20"/>
      <c r="D821" s="20"/>
      <c r="E821" s="20"/>
      <c r="F821" s="20"/>
      <c r="G821" s="20"/>
      <c r="H821" s="20"/>
      <c r="I821" s="20"/>
      <c r="J821" s="21"/>
      <c r="K821" s="98"/>
      <c r="L821" s="98"/>
      <c r="M821" s="17"/>
      <c r="N821" s="17"/>
      <c r="O821" s="20"/>
      <c r="P821" s="20"/>
      <c r="Q821" s="159"/>
      <c r="R821" s="20"/>
      <c r="S821" s="20"/>
      <c r="T821" s="20"/>
      <c r="U821" s="20"/>
      <c r="V821" s="20"/>
      <c r="W821" s="98"/>
      <c r="X821" s="98"/>
      <c r="Y821" s="98"/>
      <c r="Z821" s="98"/>
      <c r="AA821" s="98"/>
      <c r="AB821" s="98"/>
      <c r="AC821" s="98"/>
      <c r="AD821" s="98"/>
      <c r="AE821" s="98"/>
      <c r="AF821" s="98"/>
      <c r="AG821" s="98"/>
      <c r="AH821" s="98"/>
      <c r="AI821" s="20"/>
      <c r="AJ821" s="20"/>
      <c r="AK821" s="20"/>
      <c r="AL821" s="20"/>
    </row>
    <row r="822">
      <c r="A822" s="156"/>
      <c r="B822" s="20"/>
      <c r="C822" s="20"/>
      <c r="D822" s="20"/>
      <c r="E822" s="20"/>
      <c r="F822" s="20"/>
      <c r="G822" s="20"/>
      <c r="H822" s="20"/>
      <c r="I822" s="20"/>
      <c r="J822" s="21"/>
      <c r="K822" s="98"/>
      <c r="L822" s="98"/>
      <c r="M822" s="17"/>
      <c r="N822" s="17"/>
      <c r="O822" s="20"/>
      <c r="P822" s="20"/>
      <c r="Q822" s="159"/>
      <c r="R822" s="20"/>
      <c r="S822" s="20"/>
      <c r="T822" s="20"/>
      <c r="U822" s="20"/>
      <c r="V822" s="20"/>
      <c r="W822" s="98"/>
      <c r="X822" s="98"/>
      <c r="Y822" s="98"/>
      <c r="Z822" s="98"/>
      <c r="AA822" s="98"/>
      <c r="AB822" s="98"/>
      <c r="AC822" s="98"/>
      <c r="AD822" s="98"/>
      <c r="AE822" s="98"/>
      <c r="AF822" s="98"/>
      <c r="AG822" s="98"/>
      <c r="AH822" s="98"/>
      <c r="AI822" s="20"/>
      <c r="AJ822" s="20"/>
      <c r="AK822" s="20"/>
      <c r="AL822" s="20"/>
    </row>
    <row r="823">
      <c r="A823" s="156"/>
      <c r="B823" s="20"/>
      <c r="C823" s="20"/>
      <c r="D823" s="20"/>
      <c r="E823" s="20"/>
      <c r="F823" s="20"/>
      <c r="G823" s="20"/>
      <c r="H823" s="20"/>
      <c r="I823" s="20"/>
      <c r="J823" s="21"/>
      <c r="K823" s="98"/>
      <c r="L823" s="98"/>
      <c r="M823" s="17"/>
      <c r="N823" s="17"/>
      <c r="O823" s="20"/>
      <c r="P823" s="20"/>
      <c r="Q823" s="159"/>
      <c r="R823" s="20"/>
      <c r="S823" s="20"/>
      <c r="T823" s="20"/>
      <c r="U823" s="20"/>
      <c r="V823" s="20"/>
      <c r="W823" s="98"/>
      <c r="X823" s="98"/>
      <c r="Y823" s="98"/>
      <c r="Z823" s="98"/>
      <c r="AA823" s="98"/>
      <c r="AB823" s="98"/>
      <c r="AC823" s="98"/>
      <c r="AD823" s="98"/>
      <c r="AE823" s="98"/>
      <c r="AF823" s="98"/>
      <c r="AG823" s="98"/>
      <c r="AH823" s="98"/>
      <c r="AI823" s="20"/>
      <c r="AJ823" s="20"/>
      <c r="AK823" s="20"/>
      <c r="AL823" s="20"/>
    </row>
    <row r="824">
      <c r="A824" s="156"/>
      <c r="B824" s="20"/>
      <c r="C824" s="20"/>
      <c r="D824" s="20"/>
      <c r="E824" s="20"/>
      <c r="F824" s="20"/>
      <c r="G824" s="20"/>
      <c r="H824" s="20"/>
      <c r="I824" s="20"/>
      <c r="J824" s="21"/>
      <c r="K824" s="98"/>
      <c r="L824" s="98"/>
      <c r="M824" s="17"/>
      <c r="N824" s="17"/>
      <c r="O824" s="20"/>
      <c r="P824" s="20"/>
      <c r="Q824" s="159"/>
      <c r="R824" s="20"/>
      <c r="S824" s="20"/>
      <c r="T824" s="20"/>
      <c r="U824" s="20"/>
      <c r="V824" s="20"/>
      <c r="W824" s="98"/>
      <c r="X824" s="98"/>
      <c r="Y824" s="98"/>
      <c r="Z824" s="98"/>
      <c r="AA824" s="98"/>
      <c r="AB824" s="98"/>
      <c r="AC824" s="98"/>
      <c r="AD824" s="98"/>
      <c r="AE824" s="98"/>
      <c r="AF824" s="98"/>
      <c r="AG824" s="98"/>
      <c r="AH824" s="98"/>
      <c r="AI824" s="20"/>
      <c r="AJ824" s="20"/>
      <c r="AK824" s="20"/>
      <c r="AL824" s="20"/>
    </row>
    <row r="825">
      <c r="A825" s="156"/>
      <c r="B825" s="20"/>
      <c r="C825" s="20"/>
      <c r="D825" s="20"/>
      <c r="E825" s="20"/>
      <c r="F825" s="20"/>
      <c r="G825" s="20"/>
      <c r="H825" s="20"/>
      <c r="I825" s="20"/>
      <c r="J825" s="21"/>
      <c r="K825" s="98"/>
      <c r="L825" s="98"/>
      <c r="M825" s="17"/>
      <c r="N825" s="17"/>
      <c r="O825" s="20"/>
      <c r="P825" s="20"/>
      <c r="Q825" s="159"/>
      <c r="R825" s="20"/>
      <c r="S825" s="20"/>
      <c r="T825" s="20"/>
      <c r="U825" s="20"/>
      <c r="V825" s="20"/>
      <c r="W825" s="98"/>
      <c r="X825" s="98"/>
      <c r="Y825" s="98"/>
      <c r="Z825" s="98"/>
      <c r="AA825" s="98"/>
      <c r="AB825" s="98"/>
      <c r="AC825" s="98"/>
      <c r="AD825" s="98"/>
      <c r="AE825" s="98"/>
      <c r="AF825" s="98"/>
      <c r="AG825" s="98"/>
      <c r="AH825" s="98"/>
      <c r="AI825" s="20"/>
      <c r="AJ825" s="20"/>
      <c r="AK825" s="20"/>
      <c r="AL825" s="20"/>
    </row>
    <row r="826">
      <c r="A826" s="156"/>
      <c r="B826" s="20"/>
      <c r="C826" s="20"/>
      <c r="D826" s="20"/>
      <c r="E826" s="20"/>
      <c r="F826" s="20"/>
      <c r="G826" s="20"/>
      <c r="H826" s="20"/>
      <c r="I826" s="20"/>
      <c r="J826" s="21"/>
      <c r="K826" s="98"/>
      <c r="L826" s="98"/>
      <c r="M826" s="17"/>
      <c r="N826" s="17"/>
      <c r="O826" s="20"/>
      <c r="P826" s="20"/>
      <c r="Q826" s="159"/>
      <c r="R826" s="20"/>
      <c r="S826" s="20"/>
      <c r="T826" s="20"/>
      <c r="U826" s="20"/>
      <c r="V826" s="20"/>
      <c r="W826" s="98"/>
      <c r="X826" s="98"/>
      <c r="Y826" s="98"/>
      <c r="Z826" s="98"/>
      <c r="AA826" s="98"/>
      <c r="AB826" s="98"/>
      <c r="AC826" s="98"/>
      <c r="AD826" s="98"/>
      <c r="AE826" s="98"/>
      <c r="AF826" s="98"/>
      <c r="AG826" s="98"/>
      <c r="AH826" s="98"/>
      <c r="AI826" s="20"/>
      <c r="AJ826" s="20"/>
      <c r="AK826" s="20"/>
      <c r="AL826" s="20"/>
    </row>
    <row r="827">
      <c r="A827" s="156"/>
      <c r="B827" s="20"/>
      <c r="C827" s="20"/>
      <c r="D827" s="20"/>
      <c r="E827" s="20"/>
      <c r="F827" s="20"/>
      <c r="G827" s="20"/>
      <c r="H827" s="20"/>
      <c r="I827" s="20"/>
      <c r="J827" s="21"/>
      <c r="K827" s="98"/>
      <c r="L827" s="98"/>
      <c r="M827" s="17"/>
      <c r="N827" s="17"/>
      <c r="O827" s="20"/>
      <c r="P827" s="20"/>
      <c r="Q827" s="159"/>
      <c r="R827" s="20"/>
      <c r="S827" s="20"/>
      <c r="T827" s="20"/>
      <c r="U827" s="20"/>
      <c r="V827" s="20"/>
      <c r="W827" s="98"/>
      <c r="X827" s="98"/>
      <c r="Y827" s="98"/>
      <c r="Z827" s="98"/>
      <c r="AA827" s="98"/>
      <c r="AB827" s="98"/>
      <c r="AC827" s="98"/>
      <c r="AD827" s="98"/>
      <c r="AE827" s="98"/>
      <c r="AF827" s="98"/>
      <c r="AG827" s="98"/>
      <c r="AH827" s="98"/>
      <c r="AI827" s="20"/>
      <c r="AJ827" s="20"/>
      <c r="AK827" s="20"/>
      <c r="AL827" s="20"/>
    </row>
    <row r="828">
      <c r="A828" s="156"/>
      <c r="B828" s="20"/>
      <c r="C828" s="20"/>
      <c r="D828" s="20"/>
      <c r="E828" s="20"/>
      <c r="F828" s="20"/>
      <c r="G828" s="20"/>
      <c r="H828" s="20"/>
      <c r="I828" s="20"/>
      <c r="J828" s="21"/>
      <c r="K828" s="98"/>
      <c r="L828" s="98"/>
      <c r="M828" s="17"/>
      <c r="N828" s="17"/>
      <c r="O828" s="20"/>
      <c r="P828" s="20"/>
      <c r="Q828" s="159"/>
      <c r="R828" s="20"/>
      <c r="S828" s="20"/>
      <c r="T828" s="20"/>
      <c r="U828" s="20"/>
      <c r="V828" s="20"/>
      <c r="W828" s="98"/>
      <c r="X828" s="98"/>
      <c r="Y828" s="98"/>
      <c r="Z828" s="98"/>
      <c r="AA828" s="98"/>
      <c r="AB828" s="98"/>
      <c r="AC828" s="98"/>
      <c r="AD828" s="98"/>
      <c r="AE828" s="98"/>
      <c r="AF828" s="98"/>
      <c r="AG828" s="98"/>
      <c r="AH828" s="98"/>
      <c r="AI828" s="20"/>
      <c r="AJ828" s="20"/>
      <c r="AK828" s="20"/>
      <c r="AL828" s="20"/>
    </row>
    <row r="829">
      <c r="A829" s="156"/>
      <c r="B829" s="20"/>
      <c r="C829" s="20"/>
      <c r="D829" s="20"/>
      <c r="E829" s="20"/>
      <c r="F829" s="20"/>
      <c r="G829" s="20"/>
      <c r="H829" s="20"/>
      <c r="I829" s="20"/>
      <c r="J829" s="21"/>
      <c r="K829" s="98"/>
      <c r="L829" s="98"/>
      <c r="M829" s="17"/>
      <c r="N829" s="17"/>
      <c r="O829" s="20"/>
      <c r="P829" s="20"/>
      <c r="Q829" s="159"/>
      <c r="R829" s="20"/>
      <c r="S829" s="20"/>
      <c r="T829" s="20"/>
      <c r="U829" s="20"/>
      <c r="V829" s="20"/>
      <c r="W829" s="98"/>
      <c r="X829" s="98"/>
      <c r="Y829" s="98"/>
      <c r="Z829" s="98"/>
      <c r="AA829" s="98"/>
      <c r="AB829" s="98"/>
      <c r="AC829" s="98"/>
      <c r="AD829" s="98"/>
      <c r="AE829" s="98"/>
      <c r="AF829" s="98"/>
      <c r="AG829" s="98"/>
      <c r="AH829" s="98"/>
      <c r="AI829" s="20"/>
      <c r="AJ829" s="20"/>
      <c r="AK829" s="20"/>
      <c r="AL829" s="20"/>
    </row>
    <row r="830">
      <c r="A830" s="156"/>
      <c r="B830" s="20"/>
      <c r="C830" s="20"/>
      <c r="D830" s="20"/>
      <c r="E830" s="20"/>
      <c r="F830" s="20"/>
      <c r="G830" s="20"/>
      <c r="H830" s="20"/>
      <c r="I830" s="20"/>
      <c r="J830" s="21"/>
      <c r="K830" s="98"/>
      <c r="L830" s="98"/>
      <c r="M830" s="17"/>
      <c r="N830" s="17"/>
      <c r="O830" s="20"/>
      <c r="P830" s="20"/>
      <c r="Q830" s="159"/>
      <c r="R830" s="20"/>
      <c r="S830" s="20"/>
      <c r="T830" s="20"/>
      <c r="U830" s="20"/>
      <c r="V830" s="20"/>
      <c r="W830" s="98"/>
      <c r="X830" s="98"/>
      <c r="Y830" s="98"/>
      <c r="Z830" s="98"/>
      <c r="AA830" s="98"/>
      <c r="AB830" s="98"/>
      <c r="AC830" s="98"/>
      <c r="AD830" s="98"/>
      <c r="AE830" s="98"/>
      <c r="AF830" s="98"/>
      <c r="AG830" s="98"/>
      <c r="AH830" s="98"/>
      <c r="AI830" s="20"/>
      <c r="AJ830" s="20"/>
      <c r="AK830" s="20"/>
      <c r="AL830" s="20"/>
    </row>
    <row r="831">
      <c r="A831" s="156"/>
      <c r="B831" s="20"/>
      <c r="C831" s="20"/>
      <c r="D831" s="20"/>
      <c r="E831" s="20"/>
      <c r="F831" s="20"/>
      <c r="G831" s="20"/>
      <c r="H831" s="20"/>
      <c r="I831" s="20"/>
      <c r="J831" s="21"/>
      <c r="K831" s="98"/>
      <c r="L831" s="98"/>
      <c r="M831" s="17"/>
      <c r="N831" s="17"/>
      <c r="O831" s="20"/>
      <c r="P831" s="20"/>
      <c r="Q831" s="159"/>
      <c r="R831" s="20"/>
      <c r="S831" s="20"/>
      <c r="T831" s="20"/>
      <c r="U831" s="20"/>
      <c r="V831" s="20"/>
      <c r="W831" s="98"/>
      <c r="X831" s="98"/>
      <c r="Y831" s="98"/>
      <c r="Z831" s="98"/>
      <c r="AA831" s="98"/>
      <c r="AB831" s="98"/>
      <c r="AC831" s="98"/>
      <c r="AD831" s="98"/>
      <c r="AE831" s="98"/>
      <c r="AF831" s="98"/>
      <c r="AG831" s="98"/>
      <c r="AH831" s="98"/>
      <c r="AI831" s="20"/>
      <c r="AJ831" s="20"/>
      <c r="AK831" s="20"/>
      <c r="AL831" s="20"/>
    </row>
    <row r="832">
      <c r="A832" s="156"/>
      <c r="B832" s="20"/>
      <c r="C832" s="20"/>
      <c r="D832" s="20"/>
      <c r="E832" s="20"/>
      <c r="F832" s="20"/>
      <c r="G832" s="20"/>
      <c r="H832" s="20"/>
      <c r="I832" s="20"/>
      <c r="J832" s="21"/>
      <c r="K832" s="98"/>
      <c r="L832" s="98"/>
      <c r="M832" s="17"/>
      <c r="N832" s="17"/>
      <c r="O832" s="20"/>
      <c r="P832" s="20"/>
      <c r="Q832" s="159"/>
      <c r="R832" s="20"/>
      <c r="S832" s="20"/>
      <c r="T832" s="20"/>
      <c r="U832" s="20"/>
      <c r="V832" s="20"/>
      <c r="W832" s="98"/>
      <c r="X832" s="98"/>
      <c r="Y832" s="98"/>
      <c r="Z832" s="98"/>
      <c r="AA832" s="98"/>
      <c r="AB832" s="98"/>
      <c r="AC832" s="98"/>
      <c r="AD832" s="98"/>
      <c r="AE832" s="98"/>
      <c r="AF832" s="98"/>
      <c r="AG832" s="98"/>
      <c r="AH832" s="98"/>
      <c r="AI832" s="20"/>
      <c r="AJ832" s="20"/>
      <c r="AK832" s="20"/>
      <c r="AL832" s="20"/>
    </row>
    <row r="833">
      <c r="A833" s="156"/>
      <c r="B833" s="20"/>
      <c r="C833" s="20"/>
      <c r="D833" s="20"/>
      <c r="E833" s="20"/>
      <c r="F833" s="20"/>
      <c r="G833" s="20"/>
      <c r="H833" s="20"/>
      <c r="I833" s="20"/>
      <c r="J833" s="21"/>
      <c r="K833" s="98"/>
      <c r="L833" s="98"/>
      <c r="M833" s="17"/>
      <c r="N833" s="17"/>
      <c r="O833" s="20"/>
      <c r="P833" s="20"/>
      <c r="Q833" s="159"/>
      <c r="R833" s="20"/>
      <c r="S833" s="20"/>
      <c r="T833" s="20"/>
      <c r="U833" s="20"/>
      <c r="V833" s="20"/>
      <c r="W833" s="98"/>
      <c r="X833" s="98"/>
      <c r="Y833" s="98"/>
      <c r="Z833" s="98"/>
      <c r="AA833" s="98"/>
      <c r="AB833" s="98"/>
      <c r="AC833" s="98"/>
      <c r="AD833" s="98"/>
      <c r="AE833" s="98"/>
      <c r="AF833" s="98"/>
      <c r="AG833" s="98"/>
      <c r="AH833" s="98"/>
      <c r="AI833" s="20"/>
      <c r="AJ833" s="20"/>
      <c r="AK833" s="20"/>
      <c r="AL833" s="20"/>
    </row>
    <row r="834">
      <c r="A834" s="156"/>
      <c r="B834" s="20"/>
      <c r="C834" s="20"/>
      <c r="D834" s="20"/>
      <c r="E834" s="20"/>
      <c r="F834" s="20"/>
      <c r="G834" s="20"/>
      <c r="H834" s="20"/>
      <c r="I834" s="20"/>
      <c r="J834" s="21"/>
      <c r="K834" s="98"/>
      <c r="L834" s="98"/>
      <c r="M834" s="17"/>
      <c r="N834" s="17"/>
      <c r="O834" s="20"/>
      <c r="P834" s="20"/>
      <c r="Q834" s="159"/>
      <c r="R834" s="20"/>
      <c r="S834" s="20"/>
      <c r="T834" s="20"/>
      <c r="U834" s="20"/>
      <c r="V834" s="20"/>
      <c r="W834" s="98"/>
      <c r="X834" s="98"/>
      <c r="Y834" s="98"/>
      <c r="Z834" s="98"/>
      <c r="AA834" s="98"/>
      <c r="AB834" s="98"/>
      <c r="AC834" s="98"/>
      <c r="AD834" s="98"/>
      <c r="AE834" s="98"/>
      <c r="AF834" s="98"/>
      <c r="AG834" s="98"/>
      <c r="AH834" s="98"/>
      <c r="AI834" s="20"/>
      <c r="AJ834" s="20"/>
      <c r="AK834" s="20"/>
      <c r="AL834" s="20"/>
    </row>
    <row r="835">
      <c r="A835" s="156"/>
      <c r="B835" s="20"/>
      <c r="C835" s="20"/>
      <c r="D835" s="20"/>
      <c r="E835" s="20"/>
      <c r="F835" s="20"/>
      <c r="G835" s="20"/>
      <c r="H835" s="20"/>
      <c r="I835" s="20"/>
      <c r="J835" s="21"/>
      <c r="K835" s="98"/>
      <c r="L835" s="98"/>
      <c r="M835" s="17"/>
      <c r="N835" s="17"/>
      <c r="O835" s="20"/>
      <c r="P835" s="20"/>
      <c r="Q835" s="159"/>
      <c r="R835" s="20"/>
      <c r="S835" s="20"/>
      <c r="T835" s="20"/>
      <c r="U835" s="20"/>
      <c r="V835" s="20"/>
      <c r="W835" s="98"/>
      <c r="X835" s="98"/>
      <c r="Y835" s="98"/>
      <c r="Z835" s="98"/>
      <c r="AA835" s="98"/>
      <c r="AB835" s="98"/>
      <c r="AC835" s="98"/>
      <c r="AD835" s="98"/>
      <c r="AE835" s="98"/>
      <c r="AF835" s="98"/>
      <c r="AG835" s="98"/>
      <c r="AH835" s="98"/>
      <c r="AI835" s="20"/>
      <c r="AJ835" s="20"/>
      <c r="AK835" s="20"/>
      <c r="AL835" s="20"/>
    </row>
    <row r="836">
      <c r="A836" s="156"/>
      <c r="B836" s="20"/>
      <c r="C836" s="20"/>
      <c r="D836" s="20"/>
      <c r="E836" s="20"/>
      <c r="F836" s="20"/>
      <c r="G836" s="20"/>
      <c r="H836" s="20"/>
      <c r="I836" s="20"/>
      <c r="J836" s="21"/>
      <c r="K836" s="98"/>
      <c r="L836" s="98"/>
      <c r="M836" s="17"/>
      <c r="N836" s="17"/>
      <c r="O836" s="20"/>
      <c r="P836" s="20"/>
      <c r="Q836" s="159"/>
      <c r="R836" s="20"/>
      <c r="S836" s="20"/>
      <c r="T836" s="20"/>
      <c r="U836" s="20"/>
      <c r="V836" s="20"/>
      <c r="W836" s="98"/>
      <c r="X836" s="98"/>
      <c r="Y836" s="98"/>
      <c r="Z836" s="98"/>
      <c r="AA836" s="98"/>
      <c r="AB836" s="98"/>
      <c r="AC836" s="98"/>
      <c r="AD836" s="98"/>
      <c r="AE836" s="98"/>
      <c r="AF836" s="98"/>
      <c r="AG836" s="98"/>
      <c r="AH836" s="98"/>
      <c r="AI836" s="20"/>
      <c r="AJ836" s="20"/>
      <c r="AK836" s="20"/>
      <c r="AL836" s="20"/>
    </row>
    <row r="837">
      <c r="A837" s="156"/>
      <c r="B837" s="20"/>
      <c r="C837" s="20"/>
      <c r="D837" s="20"/>
      <c r="E837" s="20"/>
      <c r="F837" s="20"/>
      <c r="G837" s="20"/>
      <c r="H837" s="20"/>
      <c r="I837" s="20"/>
      <c r="J837" s="21"/>
      <c r="K837" s="98"/>
      <c r="L837" s="98"/>
      <c r="M837" s="17"/>
      <c r="N837" s="17"/>
      <c r="O837" s="20"/>
      <c r="P837" s="20"/>
      <c r="Q837" s="159"/>
      <c r="R837" s="20"/>
      <c r="S837" s="20"/>
      <c r="T837" s="20"/>
      <c r="U837" s="20"/>
      <c r="V837" s="20"/>
      <c r="W837" s="98"/>
      <c r="X837" s="98"/>
      <c r="Y837" s="98"/>
      <c r="Z837" s="98"/>
      <c r="AA837" s="98"/>
      <c r="AB837" s="98"/>
      <c r="AC837" s="98"/>
      <c r="AD837" s="98"/>
      <c r="AE837" s="98"/>
      <c r="AF837" s="98"/>
      <c r="AG837" s="98"/>
      <c r="AH837" s="98"/>
      <c r="AI837" s="20"/>
      <c r="AJ837" s="20"/>
      <c r="AK837" s="20"/>
      <c r="AL837" s="20"/>
    </row>
    <row r="838">
      <c r="A838" s="156"/>
      <c r="B838" s="20"/>
      <c r="C838" s="20"/>
      <c r="D838" s="20"/>
      <c r="E838" s="20"/>
      <c r="F838" s="20"/>
      <c r="G838" s="20"/>
      <c r="H838" s="20"/>
      <c r="I838" s="20"/>
      <c r="J838" s="21"/>
      <c r="K838" s="98"/>
      <c r="L838" s="98"/>
      <c r="M838" s="17"/>
      <c r="N838" s="17"/>
      <c r="O838" s="20"/>
      <c r="P838" s="20"/>
      <c r="Q838" s="159"/>
      <c r="R838" s="20"/>
      <c r="S838" s="20"/>
      <c r="T838" s="20"/>
      <c r="U838" s="20"/>
      <c r="V838" s="20"/>
      <c r="W838" s="98"/>
      <c r="X838" s="98"/>
      <c r="Y838" s="98"/>
      <c r="Z838" s="98"/>
      <c r="AA838" s="98"/>
      <c r="AB838" s="98"/>
      <c r="AC838" s="98"/>
      <c r="AD838" s="98"/>
      <c r="AE838" s="98"/>
      <c r="AF838" s="98"/>
      <c r="AG838" s="98"/>
      <c r="AH838" s="98"/>
      <c r="AI838" s="20"/>
      <c r="AJ838" s="20"/>
      <c r="AK838" s="20"/>
      <c r="AL838" s="20"/>
    </row>
    <row r="839">
      <c r="A839" s="156"/>
      <c r="B839" s="20"/>
      <c r="C839" s="20"/>
      <c r="D839" s="20"/>
      <c r="E839" s="20"/>
      <c r="F839" s="20"/>
      <c r="G839" s="20"/>
      <c r="H839" s="20"/>
      <c r="I839" s="20"/>
      <c r="J839" s="21"/>
      <c r="K839" s="98"/>
      <c r="L839" s="98"/>
      <c r="M839" s="17"/>
      <c r="N839" s="17"/>
      <c r="O839" s="20"/>
      <c r="P839" s="20"/>
      <c r="Q839" s="159"/>
      <c r="R839" s="20"/>
      <c r="S839" s="20"/>
      <c r="T839" s="20"/>
      <c r="U839" s="20"/>
      <c r="V839" s="20"/>
      <c r="W839" s="98"/>
      <c r="X839" s="98"/>
      <c r="Y839" s="98"/>
      <c r="Z839" s="98"/>
      <c r="AA839" s="98"/>
      <c r="AB839" s="98"/>
      <c r="AC839" s="98"/>
      <c r="AD839" s="98"/>
      <c r="AE839" s="98"/>
      <c r="AF839" s="98"/>
      <c r="AG839" s="98"/>
      <c r="AH839" s="98"/>
      <c r="AI839" s="20"/>
      <c r="AJ839" s="20"/>
      <c r="AK839" s="20"/>
      <c r="AL839" s="20"/>
    </row>
    <row r="840">
      <c r="A840" s="156"/>
      <c r="B840" s="20"/>
      <c r="C840" s="20"/>
      <c r="D840" s="20"/>
      <c r="E840" s="20"/>
      <c r="F840" s="20"/>
      <c r="G840" s="20"/>
      <c r="H840" s="20"/>
      <c r="I840" s="20"/>
      <c r="J840" s="21"/>
      <c r="K840" s="98"/>
      <c r="L840" s="98"/>
      <c r="M840" s="17"/>
      <c r="N840" s="17"/>
      <c r="O840" s="20"/>
      <c r="P840" s="20"/>
      <c r="Q840" s="159"/>
      <c r="R840" s="20"/>
      <c r="S840" s="20"/>
      <c r="T840" s="20"/>
      <c r="U840" s="20"/>
      <c r="V840" s="20"/>
      <c r="W840" s="98"/>
      <c r="X840" s="98"/>
      <c r="Y840" s="98"/>
      <c r="Z840" s="98"/>
      <c r="AA840" s="98"/>
      <c r="AB840" s="98"/>
      <c r="AC840" s="98"/>
      <c r="AD840" s="98"/>
      <c r="AE840" s="98"/>
      <c r="AF840" s="98"/>
      <c r="AG840" s="98"/>
      <c r="AH840" s="98"/>
      <c r="AI840" s="20"/>
      <c r="AJ840" s="20"/>
      <c r="AK840" s="20"/>
      <c r="AL840" s="20"/>
    </row>
    <row r="841">
      <c r="A841" s="156"/>
      <c r="B841" s="20"/>
      <c r="C841" s="20"/>
      <c r="D841" s="20"/>
      <c r="E841" s="20"/>
      <c r="F841" s="20"/>
      <c r="G841" s="20"/>
      <c r="H841" s="20"/>
      <c r="I841" s="20"/>
      <c r="J841" s="21"/>
      <c r="K841" s="98"/>
      <c r="L841" s="98"/>
      <c r="M841" s="17"/>
      <c r="N841" s="17"/>
      <c r="O841" s="20"/>
      <c r="P841" s="20"/>
      <c r="Q841" s="159"/>
      <c r="R841" s="20"/>
      <c r="S841" s="20"/>
      <c r="T841" s="20"/>
      <c r="U841" s="20"/>
      <c r="V841" s="20"/>
      <c r="W841" s="98"/>
      <c r="X841" s="98"/>
      <c r="Y841" s="98"/>
      <c r="Z841" s="98"/>
      <c r="AA841" s="98"/>
      <c r="AB841" s="98"/>
      <c r="AC841" s="98"/>
      <c r="AD841" s="98"/>
      <c r="AE841" s="98"/>
      <c r="AF841" s="98"/>
      <c r="AG841" s="98"/>
      <c r="AH841" s="98"/>
      <c r="AI841" s="20"/>
      <c r="AJ841" s="20"/>
      <c r="AK841" s="20"/>
      <c r="AL841" s="20"/>
    </row>
    <row r="842">
      <c r="A842" s="156"/>
      <c r="B842" s="20"/>
      <c r="C842" s="20"/>
      <c r="D842" s="20"/>
      <c r="E842" s="20"/>
      <c r="F842" s="20"/>
      <c r="G842" s="20"/>
      <c r="H842" s="20"/>
      <c r="I842" s="20"/>
      <c r="J842" s="21"/>
      <c r="K842" s="98"/>
      <c r="L842" s="98"/>
      <c r="M842" s="17"/>
      <c r="N842" s="17"/>
      <c r="O842" s="20"/>
      <c r="P842" s="20"/>
      <c r="Q842" s="159"/>
      <c r="R842" s="20"/>
      <c r="S842" s="20"/>
      <c r="T842" s="20"/>
      <c r="U842" s="20"/>
      <c r="V842" s="20"/>
      <c r="W842" s="98"/>
      <c r="X842" s="98"/>
      <c r="Y842" s="98"/>
      <c r="Z842" s="98"/>
      <c r="AA842" s="98"/>
      <c r="AB842" s="98"/>
      <c r="AC842" s="98"/>
      <c r="AD842" s="98"/>
      <c r="AE842" s="98"/>
      <c r="AF842" s="98"/>
      <c r="AG842" s="98"/>
      <c r="AH842" s="98"/>
      <c r="AI842" s="20"/>
      <c r="AJ842" s="20"/>
      <c r="AK842" s="20"/>
      <c r="AL842" s="20"/>
    </row>
    <row r="843">
      <c r="A843" s="156"/>
      <c r="B843" s="20"/>
      <c r="C843" s="20"/>
      <c r="D843" s="20"/>
      <c r="E843" s="20"/>
      <c r="F843" s="20"/>
      <c r="G843" s="20"/>
      <c r="H843" s="20"/>
      <c r="I843" s="20"/>
      <c r="J843" s="21"/>
      <c r="K843" s="98"/>
      <c r="L843" s="98"/>
      <c r="M843" s="17"/>
      <c r="N843" s="17"/>
      <c r="O843" s="20"/>
      <c r="P843" s="20"/>
      <c r="Q843" s="159"/>
      <c r="R843" s="20"/>
      <c r="S843" s="20"/>
      <c r="T843" s="20"/>
      <c r="U843" s="20"/>
      <c r="V843" s="20"/>
      <c r="W843" s="98"/>
      <c r="X843" s="98"/>
      <c r="Y843" s="98"/>
      <c r="Z843" s="98"/>
      <c r="AA843" s="98"/>
      <c r="AB843" s="98"/>
      <c r="AC843" s="98"/>
      <c r="AD843" s="98"/>
      <c r="AE843" s="98"/>
      <c r="AF843" s="98"/>
      <c r="AG843" s="98"/>
      <c r="AH843" s="98"/>
      <c r="AI843" s="20"/>
      <c r="AJ843" s="20"/>
      <c r="AK843" s="20"/>
      <c r="AL843" s="20"/>
    </row>
    <row r="844">
      <c r="A844" s="156"/>
      <c r="B844" s="20"/>
      <c r="C844" s="20"/>
      <c r="D844" s="20"/>
      <c r="E844" s="20"/>
      <c r="F844" s="20"/>
      <c r="G844" s="20"/>
      <c r="H844" s="20"/>
      <c r="I844" s="20"/>
      <c r="J844" s="21"/>
      <c r="K844" s="98"/>
      <c r="L844" s="98"/>
      <c r="M844" s="17"/>
      <c r="N844" s="17"/>
      <c r="O844" s="20"/>
      <c r="P844" s="20"/>
      <c r="Q844" s="159"/>
      <c r="R844" s="20"/>
      <c r="S844" s="20"/>
      <c r="T844" s="20"/>
      <c r="U844" s="20"/>
      <c r="V844" s="20"/>
      <c r="W844" s="98"/>
      <c r="X844" s="98"/>
      <c r="Y844" s="98"/>
      <c r="Z844" s="98"/>
      <c r="AA844" s="98"/>
      <c r="AB844" s="98"/>
      <c r="AC844" s="98"/>
      <c r="AD844" s="98"/>
      <c r="AE844" s="98"/>
      <c r="AF844" s="98"/>
      <c r="AG844" s="98"/>
      <c r="AH844" s="98"/>
      <c r="AI844" s="20"/>
      <c r="AJ844" s="20"/>
      <c r="AK844" s="20"/>
      <c r="AL844" s="20"/>
    </row>
    <row r="845">
      <c r="A845" s="156"/>
      <c r="B845" s="20"/>
      <c r="C845" s="20"/>
      <c r="D845" s="20"/>
      <c r="E845" s="20"/>
      <c r="F845" s="20"/>
      <c r="G845" s="20"/>
      <c r="H845" s="20"/>
      <c r="I845" s="20"/>
      <c r="J845" s="21"/>
      <c r="K845" s="98"/>
      <c r="L845" s="98"/>
      <c r="M845" s="17"/>
      <c r="N845" s="17"/>
      <c r="O845" s="20"/>
      <c r="P845" s="20"/>
      <c r="Q845" s="159"/>
      <c r="R845" s="20"/>
      <c r="S845" s="20"/>
      <c r="T845" s="20"/>
      <c r="U845" s="20"/>
      <c r="V845" s="20"/>
      <c r="W845" s="98"/>
      <c r="X845" s="98"/>
      <c r="Y845" s="98"/>
      <c r="Z845" s="98"/>
      <c r="AA845" s="98"/>
      <c r="AB845" s="98"/>
      <c r="AC845" s="98"/>
      <c r="AD845" s="98"/>
      <c r="AE845" s="98"/>
      <c r="AF845" s="98"/>
      <c r="AG845" s="98"/>
      <c r="AH845" s="98"/>
      <c r="AI845" s="20"/>
      <c r="AJ845" s="20"/>
      <c r="AK845" s="20"/>
      <c r="AL845" s="20"/>
    </row>
    <row r="846">
      <c r="A846" s="156"/>
      <c r="B846" s="20"/>
      <c r="C846" s="20"/>
      <c r="D846" s="20"/>
      <c r="E846" s="20"/>
      <c r="F846" s="20"/>
      <c r="G846" s="20"/>
      <c r="H846" s="20"/>
      <c r="I846" s="20"/>
      <c r="J846" s="21"/>
      <c r="K846" s="98"/>
      <c r="L846" s="98"/>
      <c r="M846" s="17"/>
      <c r="N846" s="17"/>
      <c r="O846" s="20"/>
      <c r="P846" s="20"/>
      <c r="Q846" s="159"/>
      <c r="R846" s="20"/>
      <c r="S846" s="20"/>
      <c r="T846" s="20"/>
      <c r="U846" s="20"/>
      <c r="V846" s="20"/>
      <c r="W846" s="98"/>
      <c r="X846" s="98"/>
      <c r="Y846" s="98"/>
      <c r="Z846" s="98"/>
      <c r="AA846" s="98"/>
      <c r="AB846" s="98"/>
      <c r="AC846" s="98"/>
      <c r="AD846" s="98"/>
      <c r="AE846" s="98"/>
      <c r="AF846" s="98"/>
      <c r="AG846" s="98"/>
      <c r="AH846" s="98"/>
      <c r="AI846" s="20"/>
      <c r="AJ846" s="20"/>
      <c r="AK846" s="20"/>
      <c r="AL846" s="20"/>
    </row>
    <row r="847">
      <c r="A847" s="156"/>
      <c r="B847" s="20"/>
      <c r="C847" s="20"/>
      <c r="D847" s="20"/>
      <c r="E847" s="20"/>
      <c r="F847" s="20"/>
      <c r="G847" s="20"/>
      <c r="H847" s="20"/>
      <c r="I847" s="20"/>
      <c r="J847" s="21"/>
      <c r="K847" s="98"/>
      <c r="L847" s="98"/>
      <c r="M847" s="17"/>
      <c r="N847" s="17"/>
      <c r="O847" s="20"/>
      <c r="P847" s="20"/>
      <c r="Q847" s="159"/>
      <c r="R847" s="20"/>
      <c r="S847" s="20"/>
      <c r="T847" s="20"/>
      <c r="U847" s="20"/>
      <c r="V847" s="20"/>
      <c r="W847" s="98"/>
      <c r="X847" s="98"/>
      <c r="Y847" s="98"/>
      <c r="Z847" s="98"/>
      <c r="AA847" s="98"/>
      <c r="AB847" s="98"/>
      <c r="AC847" s="98"/>
      <c r="AD847" s="98"/>
      <c r="AE847" s="98"/>
      <c r="AF847" s="98"/>
      <c r="AG847" s="98"/>
      <c r="AH847" s="98"/>
      <c r="AI847" s="20"/>
      <c r="AJ847" s="20"/>
      <c r="AK847" s="20"/>
      <c r="AL847" s="20"/>
    </row>
    <row r="848">
      <c r="A848" s="156"/>
      <c r="B848" s="20"/>
      <c r="C848" s="20"/>
      <c r="D848" s="20"/>
      <c r="E848" s="20"/>
      <c r="F848" s="20"/>
      <c r="G848" s="20"/>
      <c r="H848" s="20"/>
      <c r="I848" s="20"/>
      <c r="J848" s="21"/>
      <c r="K848" s="98"/>
      <c r="L848" s="98"/>
      <c r="M848" s="17"/>
      <c r="N848" s="17"/>
      <c r="O848" s="20"/>
      <c r="P848" s="20"/>
      <c r="Q848" s="159"/>
      <c r="R848" s="20"/>
      <c r="S848" s="20"/>
      <c r="T848" s="20"/>
      <c r="U848" s="20"/>
      <c r="V848" s="20"/>
      <c r="W848" s="98"/>
      <c r="X848" s="98"/>
      <c r="Y848" s="98"/>
      <c r="Z848" s="98"/>
      <c r="AA848" s="98"/>
      <c r="AB848" s="98"/>
      <c r="AC848" s="98"/>
      <c r="AD848" s="98"/>
      <c r="AE848" s="98"/>
      <c r="AF848" s="98"/>
      <c r="AG848" s="98"/>
      <c r="AH848" s="98"/>
      <c r="AI848" s="20"/>
      <c r="AJ848" s="20"/>
      <c r="AK848" s="20"/>
      <c r="AL848" s="20"/>
    </row>
    <row r="849">
      <c r="A849" s="156"/>
      <c r="B849" s="20"/>
      <c r="C849" s="20"/>
      <c r="D849" s="20"/>
      <c r="E849" s="20"/>
      <c r="F849" s="20"/>
      <c r="G849" s="20"/>
      <c r="H849" s="20"/>
      <c r="I849" s="20"/>
      <c r="J849" s="21"/>
      <c r="K849" s="98"/>
      <c r="L849" s="98"/>
      <c r="M849" s="17"/>
      <c r="N849" s="17"/>
      <c r="O849" s="20"/>
      <c r="P849" s="20"/>
      <c r="Q849" s="159"/>
      <c r="R849" s="20"/>
      <c r="S849" s="20"/>
      <c r="T849" s="20"/>
      <c r="U849" s="20"/>
      <c r="V849" s="20"/>
      <c r="W849" s="98"/>
      <c r="X849" s="98"/>
      <c r="Y849" s="98"/>
      <c r="Z849" s="98"/>
      <c r="AA849" s="98"/>
      <c r="AB849" s="98"/>
      <c r="AC849" s="98"/>
      <c r="AD849" s="98"/>
      <c r="AE849" s="98"/>
      <c r="AF849" s="98"/>
      <c r="AG849" s="98"/>
      <c r="AH849" s="98"/>
      <c r="AI849" s="20"/>
      <c r="AJ849" s="20"/>
      <c r="AK849" s="20"/>
      <c r="AL849" s="20"/>
    </row>
    <row r="850">
      <c r="A850" s="156"/>
      <c r="B850" s="20"/>
      <c r="C850" s="20"/>
      <c r="D850" s="20"/>
      <c r="E850" s="20"/>
      <c r="F850" s="20"/>
      <c r="G850" s="20"/>
      <c r="H850" s="20"/>
      <c r="I850" s="20"/>
      <c r="J850" s="21"/>
      <c r="K850" s="98"/>
      <c r="L850" s="98"/>
      <c r="M850" s="17"/>
      <c r="N850" s="17"/>
      <c r="O850" s="20"/>
      <c r="P850" s="20"/>
      <c r="Q850" s="159"/>
      <c r="R850" s="20"/>
      <c r="S850" s="20"/>
      <c r="T850" s="20"/>
      <c r="U850" s="20"/>
      <c r="V850" s="20"/>
      <c r="W850" s="98"/>
      <c r="X850" s="98"/>
      <c r="Y850" s="98"/>
      <c r="Z850" s="98"/>
      <c r="AA850" s="98"/>
      <c r="AB850" s="98"/>
      <c r="AC850" s="98"/>
      <c r="AD850" s="98"/>
      <c r="AE850" s="98"/>
      <c r="AF850" s="98"/>
      <c r="AG850" s="98"/>
      <c r="AH850" s="98"/>
      <c r="AI850" s="20"/>
      <c r="AJ850" s="20"/>
      <c r="AK850" s="20"/>
      <c r="AL850" s="20"/>
    </row>
    <row r="851">
      <c r="A851" s="156"/>
      <c r="B851" s="20"/>
      <c r="C851" s="20"/>
      <c r="D851" s="20"/>
      <c r="E851" s="20"/>
      <c r="F851" s="20"/>
      <c r="G851" s="20"/>
      <c r="H851" s="20"/>
      <c r="I851" s="20"/>
      <c r="J851" s="21"/>
      <c r="K851" s="98"/>
      <c r="L851" s="98"/>
      <c r="M851" s="17"/>
      <c r="N851" s="17"/>
      <c r="O851" s="20"/>
      <c r="P851" s="20"/>
      <c r="Q851" s="159"/>
      <c r="R851" s="20"/>
      <c r="S851" s="20"/>
      <c r="T851" s="20"/>
      <c r="U851" s="20"/>
      <c r="V851" s="20"/>
      <c r="W851" s="98"/>
      <c r="X851" s="98"/>
      <c r="Y851" s="98"/>
      <c r="Z851" s="98"/>
      <c r="AA851" s="98"/>
      <c r="AB851" s="98"/>
      <c r="AC851" s="98"/>
      <c r="AD851" s="98"/>
      <c r="AE851" s="98"/>
      <c r="AF851" s="98"/>
      <c r="AG851" s="98"/>
      <c r="AH851" s="98"/>
      <c r="AI851" s="20"/>
      <c r="AJ851" s="20"/>
      <c r="AK851" s="20"/>
      <c r="AL851" s="20"/>
    </row>
    <row r="852">
      <c r="A852" s="156"/>
      <c r="B852" s="20"/>
      <c r="C852" s="20"/>
      <c r="D852" s="20"/>
      <c r="E852" s="20"/>
      <c r="F852" s="20"/>
      <c r="G852" s="20"/>
      <c r="H852" s="20"/>
      <c r="I852" s="20"/>
      <c r="J852" s="21"/>
      <c r="K852" s="98"/>
      <c r="L852" s="98"/>
      <c r="M852" s="17"/>
      <c r="N852" s="17"/>
      <c r="O852" s="20"/>
      <c r="P852" s="20"/>
      <c r="Q852" s="159"/>
      <c r="R852" s="20"/>
      <c r="S852" s="20"/>
      <c r="T852" s="20"/>
      <c r="U852" s="20"/>
      <c r="V852" s="20"/>
      <c r="W852" s="98"/>
      <c r="X852" s="98"/>
      <c r="Y852" s="98"/>
      <c r="Z852" s="98"/>
      <c r="AA852" s="98"/>
      <c r="AB852" s="98"/>
      <c r="AC852" s="98"/>
      <c r="AD852" s="98"/>
      <c r="AE852" s="98"/>
      <c r="AF852" s="98"/>
      <c r="AG852" s="98"/>
      <c r="AH852" s="98"/>
      <c r="AI852" s="20"/>
      <c r="AJ852" s="20"/>
      <c r="AK852" s="20"/>
      <c r="AL852" s="20"/>
    </row>
    <row r="853">
      <c r="A853" s="156"/>
      <c r="B853" s="20"/>
      <c r="C853" s="20"/>
      <c r="D853" s="20"/>
      <c r="E853" s="20"/>
      <c r="F853" s="20"/>
      <c r="G853" s="20"/>
      <c r="H853" s="20"/>
      <c r="I853" s="20"/>
      <c r="J853" s="21"/>
      <c r="K853" s="98"/>
      <c r="L853" s="98"/>
      <c r="M853" s="17"/>
      <c r="N853" s="17"/>
      <c r="O853" s="20"/>
      <c r="P853" s="20"/>
      <c r="Q853" s="159"/>
      <c r="R853" s="20"/>
      <c r="S853" s="20"/>
      <c r="T853" s="20"/>
      <c r="U853" s="20"/>
      <c r="V853" s="20"/>
      <c r="W853" s="98"/>
      <c r="X853" s="98"/>
      <c r="Y853" s="98"/>
      <c r="Z853" s="98"/>
      <c r="AA853" s="98"/>
      <c r="AB853" s="98"/>
      <c r="AC853" s="98"/>
      <c r="AD853" s="98"/>
      <c r="AE853" s="98"/>
      <c r="AF853" s="98"/>
      <c r="AG853" s="98"/>
      <c r="AH853" s="98"/>
      <c r="AI853" s="20"/>
      <c r="AJ853" s="20"/>
      <c r="AK853" s="20"/>
      <c r="AL853" s="20"/>
    </row>
    <row r="854">
      <c r="A854" s="156"/>
      <c r="B854" s="20"/>
      <c r="C854" s="20"/>
      <c r="D854" s="20"/>
      <c r="E854" s="20"/>
      <c r="F854" s="20"/>
      <c r="G854" s="20"/>
      <c r="H854" s="20"/>
      <c r="I854" s="20"/>
      <c r="J854" s="21"/>
      <c r="K854" s="98"/>
      <c r="L854" s="98"/>
      <c r="M854" s="17"/>
      <c r="N854" s="17"/>
      <c r="O854" s="20"/>
      <c r="P854" s="20"/>
      <c r="Q854" s="159"/>
      <c r="R854" s="20"/>
      <c r="S854" s="20"/>
      <c r="T854" s="20"/>
      <c r="U854" s="20"/>
      <c r="V854" s="20"/>
      <c r="W854" s="98"/>
      <c r="X854" s="98"/>
      <c r="Y854" s="98"/>
      <c r="Z854" s="98"/>
      <c r="AA854" s="98"/>
      <c r="AB854" s="98"/>
      <c r="AC854" s="98"/>
      <c r="AD854" s="98"/>
      <c r="AE854" s="98"/>
      <c r="AF854" s="98"/>
      <c r="AG854" s="98"/>
      <c r="AH854" s="98"/>
      <c r="AI854" s="20"/>
      <c r="AJ854" s="20"/>
      <c r="AK854" s="20"/>
      <c r="AL854" s="20"/>
    </row>
    <row r="855">
      <c r="A855" s="156"/>
      <c r="B855" s="20"/>
      <c r="C855" s="20"/>
      <c r="D855" s="20"/>
      <c r="E855" s="20"/>
      <c r="F855" s="20"/>
      <c r="G855" s="20"/>
      <c r="H855" s="20"/>
      <c r="I855" s="20"/>
      <c r="J855" s="21"/>
      <c r="K855" s="98"/>
      <c r="L855" s="98"/>
      <c r="M855" s="17"/>
      <c r="N855" s="17"/>
      <c r="O855" s="20"/>
      <c r="P855" s="20"/>
      <c r="Q855" s="159"/>
      <c r="R855" s="20"/>
      <c r="S855" s="20"/>
      <c r="T855" s="20"/>
      <c r="U855" s="20"/>
      <c r="V855" s="20"/>
      <c r="W855" s="98"/>
      <c r="X855" s="98"/>
      <c r="Y855" s="98"/>
      <c r="Z855" s="98"/>
      <c r="AA855" s="98"/>
      <c r="AB855" s="98"/>
      <c r="AC855" s="98"/>
      <c r="AD855" s="98"/>
      <c r="AE855" s="98"/>
      <c r="AF855" s="98"/>
      <c r="AG855" s="98"/>
      <c r="AH855" s="98"/>
      <c r="AI855" s="20"/>
      <c r="AJ855" s="20"/>
      <c r="AK855" s="20"/>
      <c r="AL855" s="20"/>
    </row>
    <row r="856">
      <c r="A856" s="156"/>
      <c r="B856" s="20"/>
      <c r="C856" s="20"/>
      <c r="D856" s="20"/>
      <c r="E856" s="20"/>
      <c r="F856" s="20"/>
      <c r="G856" s="20"/>
      <c r="H856" s="20"/>
      <c r="I856" s="20"/>
      <c r="J856" s="21"/>
      <c r="K856" s="98"/>
      <c r="L856" s="98"/>
      <c r="M856" s="17"/>
      <c r="N856" s="17"/>
      <c r="O856" s="20"/>
      <c r="P856" s="20"/>
      <c r="Q856" s="159"/>
      <c r="R856" s="20"/>
      <c r="S856" s="20"/>
      <c r="T856" s="20"/>
      <c r="U856" s="20"/>
      <c r="V856" s="20"/>
      <c r="W856" s="98"/>
      <c r="X856" s="98"/>
      <c r="Y856" s="98"/>
      <c r="Z856" s="98"/>
      <c r="AA856" s="98"/>
      <c r="AB856" s="98"/>
      <c r="AC856" s="98"/>
      <c r="AD856" s="98"/>
      <c r="AE856" s="98"/>
      <c r="AF856" s="98"/>
      <c r="AG856" s="98"/>
      <c r="AH856" s="98"/>
      <c r="AI856" s="20"/>
      <c r="AJ856" s="20"/>
      <c r="AK856" s="20"/>
      <c r="AL856" s="20"/>
    </row>
    <row r="857">
      <c r="A857" s="156"/>
      <c r="B857" s="20"/>
      <c r="C857" s="20"/>
      <c r="D857" s="20"/>
      <c r="E857" s="20"/>
      <c r="F857" s="20"/>
      <c r="G857" s="20"/>
      <c r="H857" s="20"/>
      <c r="I857" s="20"/>
      <c r="J857" s="21"/>
      <c r="K857" s="98"/>
      <c r="L857" s="98"/>
      <c r="M857" s="17"/>
      <c r="N857" s="17"/>
      <c r="O857" s="20"/>
      <c r="P857" s="20"/>
      <c r="Q857" s="159"/>
      <c r="R857" s="20"/>
      <c r="S857" s="20"/>
      <c r="T857" s="20"/>
      <c r="U857" s="20"/>
      <c r="V857" s="20"/>
      <c r="W857" s="98"/>
      <c r="X857" s="98"/>
      <c r="Y857" s="98"/>
      <c r="Z857" s="98"/>
      <c r="AA857" s="98"/>
      <c r="AB857" s="98"/>
      <c r="AC857" s="98"/>
      <c r="AD857" s="98"/>
      <c r="AE857" s="98"/>
      <c r="AF857" s="98"/>
      <c r="AG857" s="98"/>
      <c r="AH857" s="98"/>
      <c r="AI857" s="20"/>
      <c r="AJ857" s="20"/>
      <c r="AK857" s="20"/>
      <c r="AL857" s="20"/>
    </row>
    <row r="858">
      <c r="A858" s="156"/>
      <c r="B858" s="20"/>
      <c r="C858" s="20"/>
      <c r="D858" s="20"/>
      <c r="E858" s="20"/>
      <c r="F858" s="20"/>
      <c r="G858" s="20"/>
      <c r="H858" s="20"/>
      <c r="I858" s="20"/>
      <c r="J858" s="21"/>
      <c r="K858" s="98"/>
      <c r="L858" s="98"/>
      <c r="M858" s="17"/>
      <c r="N858" s="17"/>
      <c r="O858" s="20"/>
      <c r="P858" s="20"/>
      <c r="Q858" s="159"/>
      <c r="R858" s="20"/>
      <c r="S858" s="20"/>
      <c r="T858" s="20"/>
      <c r="U858" s="20"/>
      <c r="V858" s="20"/>
      <c r="W858" s="98"/>
      <c r="X858" s="98"/>
      <c r="Y858" s="98"/>
      <c r="Z858" s="98"/>
      <c r="AA858" s="98"/>
      <c r="AB858" s="98"/>
      <c r="AC858" s="98"/>
      <c r="AD858" s="98"/>
      <c r="AE858" s="98"/>
      <c r="AF858" s="98"/>
      <c r="AG858" s="98"/>
      <c r="AH858" s="98"/>
      <c r="AI858" s="20"/>
      <c r="AJ858" s="20"/>
      <c r="AK858" s="20"/>
      <c r="AL858" s="20"/>
    </row>
    <row r="859">
      <c r="A859" s="156"/>
      <c r="B859" s="20"/>
      <c r="C859" s="20"/>
      <c r="D859" s="20"/>
      <c r="E859" s="20"/>
      <c r="F859" s="20"/>
      <c r="G859" s="20"/>
      <c r="H859" s="20"/>
      <c r="I859" s="20"/>
      <c r="J859" s="21"/>
      <c r="K859" s="98"/>
      <c r="L859" s="98"/>
      <c r="M859" s="17"/>
      <c r="N859" s="17"/>
      <c r="O859" s="20"/>
      <c r="P859" s="20"/>
      <c r="Q859" s="159"/>
      <c r="R859" s="20"/>
      <c r="S859" s="20"/>
      <c r="T859" s="20"/>
      <c r="U859" s="20"/>
      <c r="V859" s="20"/>
      <c r="W859" s="98"/>
      <c r="X859" s="98"/>
      <c r="Y859" s="98"/>
      <c r="Z859" s="98"/>
      <c r="AA859" s="98"/>
      <c r="AB859" s="98"/>
      <c r="AC859" s="98"/>
      <c r="AD859" s="98"/>
      <c r="AE859" s="98"/>
      <c r="AF859" s="98"/>
      <c r="AG859" s="98"/>
      <c r="AH859" s="98"/>
      <c r="AI859" s="20"/>
      <c r="AJ859" s="20"/>
      <c r="AK859" s="20"/>
      <c r="AL859" s="20"/>
    </row>
    <row r="860">
      <c r="A860" s="156"/>
      <c r="B860" s="20"/>
      <c r="C860" s="20"/>
      <c r="D860" s="20"/>
      <c r="E860" s="20"/>
      <c r="F860" s="20"/>
      <c r="G860" s="20"/>
      <c r="H860" s="20"/>
      <c r="I860" s="20"/>
      <c r="J860" s="21"/>
      <c r="K860" s="98"/>
      <c r="L860" s="98"/>
      <c r="M860" s="17"/>
      <c r="N860" s="17"/>
      <c r="O860" s="20"/>
      <c r="P860" s="20"/>
      <c r="Q860" s="159"/>
      <c r="R860" s="20"/>
      <c r="S860" s="20"/>
      <c r="T860" s="20"/>
      <c r="U860" s="20"/>
      <c r="V860" s="20"/>
      <c r="W860" s="98"/>
      <c r="X860" s="98"/>
      <c r="Y860" s="98"/>
      <c r="Z860" s="98"/>
      <c r="AA860" s="98"/>
      <c r="AB860" s="98"/>
      <c r="AC860" s="98"/>
      <c r="AD860" s="98"/>
      <c r="AE860" s="98"/>
      <c r="AF860" s="98"/>
      <c r="AG860" s="98"/>
      <c r="AH860" s="98"/>
      <c r="AI860" s="20"/>
      <c r="AJ860" s="20"/>
      <c r="AK860" s="20"/>
      <c r="AL860" s="20"/>
    </row>
    <row r="861">
      <c r="A861" s="156"/>
      <c r="B861" s="20"/>
      <c r="C861" s="20"/>
      <c r="D861" s="20"/>
      <c r="E861" s="20"/>
      <c r="F861" s="20"/>
      <c r="G861" s="20"/>
      <c r="H861" s="20"/>
      <c r="I861" s="20"/>
      <c r="J861" s="21"/>
      <c r="K861" s="98"/>
      <c r="L861" s="98"/>
      <c r="M861" s="17"/>
      <c r="N861" s="17"/>
      <c r="O861" s="20"/>
      <c r="P861" s="20"/>
      <c r="Q861" s="159"/>
      <c r="R861" s="20"/>
      <c r="S861" s="20"/>
      <c r="T861" s="20"/>
      <c r="U861" s="20"/>
      <c r="V861" s="20"/>
      <c r="W861" s="98"/>
      <c r="X861" s="98"/>
      <c r="Y861" s="98"/>
      <c r="Z861" s="98"/>
      <c r="AA861" s="98"/>
      <c r="AB861" s="98"/>
      <c r="AC861" s="98"/>
      <c r="AD861" s="98"/>
      <c r="AE861" s="98"/>
      <c r="AF861" s="98"/>
      <c r="AG861" s="98"/>
      <c r="AH861" s="98"/>
      <c r="AI861" s="20"/>
      <c r="AJ861" s="20"/>
      <c r="AK861" s="20"/>
      <c r="AL861" s="20"/>
    </row>
    <row r="862">
      <c r="A862" s="156"/>
      <c r="B862" s="20"/>
      <c r="C862" s="20"/>
      <c r="D862" s="20"/>
      <c r="E862" s="20"/>
      <c r="F862" s="20"/>
      <c r="G862" s="20"/>
      <c r="H862" s="20"/>
      <c r="I862" s="20"/>
      <c r="J862" s="21"/>
      <c r="K862" s="98"/>
      <c r="L862" s="98"/>
      <c r="M862" s="17"/>
      <c r="N862" s="17"/>
      <c r="O862" s="20"/>
      <c r="P862" s="20"/>
      <c r="Q862" s="159"/>
      <c r="R862" s="20"/>
      <c r="S862" s="20"/>
      <c r="T862" s="20"/>
      <c r="U862" s="20"/>
      <c r="V862" s="20"/>
      <c r="W862" s="98"/>
      <c r="X862" s="98"/>
      <c r="Y862" s="98"/>
      <c r="Z862" s="98"/>
      <c r="AA862" s="98"/>
      <c r="AB862" s="98"/>
      <c r="AC862" s="98"/>
      <c r="AD862" s="98"/>
      <c r="AE862" s="98"/>
      <c r="AF862" s="98"/>
      <c r="AG862" s="98"/>
      <c r="AH862" s="98"/>
      <c r="AI862" s="20"/>
      <c r="AJ862" s="20"/>
      <c r="AK862" s="20"/>
      <c r="AL862" s="20"/>
    </row>
    <row r="863">
      <c r="A863" s="156"/>
      <c r="B863" s="20"/>
      <c r="C863" s="20"/>
      <c r="D863" s="20"/>
      <c r="E863" s="20"/>
      <c r="F863" s="20"/>
      <c r="G863" s="20"/>
      <c r="H863" s="20"/>
      <c r="I863" s="20"/>
      <c r="J863" s="21"/>
      <c r="K863" s="98"/>
      <c r="L863" s="98"/>
      <c r="M863" s="17"/>
      <c r="N863" s="17"/>
      <c r="O863" s="20"/>
      <c r="P863" s="20"/>
      <c r="Q863" s="159"/>
      <c r="R863" s="20"/>
      <c r="S863" s="20"/>
      <c r="T863" s="20"/>
      <c r="U863" s="20"/>
      <c r="V863" s="20"/>
      <c r="W863" s="98"/>
      <c r="X863" s="98"/>
      <c r="Y863" s="98"/>
      <c r="Z863" s="98"/>
      <c r="AA863" s="98"/>
      <c r="AB863" s="98"/>
      <c r="AC863" s="98"/>
      <c r="AD863" s="98"/>
      <c r="AE863" s="98"/>
      <c r="AF863" s="98"/>
      <c r="AG863" s="98"/>
      <c r="AH863" s="98"/>
      <c r="AI863" s="20"/>
      <c r="AJ863" s="20"/>
      <c r="AK863" s="20"/>
      <c r="AL863" s="20"/>
    </row>
    <row r="864">
      <c r="A864" s="156"/>
      <c r="B864" s="20"/>
      <c r="C864" s="20"/>
      <c r="D864" s="20"/>
      <c r="E864" s="20"/>
      <c r="F864" s="20"/>
      <c r="G864" s="20"/>
      <c r="H864" s="20"/>
      <c r="I864" s="20"/>
      <c r="J864" s="21"/>
      <c r="K864" s="98"/>
      <c r="L864" s="98"/>
      <c r="M864" s="17"/>
      <c r="N864" s="17"/>
      <c r="O864" s="20"/>
      <c r="P864" s="20"/>
      <c r="Q864" s="159"/>
      <c r="R864" s="20"/>
      <c r="S864" s="20"/>
      <c r="T864" s="20"/>
      <c r="U864" s="20"/>
      <c r="V864" s="20"/>
      <c r="W864" s="98"/>
      <c r="X864" s="98"/>
      <c r="Y864" s="98"/>
      <c r="Z864" s="98"/>
      <c r="AA864" s="98"/>
      <c r="AB864" s="98"/>
      <c r="AC864" s="98"/>
      <c r="AD864" s="98"/>
      <c r="AE864" s="98"/>
      <c r="AF864" s="98"/>
      <c r="AG864" s="98"/>
      <c r="AH864" s="98"/>
      <c r="AI864" s="20"/>
      <c r="AJ864" s="20"/>
      <c r="AK864" s="20"/>
      <c r="AL864" s="20"/>
    </row>
    <row r="865">
      <c r="A865" s="156"/>
      <c r="B865" s="20"/>
      <c r="C865" s="20"/>
      <c r="D865" s="20"/>
      <c r="E865" s="20"/>
      <c r="F865" s="20"/>
      <c r="G865" s="20"/>
      <c r="H865" s="20"/>
      <c r="I865" s="20"/>
      <c r="J865" s="21"/>
      <c r="K865" s="98"/>
      <c r="L865" s="98"/>
      <c r="M865" s="17"/>
      <c r="N865" s="17"/>
      <c r="O865" s="20"/>
      <c r="P865" s="20"/>
      <c r="Q865" s="159"/>
      <c r="R865" s="20"/>
      <c r="S865" s="20"/>
      <c r="T865" s="20"/>
      <c r="U865" s="20"/>
      <c r="V865" s="20"/>
      <c r="W865" s="98"/>
      <c r="X865" s="98"/>
      <c r="Y865" s="98"/>
      <c r="Z865" s="98"/>
      <c r="AA865" s="98"/>
      <c r="AB865" s="98"/>
      <c r="AC865" s="98"/>
      <c r="AD865" s="98"/>
      <c r="AE865" s="98"/>
      <c r="AF865" s="98"/>
      <c r="AG865" s="98"/>
      <c r="AH865" s="98"/>
      <c r="AI865" s="20"/>
      <c r="AJ865" s="20"/>
      <c r="AK865" s="20"/>
      <c r="AL865" s="20"/>
    </row>
    <row r="866">
      <c r="A866" s="156"/>
      <c r="B866" s="20"/>
      <c r="C866" s="20"/>
      <c r="D866" s="20"/>
      <c r="E866" s="20"/>
      <c r="F866" s="20"/>
      <c r="G866" s="20"/>
      <c r="H866" s="20"/>
      <c r="I866" s="20"/>
      <c r="J866" s="21"/>
      <c r="K866" s="98"/>
      <c r="L866" s="98"/>
      <c r="M866" s="17"/>
      <c r="N866" s="17"/>
      <c r="O866" s="20"/>
      <c r="P866" s="20"/>
      <c r="Q866" s="159"/>
      <c r="R866" s="20"/>
      <c r="S866" s="20"/>
      <c r="T866" s="20"/>
      <c r="U866" s="20"/>
      <c r="V866" s="20"/>
      <c r="W866" s="98"/>
      <c r="X866" s="98"/>
      <c r="Y866" s="98"/>
      <c r="Z866" s="98"/>
      <c r="AA866" s="98"/>
      <c r="AB866" s="98"/>
      <c r="AC866" s="98"/>
      <c r="AD866" s="98"/>
      <c r="AE866" s="98"/>
      <c r="AF866" s="98"/>
      <c r="AG866" s="98"/>
      <c r="AH866" s="98"/>
      <c r="AI866" s="20"/>
      <c r="AJ866" s="20"/>
      <c r="AK866" s="20"/>
      <c r="AL866" s="20"/>
    </row>
    <row r="867">
      <c r="A867" s="156"/>
      <c r="B867" s="20"/>
      <c r="C867" s="20"/>
      <c r="D867" s="20"/>
      <c r="E867" s="20"/>
      <c r="F867" s="20"/>
      <c r="G867" s="20"/>
      <c r="H867" s="20"/>
      <c r="I867" s="20"/>
      <c r="J867" s="21"/>
      <c r="K867" s="98"/>
      <c r="L867" s="98"/>
      <c r="M867" s="17"/>
      <c r="N867" s="17"/>
      <c r="O867" s="20"/>
      <c r="P867" s="20"/>
      <c r="Q867" s="159"/>
      <c r="R867" s="20"/>
      <c r="S867" s="20"/>
      <c r="T867" s="20"/>
      <c r="U867" s="20"/>
      <c r="V867" s="20"/>
      <c r="W867" s="98"/>
      <c r="X867" s="98"/>
      <c r="Y867" s="98"/>
      <c r="Z867" s="98"/>
      <c r="AA867" s="98"/>
      <c r="AB867" s="98"/>
      <c r="AC867" s="98"/>
      <c r="AD867" s="98"/>
      <c r="AE867" s="98"/>
      <c r="AF867" s="98"/>
      <c r="AG867" s="98"/>
      <c r="AH867" s="98"/>
      <c r="AI867" s="20"/>
      <c r="AJ867" s="20"/>
      <c r="AK867" s="20"/>
      <c r="AL867" s="20"/>
    </row>
    <row r="868">
      <c r="A868" s="156"/>
      <c r="B868" s="20"/>
      <c r="C868" s="20"/>
      <c r="D868" s="20"/>
      <c r="E868" s="20"/>
      <c r="F868" s="20"/>
      <c r="G868" s="20"/>
      <c r="H868" s="20"/>
      <c r="I868" s="20"/>
      <c r="J868" s="21"/>
      <c r="K868" s="98"/>
      <c r="L868" s="98"/>
      <c r="M868" s="17"/>
      <c r="N868" s="17"/>
      <c r="O868" s="20"/>
      <c r="P868" s="20"/>
      <c r="Q868" s="159"/>
      <c r="R868" s="20"/>
      <c r="S868" s="20"/>
      <c r="T868" s="20"/>
      <c r="U868" s="20"/>
      <c r="V868" s="20"/>
      <c r="W868" s="98"/>
      <c r="X868" s="98"/>
      <c r="Y868" s="98"/>
      <c r="Z868" s="98"/>
      <c r="AA868" s="98"/>
      <c r="AB868" s="98"/>
      <c r="AC868" s="98"/>
      <c r="AD868" s="98"/>
      <c r="AE868" s="98"/>
      <c r="AF868" s="98"/>
      <c r="AG868" s="98"/>
      <c r="AH868" s="98"/>
      <c r="AI868" s="20"/>
      <c r="AJ868" s="20"/>
      <c r="AK868" s="20"/>
      <c r="AL868" s="20"/>
    </row>
    <row r="869">
      <c r="A869" s="156"/>
      <c r="B869" s="20"/>
      <c r="C869" s="20"/>
      <c r="D869" s="20"/>
      <c r="E869" s="20"/>
      <c r="F869" s="20"/>
      <c r="G869" s="20"/>
      <c r="H869" s="20"/>
      <c r="I869" s="20"/>
      <c r="J869" s="21"/>
      <c r="K869" s="98"/>
      <c r="L869" s="98"/>
      <c r="M869" s="17"/>
      <c r="N869" s="17"/>
      <c r="O869" s="20"/>
      <c r="P869" s="20"/>
      <c r="Q869" s="159"/>
      <c r="R869" s="20"/>
      <c r="S869" s="20"/>
      <c r="T869" s="20"/>
      <c r="U869" s="20"/>
      <c r="V869" s="20"/>
      <c r="W869" s="98"/>
      <c r="X869" s="98"/>
      <c r="Y869" s="98"/>
      <c r="Z869" s="98"/>
      <c r="AA869" s="98"/>
      <c r="AB869" s="98"/>
      <c r="AC869" s="98"/>
      <c r="AD869" s="98"/>
      <c r="AE869" s="98"/>
      <c r="AF869" s="98"/>
      <c r="AG869" s="98"/>
      <c r="AH869" s="98"/>
      <c r="AI869" s="20"/>
      <c r="AJ869" s="20"/>
      <c r="AK869" s="20"/>
      <c r="AL869" s="20"/>
    </row>
    <row r="870">
      <c r="A870" s="156"/>
      <c r="B870" s="20"/>
      <c r="C870" s="20"/>
      <c r="D870" s="20"/>
      <c r="E870" s="20"/>
      <c r="F870" s="20"/>
      <c r="G870" s="20"/>
      <c r="H870" s="20"/>
      <c r="I870" s="20"/>
      <c r="J870" s="21"/>
      <c r="K870" s="98"/>
      <c r="L870" s="98"/>
      <c r="M870" s="17"/>
      <c r="N870" s="17"/>
      <c r="O870" s="20"/>
      <c r="P870" s="20"/>
      <c r="Q870" s="159"/>
      <c r="R870" s="20"/>
      <c r="S870" s="20"/>
      <c r="T870" s="20"/>
      <c r="U870" s="20"/>
      <c r="V870" s="20"/>
      <c r="W870" s="98"/>
      <c r="X870" s="98"/>
      <c r="Y870" s="98"/>
      <c r="Z870" s="98"/>
      <c r="AA870" s="98"/>
      <c r="AB870" s="98"/>
      <c r="AC870" s="98"/>
      <c r="AD870" s="98"/>
      <c r="AE870" s="98"/>
      <c r="AF870" s="98"/>
      <c r="AG870" s="98"/>
      <c r="AH870" s="98"/>
      <c r="AI870" s="20"/>
      <c r="AJ870" s="20"/>
      <c r="AK870" s="20"/>
      <c r="AL870" s="20"/>
    </row>
    <row r="871">
      <c r="A871" s="156"/>
      <c r="B871" s="20"/>
      <c r="C871" s="20"/>
      <c r="D871" s="20"/>
      <c r="E871" s="20"/>
      <c r="F871" s="20"/>
      <c r="G871" s="20"/>
      <c r="H871" s="20"/>
      <c r="I871" s="20"/>
      <c r="J871" s="21"/>
      <c r="K871" s="98"/>
      <c r="L871" s="98"/>
      <c r="M871" s="17"/>
      <c r="N871" s="17"/>
      <c r="O871" s="20"/>
      <c r="P871" s="20"/>
      <c r="Q871" s="159"/>
      <c r="R871" s="20"/>
      <c r="S871" s="20"/>
      <c r="T871" s="20"/>
      <c r="U871" s="20"/>
      <c r="V871" s="20"/>
      <c r="W871" s="98"/>
      <c r="X871" s="98"/>
      <c r="Y871" s="98"/>
      <c r="Z871" s="98"/>
      <c r="AA871" s="98"/>
      <c r="AB871" s="98"/>
      <c r="AC871" s="98"/>
      <c r="AD871" s="98"/>
      <c r="AE871" s="98"/>
      <c r="AF871" s="98"/>
      <c r="AG871" s="98"/>
      <c r="AH871" s="98"/>
      <c r="AI871" s="20"/>
      <c r="AJ871" s="20"/>
      <c r="AK871" s="20"/>
      <c r="AL871" s="20"/>
    </row>
    <row r="872">
      <c r="A872" s="156"/>
      <c r="B872" s="20"/>
      <c r="C872" s="20"/>
      <c r="D872" s="20"/>
      <c r="E872" s="20"/>
      <c r="F872" s="20"/>
      <c r="G872" s="20"/>
      <c r="H872" s="20"/>
      <c r="I872" s="20"/>
      <c r="J872" s="21"/>
      <c r="K872" s="98"/>
      <c r="L872" s="98"/>
      <c r="M872" s="17"/>
      <c r="N872" s="17"/>
      <c r="O872" s="20"/>
      <c r="P872" s="20"/>
      <c r="Q872" s="159"/>
      <c r="R872" s="20"/>
      <c r="S872" s="20"/>
      <c r="T872" s="20"/>
      <c r="U872" s="20"/>
      <c r="V872" s="20"/>
      <c r="W872" s="98"/>
      <c r="X872" s="98"/>
      <c r="Y872" s="98"/>
      <c r="Z872" s="98"/>
      <c r="AA872" s="98"/>
      <c r="AB872" s="98"/>
      <c r="AC872" s="98"/>
      <c r="AD872" s="98"/>
      <c r="AE872" s="98"/>
      <c r="AF872" s="98"/>
      <c r="AG872" s="98"/>
      <c r="AH872" s="98"/>
      <c r="AI872" s="20"/>
      <c r="AJ872" s="20"/>
      <c r="AK872" s="20"/>
      <c r="AL872" s="20"/>
    </row>
    <row r="873">
      <c r="A873" s="156"/>
      <c r="B873" s="20"/>
      <c r="C873" s="20"/>
      <c r="D873" s="20"/>
      <c r="E873" s="20"/>
      <c r="F873" s="20"/>
      <c r="G873" s="20"/>
      <c r="H873" s="20"/>
      <c r="I873" s="20"/>
      <c r="J873" s="21"/>
      <c r="K873" s="98"/>
      <c r="L873" s="98"/>
      <c r="M873" s="17"/>
      <c r="N873" s="17"/>
      <c r="O873" s="20"/>
      <c r="P873" s="20"/>
      <c r="Q873" s="159"/>
      <c r="R873" s="20"/>
      <c r="S873" s="20"/>
      <c r="T873" s="20"/>
      <c r="U873" s="20"/>
      <c r="V873" s="20"/>
      <c r="W873" s="98"/>
      <c r="X873" s="98"/>
      <c r="Y873" s="98"/>
      <c r="Z873" s="98"/>
      <c r="AA873" s="98"/>
      <c r="AB873" s="98"/>
      <c r="AC873" s="98"/>
      <c r="AD873" s="98"/>
      <c r="AE873" s="98"/>
      <c r="AF873" s="98"/>
      <c r="AG873" s="98"/>
      <c r="AH873" s="98"/>
      <c r="AI873" s="20"/>
      <c r="AJ873" s="20"/>
      <c r="AK873" s="20"/>
      <c r="AL873" s="20"/>
    </row>
    <row r="874">
      <c r="A874" s="156"/>
      <c r="B874" s="20"/>
      <c r="C874" s="20"/>
      <c r="D874" s="20"/>
      <c r="E874" s="20"/>
      <c r="F874" s="20"/>
      <c r="G874" s="20"/>
      <c r="H874" s="20"/>
      <c r="I874" s="20"/>
      <c r="J874" s="21"/>
      <c r="K874" s="98"/>
      <c r="L874" s="98"/>
      <c r="M874" s="17"/>
      <c r="N874" s="17"/>
      <c r="O874" s="20"/>
      <c r="P874" s="20"/>
      <c r="Q874" s="159"/>
      <c r="R874" s="20"/>
      <c r="S874" s="20"/>
      <c r="T874" s="20"/>
      <c r="U874" s="20"/>
      <c r="V874" s="20"/>
      <c r="W874" s="98"/>
      <c r="X874" s="98"/>
      <c r="Y874" s="98"/>
      <c r="Z874" s="98"/>
      <c r="AA874" s="98"/>
      <c r="AB874" s="98"/>
      <c r="AC874" s="98"/>
      <c r="AD874" s="98"/>
      <c r="AE874" s="98"/>
      <c r="AF874" s="98"/>
      <c r="AG874" s="98"/>
      <c r="AH874" s="98"/>
      <c r="AI874" s="20"/>
      <c r="AJ874" s="20"/>
      <c r="AK874" s="20"/>
      <c r="AL874" s="20"/>
    </row>
    <row r="875">
      <c r="A875" s="156"/>
      <c r="B875" s="20"/>
      <c r="C875" s="20"/>
      <c r="D875" s="20"/>
      <c r="E875" s="20"/>
      <c r="F875" s="20"/>
      <c r="G875" s="20"/>
      <c r="H875" s="20"/>
      <c r="I875" s="20"/>
      <c r="J875" s="21"/>
      <c r="K875" s="98"/>
      <c r="L875" s="98"/>
      <c r="M875" s="17"/>
      <c r="N875" s="17"/>
      <c r="O875" s="20"/>
      <c r="P875" s="20"/>
      <c r="Q875" s="159"/>
      <c r="R875" s="20"/>
      <c r="S875" s="20"/>
      <c r="T875" s="20"/>
      <c r="U875" s="20"/>
      <c r="V875" s="20"/>
      <c r="W875" s="98"/>
      <c r="X875" s="98"/>
      <c r="Y875" s="98"/>
      <c r="Z875" s="98"/>
      <c r="AA875" s="98"/>
      <c r="AB875" s="98"/>
      <c r="AC875" s="98"/>
      <c r="AD875" s="98"/>
      <c r="AE875" s="98"/>
      <c r="AF875" s="98"/>
      <c r="AG875" s="98"/>
      <c r="AH875" s="98"/>
      <c r="AI875" s="20"/>
      <c r="AJ875" s="20"/>
      <c r="AK875" s="20"/>
      <c r="AL875" s="20"/>
    </row>
    <row r="876">
      <c r="A876" s="156"/>
      <c r="B876" s="20"/>
      <c r="C876" s="20"/>
      <c r="D876" s="20"/>
      <c r="E876" s="20"/>
      <c r="F876" s="20"/>
      <c r="G876" s="20"/>
      <c r="H876" s="20"/>
      <c r="I876" s="20"/>
      <c r="J876" s="21"/>
      <c r="K876" s="98"/>
      <c r="L876" s="98"/>
      <c r="M876" s="17"/>
      <c r="N876" s="17"/>
      <c r="O876" s="20"/>
      <c r="P876" s="20"/>
      <c r="Q876" s="159"/>
      <c r="R876" s="20"/>
      <c r="S876" s="20"/>
      <c r="T876" s="20"/>
      <c r="U876" s="20"/>
      <c r="V876" s="20"/>
      <c r="W876" s="98"/>
      <c r="X876" s="98"/>
      <c r="Y876" s="98"/>
      <c r="Z876" s="98"/>
      <c r="AA876" s="98"/>
      <c r="AB876" s="98"/>
      <c r="AC876" s="98"/>
      <c r="AD876" s="98"/>
      <c r="AE876" s="98"/>
      <c r="AF876" s="98"/>
      <c r="AG876" s="98"/>
      <c r="AH876" s="98"/>
      <c r="AI876" s="20"/>
      <c r="AJ876" s="20"/>
      <c r="AK876" s="20"/>
      <c r="AL876" s="20"/>
    </row>
    <row r="877">
      <c r="A877" s="156"/>
      <c r="B877" s="20"/>
      <c r="C877" s="20"/>
      <c r="D877" s="20"/>
      <c r="E877" s="20"/>
      <c r="F877" s="20"/>
      <c r="G877" s="20"/>
      <c r="H877" s="20"/>
      <c r="I877" s="20"/>
      <c r="J877" s="21"/>
      <c r="K877" s="98"/>
      <c r="L877" s="98"/>
      <c r="M877" s="17"/>
      <c r="N877" s="17"/>
      <c r="O877" s="20"/>
      <c r="P877" s="20"/>
      <c r="Q877" s="159"/>
      <c r="R877" s="20"/>
      <c r="S877" s="20"/>
      <c r="T877" s="20"/>
      <c r="U877" s="20"/>
      <c r="V877" s="20"/>
      <c r="W877" s="98"/>
      <c r="X877" s="98"/>
      <c r="Y877" s="98"/>
      <c r="Z877" s="98"/>
      <c r="AA877" s="98"/>
      <c r="AB877" s="98"/>
      <c r="AC877" s="98"/>
      <c r="AD877" s="98"/>
      <c r="AE877" s="98"/>
      <c r="AF877" s="98"/>
      <c r="AG877" s="98"/>
      <c r="AH877" s="98"/>
      <c r="AI877" s="20"/>
      <c r="AJ877" s="20"/>
      <c r="AK877" s="20"/>
      <c r="AL877" s="20"/>
    </row>
    <row r="878">
      <c r="A878" s="156"/>
      <c r="B878" s="20"/>
      <c r="C878" s="20"/>
      <c r="D878" s="20"/>
      <c r="E878" s="20"/>
      <c r="F878" s="20"/>
      <c r="G878" s="20"/>
      <c r="H878" s="20"/>
      <c r="I878" s="20"/>
      <c r="J878" s="21"/>
      <c r="K878" s="98"/>
      <c r="L878" s="98"/>
      <c r="M878" s="17"/>
      <c r="N878" s="17"/>
      <c r="O878" s="20"/>
      <c r="P878" s="20"/>
      <c r="Q878" s="159"/>
      <c r="R878" s="20"/>
      <c r="S878" s="20"/>
      <c r="T878" s="20"/>
      <c r="U878" s="20"/>
      <c r="V878" s="20"/>
      <c r="W878" s="98"/>
      <c r="X878" s="98"/>
      <c r="Y878" s="98"/>
      <c r="Z878" s="98"/>
      <c r="AA878" s="98"/>
      <c r="AB878" s="98"/>
      <c r="AC878" s="98"/>
      <c r="AD878" s="98"/>
      <c r="AE878" s="98"/>
      <c r="AF878" s="98"/>
      <c r="AG878" s="98"/>
      <c r="AH878" s="98"/>
      <c r="AI878" s="20"/>
      <c r="AJ878" s="20"/>
      <c r="AK878" s="20"/>
      <c r="AL878" s="20"/>
    </row>
    <row r="879">
      <c r="A879" s="156"/>
      <c r="B879" s="20"/>
      <c r="C879" s="20"/>
      <c r="D879" s="20"/>
      <c r="E879" s="20"/>
      <c r="F879" s="20"/>
      <c r="G879" s="20"/>
      <c r="H879" s="20"/>
      <c r="I879" s="20"/>
      <c r="J879" s="21"/>
      <c r="K879" s="98"/>
      <c r="L879" s="98"/>
      <c r="M879" s="17"/>
      <c r="N879" s="17"/>
      <c r="O879" s="20"/>
      <c r="P879" s="20"/>
      <c r="Q879" s="159"/>
      <c r="R879" s="20"/>
      <c r="S879" s="20"/>
      <c r="T879" s="20"/>
      <c r="U879" s="20"/>
      <c r="V879" s="20"/>
      <c r="W879" s="98"/>
      <c r="X879" s="98"/>
      <c r="Y879" s="98"/>
      <c r="Z879" s="98"/>
      <c r="AA879" s="98"/>
      <c r="AB879" s="98"/>
      <c r="AC879" s="98"/>
      <c r="AD879" s="98"/>
      <c r="AE879" s="98"/>
      <c r="AF879" s="98"/>
      <c r="AG879" s="98"/>
      <c r="AH879" s="98"/>
      <c r="AI879" s="20"/>
      <c r="AJ879" s="20"/>
      <c r="AK879" s="20"/>
      <c r="AL879" s="20"/>
    </row>
    <row r="880">
      <c r="A880" s="156"/>
      <c r="B880" s="20"/>
      <c r="C880" s="20"/>
      <c r="D880" s="20"/>
      <c r="E880" s="20"/>
      <c r="F880" s="20"/>
      <c r="G880" s="20"/>
      <c r="H880" s="20"/>
      <c r="I880" s="20"/>
      <c r="J880" s="21"/>
      <c r="K880" s="98"/>
      <c r="L880" s="98"/>
      <c r="M880" s="17"/>
      <c r="N880" s="17"/>
      <c r="O880" s="20"/>
      <c r="P880" s="20"/>
      <c r="Q880" s="159"/>
      <c r="R880" s="20"/>
      <c r="S880" s="20"/>
      <c r="T880" s="20"/>
      <c r="U880" s="20"/>
      <c r="V880" s="20"/>
      <c r="W880" s="98"/>
      <c r="X880" s="98"/>
      <c r="Y880" s="98"/>
      <c r="Z880" s="98"/>
      <c r="AA880" s="98"/>
      <c r="AB880" s="98"/>
      <c r="AC880" s="98"/>
      <c r="AD880" s="98"/>
      <c r="AE880" s="98"/>
      <c r="AF880" s="98"/>
      <c r="AG880" s="98"/>
      <c r="AH880" s="98"/>
      <c r="AI880" s="20"/>
      <c r="AJ880" s="20"/>
      <c r="AK880" s="20"/>
      <c r="AL880" s="20"/>
    </row>
    <row r="881">
      <c r="A881" s="156"/>
      <c r="B881" s="20"/>
      <c r="C881" s="20"/>
      <c r="D881" s="20"/>
      <c r="E881" s="20"/>
      <c r="F881" s="20"/>
      <c r="G881" s="20"/>
      <c r="H881" s="20"/>
      <c r="I881" s="20"/>
      <c r="J881" s="21"/>
      <c r="K881" s="98"/>
      <c r="L881" s="98"/>
      <c r="M881" s="17"/>
      <c r="N881" s="17"/>
      <c r="O881" s="20"/>
      <c r="P881" s="20"/>
      <c r="Q881" s="159"/>
      <c r="R881" s="20"/>
      <c r="S881" s="20"/>
      <c r="T881" s="20"/>
      <c r="U881" s="20"/>
      <c r="V881" s="20"/>
      <c r="W881" s="98"/>
      <c r="X881" s="98"/>
      <c r="Y881" s="98"/>
      <c r="Z881" s="98"/>
      <c r="AA881" s="98"/>
      <c r="AB881" s="98"/>
      <c r="AC881" s="98"/>
      <c r="AD881" s="98"/>
      <c r="AE881" s="98"/>
      <c r="AF881" s="98"/>
      <c r="AG881" s="98"/>
      <c r="AH881" s="98"/>
      <c r="AI881" s="20"/>
      <c r="AJ881" s="20"/>
      <c r="AK881" s="20"/>
      <c r="AL881" s="20"/>
    </row>
    <row r="882">
      <c r="A882" s="156"/>
      <c r="B882" s="20"/>
      <c r="C882" s="20"/>
      <c r="D882" s="20"/>
      <c r="E882" s="20"/>
      <c r="F882" s="20"/>
      <c r="G882" s="20"/>
      <c r="H882" s="20"/>
      <c r="I882" s="20"/>
      <c r="J882" s="21"/>
      <c r="K882" s="98"/>
      <c r="L882" s="98"/>
      <c r="M882" s="17"/>
      <c r="N882" s="17"/>
      <c r="O882" s="20"/>
      <c r="P882" s="20"/>
      <c r="Q882" s="159"/>
      <c r="R882" s="20"/>
      <c r="S882" s="20"/>
      <c r="T882" s="20"/>
      <c r="U882" s="20"/>
      <c r="V882" s="20"/>
      <c r="W882" s="98"/>
      <c r="X882" s="98"/>
      <c r="Y882" s="98"/>
      <c r="Z882" s="98"/>
      <c r="AA882" s="98"/>
      <c r="AB882" s="98"/>
      <c r="AC882" s="98"/>
      <c r="AD882" s="98"/>
      <c r="AE882" s="98"/>
      <c r="AF882" s="98"/>
      <c r="AG882" s="98"/>
      <c r="AH882" s="98"/>
      <c r="AI882" s="20"/>
      <c r="AJ882" s="20"/>
      <c r="AK882" s="20"/>
      <c r="AL882" s="20"/>
    </row>
    <row r="883">
      <c r="A883" s="156"/>
      <c r="B883" s="20"/>
      <c r="C883" s="20"/>
      <c r="D883" s="20"/>
      <c r="E883" s="20"/>
      <c r="F883" s="20"/>
      <c r="G883" s="20"/>
      <c r="H883" s="20"/>
      <c r="I883" s="20"/>
      <c r="J883" s="21"/>
      <c r="K883" s="98"/>
      <c r="L883" s="98"/>
      <c r="M883" s="17"/>
      <c r="N883" s="17"/>
      <c r="O883" s="20"/>
      <c r="P883" s="20"/>
      <c r="Q883" s="159"/>
      <c r="R883" s="20"/>
      <c r="S883" s="20"/>
      <c r="T883" s="20"/>
      <c r="U883" s="20"/>
      <c r="V883" s="20"/>
      <c r="W883" s="98"/>
      <c r="X883" s="98"/>
      <c r="Y883" s="98"/>
      <c r="Z883" s="98"/>
      <c r="AA883" s="98"/>
      <c r="AB883" s="98"/>
      <c r="AC883" s="98"/>
      <c r="AD883" s="98"/>
      <c r="AE883" s="98"/>
      <c r="AF883" s="98"/>
      <c r="AG883" s="98"/>
      <c r="AH883" s="98"/>
      <c r="AI883" s="20"/>
      <c r="AJ883" s="20"/>
      <c r="AK883" s="20"/>
      <c r="AL883" s="20"/>
    </row>
    <row r="884">
      <c r="A884" s="156"/>
      <c r="B884" s="20"/>
      <c r="C884" s="20"/>
      <c r="D884" s="20"/>
      <c r="E884" s="20"/>
      <c r="F884" s="20"/>
      <c r="G884" s="20"/>
      <c r="H884" s="20"/>
      <c r="I884" s="20"/>
      <c r="J884" s="21"/>
      <c r="K884" s="98"/>
      <c r="L884" s="98"/>
      <c r="M884" s="17"/>
      <c r="N884" s="17"/>
      <c r="O884" s="20"/>
      <c r="P884" s="20"/>
      <c r="Q884" s="159"/>
      <c r="R884" s="20"/>
      <c r="S884" s="20"/>
      <c r="T884" s="20"/>
      <c r="U884" s="20"/>
      <c r="V884" s="20"/>
      <c r="W884" s="98"/>
      <c r="X884" s="98"/>
      <c r="Y884" s="98"/>
      <c r="Z884" s="98"/>
      <c r="AA884" s="98"/>
      <c r="AB884" s="98"/>
      <c r="AC884" s="98"/>
      <c r="AD884" s="98"/>
      <c r="AE884" s="98"/>
      <c r="AF884" s="98"/>
      <c r="AG884" s="98"/>
      <c r="AH884" s="98"/>
      <c r="AI884" s="20"/>
      <c r="AJ884" s="20"/>
      <c r="AK884" s="20"/>
      <c r="AL884" s="20"/>
    </row>
    <row r="885">
      <c r="A885" s="156"/>
      <c r="B885" s="20"/>
      <c r="C885" s="20"/>
      <c r="D885" s="20"/>
      <c r="E885" s="20"/>
      <c r="F885" s="20"/>
      <c r="G885" s="20"/>
      <c r="H885" s="20"/>
      <c r="I885" s="20"/>
      <c r="J885" s="21"/>
      <c r="K885" s="98"/>
      <c r="L885" s="98"/>
      <c r="M885" s="17"/>
      <c r="N885" s="17"/>
      <c r="O885" s="20"/>
      <c r="P885" s="20"/>
      <c r="Q885" s="159"/>
      <c r="R885" s="20"/>
      <c r="S885" s="20"/>
      <c r="T885" s="20"/>
      <c r="U885" s="20"/>
      <c r="V885" s="20"/>
      <c r="W885" s="98"/>
      <c r="X885" s="98"/>
      <c r="Y885" s="98"/>
      <c r="Z885" s="98"/>
      <c r="AA885" s="98"/>
      <c r="AB885" s="98"/>
      <c r="AC885" s="98"/>
      <c r="AD885" s="98"/>
      <c r="AE885" s="98"/>
      <c r="AF885" s="98"/>
      <c r="AG885" s="98"/>
      <c r="AH885" s="98"/>
      <c r="AI885" s="20"/>
      <c r="AJ885" s="20"/>
      <c r="AK885" s="20"/>
      <c r="AL885" s="20"/>
    </row>
    <row r="886">
      <c r="A886" s="156"/>
      <c r="B886" s="20"/>
      <c r="C886" s="20"/>
      <c r="D886" s="20"/>
      <c r="E886" s="20"/>
      <c r="F886" s="20"/>
      <c r="G886" s="20"/>
      <c r="H886" s="20"/>
      <c r="I886" s="20"/>
      <c r="J886" s="21"/>
      <c r="K886" s="98"/>
      <c r="L886" s="98"/>
      <c r="M886" s="17"/>
      <c r="N886" s="17"/>
      <c r="O886" s="20"/>
      <c r="P886" s="20"/>
      <c r="Q886" s="159"/>
      <c r="R886" s="20"/>
      <c r="S886" s="20"/>
      <c r="T886" s="20"/>
      <c r="U886" s="20"/>
      <c r="V886" s="20"/>
      <c r="W886" s="98"/>
      <c r="X886" s="98"/>
      <c r="Y886" s="98"/>
      <c r="Z886" s="98"/>
      <c r="AA886" s="98"/>
      <c r="AB886" s="98"/>
      <c r="AC886" s="98"/>
      <c r="AD886" s="98"/>
      <c r="AE886" s="98"/>
      <c r="AF886" s="98"/>
      <c r="AG886" s="98"/>
      <c r="AH886" s="98"/>
      <c r="AI886" s="20"/>
      <c r="AJ886" s="20"/>
      <c r="AK886" s="20"/>
      <c r="AL886" s="20"/>
    </row>
    <row r="887">
      <c r="A887" s="156"/>
      <c r="B887" s="20"/>
      <c r="C887" s="20"/>
      <c r="D887" s="20"/>
      <c r="E887" s="20"/>
      <c r="F887" s="20"/>
      <c r="G887" s="20"/>
      <c r="H887" s="20"/>
      <c r="I887" s="20"/>
      <c r="J887" s="21"/>
      <c r="K887" s="98"/>
      <c r="L887" s="98"/>
      <c r="M887" s="17"/>
      <c r="N887" s="17"/>
      <c r="O887" s="20"/>
      <c r="P887" s="20"/>
      <c r="Q887" s="159"/>
      <c r="R887" s="20"/>
      <c r="S887" s="20"/>
      <c r="T887" s="20"/>
      <c r="U887" s="20"/>
      <c r="V887" s="20"/>
      <c r="W887" s="98"/>
      <c r="X887" s="98"/>
      <c r="Y887" s="98"/>
      <c r="Z887" s="98"/>
      <c r="AA887" s="98"/>
      <c r="AB887" s="98"/>
      <c r="AC887" s="98"/>
      <c r="AD887" s="98"/>
      <c r="AE887" s="98"/>
      <c r="AF887" s="98"/>
      <c r="AG887" s="98"/>
      <c r="AH887" s="98"/>
      <c r="AI887" s="20"/>
      <c r="AJ887" s="20"/>
      <c r="AK887" s="20"/>
      <c r="AL887" s="20"/>
    </row>
    <row r="888">
      <c r="A888" s="156"/>
      <c r="B888" s="20"/>
      <c r="C888" s="20"/>
      <c r="D888" s="20"/>
      <c r="E888" s="20"/>
      <c r="F888" s="20"/>
      <c r="G888" s="20"/>
      <c r="H888" s="20"/>
      <c r="I888" s="20"/>
      <c r="J888" s="21"/>
      <c r="K888" s="98"/>
      <c r="L888" s="98"/>
      <c r="M888" s="17"/>
      <c r="N888" s="17"/>
      <c r="O888" s="20"/>
      <c r="P888" s="20"/>
      <c r="Q888" s="159"/>
      <c r="R888" s="20"/>
      <c r="S888" s="20"/>
      <c r="T888" s="20"/>
      <c r="U888" s="20"/>
      <c r="V888" s="20"/>
      <c r="W888" s="98"/>
      <c r="X888" s="98"/>
      <c r="Y888" s="98"/>
      <c r="Z888" s="98"/>
      <c r="AA888" s="98"/>
      <c r="AB888" s="98"/>
      <c r="AC888" s="98"/>
      <c r="AD888" s="98"/>
      <c r="AE888" s="98"/>
      <c r="AF888" s="98"/>
      <c r="AG888" s="98"/>
      <c r="AH888" s="98"/>
      <c r="AI888" s="20"/>
      <c r="AJ888" s="20"/>
      <c r="AK888" s="20"/>
      <c r="AL888" s="20"/>
    </row>
    <row r="889">
      <c r="A889" s="156"/>
      <c r="B889" s="20"/>
      <c r="C889" s="20"/>
      <c r="D889" s="20"/>
      <c r="E889" s="20"/>
      <c r="F889" s="20"/>
      <c r="G889" s="20"/>
      <c r="H889" s="20"/>
      <c r="I889" s="20"/>
      <c r="J889" s="21"/>
      <c r="K889" s="98"/>
      <c r="L889" s="98"/>
      <c r="M889" s="17"/>
      <c r="N889" s="17"/>
      <c r="O889" s="20"/>
      <c r="P889" s="20"/>
      <c r="Q889" s="159"/>
      <c r="R889" s="20"/>
      <c r="S889" s="20"/>
      <c r="T889" s="20"/>
      <c r="U889" s="20"/>
      <c r="V889" s="20"/>
      <c r="W889" s="98"/>
      <c r="X889" s="98"/>
      <c r="Y889" s="98"/>
      <c r="Z889" s="98"/>
      <c r="AA889" s="98"/>
      <c r="AB889" s="98"/>
      <c r="AC889" s="98"/>
      <c r="AD889" s="98"/>
      <c r="AE889" s="98"/>
      <c r="AF889" s="98"/>
      <c r="AG889" s="98"/>
      <c r="AH889" s="98"/>
      <c r="AI889" s="20"/>
      <c r="AJ889" s="20"/>
      <c r="AK889" s="20"/>
      <c r="AL889" s="20"/>
    </row>
    <row r="890">
      <c r="A890" s="156"/>
      <c r="B890" s="20"/>
      <c r="C890" s="20"/>
      <c r="D890" s="20"/>
      <c r="E890" s="20"/>
      <c r="F890" s="20"/>
      <c r="G890" s="20"/>
      <c r="H890" s="20"/>
      <c r="I890" s="20"/>
      <c r="J890" s="21"/>
      <c r="K890" s="98"/>
      <c r="L890" s="98"/>
      <c r="M890" s="17"/>
      <c r="N890" s="17"/>
      <c r="O890" s="20"/>
      <c r="P890" s="20"/>
      <c r="Q890" s="159"/>
      <c r="R890" s="20"/>
      <c r="S890" s="20"/>
      <c r="T890" s="20"/>
      <c r="U890" s="20"/>
      <c r="V890" s="20"/>
      <c r="W890" s="98"/>
      <c r="X890" s="98"/>
      <c r="Y890" s="98"/>
      <c r="Z890" s="98"/>
      <c r="AA890" s="98"/>
      <c r="AB890" s="98"/>
      <c r="AC890" s="98"/>
      <c r="AD890" s="98"/>
      <c r="AE890" s="98"/>
      <c r="AF890" s="98"/>
      <c r="AG890" s="98"/>
      <c r="AH890" s="98"/>
      <c r="AI890" s="20"/>
      <c r="AJ890" s="20"/>
      <c r="AK890" s="20"/>
      <c r="AL890" s="20"/>
    </row>
    <row r="891">
      <c r="A891" s="156"/>
      <c r="B891" s="20"/>
      <c r="C891" s="20"/>
      <c r="D891" s="20"/>
      <c r="E891" s="20"/>
      <c r="F891" s="20"/>
      <c r="G891" s="20"/>
      <c r="H891" s="20"/>
      <c r="I891" s="20"/>
      <c r="J891" s="21"/>
      <c r="K891" s="98"/>
      <c r="L891" s="98"/>
      <c r="M891" s="17"/>
      <c r="N891" s="17"/>
      <c r="O891" s="20"/>
      <c r="P891" s="20"/>
      <c r="Q891" s="159"/>
      <c r="R891" s="20"/>
      <c r="S891" s="20"/>
      <c r="T891" s="20"/>
      <c r="U891" s="20"/>
      <c r="V891" s="20"/>
      <c r="W891" s="98"/>
      <c r="X891" s="98"/>
      <c r="Y891" s="98"/>
      <c r="Z891" s="98"/>
      <c r="AA891" s="98"/>
      <c r="AB891" s="98"/>
      <c r="AC891" s="98"/>
      <c r="AD891" s="98"/>
      <c r="AE891" s="98"/>
      <c r="AF891" s="98"/>
      <c r="AG891" s="98"/>
      <c r="AH891" s="98"/>
      <c r="AI891" s="20"/>
      <c r="AJ891" s="20"/>
      <c r="AK891" s="20"/>
      <c r="AL891" s="20"/>
    </row>
    <row r="892">
      <c r="A892" s="156"/>
      <c r="B892" s="20"/>
      <c r="C892" s="20"/>
      <c r="D892" s="20"/>
      <c r="E892" s="20"/>
      <c r="F892" s="20"/>
      <c r="G892" s="20"/>
      <c r="H892" s="20"/>
      <c r="I892" s="20"/>
      <c r="J892" s="21"/>
      <c r="K892" s="98"/>
      <c r="L892" s="98"/>
      <c r="M892" s="17"/>
      <c r="N892" s="17"/>
      <c r="O892" s="20"/>
      <c r="P892" s="20"/>
      <c r="Q892" s="159"/>
      <c r="R892" s="20"/>
      <c r="S892" s="20"/>
      <c r="T892" s="20"/>
      <c r="U892" s="20"/>
      <c r="V892" s="20"/>
      <c r="W892" s="98"/>
      <c r="X892" s="98"/>
      <c r="Y892" s="98"/>
      <c r="Z892" s="98"/>
      <c r="AA892" s="98"/>
      <c r="AB892" s="98"/>
      <c r="AC892" s="98"/>
      <c r="AD892" s="98"/>
      <c r="AE892" s="98"/>
      <c r="AF892" s="98"/>
      <c r="AG892" s="98"/>
      <c r="AH892" s="98"/>
      <c r="AI892" s="20"/>
      <c r="AJ892" s="20"/>
      <c r="AK892" s="20"/>
      <c r="AL892" s="20"/>
    </row>
    <row r="893">
      <c r="A893" s="156"/>
      <c r="B893" s="20"/>
      <c r="C893" s="20"/>
      <c r="D893" s="20"/>
      <c r="E893" s="20"/>
      <c r="F893" s="20"/>
      <c r="G893" s="20"/>
      <c r="H893" s="20"/>
      <c r="I893" s="20"/>
      <c r="J893" s="21"/>
      <c r="K893" s="98"/>
      <c r="L893" s="98"/>
      <c r="M893" s="17"/>
      <c r="N893" s="17"/>
      <c r="O893" s="20"/>
      <c r="P893" s="20"/>
      <c r="Q893" s="159"/>
      <c r="R893" s="20"/>
      <c r="S893" s="20"/>
      <c r="T893" s="20"/>
      <c r="U893" s="20"/>
      <c r="V893" s="20"/>
      <c r="W893" s="98"/>
      <c r="X893" s="98"/>
      <c r="Y893" s="98"/>
      <c r="Z893" s="98"/>
      <c r="AA893" s="98"/>
      <c r="AB893" s="98"/>
      <c r="AC893" s="98"/>
      <c r="AD893" s="98"/>
      <c r="AE893" s="98"/>
      <c r="AF893" s="98"/>
      <c r="AG893" s="98"/>
      <c r="AH893" s="98"/>
      <c r="AI893" s="20"/>
      <c r="AJ893" s="20"/>
      <c r="AK893" s="20"/>
      <c r="AL893" s="20"/>
    </row>
    <row r="894">
      <c r="A894" s="156"/>
      <c r="B894" s="20"/>
      <c r="C894" s="20"/>
      <c r="D894" s="20"/>
      <c r="E894" s="20"/>
      <c r="F894" s="20"/>
      <c r="G894" s="20"/>
      <c r="H894" s="20"/>
      <c r="I894" s="20"/>
      <c r="J894" s="21"/>
      <c r="K894" s="98"/>
      <c r="L894" s="98"/>
      <c r="M894" s="17"/>
      <c r="N894" s="17"/>
      <c r="O894" s="20"/>
      <c r="P894" s="20"/>
      <c r="Q894" s="159"/>
      <c r="R894" s="20"/>
      <c r="S894" s="20"/>
      <c r="T894" s="20"/>
      <c r="U894" s="20"/>
      <c r="V894" s="20"/>
      <c r="W894" s="98"/>
      <c r="X894" s="98"/>
      <c r="Y894" s="98"/>
      <c r="Z894" s="98"/>
      <c r="AA894" s="98"/>
      <c r="AB894" s="98"/>
      <c r="AC894" s="98"/>
      <c r="AD894" s="98"/>
      <c r="AE894" s="98"/>
      <c r="AF894" s="98"/>
      <c r="AG894" s="98"/>
      <c r="AH894" s="98"/>
      <c r="AI894" s="20"/>
      <c r="AJ894" s="20"/>
      <c r="AK894" s="20"/>
      <c r="AL894" s="20"/>
    </row>
    <row r="895">
      <c r="A895" s="156"/>
      <c r="B895" s="20"/>
      <c r="C895" s="20"/>
      <c r="D895" s="20"/>
      <c r="E895" s="20"/>
      <c r="F895" s="20"/>
      <c r="G895" s="20"/>
      <c r="H895" s="20"/>
      <c r="I895" s="20"/>
      <c r="J895" s="21"/>
      <c r="K895" s="98"/>
      <c r="L895" s="98"/>
      <c r="M895" s="17"/>
      <c r="N895" s="17"/>
      <c r="O895" s="20"/>
      <c r="P895" s="20"/>
      <c r="Q895" s="159"/>
      <c r="R895" s="20"/>
      <c r="S895" s="20"/>
      <c r="T895" s="20"/>
      <c r="U895" s="20"/>
      <c r="V895" s="20"/>
      <c r="W895" s="98"/>
      <c r="X895" s="98"/>
      <c r="Y895" s="98"/>
      <c r="Z895" s="98"/>
      <c r="AA895" s="98"/>
      <c r="AB895" s="98"/>
      <c r="AC895" s="98"/>
      <c r="AD895" s="98"/>
      <c r="AE895" s="98"/>
      <c r="AF895" s="98"/>
      <c r="AG895" s="98"/>
      <c r="AH895" s="98"/>
      <c r="AI895" s="20"/>
      <c r="AJ895" s="20"/>
      <c r="AK895" s="20"/>
      <c r="AL895" s="20"/>
    </row>
    <row r="896">
      <c r="A896" s="156"/>
      <c r="B896" s="20"/>
      <c r="C896" s="20"/>
      <c r="D896" s="20"/>
      <c r="E896" s="20"/>
      <c r="F896" s="20"/>
      <c r="G896" s="20"/>
      <c r="H896" s="20"/>
      <c r="I896" s="20"/>
      <c r="J896" s="21"/>
      <c r="K896" s="98"/>
      <c r="L896" s="98"/>
      <c r="M896" s="17"/>
      <c r="N896" s="17"/>
      <c r="O896" s="20"/>
      <c r="P896" s="20"/>
      <c r="Q896" s="159"/>
      <c r="R896" s="20"/>
      <c r="S896" s="20"/>
      <c r="T896" s="20"/>
      <c r="U896" s="20"/>
      <c r="V896" s="20"/>
      <c r="W896" s="98"/>
      <c r="X896" s="98"/>
      <c r="Y896" s="98"/>
      <c r="Z896" s="98"/>
      <c r="AA896" s="98"/>
      <c r="AB896" s="98"/>
      <c r="AC896" s="98"/>
      <c r="AD896" s="98"/>
      <c r="AE896" s="98"/>
      <c r="AF896" s="98"/>
      <c r="AG896" s="98"/>
      <c r="AH896" s="98"/>
      <c r="AI896" s="20"/>
      <c r="AJ896" s="20"/>
      <c r="AK896" s="20"/>
      <c r="AL896" s="20"/>
    </row>
    <row r="897">
      <c r="A897" s="156"/>
      <c r="B897" s="20"/>
      <c r="C897" s="20"/>
      <c r="D897" s="20"/>
      <c r="E897" s="20"/>
      <c r="F897" s="20"/>
      <c r="G897" s="20"/>
      <c r="H897" s="20"/>
      <c r="I897" s="20"/>
      <c r="J897" s="21"/>
      <c r="K897" s="98"/>
      <c r="L897" s="98"/>
      <c r="M897" s="17"/>
      <c r="N897" s="17"/>
      <c r="O897" s="20"/>
      <c r="P897" s="20"/>
      <c r="Q897" s="159"/>
      <c r="R897" s="20"/>
      <c r="S897" s="20"/>
      <c r="T897" s="20"/>
      <c r="U897" s="20"/>
      <c r="V897" s="20"/>
      <c r="W897" s="98"/>
      <c r="X897" s="98"/>
      <c r="Y897" s="98"/>
      <c r="Z897" s="98"/>
      <c r="AA897" s="98"/>
      <c r="AB897" s="98"/>
      <c r="AC897" s="98"/>
      <c r="AD897" s="98"/>
      <c r="AE897" s="98"/>
      <c r="AF897" s="98"/>
      <c r="AG897" s="98"/>
      <c r="AH897" s="98"/>
      <c r="AI897" s="20"/>
      <c r="AJ897" s="20"/>
      <c r="AK897" s="20"/>
      <c r="AL897" s="20"/>
    </row>
    <row r="898">
      <c r="A898" s="156"/>
      <c r="B898" s="20"/>
      <c r="C898" s="20"/>
      <c r="D898" s="20"/>
      <c r="E898" s="20"/>
      <c r="F898" s="20"/>
      <c r="G898" s="20"/>
      <c r="H898" s="20"/>
      <c r="I898" s="20"/>
      <c r="J898" s="21"/>
      <c r="K898" s="98"/>
      <c r="L898" s="98"/>
      <c r="M898" s="17"/>
      <c r="N898" s="17"/>
      <c r="O898" s="20"/>
      <c r="P898" s="20"/>
      <c r="Q898" s="159"/>
      <c r="R898" s="20"/>
      <c r="S898" s="20"/>
      <c r="T898" s="20"/>
      <c r="U898" s="20"/>
      <c r="V898" s="20"/>
      <c r="W898" s="98"/>
      <c r="X898" s="98"/>
      <c r="Y898" s="98"/>
      <c r="Z898" s="98"/>
      <c r="AA898" s="98"/>
      <c r="AB898" s="98"/>
      <c r="AC898" s="98"/>
      <c r="AD898" s="98"/>
      <c r="AE898" s="98"/>
      <c r="AF898" s="98"/>
      <c r="AG898" s="98"/>
      <c r="AH898" s="98"/>
      <c r="AI898" s="20"/>
      <c r="AJ898" s="20"/>
      <c r="AK898" s="20"/>
      <c r="AL898" s="20"/>
    </row>
    <row r="899">
      <c r="A899" s="156"/>
      <c r="B899" s="20"/>
      <c r="C899" s="20"/>
      <c r="D899" s="20"/>
      <c r="E899" s="20"/>
      <c r="F899" s="20"/>
      <c r="G899" s="20"/>
      <c r="H899" s="20"/>
      <c r="I899" s="20"/>
      <c r="J899" s="21"/>
      <c r="K899" s="98"/>
      <c r="L899" s="98"/>
      <c r="M899" s="17"/>
      <c r="N899" s="17"/>
      <c r="O899" s="20"/>
      <c r="P899" s="20"/>
      <c r="Q899" s="159"/>
      <c r="R899" s="20"/>
      <c r="S899" s="20"/>
      <c r="T899" s="20"/>
      <c r="U899" s="20"/>
      <c r="V899" s="20"/>
      <c r="W899" s="98"/>
      <c r="X899" s="98"/>
      <c r="Y899" s="98"/>
      <c r="Z899" s="98"/>
      <c r="AA899" s="98"/>
      <c r="AB899" s="98"/>
      <c r="AC899" s="98"/>
      <c r="AD899" s="98"/>
      <c r="AE899" s="98"/>
      <c r="AF899" s="98"/>
      <c r="AG899" s="98"/>
      <c r="AH899" s="98"/>
      <c r="AI899" s="20"/>
      <c r="AJ899" s="20"/>
      <c r="AK899" s="20"/>
      <c r="AL899" s="20"/>
    </row>
    <row r="900">
      <c r="A900" s="156"/>
      <c r="B900" s="20"/>
      <c r="C900" s="20"/>
      <c r="D900" s="20"/>
      <c r="E900" s="20"/>
      <c r="F900" s="20"/>
      <c r="G900" s="20"/>
      <c r="H900" s="20"/>
      <c r="I900" s="20"/>
      <c r="J900" s="21"/>
      <c r="K900" s="98"/>
      <c r="L900" s="98"/>
      <c r="M900" s="17"/>
      <c r="N900" s="17"/>
      <c r="O900" s="20"/>
      <c r="P900" s="20"/>
      <c r="Q900" s="159"/>
      <c r="R900" s="20"/>
      <c r="S900" s="20"/>
      <c r="T900" s="20"/>
      <c r="U900" s="20"/>
      <c r="V900" s="20"/>
      <c r="W900" s="98"/>
      <c r="X900" s="98"/>
      <c r="Y900" s="98"/>
      <c r="Z900" s="98"/>
      <c r="AA900" s="98"/>
      <c r="AB900" s="98"/>
      <c r="AC900" s="98"/>
      <c r="AD900" s="98"/>
      <c r="AE900" s="98"/>
      <c r="AF900" s="98"/>
      <c r="AG900" s="98"/>
      <c r="AH900" s="98"/>
      <c r="AI900" s="20"/>
      <c r="AJ900" s="20"/>
      <c r="AK900" s="20"/>
      <c r="AL900" s="20"/>
    </row>
    <row r="901">
      <c r="A901" s="156"/>
      <c r="B901" s="20"/>
      <c r="C901" s="20"/>
      <c r="D901" s="20"/>
      <c r="E901" s="20"/>
      <c r="F901" s="20"/>
      <c r="G901" s="20"/>
      <c r="H901" s="20"/>
      <c r="I901" s="20"/>
      <c r="J901" s="21"/>
      <c r="K901" s="98"/>
      <c r="L901" s="98"/>
      <c r="M901" s="17"/>
      <c r="N901" s="17"/>
      <c r="O901" s="20"/>
      <c r="P901" s="20"/>
      <c r="Q901" s="159"/>
      <c r="R901" s="20"/>
      <c r="S901" s="20"/>
      <c r="T901" s="20"/>
      <c r="U901" s="20"/>
      <c r="V901" s="20"/>
      <c r="W901" s="98"/>
      <c r="X901" s="98"/>
      <c r="Y901" s="98"/>
      <c r="Z901" s="98"/>
      <c r="AA901" s="98"/>
      <c r="AB901" s="98"/>
      <c r="AC901" s="98"/>
      <c r="AD901" s="98"/>
      <c r="AE901" s="98"/>
      <c r="AF901" s="98"/>
      <c r="AG901" s="98"/>
      <c r="AH901" s="98"/>
      <c r="AI901" s="20"/>
      <c r="AJ901" s="20"/>
      <c r="AK901" s="20"/>
      <c r="AL901" s="20"/>
    </row>
    <row r="902">
      <c r="A902" s="156"/>
      <c r="B902" s="20"/>
      <c r="C902" s="20"/>
      <c r="D902" s="20"/>
      <c r="E902" s="20"/>
      <c r="F902" s="20"/>
      <c r="G902" s="20"/>
      <c r="H902" s="20"/>
      <c r="I902" s="20"/>
      <c r="J902" s="21"/>
      <c r="K902" s="98"/>
      <c r="L902" s="98"/>
      <c r="M902" s="17"/>
      <c r="N902" s="17"/>
      <c r="O902" s="20"/>
      <c r="P902" s="20"/>
      <c r="Q902" s="159"/>
      <c r="R902" s="20"/>
      <c r="S902" s="20"/>
      <c r="T902" s="20"/>
      <c r="U902" s="20"/>
      <c r="V902" s="20"/>
      <c r="W902" s="98"/>
      <c r="X902" s="98"/>
      <c r="Y902" s="98"/>
      <c r="Z902" s="98"/>
      <c r="AA902" s="98"/>
      <c r="AB902" s="98"/>
      <c r="AC902" s="98"/>
      <c r="AD902" s="98"/>
      <c r="AE902" s="98"/>
      <c r="AF902" s="98"/>
      <c r="AG902" s="98"/>
      <c r="AH902" s="98"/>
      <c r="AI902" s="20"/>
      <c r="AJ902" s="20"/>
      <c r="AK902" s="20"/>
      <c r="AL902" s="20"/>
    </row>
    <row r="903">
      <c r="A903" s="156"/>
      <c r="B903" s="20"/>
      <c r="C903" s="20"/>
      <c r="D903" s="20"/>
      <c r="E903" s="20"/>
      <c r="F903" s="20"/>
      <c r="G903" s="20"/>
      <c r="H903" s="20"/>
      <c r="I903" s="20"/>
      <c r="J903" s="21"/>
      <c r="K903" s="98"/>
      <c r="L903" s="98"/>
      <c r="M903" s="17"/>
      <c r="N903" s="17"/>
      <c r="O903" s="20"/>
      <c r="P903" s="20"/>
      <c r="Q903" s="159"/>
      <c r="R903" s="20"/>
      <c r="S903" s="20"/>
      <c r="T903" s="20"/>
      <c r="U903" s="20"/>
      <c r="V903" s="20"/>
      <c r="W903" s="98"/>
      <c r="X903" s="98"/>
      <c r="Y903" s="98"/>
      <c r="Z903" s="98"/>
      <c r="AA903" s="98"/>
      <c r="AB903" s="98"/>
      <c r="AC903" s="98"/>
      <c r="AD903" s="98"/>
      <c r="AE903" s="98"/>
      <c r="AF903" s="98"/>
      <c r="AG903" s="98"/>
      <c r="AH903" s="98"/>
      <c r="AI903" s="20"/>
      <c r="AJ903" s="20"/>
      <c r="AK903" s="20"/>
      <c r="AL903" s="20"/>
    </row>
    <row r="904">
      <c r="A904" s="156"/>
      <c r="B904" s="20"/>
      <c r="C904" s="20"/>
      <c r="D904" s="20"/>
      <c r="E904" s="20"/>
      <c r="F904" s="20"/>
      <c r="G904" s="20"/>
      <c r="H904" s="20"/>
      <c r="I904" s="20"/>
      <c r="J904" s="21"/>
      <c r="K904" s="98"/>
      <c r="L904" s="98"/>
      <c r="M904" s="17"/>
      <c r="N904" s="17"/>
      <c r="O904" s="20"/>
      <c r="P904" s="20"/>
      <c r="Q904" s="159"/>
      <c r="R904" s="20"/>
      <c r="S904" s="20"/>
      <c r="T904" s="20"/>
      <c r="U904" s="20"/>
      <c r="V904" s="20"/>
      <c r="W904" s="98"/>
      <c r="X904" s="98"/>
      <c r="Y904" s="98"/>
      <c r="Z904" s="98"/>
      <c r="AA904" s="98"/>
      <c r="AB904" s="98"/>
      <c r="AC904" s="98"/>
      <c r="AD904" s="98"/>
      <c r="AE904" s="98"/>
      <c r="AF904" s="98"/>
      <c r="AG904" s="98"/>
      <c r="AH904" s="98"/>
      <c r="AI904" s="20"/>
      <c r="AJ904" s="20"/>
      <c r="AK904" s="20"/>
      <c r="AL904" s="20"/>
    </row>
    <row r="905">
      <c r="A905" s="156"/>
      <c r="B905" s="20"/>
      <c r="C905" s="20"/>
      <c r="D905" s="20"/>
      <c r="E905" s="20"/>
      <c r="F905" s="20"/>
      <c r="G905" s="20"/>
      <c r="H905" s="20"/>
      <c r="I905" s="20"/>
      <c r="J905" s="21"/>
      <c r="K905" s="98"/>
      <c r="L905" s="98"/>
      <c r="M905" s="17"/>
      <c r="N905" s="17"/>
      <c r="O905" s="20"/>
      <c r="P905" s="20"/>
      <c r="Q905" s="159"/>
      <c r="R905" s="20"/>
      <c r="S905" s="20"/>
      <c r="T905" s="20"/>
      <c r="U905" s="20"/>
      <c r="V905" s="20"/>
      <c r="W905" s="98"/>
      <c r="X905" s="98"/>
      <c r="Y905" s="98"/>
      <c r="Z905" s="98"/>
      <c r="AA905" s="98"/>
      <c r="AB905" s="98"/>
      <c r="AC905" s="98"/>
      <c r="AD905" s="98"/>
      <c r="AE905" s="98"/>
      <c r="AF905" s="98"/>
      <c r="AG905" s="98"/>
      <c r="AH905" s="98"/>
      <c r="AI905" s="20"/>
      <c r="AJ905" s="20"/>
      <c r="AK905" s="20"/>
      <c r="AL905" s="20"/>
    </row>
    <row r="906">
      <c r="A906" s="156"/>
      <c r="B906" s="20"/>
      <c r="C906" s="20"/>
      <c r="D906" s="20"/>
      <c r="E906" s="20"/>
      <c r="F906" s="20"/>
      <c r="G906" s="20"/>
      <c r="H906" s="20"/>
      <c r="I906" s="20"/>
      <c r="J906" s="21"/>
      <c r="K906" s="98"/>
      <c r="L906" s="98"/>
      <c r="M906" s="17"/>
      <c r="N906" s="17"/>
      <c r="O906" s="20"/>
      <c r="P906" s="20"/>
      <c r="Q906" s="159"/>
      <c r="R906" s="20"/>
      <c r="S906" s="20"/>
      <c r="T906" s="20"/>
      <c r="U906" s="20"/>
      <c r="V906" s="20"/>
      <c r="W906" s="98"/>
      <c r="X906" s="98"/>
      <c r="Y906" s="98"/>
      <c r="Z906" s="98"/>
      <c r="AA906" s="98"/>
      <c r="AB906" s="98"/>
      <c r="AC906" s="98"/>
      <c r="AD906" s="98"/>
      <c r="AE906" s="98"/>
      <c r="AF906" s="98"/>
      <c r="AG906" s="98"/>
      <c r="AH906" s="98"/>
      <c r="AI906" s="20"/>
      <c r="AJ906" s="20"/>
      <c r="AK906" s="20"/>
      <c r="AL906" s="20"/>
    </row>
    <row r="907">
      <c r="A907" s="156"/>
      <c r="B907" s="20"/>
      <c r="C907" s="20"/>
      <c r="D907" s="20"/>
      <c r="E907" s="20"/>
      <c r="F907" s="20"/>
      <c r="G907" s="20"/>
      <c r="H907" s="20"/>
      <c r="I907" s="20"/>
      <c r="J907" s="21"/>
      <c r="K907" s="98"/>
      <c r="L907" s="98"/>
      <c r="M907" s="17"/>
      <c r="N907" s="17"/>
      <c r="O907" s="20"/>
      <c r="P907" s="20"/>
      <c r="Q907" s="159"/>
      <c r="R907" s="20"/>
      <c r="S907" s="20"/>
      <c r="T907" s="20"/>
      <c r="U907" s="20"/>
      <c r="V907" s="20"/>
      <c r="W907" s="98"/>
      <c r="X907" s="98"/>
      <c r="Y907" s="98"/>
      <c r="Z907" s="98"/>
      <c r="AA907" s="98"/>
      <c r="AB907" s="98"/>
      <c r="AC907" s="98"/>
      <c r="AD907" s="98"/>
      <c r="AE907" s="98"/>
      <c r="AF907" s="98"/>
      <c r="AG907" s="98"/>
      <c r="AH907" s="98"/>
      <c r="AI907" s="20"/>
      <c r="AJ907" s="20"/>
      <c r="AK907" s="20"/>
      <c r="AL907" s="20"/>
    </row>
    <row r="908">
      <c r="A908" s="156"/>
      <c r="B908" s="20"/>
      <c r="C908" s="20"/>
      <c r="D908" s="20"/>
      <c r="E908" s="20"/>
      <c r="F908" s="20"/>
      <c r="G908" s="20"/>
      <c r="H908" s="20"/>
      <c r="I908" s="20"/>
      <c r="J908" s="21"/>
      <c r="K908" s="98"/>
      <c r="L908" s="98"/>
      <c r="M908" s="17"/>
      <c r="N908" s="17"/>
      <c r="O908" s="20"/>
      <c r="P908" s="20"/>
      <c r="Q908" s="159"/>
      <c r="R908" s="20"/>
      <c r="S908" s="20"/>
      <c r="T908" s="20"/>
      <c r="U908" s="20"/>
      <c r="V908" s="20"/>
      <c r="W908" s="98"/>
      <c r="X908" s="98"/>
      <c r="Y908" s="98"/>
      <c r="Z908" s="98"/>
      <c r="AA908" s="98"/>
      <c r="AB908" s="98"/>
      <c r="AC908" s="98"/>
      <c r="AD908" s="98"/>
      <c r="AE908" s="98"/>
      <c r="AF908" s="98"/>
      <c r="AG908" s="98"/>
      <c r="AH908" s="98"/>
      <c r="AI908" s="20"/>
      <c r="AJ908" s="20"/>
      <c r="AK908" s="20"/>
      <c r="AL908" s="20"/>
    </row>
    <row r="909">
      <c r="A909" s="156"/>
      <c r="B909" s="20"/>
      <c r="C909" s="20"/>
      <c r="D909" s="20"/>
      <c r="E909" s="20"/>
      <c r="F909" s="20"/>
      <c r="G909" s="20"/>
      <c r="H909" s="20"/>
      <c r="I909" s="20"/>
      <c r="J909" s="21"/>
      <c r="K909" s="98"/>
      <c r="L909" s="98"/>
      <c r="M909" s="17"/>
      <c r="N909" s="17"/>
      <c r="O909" s="20"/>
      <c r="P909" s="20"/>
      <c r="Q909" s="159"/>
      <c r="R909" s="20"/>
      <c r="S909" s="20"/>
      <c r="T909" s="20"/>
      <c r="U909" s="20"/>
      <c r="V909" s="20"/>
      <c r="W909" s="98"/>
      <c r="X909" s="98"/>
      <c r="Y909" s="98"/>
      <c r="Z909" s="98"/>
      <c r="AA909" s="98"/>
      <c r="AB909" s="98"/>
      <c r="AC909" s="98"/>
      <c r="AD909" s="98"/>
      <c r="AE909" s="98"/>
      <c r="AF909" s="98"/>
      <c r="AG909" s="98"/>
      <c r="AH909" s="98"/>
      <c r="AI909" s="20"/>
      <c r="AJ909" s="20"/>
      <c r="AK909" s="20"/>
      <c r="AL909" s="20"/>
    </row>
    <row r="910">
      <c r="A910" s="156"/>
      <c r="B910" s="20"/>
      <c r="C910" s="20"/>
      <c r="D910" s="20"/>
      <c r="E910" s="20"/>
      <c r="F910" s="20"/>
      <c r="G910" s="20"/>
      <c r="H910" s="20"/>
      <c r="I910" s="20"/>
      <c r="J910" s="21"/>
      <c r="K910" s="98"/>
      <c r="L910" s="98"/>
      <c r="M910" s="17"/>
      <c r="N910" s="17"/>
      <c r="O910" s="20"/>
      <c r="P910" s="20"/>
      <c r="Q910" s="159"/>
      <c r="R910" s="20"/>
      <c r="S910" s="20"/>
      <c r="T910" s="20"/>
      <c r="U910" s="20"/>
      <c r="V910" s="20"/>
      <c r="W910" s="98"/>
      <c r="X910" s="98"/>
      <c r="Y910" s="98"/>
      <c r="Z910" s="98"/>
      <c r="AA910" s="98"/>
      <c r="AB910" s="98"/>
      <c r="AC910" s="98"/>
      <c r="AD910" s="98"/>
      <c r="AE910" s="98"/>
      <c r="AF910" s="98"/>
      <c r="AG910" s="98"/>
      <c r="AH910" s="98"/>
      <c r="AI910" s="20"/>
      <c r="AJ910" s="20"/>
      <c r="AK910" s="20"/>
      <c r="AL910" s="20"/>
    </row>
    <row r="911">
      <c r="A911" s="156"/>
      <c r="B911" s="20"/>
      <c r="C911" s="20"/>
      <c r="D911" s="20"/>
      <c r="E911" s="20"/>
      <c r="F911" s="20"/>
      <c r="G911" s="20"/>
      <c r="H911" s="20"/>
      <c r="I911" s="20"/>
      <c r="J911" s="21"/>
      <c r="K911" s="98"/>
      <c r="L911" s="98"/>
      <c r="M911" s="17"/>
      <c r="N911" s="17"/>
      <c r="O911" s="20"/>
      <c r="P911" s="20"/>
      <c r="Q911" s="159"/>
      <c r="R911" s="20"/>
      <c r="S911" s="20"/>
      <c r="T911" s="20"/>
      <c r="U911" s="20"/>
      <c r="V911" s="20"/>
      <c r="W911" s="98"/>
      <c r="X911" s="98"/>
      <c r="Y911" s="98"/>
      <c r="Z911" s="98"/>
      <c r="AA911" s="98"/>
      <c r="AB911" s="98"/>
      <c r="AC911" s="98"/>
      <c r="AD911" s="98"/>
      <c r="AE911" s="98"/>
      <c r="AF911" s="98"/>
      <c r="AG911" s="98"/>
      <c r="AH911" s="98"/>
      <c r="AI911" s="20"/>
      <c r="AJ911" s="20"/>
      <c r="AK911" s="20"/>
      <c r="AL911" s="20"/>
    </row>
    <row r="912">
      <c r="A912" s="156"/>
      <c r="B912" s="20"/>
      <c r="C912" s="20"/>
      <c r="D912" s="20"/>
      <c r="E912" s="20"/>
      <c r="F912" s="20"/>
      <c r="G912" s="20"/>
      <c r="H912" s="20"/>
      <c r="I912" s="20"/>
      <c r="J912" s="21"/>
      <c r="K912" s="98"/>
      <c r="L912" s="98"/>
      <c r="M912" s="17"/>
      <c r="N912" s="17"/>
      <c r="O912" s="20"/>
      <c r="P912" s="20"/>
      <c r="Q912" s="159"/>
      <c r="R912" s="20"/>
      <c r="S912" s="20"/>
      <c r="T912" s="20"/>
      <c r="U912" s="20"/>
      <c r="V912" s="20"/>
      <c r="W912" s="98"/>
      <c r="X912" s="98"/>
      <c r="Y912" s="98"/>
      <c r="Z912" s="98"/>
      <c r="AA912" s="98"/>
      <c r="AB912" s="98"/>
      <c r="AC912" s="98"/>
      <c r="AD912" s="98"/>
      <c r="AE912" s="98"/>
      <c r="AF912" s="98"/>
      <c r="AG912" s="98"/>
      <c r="AH912" s="98"/>
      <c r="AI912" s="20"/>
      <c r="AJ912" s="20"/>
      <c r="AK912" s="20"/>
      <c r="AL912" s="20"/>
    </row>
    <row r="913">
      <c r="A913" s="156"/>
      <c r="B913" s="20"/>
      <c r="C913" s="20"/>
      <c r="D913" s="20"/>
      <c r="E913" s="20"/>
      <c r="F913" s="20"/>
      <c r="G913" s="20"/>
      <c r="H913" s="20"/>
      <c r="I913" s="20"/>
      <c r="J913" s="21"/>
      <c r="K913" s="98"/>
      <c r="L913" s="98"/>
      <c r="M913" s="17"/>
      <c r="N913" s="17"/>
      <c r="O913" s="20"/>
      <c r="P913" s="20"/>
      <c r="Q913" s="159"/>
      <c r="R913" s="20"/>
      <c r="S913" s="20"/>
      <c r="T913" s="20"/>
      <c r="U913" s="20"/>
      <c r="V913" s="20"/>
      <c r="W913" s="98"/>
      <c r="X913" s="98"/>
      <c r="Y913" s="98"/>
      <c r="Z913" s="98"/>
      <c r="AA913" s="98"/>
      <c r="AB913" s="98"/>
      <c r="AC913" s="98"/>
      <c r="AD913" s="98"/>
      <c r="AE913" s="98"/>
      <c r="AF913" s="98"/>
      <c r="AG913" s="98"/>
      <c r="AH913" s="98"/>
      <c r="AI913" s="20"/>
      <c r="AJ913" s="20"/>
      <c r="AK913" s="20"/>
      <c r="AL913" s="20"/>
    </row>
    <row r="914">
      <c r="A914" s="156"/>
      <c r="B914" s="20"/>
      <c r="C914" s="20"/>
      <c r="D914" s="20"/>
      <c r="E914" s="20"/>
      <c r="F914" s="20"/>
      <c r="G914" s="20"/>
      <c r="H914" s="20"/>
      <c r="I914" s="20"/>
      <c r="J914" s="21"/>
      <c r="K914" s="98"/>
      <c r="L914" s="98"/>
      <c r="M914" s="17"/>
      <c r="N914" s="17"/>
      <c r="O914" s="20"/>
      <c r="P914" s="20"/>
      <c r="Q914" s="159"/>
      <c r="R914" s="20"/>
      <c r="S914" s="20"/>
      <c r="T914" s="20"/>
      <c r="U914" s="20"/>
      <c r="V914" s="20"/>
      <c r="W914" s="98"/>
      <c r="X914" s="98"/>
      <c r="Y914" s="98"/>
      <c r="Z914" s="98"/>
      <c r="AA914" s="98"/>
      <c r="AB914" s="98"/>
      <c r="AC914" s="98"/>
      <c r="AD914" s="98"/>
      <c r="AE914" s="98"/>
      <c r="AF914" s="98"/>
      <c r="AG914" s="98"/>
      <c r="AH914" s="98"/>
      <c r="AI914" s="20"/>
      <c r="AJ914" s="20"/>
      <c r="AK914" s="20"/>
      <c r="AL914" s="20"/>
    </row>
    <row r="915">
      <c r="A915" s="156"/>
      <c r="B915" s="20"/>
      <c r="C915" s="20"/>
      <c r="D915" s="20"/>
      <c r="E915" s="20"/>
      <c r="F915" s="20"/>
      <c r="G915" s="20"/>
      <c r="H915" s="20"/>
      <c r="I915" s="20"/>
      <c r="J915" s="21"/>
      <c r="K915" s="98"/>
      <c r="L915" s="98"/>
      <c r="M915" s="17"/>
      <c r="N915" s="17"/>
      <c r="O915" s="20"/>
      <c r="P915" s="20"/>
      <c r="Q915" s="159"/>
      <c r="R915" s="20"/>
      <c r="S915" s="20"/>
      <c r="T915" s="20"/>
      <c r="U915" s="20"/>
      <c r="V915" s="20"/>
      <c r="W915" s="98"/>
      <c r="X915" s="98"/>
      <c r="Y915" s="98"/>
      <c r="Z915" s="98"/>
      <c r="AA915" s="98"/>
      <c r="AB915" s="98"/>
      <c r="AC915" s="98"/>
      <c r="AD915" s="98"/>
      <c r="AE915" s="98"/>
      <c r="AF915" s="98"/>
      <c r="AG915" s="98"/>
      <c r="AH915" s="98"/>
      <c r="AI915" s="20"/>
      <c r="AJ915" s="20"/>
      <c r="AK915" s="20"/>
      <c r="AL915" s="20"/>
    </row>
    <row r="916">
      <c r="A916" s="156"/>
      <c r="B916" s="20"/>
      <c r="C916" s="20"/>
      <c r="D916" s="20"/>
      <c r="E916" s="20"/>
      <c r="F916" s="20"/>
      <c r="G916" s="20"/>
      <c r="H916" s="20"/>
      <c r="I916" s="20"/>
      <c r="J916" s="21"/>
      <c r="K916" s="98"/>
      <c r="L916" s="98"/>
      <c r="M916" s="17"/>
      <c r="N916" s="17"/>
      <c r="O916" s="20"/>
      <c r="P916" s="20"/>
      <c r="Q916" s="159"/>
      <c r="R916" s="20"/>
      <c r="S916" s="20"/>
      <c r="T916" s="20"/>
      <c r="U916" s="20"/>
      <c r="V916" s="20"/>
      <c r="W916" s="98"/>
      <c r="X916" s="98"/>
      <c r="Y916" s="98"/>
      <c r="Z916" s="98"/>
      <c r="AA916" s="98"/>
      <c r="AB916" s="98"/>
      <c r="AC916" s="98"/>
      <c r="AD916" s="98"/>
      <c r="AE916" s="98"/>
      <c r="AF916" s="98"/>
      <c r="AG916" s="98"/>
      <c r="AH916" s="98"/>
      <c r="AI916" s="20"/>
      <c r="AJ916" s="20"/>
      <c r="AK916" s="20"/>
      <c r="AL916" s="20"/>
    </row>
    <row r="917">
      <c r="A917" s="156"/>
      <c r="B917" s="20"/>
      <c r="C917" s="20"/>
      <c r="D917" s="20"/>
      <c r="E917" s="20"/>
      <c r="F917" s="20"/>
      <c r="G917" s="20"/>
      <c r="H917" s="20"/>
      <c r="I917" s="20"/>
      <c r="J917" s="21"/>
      <c r="K917" s="98"/>
      <c r="L917" s="98"/>
      <c r="M917" s="17"/>
      <c r="N917" s="17"/>
      <c r="O917" s="20"/>
      <c r="P917" s="20"/>
      <c r="Q917" s="159"/>
      <c r="R917" s="20"/>
      <c r="S917" s="20"/>
      <c r="T917" s="20"/>
      <c r="U917" s="20"/>
      <c r="V917" s="20"/>
      <c r="W917" s="98"/>
      <c r="X917" s="98"/>
      <c r="Y917" s="98"/>
      <c r="Z917" s="98"/>
      <c r="AA917" s="98"/>
      <c r="AB917" s="98"/>
      <c r="AC917" s="98"/>
      <c r="AD917" s="98"/>
      <c r="AE917" s="98"/>
      <c r="AF917" s="98"/>
      <c r="AG917" s="98"/>
      <c r="AH917" s="98"/>
      <c r="AI917" s="20"/>
      <c r="AJ917" s="20"/>
      <c r="AK917" s="20"/>
      <c r="AL917" s="20"/>
    </row>
    <row r="918">
      <c r="A918" s="156"/>
      <c r="B918" s="20"/>
      <c r="C918" s="20"/>
      <c r="D918" s="20"/>
      <c r="E918" s="20"/>
      <c r="F918" s="20"/>
      <c r="G918" s="20"/>
      <c r="H918" s="20"/>
      <c r="I918" s="20"/>
      <c r="J918" s="21"/>
      <c r="K918" s="98"/>
      <c r="L918" s="98"/>
      <c r="M918" s="17"/>
      <c r="N918" s="17"/>
      <c r="O918" s="20"/>
      <c r="P918" s="20"/>
      <c r="Q918" s="159"/>
      <c r="R918" s="20"/>
      <c r="S918" s="20"/>
      <c r="T918" s="20"/>
      <c r="U918" s="20"/>
      <c r="V918" s="20"/>
      <c r="W918" s="98"/>
      <c r="X918" s="98"/>
      <c r="Y918" s="98"/>
      <c r="Z918" s="98"/>
      <c r="AA918" s="98"/>
      <c r="AB918" s="98"/>
      <c r="AC918" s="98"/>
      <c r="AD918" s="98"/>
      <c r="AE918" s="98"/>
      <c r="AF918" s="98"/>
      <c r="AG918" s="98"/>
      <c r="AH918" s="98"/>
      <c r="AI918" s="20"/>
      <c r="AJ918" s="20"/>
      <c r="AK918" s="20"/>
      <c r="AL918" s="20"/>
    </row>
    <row r="919">
      <c r="A919" s="156"/>
      <c r="B919" s="20"/>
      <c r="C919" s="20"/>
      <c r="D919" s="20"/>
      <c r="E919" s="20"/>
      <c r="F919" s="20"/>
      <c r="G919" s="20"/>
      <c r="H919" s="20"/>
      <c r="I919" s="20"/>
      <c r="J919" s="21"/>
      <c r="K919" s="98"/>
      <c r="L919" s="98"/>
      <c r="M919" s="17"/>
      <c r="N919" s="17"/>
      <c r="O919" s="20"/>
      <c r="P919" s="20"/>
      <c r="Q919" s="159"/>
      <c r="R919" s="20"/>
      <c r="S919" s="20"/>
      <c r="T919" s="20"/>
      <c r="U919" s="20"/>
      <c r="V919" s="20"/>
      <c r="W919" s="98"/>
      <c r="X919" s="98"/>
      <c r="Y919" s="98"/>
      <c r="Z919" s="98"/>
      <c r="AA919" s="98"/>
      <c r="AB919" s="98"/>
      <c r="AC919" s="98"/>
      <c r="AD919" s="98"/>
      <c r="AE919" s="98"/>
      <c r="AF919" s="98"/>
      <c r="AG919" s="98"/>
      <c r="AH919" s="98"/>
      <c r="AI919" s="20"/>
      <c r="AJ919" s="20"/>
      <c r="AK919" s="20"/>
      <c r="AL919" s="20"/>
    </row>
    <row r="920">
      <c r="A920" s="156"/>
      <c r="B920" s="20"/>
      <c r="C920" s="20"/>
      <c r="D920" s="20"/>
      <c r="E920" s="20"/>
      <c r="F920" s="20"/>
      <c r="G920" s="20"/>
      <c r="H920" s="20"/>
      <c r="I920" s="20"/>
      <c r="J920" s="21"/>
      <c r="K920" s="98"/>
      <c r="L920" s="98"/>
      <c r="M920" s="17"/>
      <c r="N920" s="17"/>
      <c r="O920" s="20"/>
      <c r="P920" s="20"/>
      <c r="Q920" s="159"/>
      <c r="R920" s="20"/>
      <c r="S920" s="20"/>
      <c r="T920" s="20"/>
      <c r="U920" s="20"/>
      <c r="V920" s="20"/>
      <c r="W920" s="98"/>
      <c r="X920" s="98"/>
      <c r="Y920" s="98"/>
      <c r="Z920" s="98"/>
      <c r="AA920" s="98"/>
      <c r="AB920" s="98"/>
      <c r="AC920" s="98"/>
      <c r="AD920" s="98"/>
      <c r="AE920" s="98"/>
      <c r="AF920" s="98"/>
      <c r="AG920" s="98"/>
      <c r="AH920" s="98"/>
      <c r="AI920" s="20"/>
      <c r="AJ920" s="20"/>
      <c r="AK920" s="20"/>
      <c r="AL920" s="20"/>
    </row>
    <row r="921">
      <c r="A921" s="156"/>
      <c r="B921" s="20"/>
      <c r="C921" s="20"/>
      <c r="D921" s="20"/>
      <c r="E921" s="20"/>
      <c r="F921" s="20"/>
      <c r="G921" s="20"/>
      <c r="H921" s="20"/>
      <c r="I921" s="20"/>
      <c r="J921" s="21"/>
      <c r="K921" s="98"/>
      <c r="L921" s="98"/>
      <c r="M921" s="17"/>
      <c r="N921" s="17"/>
      <c r="O921" s="20"/>
      <c r="P921" s="20"/>
      <c r="Q921" s="159"/>
      <c r="R921" s="20"/>
      <c r="S921" s="20"/>
      <c r="T921" s="20"/>
      <c r="U921" s="20"/>
      <c r="V921" s="20"/>
      <c r="W921" s="98"/>
      <c r="X921" s="98"/>
      <c r="Y921" s="98"/>
      <c r="Z921" s="98"/>
      <c r="AA921" s="98"/>
      <c r="AB921" s="98"/>
      <c r="AC921" s="98"/>
      <c r="AD921" s="98"/>
      <c r="AE921" s="98"/>
      <c r="AF921" s="98"/>
      <c r="AG921" s="98"/>
      <c r="AH921" s="98"/>
      <c r="AI921" s="20"/>
      <c r="AJ921" s="20"/>
      <c r="AK921" s="20"/>
      <c r="AL921" s="20"/>
    </row>
    <row r="922">
      <c r="A922" s="156"/>
      <c r="B922" s="20"/>
      <c r="C922" s="20"/>
      <c r="D922" s="20"/>
      <c r="E922" s="20"/>
      <c r="F922" s="20"/>
      <c r="G922" s="20"/>
      <c r="H922" s="20"/>
      <c r="I922" s="20"/>
      <c r="J922" s="21"/>
      <c r="K922" s="98"/>
      <c r="L922" s="98"/>
      <c r="M922" s="17"/>
      <c r="N922" s="17"/>
      <c r="O922" s="20"/>
      <c r="P922" s="20"/>
      <c r="Q922" s="159"/>
      <c r="R922" s="20"/>
      <c r="S922" s="20"/>
      <c r="T922" s="20"/>
      <c r="U922" s="20"/>
      <c r="V922" s="20"/>
      <c r="W922" s="98"/>
      <c r="X922" s="98"/>
      <c r="Y922" s="98"/>
      <c r="Z922" s="98"/>
      <c r="AA922" s="98"/>
      <c r="AB922" s="98"/>
      <c r="AC922" s="98"/>
      <c r="AD922" s="98"/>
      <c r="AE922" s="98"/>
      <c r="AF922" s="98"/>
      <c r="AG922" s="98"/>
      <c r="AH922" s="98"/>
      <c r="AI922" s="20"/>
      <c r="AJ922" s="20"/>
      <c r="AK922" s="20"/>
      <c r="AL922" s="20"/>
    </row>
    <row r="923">
      <c r="A923" s="156"/>
      <c r="B923" s="20"/>
      <c r="C923" s="20"/>
      <c r="D923" s="20"/>
      <c r="E923" s="20"/>
      <c r="F923" s="20"/>
      <c r="G923" s="20"/>
      <c r="H923" s="20"/>
      <c r="I923" s="20"/>
      <c r="J923" s="21"/>
      <c r="K923" s="98"/>
      <c r="L923" s="98"/>
      <c r="M923" s="17"/>
      <c r="N923" s="17"/>
      <c r="O923" s="20"/>
      <c r="P923" s="20"/>
      <c r="Q923" s="159"/>
      <c r="R923" s="20"/>
      <c r="S923" s="20"/>
      <c r="T923" s="20"/>
      <c r="U923" s="20"/>
      <c r="V923" s="20"/>
      <c r="W923" s="98"/>
      <c r="X923" s="98"/>
      <c r="Y923" s="98"/>
      <c r="Z923" s="98"/>
      <c r="AA923" s="98"/>
      <c r="AB923" s="98"/>
      <c r="AC923" s="98"/>
      <c r="AD923" s="98"/>
      <c r="AE923" s="98"/>
      <c r="AF923" s="98"/>
      <c r="AG923" s="98"/>
      <c r="AH923" s="98"/>
      <c r="AI923" s="20"/>
      <c r="AJ923" s="20"/>
      <c r="AK923" s="20"/>
      <c r="AL923" s="20"/>
    </row>
    <row r="924">
      <c r="A924" s="156"/>
      <c r="B924" s="20"/>
      <c r="C924" s="20"/>
      <c r="D924" s="20"/>
      <c r="E924" s="20"/>
      <c r="F924" s="20"/>
      <c r="G924" s="20"/>
      <c r="H924" s="20"/>
      <c r="I924" s="20"/>
      <c r="J924" s="21"/>
      <c r="K924" s="98"/>
      <c r="L924" s="98"/>
      <c r="M924" s="17"/>
      <c r="N924" s="17"/>
      <c r="O924" s="20"/>
      <c r="P924" s="20"/>
      <c r="Q924" s="159"/>
      <c r="R924" s="20"/>
      <c r="S924" s="20"/>
      <c r="T924" s="20"/>
      <c r="U924" s="20"/>
      <c r="V924" s="20"/>
      <c r="W924" s="98"/>
      <c r="X924" s="98"/>
      <c r="Y924" s="98"/>
      <c r="Z924" s="98"/>
      <c r="AA924" s="98"/>
      <c r="AB924" s="98"/>
      <c r="AC924" s="98"/>
      <c r="AD924" s="98"/>
      <c r="AE924" s="98"/>
      <c r="AF924" s="98"/>
      <c r="AG924" s="98"/>
      <c r="AH924" s="98"/>
      <c r="AI924" s="20"/>
      <c r="AJ924" s="20"/>
      <c r="AK924" s="20"/>
      <c r="AL924" s="20"/>
    </row>
    <row r="925">
      <c r="A925" s="156"/>
      <c r="B925" s="20"/>
      <c r="C925" s="20"/>
      <c r="D925" s="20"/>
      <c r="E925" s="20"/>
      <c r="F925" s="20"/>
      <c r="G925" s="20"/>
      <c r="H925" s="20"/>
      <c r="I925" s="20"/>
      <c r="J925" s="21"/>
      <c r="K925" s="98"/>
      <c r="L925" s="98"/>
      <c r="M925" s="17"/>
      <c r="N925" s="17"/>
      <c r="O925" s="20"/>
      <c r="P925" s="20"/>
      <c r="Q925" s="159"/>
      <c r="R925" s="20"/>
      <c r="S925" s="20"/>
      <c r="T925" s="20"/>
      <c r="U925" s="20"/>
      <c r="V925" s="20"/>
      <c r="W925" s="98"/>
      <c r="X925" s="98"/>
      <c r="Y925" s="98"/>
      <c r="Z925" s="98"/>
      <c r="AA925" s="98"/>
      <c r="AB925" s="98"/>
      <c r="AC925" s="98"/>
      <c r="AD925" s="98"/>
      <c r="AE925" s="98"/>
      <c r="AF925" s="98"/>
      <c r="AG925" s="98"/>
      <c r="AH925" s="98"/>
      <c r="AI925" s="20"/>
      <c r="AJ925" s="20"/>
      <c r="AK925" s="20"/>
      <c r="AL925" s="20"/>
    </row>
    <row r="926">
      <c r="A926" s="156"/>
      <c r="B926" s="20"/>
      <c r="C926" s="20"/>
      <c r="D926" s="20"/>
      <c r="E926" s="20"/>
      <c r="F926" s="20"/>
      <c r="G926" s="20"/>
      <c r="H926" s="20"/>
      <c r="I926" s="20"/>
      <c r="J926" s="21"/>
      <c r="K926" s="98"/>
      <c r="L926" s="98"/>
      <c r="M926" s="17"/>
      <c r="N926" s="17"/>
      <c r="O926" s="20"/>
      <c r="P926" s="20"/>
      <c r="Q926" s="159"/>
      <c r="R926" s="20"/>
      <c r="S926" s="20"/>
      <c r="T926" s="20"/>
      <c r="U926" s="20"/>
      <c r="V926" s="20"/>
      <c r="W926" s="98"/>
      <c r="X926" s="98"/>
      <c r="Y926" s="98"/>
      <c r="Z926" s="98"/>
      <c r="AA926" s="98"/>
      <c r="AB926" s="98"/>
      <c r="AC926" s="98"/>
      <c r="AD926" s="98"/>
      <c r="AE926" s="98"/>
      <c r="AF926" s="98"/>
      <c r="AG926" s="98"/>
      <c r="AH926" s="98"/>
      <c r="AI926" s="20"/>
      <c r="AJ926" s="20"/>
      <c r="AK926" s="20"/>
      <c r="AL926" s="20"/>
    </row>
    <row r="927">
      <c r="A927" s="156"/>
      <c r="B927" s="20"/>
      <c r="C927" s="20"/>
      <c r="D927" s="20"/>
      <c r="E927" s="20"/>
      <c r="F927" s="20"/>
      <c r="G927" s="20"/>
      <c r="H927" s="20"/>
      <c r="I927" s="20"/>
      <c r="J927" s="21"/>
      <c r="K927" s="98"/>
      <c r="L927" s="98"/>
      <c r="M927" s="17"/>
      <c r="N927" s="17"/>
      <c r="O927" s="20"/>
      <c r="P927" s="20"/>
      <c r="Q927" s="159"/>
      <c r="R927" s="20"/>
      <c r="S927" s="20"/>
      <c r="T927" s="20"/>
      <c r="U927" s="20"/>
      <c r="V927" s="20"/>
      <c r="W927" s="98"/>
      <c r="X927" s="98"/>
      <c r="Y927" s="98"/>
      <c r="Z927" s="98"/>
      <c r="AA927" s="98"/>
      <c r="AB927" s="98"/>
      <c r="AC927" s="98"/>
      <c r="AD927" s="98"/>
      <c r="AE927" s="98"/>
      <c r="AF927" s="98"/>
      <c r="AG927" s="98"/>
      <c r="AH927" s="98"/>
      <c r="AI927" s="20"/>
      <c r="AJ927" s="20"/>
      <c r="AK927" s="20"/>
      <c r="AL927" s="20"/>
    </row>
    <row r="928">
      <c r="A928" s="156"/>
      <c r="B928" s="20"/>
      <c r="C928" s="20"/>
      <c r="D928" s="20"/>
      <c r="E928" s="20"/>
      <c r="F928" s="20"/>
      <c r="G928" s="20"/>
      <c r="H928" s="20"/>
      <c r="I928" s="20"/>
      <c r="J928" s="21"/>
      <c r="K928" s="98"/>
      <c r="L928" s="98"/>
      <c r="M928" s="17"/>
      <c r="N928" s="17"/>
      <c r="O928" s="20"/>
      <c r="P928" s="20"/>
      <c r="Q928" s="159"/>
      <c r="R928" s="20"/>
      <c r="S928" s="20"/>
      <c r="T928" s="20"/>
      <c r="U928" s="20"/>
      <c r="V928" s="20"/>
      <c r="W928" s="98"/>
      <c r="X928" s="98"/>
      <c r="Y928" s="98"/>
      <c r="Z928" s="98"/>
      <c r="AA928" s="98"/>
      <c r="AB928" s="98"/>
      <c r="AC928" s="98"/>
      <c r="AD928" s="98"/>
      <c r="AE928" s="98"/>
      <c r="AF928" s="98"/>
      <c r="AG928" s="98"/>
      <c r="AH928" s="98"/>
      <c r="AI928" s="20"/>
      <c r="AJ928" s="20"/>
      <c r="AK928" s="20"/>
      <c r="AL928" s="20"/>
    </row>
    <row r="929">
      <c r="A929" s="156"/>
      <c r="B929" s="20"/>
      <c r="C929" s="20"/>
      <c r="D929" s="20"/>
      <c r="E929" s="20"/>
      <c r="F929" s="20"/>
      <c r="G929" s="20"/>
      <c r="H929" s="20"/>
      <c r="I929" s="20"/>
      <c r="J929" s="21"/>
      <c r="K929" s="98"/>
      <c r="L929" s="98"/>
      <c r="M929" s="17"/>
      <c r="N929" s="17"/>
      <c r="O929" s="20"/>
      <c r="P929" s="20"/>
      <c r="Q929" s="159"/>
      <c r="R929" s="20"/>
      <c r="S929" s="20"/>
      <c r="T929" s="20"/>
      <c r="U929" s="20"/>
      <c r="V929" s="20"/>
      <c r="W929" s="98"/>
      <c r="X929" s="98"/>
      <c r="Y929" s="98"/>
      <c r="Z929" s="98"/>
      <c r="AA929" s="98"/>
      <c r="AB929" s="98"/>
      <c r="AC929" s="98"/>
      <c r="AD929" s="98"/>
      <c r="AE929" s="98"/>
      <c r="AF929" s="98"/>
      <c r="AG929" s="98"/>
      <c r="AH929" s="98"/>
      <c r="AI929" s="20"/>
      <c r="AJ929" s="20"/>
      <c r="AK929" s="20"/>
      <c r="AL929" s="20"/>
    </row>
    <row r="930">
      <c r="A930" s="156"/>
      <c r="B930" s="20"/>
      <c r="C930" s="20"/>
      <c r="D930" s="20"/>
      <c r="E930" s="20"/>
      <c r="F930" s="20"/>
      <c r="G930" s="20"/>
      <c r="H930" s="20"/>
      <c r="I930" s="20"/>
      <c r="J930" s="21"/>
      <c r="K930" s="98"/>
      <c r="L930" s="98"/>
      <c r="M930" s="17"/>
      <c r="N930" s="17"/>
      <c r="O930" s="20"/>
      <c r="P930" s="20"/>
      <c r="Q930" s="159"/>
      <c r="R930" s="20"/>
      <c r="S930" s="20"/>
      <c r="T930" s="20"/>
      <c r="U930" s="20"/>
      <c r="V930" s="20"/>
      <c r="W930" s="98"/>
      <c r="X930" s="98"/>
      <c r="Y930" s="98"/>
      <c r="Z930" s="98"/>
      <c r="AA930" s="98"/>
      <c r="AB930" s="98"/>
      <c r="AC930" s="98"/>
      <c r="AD930" s="98"/>
      <c r="AE930" s="98"/>
      <c r="AF930" s="98"/>
      <c r="AG930" s="98"/>
      <c r="AH930" s="98"/>
      <c r="AI930" s="20"/>
      <c r="AJ930" s="20"/>
      <c r="AK930" s="20"/>
      <c r="AL930" s="20"/>
    </row>
    <row r="931">
      <c r="A931" s="156"/>
      <c r="B931" s="20"/>
      <c r="C931" s="20"/>
      <c r="D931" s="20"/>
      <c r="E931" s="20"/>
      <c r="F931" s="20"/>
      <c r="G931" s="20"/>
      <c r="H931" s="20"/>
      <c r="I931" s="20"/>
      <c r="J931" s="21"/>
      <c r="K931" s="98"/>
      <c r="L931" s="98"/>
      <c r="M931" s="17"/>
      <c r="N931" s="17"/>
      <c r="O931" s="20"/>
      <c r="P931" s="20"/>
      <c r="Q931" s="159"/>
      <c r="R931" s="20"/>
      <c r="S931" s="20"/>
      <c r="T931" s="20"/>
      <c r="U931" s="20"/>
      <c r="V931" s="20"/>
      <c r="W931" s="98"/>
      <c r="X931" s="98"/>
      <c r="Y931" s="98"/>
      <c r="Z931" s="98"/>
      <c r="AA931" s="98"/>
      <c r="AB931" s="98"/>
      <c r="AC931" s="98"/>
      <c r="AD931" s="98"/>
      <c r="AE931" s="98"/>
      <c r="AF931" s="98"/>
      <c r="AG931" s="98"/>
      <c r="AH931" s="98"/>
      <c r="AI931" s="20"/>
      <c r="AJ931" s="20"/>
      <c r="AK931" s="20"/>
      <c r="AL931" s="20"/>
    </row>
    <row r="932">
      <c r="A932" s="156"/>
      <c r="B932" s="20"/>
      <c r="C932" s="20"/>
      <c r="D932" s="20"/>
      <c r="E932" s="20"/>
      <c r="F932" s="20"/>
      <c r="G932" s="20"/>
      <c r="H932" s="20"/>
      <c r="I932" s="20"/>
      <c r="J932" s="21"/>
      <c r="K932" s="98"/>
      <c r="L932" s="98"/>
      <c r="M932" s="17"/>
      <c r="N932" s="17"/>
      <c r="O932" s="20"/>
      <c r="P932" s="20"/>
      <c r="Q932" s="159"/>
      <c r="R932" s="20"/>
      <c r="S932" s="20"/>
      <c r="T932" s="20"/>
      <c r="U932" s="20"/>
      <c r="V932" s="20"/>
      <c r="W932" s="98"/>
      <c r="X932" s="98"/>
      <c r="Y932" s="98"/>
      <c r="Z932" s="98"/>
      <c r="AA932" s="98"/>
      <c r="AB932" s="98"/>
      <c r="AC932" s="98"/>
      <c r="AD932" s="98"/>
      <c r="AE932" s="98"/>
      <c r="AF932" s="98"/>
      <c r="AG932" s="98"/>
      <c r="AH932" s="98"/>
      <c r="AI932" s="20"/>
      <c r="AJ932" s="20"/>
      <c r="AK932" s="20"/>
      <c r="AL932" s="20"/>
    </row>
    <row r="933">
      <c r="A933" s="156"/>
      <c r="B933" s="20"/>
      <c r="C933" s="20"/>
      <c r="D933" s="20"/>
      <c r="E933" s="20"/>
      <c r="F933" s="20"/>
      <c r="G933" s="20"/>
      <c r="H933" s="20"/>
      <c r="I933" s="20"/>
      <c r="J933" s="21"/>
      <c r="K933" s="98"/>
      <c r="L933" s="98"/>
      <c r="M933" s="17"/>
      <c r="N933" s="17"/>
      <c r="O933" s="20"/>
      <c r="P933" s="20"/>
      <c r="Q933" s="159"/>
      <c r="R933" s="20"/>
      <c r="S933" s="20"/>
      <c r="T933" s="20"/>
      <c r="U933" s="20"/>
      <c r="V933" s="20"/>
      <c r="W933" s="98"/>
      <c r="X933" s="98"/>
      <c r="Y933" s="98"/>
      <c r="Z933" s="98"/>
      <c r="AA933" s="98"/>
      <c r="AB933" s="98"/>
      <c r="AC933" s="98"/>
      <c r="AD933" s="98"/>
      <c r="AE933" s="98"/>
      <c r="AF933" s="98"/>
      <c r="AG933" s="98"/>
      <c r="AH933" s="98"/>
      <c r="AI933" s="20"/>
      <c r="AJ933" s="20"/>
      <c r="AK933" s="20"/>
      <c r="AL933" s="20"/>
    </row>
    <row r="934">
      <c r="A934" s="156"/>
      <c r="B934" s="20"/>
      <c r="C934" s="20"/>
      <c r="D934" s="20"/>
      <c r="E934" s="20"/>
      <c r="F934" s="20"/>
      <c r="G934" s="20"/>
      <c r="H934" s="20"/>
      <c r="I934" s="20"/>
      <c r="J934" s="21"/>
      <c r="K934" s="98"/>
      <c r="L934" s="98"/>
      <c r="M934" s="17"/>
      <c r="N934" s="17"/>
      <c r="O934" s="20"/>
      <c r="P934" s="20"/>
      <c r="Q934" s="159"/>
      <c r="R934" s="20"/>
      <c r="S934" s="20"/>
      <c r="T934" s="20"/>
      <c r="U934" s="20"/>
      <c r="V934" s="20"/>
      <c r="W934" s="98"/>
      <c r="X934" s="98"/>
      <c r="Y934" s="98"/>
      <c r="Z934" s="98"/>
      <c r="AA934" s="98"/>
      <c r="AB934" s="98"/>
      <c r="AC934" s="98"/>
      <c r="AD934" s="98"/>
      <c r="AE934" s="98"/>
      <c r="AF934" s="98"/>
      <c r="AG934" s="98"/>
      <c r="AH934" s="98"/>
      <c r="AI934" s="20"/>
      <c r="AJ934" s="20"/>
      <c r="AK934" s="20"/>
      <c r="AL934" s="20"/>
    </row>
    <row r="935">
      <c r="A935" s="156"/>
      <c r="B935" s="20"/>
      <c r="C935" s="20"/>
      <c r="D935" s="20"/>
      <c r="E935" s="20"/>
      <c r="F935" s="20"/>
      <c r="G935" s="20"/>
      <c r="H935" s="20"/>
      <c r="I935" s="20"/>
      <c r="J935" s="21"/>
      <c r="K935" s="98"/>
      <c r="L935" s="98"/>
      <c r="M935" s="17"/>
      <c r="N935" s="17"/>
      <c r="O935" s="20"/>
      <c r="P935" s="20"/>
      <c r="Q935" s="159"/>
      <c r="R935" s="20"/>
      <c r="S935" s="20"/>
      <c r="T935" s="20"/>
      <c r="U935" s="20"/>
      <c r="V935" s="20"/>
      <c r="W935" s="98"/>
      <c r="X935" s="98"/>
      <c r="Y935" s="98"/>
      <c r="Z935" s="98"/>
      <c r="AA935" s="98"/>
      <c r="AB935" s="98"/>
      <c r="AC935" s="98"/>
      <c r="AD935" s="98"/>
      <c r="AE935" s="98"/>
      <c r="AF935" s="98"/>
      <c r="AG935" s="98"/>
      <c r="AH935" s="98"/>
      <c r="AI935" s="20"/>
      <c r="AJ935" s="20"/>
      <c r="AK935" s="20"/>
      <c r="AL935" s="20"/>
    </row>
    <row r="936">
      <c r="A936" s="156"/>
      <c r="B936" s="20"/>
      <c r="C936" s="20"/>
      <c r="D936" s="20"/>
      <c r="E936" s="20"/>
      <c r="F936" s="20"/>
      <c r="G936" s="20"/>
      <c r="H936" s="20"/>
      <c r="I936" s="20"/>
      <c r="J936" s="21"/>
      <c r="K936" s="98"/>
      <c r="L936" s="98"/>
      <c r="M936" s="17"/>
      <c r="N936" s="17"/>
      <c r="O936" s="20"/>
      <c r="P936" s="20"/>
      <c r="Q936" s="159"/>
      <c r="R936" s="20"/>
      <c r="S936" s="20"/>
      <c r="T936" s="20"/>
      <c r="U936" s="20"/>
      <c r="V936" s="20"/>
      <c r="W936" s="98"/>
      <c r="X936" s="98"/>
      <c r="Y936" s="98"/>
      <c r="Z936" s="98"/>
      <c r="AA936" s="98"/>
      <c r="AB936" s="98"/>
      <c r="AC936" s="98"/>
      <c r="AD936" s="98"/>
      <c r="AE936" s="98"/>
      <c r="AF936" s="98"/>
      <c r="AG936" s="98"/>
      <c r="AH936" s="98"/>
      <c r="AI936" s="20"/>
      <c r="AJ936" s="20"/>
      <c r="AK936" s="20"/>
      <c r="AL936" s="20"/>
    </row>
    <row r="937">
      <c r="A937" s="156"/>
      <c r="B937" s="20"/>
      <c r="C937" s="20"/>
      <c r="D937" s="20"/>
      <c r="E937" s="20"/>
      <c r="F937" s="20"/>
      <c r="G937" s="20"/>
      <c r="H937" s="20"/>
      <c r="I937" s="20"/>
      <c r="J937" s="21"/>
      <c r="K937" s="98"/>
      <c r="L937" s="98"/>
      <c r="M937" s="17"/>
      <c r="N937" s="17"/>
      <c r="O937" s="20"/>
      <c r="P937" s="20"/>
      <c r="Q937" s="159"/>
      <c r="R937" s="20"/>
      <c r="S937" s="20"/>
      <c r="T937" s="20"/>
      <c r="U937" s="20"/>
      <c r="V937" s="20"/>
      <c r="W937" s="98"/>
      <c r="X937" s="98"/>
      <c r="Y937" s="98"/>
      <c r="Z937" s="98"/>
      <c r="AA937" s="98"/>
      <c r="AB937" s="98"/>
      <c r="AC937" s="98"/>
      <c r="AD937" s="98"/>
      <c r="AE937" s="98"/>
      <c r="AF937" s="98"/>
      <c r="AG937" s="98"/>
      <c r="AH937" s="98"/>
      <c r="AI937" s="20"/>
      <c r="AJ937" s="20"/>
      <c r="AK937" s="20"/>
      <c r="AL937" s="20"/>
    </row>
    <row r="938">
      <c r="A938" s="156"/>
      <c r="B938" s="20"/>
      <c r="C938" s="20"/>
      <c r="D938" s="20"/>
      <c r="E938" s="20"/>
      <c r="F938" s="20"/>
      <c r="G938" s="20"/>
      <c r="H938" s="20"/>
      <c r="I938" s="20"/>
      <c r="J938" s="21"/>
      <c r="K938" s="98"/>
      <c r="L938" s="98"/>
      <c r="M938" s="17"/>
      <c r="N938" s="17"/>
      <c r="O938" s="20"/>
      <c r="P938" s="20"/>
      <c r="Q938" s="159"/>
      <c r="R938" s="20"/>
      <c r="S938" s="20"/>
      <c r="T938" s="20"/>
      <c r="U938" s="20"/>
      <c r="V938" s="20"/>
      <c r="W938" s="98"/>
      <c r="X938" s="98"/>
      <c r="Y938" s="98"/>
      <c r="Z938" s="98"/>
      <c r="AA938" s="98"/>
      <c r="AB938" s="98"/>
      <c r="AC938" s="98"/>
      <c r="AD938" s="98"/>
      <c r="AE938" s="98"/>
      <c r="AF938" s="98"/>
      <c r="AG938" s="98"/>
      <c r="AH938" s="98"/>
      <c r="AI938" s="20"/>
      <c r="AJ938" s="20"/>
      <c r="AK938" s="20"/>
      <c r="AL938" s="20"/>
    </row>
    <row r="939">
      <c r="A939" s="156"/>
      <c r="B939" s="20"/>
      <c r="C939" s="20"/>
      <c r="D939" s="20"/>
      <c r="E939" s="20"/>
      <c r="F939" s="20"/>
      <c r="G939" s="20"/>
      <c r="H939" s="20"/>
      <c r="I939" s="20"/>
      <c r="J939" s="21"/>
      <c r="K939" s="98"/>
      <c r="L939" s="98"/>
      <c r="M939" s="17"/>
      <c r="N939" s="17"/>
      <c r="O939" s="20"/>
      <c r="P939" s="20"/>
      <c r="Q939" s="159"/>
      <c r="R939" s="20"/>
      <c r="S939" s="20"/>
      <c r="T939" s="20"/>
      <c r="U939" s="20"/>
      <c r="V939" s="20"/>
      <c r="W939" s="98"/>
      <c r="X939" s="98"/>
      <c r="Y939" s="98"/>
      <c r="Z939" s="98"/>
      <c r="AA939" s="98"/>
      <c r="AB939" s="98"/>
      <c r="AC939" s="98"/>
      <c r="AD939" s="98"/>
      <c r="AE939" s="98"/>
      <c r="AF939" s="98"/>
      <c r="AG939" s="98"/>
      <c r="AH939" s="98"/>
      <c r="AI939" s="20"/>
      <c r="AJ939" s="20"/>
      <c r="AK939" s="20"/>
      <c r="AL939" s="20"/>
    </row>
    <row r="940">
      <c r="A940" s="156"/>
      <c r="B940" s="20"/>
      <c r="C940" s="20"/>
      <c r="D940" s="20"/>
      <c r="E940" s="20"/>
      <c r="F940" s="20"/>
      <c r="G940" s="20"/>
      <c r="H940" s="20"/>
      <c r="I940" s="20"/>
      <c r="J940" s="21"/>
      <c r="K940" s="98"/>
      <c r="L940" s="98"/>
      <c r="M940" s="17"/>
      <c r="N940" s="17"/>
      <c r="O940" s="20"/>
      <c r="P940" s="20"/>
      <c r="Q940" s="159"/>
      <c r="R940" s="20"/>
      <c r="S940" s="20"/>
      <c r="T940" s="20"/>
      <c r="U940" s="20"/>
      <c r="V940" s="20"/>
      <c r="W940" s="98"/>
      <c r="X940" s="98"/>
      <c r="Y940" s="98"/>
      <c r="Z940" s="98"/>
      <c r="AA940" s="98"/>
      <c r="AB940" s="98"/>
      <c r="AC940" s="98"/>
      <c r="AD940" s="98"/>
      <c r="AE940" s="98"/>
      <c r="AF940" s="98"/>
      <c r="AG940" s="98"/>
      <c r="AH940" s="98"/>
      <c r="AI940" s="20"/>
      <c r="AJ940" s="20"/>
      <c r="AK940" s="20"/>
      <c r="AL940" s="20"/>
    </row>
    <row r="941">
      <c r="A941" s="156"/>
      <c r="B941" s="20"/>
      <c r="C941" s="20"/>
      <c r="D941" s="20"/>
      <c r="E941" s="20"/>
      <c r="F941" s="20"/>
      <c r="G941" s="20"/>
      <c r="H941" s="20"/>
      <c r="I941" s="20"/>
      <c r="J941" s="21"/>
      <c r="K941" s="98"/>
      <c r="L941" s="98"/>
      <c r="M941" s="17"/>
      <c r="N941" s="17"/>
      <c r="O941" s="20"/>
      <c r="P941" s="20"/>
      <c r="Q941" s="159"/>
      <c r="R941" s="20"/>
      <c r="S941" s="20"/>
      <c r="T941" s="20"/>
      <c r="U941" s="20"/>
      <c r="V941" s="20"/>
      <c r="W941" s="98"/>
      <c r="X941" s="98"/>
      <c r="Y941" s="98"/>
      <c r="Z941" s="98"/>
      <c r="AA941" s="98"/>
      <c r="AB941" s="98"/>
      <c r="AC941" s="98"/>
      <c r="AD941" s="98"/>
      <c r="AE941" s="98"/>
      <c r="AF941" s="98"/>
      <c r="AG941" s="98"/>
      <c r="AH941" s="98"/>
      <c r="AI941" s="20"/>
      <c r="AJ941" s="20"/>
      <c r="AK941" s="20"/>
      <c r="AL941" s="20"/>
    </row>
    <row r="942">
      <c r="A942" s="156"/>
      <c r="B942" s="20"/>
      <c r="C942" s="20"/>
      <c r="D942" s="20"/>
      <c r="E942" s="20"/>
      <c r="F942" s="20"/>
      <c r="G942" s="20"/>
      <c r="H942" s="20"/>
      <c r="I942" s="20"/>
      <c r="J942" s="21"/>
      <c r="K942" s="98"/>
      <c r="L942" s="98"/>
      <c r="M942" s="17"/>
      <c r="N942" s="17"/>
      <c r="O942" s="20"/>
      <c r="P942" s="20"/>
      <c r="Q942" s="159"/>
      <c r="R942" s="20"/>
      <c r="S942" s="20"/>
      <c r="T942" s="20"/>
      <c r="U942" s="20"/>
      <c r="V942" s="20"/>
      <c r="W942" s="98"/>
      <c r="X942" s="98"/>
      <c r="Y942" s="98"/>
      <c r="Z942" s="98"/>
      <c r="AA942" s="98"/>
      <c r="AB942" s="98"/>
      <c r="AC942" s="98"/>
      <c r="AD942" s="98"/>
      <c r="AE942" s="98"/>
      <c r="AF942" s="98"/>
      <c r="AG942" s="98"/>
      <c r="AH942" s="98"/>
      <c r="AI942" s="20"/>
      <c r="AJ942" s="20"/>
      <c r="AK942" s="20"/>
      <c r="AL942" s="20"/>
    </row>
    <row r="943">
      <c r="A943" s="156"/>
      <c r="B943" s="20"/>
      <c r="C943" s="20"/>
      <c r="D943" s="20"/>
      <c r="E943" s="20"/>
      <c r="F943" s="20"/>
      <c r="G943" s="20"/>
      <c r="H943" s="20"/>
      <c r="I943" s="20"/>
      <c r="J943" s="21"/>
      <c r="K943" s="98"/>
      <c r="L943" s="98"/>
      <c r="M943" s="17"/>
      <c r="N943" s="17"/>
      <c r="O943" s="20"/>
      <c r="P943" s="20"/>
      <c r="Q943" s="159"/>
      <c r="R943" s="20"/>
      <c r="S943" s="20"/>
      <c r="T943" s="20"/>
      <c r="U943" s="20"/>
      <c r="V943" s="20"/>
      <c r="W943" s="98"/>
      <c r="X943" s="98"/>
      <c r="Y943" s="98"/>
      <c r="Z943" s="98"/>
      <c r="AA943" s="98"/>
      <c r="AB943" s="98"/>
      <c r="AC943" s="98"/>
      <c r="AD943" s="98"/>
      <c r="AE943" s="98"/>
      <c r="AF943" s="98"/>
      <c r="AG943" s="98"/>
      <c r="AH943" s="98"/>
      <c r="AI943" s="20"/>
      <c r="AJ943" s="20"/>
      <c r="AK943" s="20"/>
      <c r="AL943" s="20"/>
    </row>
    <row r="944">
      <c r="A944" s="156"/>
      <c r="B944" s="20"/>
      <c r="C944" s="20"/>
      <c r="D944" s="20"/>
      <c r="E944" s="20"/>
      <c r="F944" s="20"/>
      <c r="G944" s="20"/>
      <c r="H944" s="20"/>
      <c r="I944" s="20"/>
      <c r="J944" s="21"/>
      <c r="K944" s="98"/>
      <c r="L944" s="98"/>
      <c r="M944" s="17"/>
      <c r="N944" s="17"/>
      <c r="O944" s="20"/>
      <c r="P944" s="20"/>
      <c r="Q944" s="159"/>
      <c r="R944" s="20"/>
      <c r="S944" s="20"/>
      <c r="T944" s="20"/>
      <c r="U944" s="20"/>
      <c r="V944" s="20"/>
      <c r="W944" s="98"/>
      <c r="X944" s="98"/>
      <c r="Y944" s="98"/>
      <c r="Z944" s="98"/>
      <c r="AA944" s="98"/>
      <c r="AB944" s="98"/>
      <c r="AC944" s="98"/>
      <c r="AD944" s="98"/>
      <c r="AE944" s="98"/>
      <c r="AF944" s="98"/>
      <c r="AG944" s="98"/>
      <c r="AH944" s="98"/>
      <c r="AI944" s="20"/>
      <c r="AJ944" s="20"/>
      <c r="AK944" s="20"/>
      <c r="AL944" s="20"/>
    </row>
    <row r="945">
      <c r="A945" s="156"/>
      <c r="B945" s="20"/>
      <c r="C945" s="20"/>
      <c r="D945" s="20"/>
      <c r="E945" s="20"/>
      <c r="F945" s="20"/>
      <c r="G945" s="20"/>
      <c r="H945" s="20"/>
      <c r="I945" s="20"/>
      <c r="J945" s="21"/>
      <c r="K945" s="98"/>
      <c r="L945" s="98"/>
      <c r="M945" s="17"/>
      <c r="N945" s="17"/>
      <c r="O945" s="20"/>
      <c r="P945" s="20"/>
      <c r="Q945" s="159"/>
      <c r="R945" s="20"/>
      <c r="S945" s="20"/>
      <c r="T945" s="20"/>
      <c r="U945" s="20"/>
      <c r="V945" s="20"/>
      <c r="W945" s="98"/>
      <c r="X945" s="98"/>
      <c r="Y945" s="98"/>
      <c r="Z945" s="98"/>
      <c r="AA945" s="98"/>
      <c r="AB945" s="98"/>
      <c r="AC945" s="98"/>
      <c r="AD945" s="98"/>
      <c r="AE945" s="98"/>
      <c r="AF945" s="98"/>
      <c r="AG945" s="98"/>
      <c r="AH945" s="98"/>
      <c r="AI945" s="20"/>
      <c r="AJ945" s="20"/>
      <c r="AK945" s="20"/>
      <c r="AL945" s="20"/>
    </row>
    <row r="946">
      <c r="A946" s="156"/>
      <c r="B946" s="20"/>
      <c r="C946" s="20"/>
      <c r="D946" s="20"/>
      <c r="E946" s="20"/>
      <c r="F946" s="20"/>
      <c r="G946" s="20"/>
      <c r="H946" s="20"/>
      <c r="I946" s="20"/>
      <c r="J946" s="21"/>
      <c r="K946" s="98"/>
      <c r="L946" s="98"/>
      <c r="M946" s="17"/>
      <c r="N946" s="17"/>
      <c r="O946" s="20"/>
      <c r="P946" s="20"/>
      <c r="Q946" s="159"/>
      <c r="R946" s="20"/>
      <c r="S946" s="20"/>
      <c r="T946" s="20"/>
      <c r="U946" s="20"/>
      <c r="V946" s="20"/>
      <c r="W946" s="98"/>
      <c r="X946" s="98"/>
      <c r="Y946" s="98"/>
      <c r="Z946" s="98"/>
      <c r="AA946" s="98"/>
      <c r="AB946" s="98"/>
      <c r="AC946" s="98"/>
      <c r="AD946" s="98"/>
      <c r="AE946" s="98"/>
      <c r="AF946" s="98"/>
      <c r="AG946" s="98"/>
      <c r="AH946" s="98"/>
      <c r="AI946" s="20"/>
      <c r="AJ946" s="20"/>
      <c r="AK946" s="20"/>
      <c r="AL946" s="20"/>
    </row>
    <row r="947">
      <c r="A947" s="156"/>
      <c r="B947" s="20"/>
      <c r="C947" s="20"/>
      <c r="D947" s="20"/>
      <c r="E947" s="20"/>
      <c r="F947" s="20"/>
      <c r="G947" s="20"/>
      <c r="H947" s="20"/>
      <c r="I947" s="20"/>
      <c r="J947" s="21"/>
      <c r="K947" s="98"/>
      <c r="L947" s="98"/>
      <c r="M947" s="17"/>
      <c r="N947" s="17"/>
      <c r="O947" s="20"/>
      <c r="P947" s="20"/>
      <c r="Q947" s="159"/>
      <c r="R947" s="20"/>
      <c r="S947" s="20"/>
      <c r="T947" s="20"/>
      <c r="U947" s="20"/>
      <c r="V947" s="20"/>
      <c r="W947" s="98"/>
      <c r="X947" s="98"/>
      <c r="Y947" s="98"/>
      <c r="Z947" s="98"/>
      <c r="AA947" s="98"/>
      <c r="AB947" s="98"/>
      <c r="AC947" s="98"/>
      <c r="AD947" s="98"/>
      <c r="AE947" s="98"/>
      <c r="AF947" s="98"/>
      <c r="AG947" s="98"/>
      <c r="AH947" s="98"/>
      <c r="AI947" s="20"/>
      <c r="AJ947" s="20"/>
      <c r="AK947" s="20"/>
      <c r="AL947" s="20"/>
    </row>
    <row r="948">
      <c r="A948" s="156"/>
      <c r="B948" s="20"/>
      <c r="C948" s="20"/>
      <c r="D948" s="20"/>
      <c r="E948" s="20"/>
      <c r="F948" s="20"/>
      <c r="G948" s="20"/>
      <c r="H948" s="20"/>
      <c r="I948" s="20"/>
      <c r="J948" s="21"/>
      <c r="K948" s="98"/>
      <c r="L948" s="98"/>
      <c r="M948" s="17"/>
      <c r="N948" s="17"/>
      <c r="O948" s="20"/>
      <c r="P948" s="20"/>
      <c r="Q948" s="159"/>
      <c r="R948" s="20"/>
      <c r="S948" s="20"/>
      <c r="T948" s="20"/>
      <c r="U948" s="20"/>
      <c r="V948" s="20"/>
      <c r="W948" s="98"/>
      <c r="X948" s="98"/>
      <c r="Y948" s="98"/>
      <c r="Z948" s="98"/>
      <c r="AA948" s="98"/>
      <c r="AB948" s="98"/>
      <c r="AC948" s="98"/>
      <c r="AD948" s="98"/>
      <c r="AE948" s="98"/>
      <c r="AF948" s="98"/>
      <c r="AG948" s="98"/>
      <c r="AH948" s="98"/>
      <c r="AI948" s="20"/>
      <c r="AJ948" s="20"/>
      <c r="AK948" s="20"/>
      <c r="AL948" s="20"/>
    </row>
    <row r="949">
      <c r="A949" s="156"/>
      <c r="B949" s="20"/>
      <c r="C949" s="20"/>
      <c r="D949" s="20"/>
      <c r="E949" s="20"/>
      <c r="F949" s="20"/>
      <c r="G949" s="20"/>
      <c r="H949" s="20"/>
      <c r="I949" s="20"/>
      <c r="J949" s="21"/>
      <c r="K949" s="98"/>
      <c r="L949" s="98"/>
      <c r="M949" s="17"/>
      <c r="N949" s="17"/>
      <c r="O949" s="20"/>
      <c r="P949" s="20"/>
      <c r="Q949" s="159"/>
      <c r="R949" s="20"/>
      <c r="S949" s="20"/>
      <c r="T949" s="20"/>
      <c r="U949" s="20"/>
      <c r="V949" s="20"/>
      <c r="W949" s="98"/>
      <c r="X949" s="98"/>
      <c r="Y949" s="98"/>
      <c r="Z949" s="98"/>
      <c r="AA949" s="98"/>
      <c r="AB949" s="98"/>
      <c r="AC949" s="98"/>
      <c r="AD949" s="98"/>
      <c r="AE949" s="98"/>
      <c r="AF949" s="98"/>
      <c r="AG949" s="98"/>
      <c r="AH949" s="98"/>
      <c r="AI949" s="20"/>
      <c r="AJ949" s="20"/>
      <c r="AK949" s="20"/>
      <c r="AL949" s="20"/>
    </row>
    <row r="950">
      <c r="A950" s="156"/>
      <c r="B950" s="20"/>
      <c r="C950" s="20"/>
      <c r="D950" s="20"/>
      <c r="E950" s="20"/>
      <c r="F950" s="20"/>
      <c r="G950" s="20"/>
      <c r="H950" s="20"/>
      <c r="I950" s="20"/>
      <c r="J950" s="21"/>
      <c r="K950" s="98"/>
      <c r="L950" s="98"/>
      <c r="M950" s="17"/>
      <c r="N950" s="17"/>
      <c r="O950" s="20"/>
      <c r="P950" s="20"/>
      <c r="Q950" s="159"/>
      <c r="R950" s="20"/>
      <c r="S950" s="20"/>
      <c r="T950" s="20"/>
      <c r="U950" s="20"/>
      <c r="V950" s="20"/>
      <c r="W950" s="98"/>
      <c r="X950" s="98"/>
      <c r="Y950" s="98"/>
      <c r="Z950" s="98"/>
      <c r="AA950" s="98"/>
      <c r="AB950" s="98"/>
      <c r="AC950" s="98"/>
      <c r="AD950" s="98"/>
      <c r="AE950" s="98"/>
      <c r="AF950" s="98"/>
      <c r="AG950" s="98"/>
      <c r="AH950" s="98"/>
      <c r="AI950" s="20"/>
      <c r="AJ950" s="20"/>
      <c r="AK950" s="20"/>
      <c r="AL950" s="20"/>
    </row>
    <row r="951">
      <c r="A951" s="156"/>
      <c r="B951" s="20"/>
      <c r="C951" s="20"/>
      <c r="D951" s="20"/>
      <c r="E951" s="20"/>
      <c r="F951" s="20"/>
      <c r="G951" s="20"/>
      <c r="H951" s="20"/>
      <c r="I951" s="20"/>
      <c r="J951" s="21"/>
      <c r="K951" s="98"/>
      <c r="L951" s="98"/>
      <c r="M951" s="17"/>
      <c r="N951" s="17"/>
      <c r="O951" s="20"/>
      <c r="P951" s="20"/>
      <c r="Q951" s="159"/>
      <c r="R951" s="20"/>
      <c r="S951" s="20"/>
      <c r="T951" s="20"/>
      <c r="U951" s="20"/>
      <c r="V951" s="20"/>
      <c r="W951" s="98"/>
      <c r="X951" s="98"/>
      <c r="Y951" s="98"/>
      <c r="Z951" s="98"/>
      <c r="AA951" s="98"/>
      <c r="AB951" s="98"/>
      <c r="AC951" s="98"/>
      <c r="AD951" s="98"/>
      <c r="AE951" s="98"/>
      <c r="AF951" s="98"/>
      <c r="AG951" s="98"/>
      <c r="AH951" s="98"/>
      <c r="AI951" s="20"/>
      <c r="AJ951" s="20"/>
      <c r="AK951" s="20"/>
      <c r="AL951" s="20"/>
    </row>
    <row r="952">
      <c r="A952" s="156"/>
      <c r="B952" s="20"/>
      <c r="C952" s="20"/>
      <c r="D952" s="20"/>
      <c r="E952" s="20"/>
      <c r="F952" s="20"/>
      <c r="G952" s="20"/>
      <c r="H952" s="20"/>
      <c r="I952" s="20"/>
      <c r="J952" s="21"/>
      <c r="K952" s="98"/>
      <c r="L952" s="98"/>
      <c r="M952" s="17"/>
      <c r="N952" s="17"/>
      <c r="O952" s="20"/>
      <c r="P952" s="20"/>
      <c r="Q952" s="159"/>
      <c r="R952" s="20"/>
      <c r="S952" s="20"/>
      <c r="T952" s="20"/>
      <c r="U952" s="20"/>
      <c r="V952" s="20"/>
      <c r="W952" s="98"/>
      <c r="X952" s="98"/>
      <c r="Y952" s="98"/>
      <c r="Z952" s="98"/>
      <c r="AA952" s="98"/>
      <c r="AB952" s="98"/>
      <c r="AC952" s="98"/>
      <c r="AD952" s="98"/>
      <c r="AE952" s="98"/>
      <c r="AF952" s="98"/>
      <c r="AG952" s="98"/>
      <c r="AH952" s="98"/>
      <c r="AI952" s="20"/>
      <c r="AJ952" s="20"/>
      <c r="AK952" s="20"/>
      <c r="AL952" s="20"/>
    </row>
    <row r="953">
      <c r="A953" s="156"/>
      <c r="B953" s="20"/>
      <c r="C953" s="20"/>
      <c r="D953" s="20"/>
      <c r="E953" s="20"/>
      <c r="F953" s="20"/>
      <c r="G953" s="20"/>
      <c r="H953" s="20"/>
      <c r="I953" s="20"/>
      <c r="J953" s="21"/>
      <c r="K953" s="98"/>
      <c r="L953" s="98"/>
      <c r="M953" s="17"/>
      <c r="N953" s="17"/>
      <c r="O953" s="20"/>
      <c r="P953" s="20"/>
      <c r="Q953" s="159"/>
      <c r="R953" s="20"/>
      <c r="S953" s="20"/>
      <c r="T953" s="20"/>
      <c r="U953" s="20"/>
      <c r="V953" s="20"/>
      <c r="W953" s="98"/>
      <c r="X953" s="98"/>
      <c r="Y953" s="98"/>
      <c r="Z953" s="98"/>
      <c r="AA953" s="98"/>
      <c r="AB953" s="98"/>
      <c r="AC953" s="98"/>
      <c r="AD953" s="98"/>
      <c r="AE953" s="98"/>
      <c r="AF953" s="98"/>
      <c r="AG953" s="98"/>
      <c r="AH953" s="98"/>
      <c r="AI953" s="20"/>
      <c r="AJ953" s="20"/>
      <c r="AK953" s="20"/>
      <c r="AL953" s="20"/>
    </row>
    <row r="954">
      <c r="A954" s="156"/>
      <c r="B954" s="20"/>
      <c r="C954" s="20"/>
      <c r="D954" s="20"/>
      <c r="E954" s="20"/>
      <c r="F954" s="20"/>
      <c r="G954" s="20"/>
      <c r="H954" s="20"/>
      <c r="I954" s="20"/>
      <c r="J954" s="21"/>
      <c r="K954" s="98"/>
      <c r="L954" s="98"/>
      <c r="M954" s="17"/>
      <c r="N954" s="17"/>
      <c r="O954" s="20"/>
      <c r="P954" s="20"/>
      <c r="Q954" s="159"/>
      <c r="R954" s="20"/>
      <c r="S954" s="20"/>
      <c r="T954" s="20"/>
      <c r="U954" s="20"/>
      <c r="V954" s="20"/>
      <c r="W954" s="98"/>
      <c r="X954" s="98"/>
      <c r="Y954" s="98"/>
      <c r="Z954" s="98"/>
      <c r="AA954" s="98"/>
      <c r="AB954" s="98"/>
      <c r="AC954" s="98"/>
      <c r="AD954" s="98"/>
      <c r="AE954" s="98"/>
      <c r="AF954" s="98"/>
      <c r="AG954" s="98"/>
      <c r="AH954" s="98"/>
      <c r="AI954" s="20"/>
      <c r="AJ954" s="20"/>
      <c r="AK954" s="20"/>
      <c r="AL954" s="20"/>
    </row>
    <row r="955">
      <c r="A955" s="156"/>
      <c r="B955" s="20"/>
      <c r="C955" s="20"/>
      <c r="D955" s="20"/>
      <c r="E955" s="20"/>
      <c r="F955" s="20"/>
      <c r="G955" s="20"/>
      <c r="H955" s="20"/>
      <c r="I955" s="20"/>
      <c r="J955" s="21"/>
      <c r="K955" s="98"/>
      <c r="L955" s="98"/>
      <c r="M955" s="17"/>
      <c r="N955" s="17"/>
      <c r="O955" s="20"/>
      <c r="P955" s="20"/>
      <c r="Q955" s="159"/>
      <c r="R955" s="20"/>
      <c r="S955" s="20"/>
      <c r="T955" s="20"/>
      <c r="U955" s="20"/>
      <c r="V955" s="20"/>
      <c r="W955" s="98"/>
      <c r="X955" s="98"/>
      <c r="Y955" s="98"/>
      <c r="Z955" s="98"/>
      <c r="AA955" s="98"/>
      <c r="AB955" s="98"/>
      <c r="AC955" s="98"/>
      <c r="AD955" s="98"/>
      <c r="AE955" s="98"/>
      <c r="AF955" s="98"/>
      <c r="AG955" s="98"/>
      <c r="AH955" s="98"/>
      <c r="AI955" s="20"/>
      <c r="AJ955" s="20"/>
      <c r="AK955" s="20"/>
      <c r="AL955" s="20"/>
    </row>
    <row r="956">
      <c r="A956" s="156"/>
      <c r="B956" s="20"/>
      <c r="C956" s="20"/>
      <c r="D956" s="20"/>
      <c r="E956" s="20"/>
      <c r="F956" s="20"/>
      <c r="G956" s="20"/>
      <c r="H956" s="20"/>
      <c r="I956" s="20"/>
      <c r="J956" s="21"/>
      <c r="K956" s="98"/>
      <c r="L956" s="98"/>
      <c r="M956" s="17"/>
      <c r="N956" s="17"/>
      <c r="O956" s="20"/>
      <c r="P956" s="20"/>
      <c r="Q956" s="159"/>
      <c r="R956" s="20"/>
      <c r="S956" s="20"/>
      <c r="T956" s="20"/>
      <c r="U956" s="20"/>
      <c r="V956" s="20"/>
      <c r="W956" s="98"/>
      <c r="X956" s="98"/>
      <c r="Y956" s="98"/>
      <c r="Z956" s="98"/>
      <c r="AA956" s="98"/>
      <c r="AB956" s="98"/>
      <c r="AC956" s="98"/>
      <c r="AD956" s="98"/>
      <c r="AE956" s="98"/>
      <c r="AF956" s="98"/>
      <c r="AG956" s="98"/>
      <c r="AH956" s="98"/>
      <c r="AI956" s="20"/>
      <c r="AJ956" s="20"/>
      <c r="AK956" s="20"/>
      <c r="AL956" s="20"/>
    </row>
    <row r="957">
      <c r="A957" s="156"/>
      <c r="B957" s="20"/>
      <c r="C957" s="20"/>
      <c r="D957" s="20"/>
      <c r="E957" s="20"/>
      <c r="F957" s="20"/>
      <c r="G957" s="20"/>
      <c r="H957" s="20"/>
      <c r="I957" s="20"/>
      <c r="J957" s="21"/>
      <c r="K957" s="98"/>
      <c r="L957" s="98"/>
      <c r="M957" s="17"/>
      <c r="N957" s="17"/>
      <c r="O957" s="20"/>
      <c r="P957" s="20"/>
      <c r="Q957" s="159"/>
      <c r="R957" s="20"/>
      <c r="S957" s="20"/>
      <c r="T957" s="20"/>
      <c r="U957" s="20"/>
      <c r="V957" s="20"/>
      <c r="W957" s="98"/>
      <c r="X957" s="98"/>
      <c r="Y957" s="98"/>
      <c r="Z957" s="98"/>
      <c r="AA957" s="98"/>
      <c r="AB957" s="98"/>
      <c r="AC957" s="98"/>
      <c r="AD957" s="98"/>
      <c r="AE957" s="98"/>
      <c r="AF957" s="98"/>
      <c r="AG957" s="98"/>
      <c r="AH957" s="98"/>
      <c r="AI957" s="20"/>
      <c r="AJ957" s="20"/>
      <c r="AK957" s="20"/>
      <c r="AL957" s="20"/>
    </row>
    <row r="958">
      <c r="A958" s="156"/>
      <c r="B958" s="20"/>
      <c r="C958" s="20"/>
      <c r="D958" s="20"/>
      <c r="E958" s="20"/>
      <c r="F958" s="20"/>
      <c r="G958" s="20"/>
      <c r="H958" s="20"/>
      <c r="I958" s="20"/>
      <c r="J958" s="21"/>
      <c r="K958" s="98"/>
      <c r="L958" s="98"/>
      <c r="M958" s="17"/>
      <c r="N958" s="17"/>
      <c r="O958" s="20"/>
      <c r="P958" s="20"/>
      <c r="Q958" s="159"/>
      <c r="R958" s="20"/>
      <c r="S958" s="20"/>
      <c r="T958" s="20"/>
      <c r="U958" s="20"/>
      <c r="V958" s="20"/>
      <c r="W958" s="98"/>
      <c r="X958" s="98"/>
      <c r="Y958" s="98"/>
      <c r="Z958" s="98"/>
      <c r="AA958" s="98"/>
      <c r="AB958" s="98"/>
      <c r="AC958" s="98"/>
      <c r="AD958" s="98"/>
      <c r="AE958" s="98"/>
      <c r="AF958" s="98"/>
      <c r="AG958" s="98"/>
      <c r="AH958" s="98"/>
      <c r="AI958" s="20"/>
      <c r="AJ958" s="20"/>
      <c r="AK958" s="20"/>
      <c r="AL958" s="20"/>
    </row>
    <row r="959">
      <c r="A959" s="156"/>
      <c r="B959" s="20"/>
      <c r="C959" s="20"/>
      <c r="D959" s="20"/>
      <c r="E959" s="20"/>
      <c r="F959" s="20"/>
      <c r="G959" s="20"/>
      <c r="H959" s="20"/>
      <c r="I959" s="20"/>
      <c r="J959" s="21"/>
      <c r="K959" s="98"/>
      <c r="L959" s="98"/>
      <c r="M959" s="17"/>
      <c r="N959" s="17"/>
      <c r="O959" s="20"/>
      <c r="P959" s="20"/>
      <c r="Q959" s="159"/>
      <c r="R959" s="20"/>
      <c r="S959" s="20"/>
      <c r="T959" s="20"/>
      <c r="U959" s="20"/>
      <c r="V959" s="20"/>
      <c r="W959" s="98"/>
      <c r="X959" s="98"/>
      <c r="Y959" s="98"/>
      <c r="Z959" s="98"/>
      <c r="AA959" s="98"/>
      <c r="AB959" s="98"/>
      <c r="AC959" s="98"/>
      <c r="AD959" s="98"/>
      <c r="AE959" s="98"/>
      <c r="AF959" s="98"/>
      <c r="AG959" s="98"/>
      <c r="AH959" s="98"/>
      <c r="AI959" s="20"/>
      <c r="AJ959" s="20"/>
      <c r="AK959" s="20"/>
      <c r="AL959" s="20"/>
    </row>
    <row r="960">
      <c r="A960" s="156"/>
      <c r="B960" s="20"/>
      <c r="C960" s="20"/>
      <c r="D960" s="20"/>
      <c r="E960" s="20"/>
      <c r="F960" s="20"/>
      <c r="G960" s="20"/>
      <c r="H960" s="20"/>
      <c r="I960" s="20"/>
      <c r="J960" s="21"/>
      <c r="K960" s="98"/>
      <c r="L960" s="98"/>
      <c r="M960" s="17"/>
      <c r="N960" s="17"/>
      <c r="O960" s="20"/>
      <c r="P960" s="20"/>
      <c r="Q960" s="159"/>
      <c r="R960" s="20"/>
      <c r="S960" s="20"/>
      <c r="T960" s="20"/>
      <c r="U960" s="20"/>
      <c r="V960" s="20"/>
      <c r="W960" s="98"/>
      <c r="X960" s="98"/>
      <c r="Y960" s="98"/>
      <c r="Z960" s="98"/>
      <c r="AA960" s="98"/>
      <c r="AB960" s="98"/>
      <c r="AC960" s="98"/>
      <c r="AD960" s="98"/>
      <c r="AE960" s="98"/>
      <c r="AF960" s="98"/>
      <c r="AG960" s="98"/>
      <c r="AH960" s="98"/>
      <c r="AI960" s="20"/>
      <c r="AJ960" s="20"/>
      <c r="AK960" s="20"/>
      <c r="AL960" s="20"/>
    </row>
    <row r="961">
      <c r="A961" s="156"/>
      <c r="B961" s="20"/>
      <c r="C961" s="20"/>
      <c r="D961" s="20"/>
      <c r="E961" s="20"/>
      <c r="F961" s="20"/>
      <c r="G961" s="20"/>
      <c r="H961" s="20"/>
      <c r="I961" s="20"/>
      <c r="J961" s="21"/>
      <c r="K961" s="98"/>
      <c r="L961" s="98"/>
      <c r="M961" s="17"/>
      <c r="N961" s="17"/>
      <c r="O961" s="20"/>
      <c r="P961" s="20"/>
      <c r="Q961" s="159"/>
      <c r="R961" s="20"/>
      <c r="S961" s="20"/>
      <c r="T961" s="20"/>
      <c r="U961" s="20"/>
      <c r="V961" s="20"/>
      <c r="W961" s="98"/>
      <c r="X961" s="98"/>
      <c r="Y961" s="98"/>
      <c r="Z961" s="98"/>
      <c r="AA961" s="98"/>
      <c r="AB961" s="98"/>
      <c r="AC961" s="98"/>
      <c r="AD961" s="98"/>
      <c r="AE961" s="98"/>
      <c r="AF961" s="98"/>
      <c r="AG961" s="98"/>
      <c r="AH961" s="98"/>
      <c r="AI961" s="20"/>
      <c r="AJ961" s="20"/>
      <c r="AK961" s="20"/>
      <c r="AL961" s="20"/>
    </row>
    <row r="962">
      <c r="A962" s="156"/>
      <c r="B962" s="20"/>
      <c r="C962" s="20"/>
      <c r="D962" s="20"/>
      <c r="E962" s="20"/>
      <c r="F962" s="20"/>
      <c r="G962" s="20"/>
      <c r="H962" s="20"/>
      <c r="I962" s="20"/>
      <c r="J962" s="21"/>
      <c r="K962" s="98"/>
      <c r="L962" s="98"/>
      <c r="M962" s="17"/>
      <c r="N962" s="17"/>
      <c r="O962" s="20"/>
      <c r="P962" s="20"/>
      <c r="Q962" s="159"/>
      <c r="R962" s="20"/>
      <c r="S962" s="20"/>
      <c r="T962" s="20"/>
      <c r="U962" s="20"/>
      <c r="V962" s="20"/>
      <c r="W962" s="98"/>
      <c r="X962" s="98"/>
      <c r="Y962" s="98"/>
      <c r="Z962" s="98"/>
      <c r="AA962" s="98"/>
      <c r="AB962" s="98"/>
      <c r="AC962" s="98"/>
      <c r="AD962" s="98"/>
      <c r="AE962" s="98"/>
      <c r="AF962" s="98"/>
      <c r="AG962" s="98"/>
      <c r="AH962" s="98"/>
      <c r="AI962" s="20"/>
      <c r="AJ962" s="20"/>
      <c r="AK962" s="20"/>
      <c r="AL962" s="20"/>
    </row>
    <row r="963">
      <c r="A963" s="156"/>
      <c r="B963" s="20"/>
      <c r="C963" s="20"/>
      <c r="D963" s="20"/>
      <c r="E963" s="20"/>
      <c r="F963" s="20"/>
      <c r="G963" s="20"/>
      <c r="H963" s="20"/>
      <c r="I963" s="20"/>
      <c r="J963" s="21"/>
      <c r="K963" s="98"/>
      <c r="L963" s="98"/>
      <c r="M963" s="17"/>
      <c r="N963" s="17"/>
      <c r="O963" s="20"/>
      <c r="P963" s="20"/>
      <c r="Q963" s="159"/>
      <c r="R963" s="20"/>
      <c r="S963" s="20"/>
      <c r="T963" s="20"/>
      <c r="U963" s="20"/>
      <c r="V963" s="20"/>
      <c r="W963" s="98"/>
      <c r="X963" s="98"/>
      <c r="Y963" s="98"/>
      <c r="Z963" s="98"/>
      <c r="AA963" s="98"/>
      <c r="AB963" s="98"/>
      <c r="AC963" s="98"/>
      <c r="AD963" s="98"/>
      <c r="AE963" s="98"/>
      <c r="AF963" s="98"/>
      <c r="AG963" s="98"/>
      <c r="AH963" s="98"/>
      <c r="AI963" s="20"/>
      <c r="AJ963" s="20"/>
      <c r="AK963" s="20"/>
      <c r="AL963" s="20"/>
    </row>
    <row r="964">
      <c r="A964" s="156"/>
      <c r="B964" s="20"/>
      <c r="C964" s="20"/>
      <c r="D964" s="20"/>
      <c r="E964" s="20"/>
      <c r="F964" s="20"/>
      <c r="G964" s="20"/>
      <c r="H964" s="20"/>
      <c r="I964" s="20"/>
      <c r="J964" s="21"/>
      <c r="K964" s="98"/>
      <c r="L964" s="98"/>
      <c r="M964" s="17"/>
      <c r="N964" s="17"/>
      <c r="O964" s="20"/>
      <c r="P964" s="20"/>
      <c r="Q964" s="159"/>
      <c r="R964" s="20"/>
      <c r="S964" s="20"/>
      <c r="T964" s="20"/>
      <c r="U964" s="20"/>
      <c r="V964" s="20"/>
      <c r="W964" s="98"/>
      <c r="X964" s="98"/>
      <c r="Y964" s="98"/>
      <c r="Z964" s="98"/>
      <c r="AA964" s="98"/>
      <c r="AB964" s="98"/>
      <c r="AC964" s="98"/>
      <c r="AD964" s="98"/>
      <c r="AE964" s="98"/>
      <c r="AF964" s="98"/>
      <c r="AG964" s="98"/>
      <c r="AH964" s="98"/>
      <c r="AI964" s="20"/>
      <c r="AJ964" s="20"/>
      <c r="AK964" s="20"/>
      <c r="AL964" s="20"/>
    </row>
    <row r="965">
      <c r="A965" s="156"/>
      <c r="B965" s="20"/>
      <c r="C965" s="20"/>
      <c r="D965" s="20"/>
      <c r="E965" s="20"/>
      <c r="F965" s="20"/>
      <c r="G965" s="20"/>
      <c r="H965" s="20"/>
      <c r="I965" s="20"/>
      <c r="J965" s="21"/>
      <c r="K965" s="98"/>
      <c r="L965" s="98"/>
      <c r="M965" s="17"/>
      <c r="N965" s="17"/>
      <c r="O965" s="20"/>
      <c r="P965" s="20"/>
      <c r="Q965" s="159"/>
      <c r="R965" s="20"/>
      <c r="S965" s="20"/>
      <c r="T965" s="20"/>
      <c r="U965" s="20"/>
      <c r="V965" s="20"/>
      <c r="W965" s="98"/>
      <c r="X965" s="98"/>
      <c r="Y965" s="98"/>
      <c r="Z965" s="98"/>
      <c r="AA965" s="98"/>
      <c r="AB965" s="98"/>
      <c r="AC965" s="98"/>
      <c r="AD965" s="98"/>
      <c r="AE965" s="98"/>
      <c r="AF965" s="98"/>
      <c r="AG965" s="98"/>
      <c r="AH965" s="98"/>
      <c r="AI965" s="20"/>
      <c r="AJ965" s="20"/>
      <c r="AK965" s="20"/>
      <c r="AL965" s="20"/>
    </row>
    <row r="966">
      <c r="A966" s="156"/>
      <c r="B966" s="20"/>
      <c r="C966" s="20"/>
      <c r="D966" s="20"/>
      <c r="E966" s="20"/>
      <c r="F966" s="20"/>
      <c r="G966" s="20"/>
      <c r="H966" s="20"/>
      <c r="I966" s="20"/>
      <c r="J966" s="21"/>
      <c r="K966" s="98"/>
      <c r="L966" s="98"/>
      <c r="M966" s="17"/>
      <c r="N966" s="17"/>
      <c r="O966" s="20"/>
      <c r="P966" s="20"/>
      <c r="Q966" s="159"/>
      <c r="R966" s="20"/>
      <c r="S966" s="20"/>
      <c r="T966" s="20"/>
      <c r="U966" s="20"/>
      <c r="V966" s="20"/>
      <c r="W966" s="98"/>
      <c r="X966" s="98"/>
      <c r="Y966" s="98"/>
      <c r="Z966" s="98"/>
      <c r="AA966" s="98"/>
      <c r="AB966" s="98"/>
      <c r="AC966" s="98"/>
      <c r="AD966" s="98"/>
      <c r="AE966" s="98"/>
      <c r="AF966" s="98"/>
      <c r="AG966" s="98"/>
      <c r="AH966" s="98"/>
      <c r="AI966" s="20"/>
      <c r="AJ966" s="20"/>
      <c r="AK966" s="20"/>
      <c r="AL966" s="20"/>
    </row>
    <row r="967">
      <c r="A967" s="156"/>
      <c r="B967" s="20"/>
      <c r="C967" s="20"/>
      <c r="D967" s="20"/>
      <c r="E967" s="20"/>
      <c r="F967" s="20"/>
      <c r="G967" s="20"/>
      <c r="H967" s="20"/>
      <c r="I967" s="20"/>
      <c r="J967" s="21"/>
      <c r="K967" s="98"/>
      <c r="L967" s="98"/>
      <c r="M967" s="17"/>
      <c r="N967" s="17"/>
      <c r="O967" s="20"/>
      <c r="P967" s="20"/>
      <c r="Q967" s="159"/>
      <c r="R967" s="20"/>
      <c r="S967" s="20"/>
      <c r="T967" s="20"/>
      <c r="U967" s="20"/>
      <c r="V967" s="20"/>
      <c r="W967" s="98"/>
      <c r="X967" s="98"/>
      <c r="Y967" s="98"/>
      <c r="Z967" s="98"/>
      <c r="AA967" s="98"/>
      <c r="AB967" s="98"/>
      <c r="AC967" s="98"/>
      <c r="AD967" s="98"/>
      <c r="AE967" s="98"/>
      <c r="AF967" s="98"/>
      <c r="AG967" s="98"/>
      <c r="AH967" s="98"/>
      <c r="AI967" s="20"/>
      <c r="AJ967" s="20"/>
      <c r="AK967" s="20"/>
      <c r="AL967" s="20"/>
    </row>
    <row r="968">
      <c r="A968" s="156"/>
      <c r="B968" s="20"/>
      <c r="C968" s="20"/>
      <c r="D968" s="20"/>
      <c r="E968" s="20"/>
      <c r="F968" s="20"/>
      <c r="G968" s="20"/>
      <c r="H968" s="20"/>
      <c r="I968" s="20"/>
      <c r="J968" s="21"/>
      <c r="K968" s="98"/>
      <c r="L968" s="98"/>
      <c r="M968" s="17"/>
      <c r="N968" s="17"/>
      <c r="O968" s="20"/>
      <c r="P968" s="20"/>
      <c r="Q968" s="159"/>
      <c r="R968" s="20"/>
      <c r="S968" s="20"/>
      <c r="T968" s="20"/>
      <c r="U968" s="20"/>
      <c r="V968" s="20"/>
      <c r="W968" s="98"/>
      <c r="X968" s="98"/>
      <c r="Y968" s="98"/>
      <c r="Z968" s="98"/>
      <c r="AA968" s="98"/>
      <c r="AB968" s="98"/>
      <c r="AC968" s="98"/>
      <c r="AD968" s="98"/>
      <c r="AE968" s="98"/>
      <c r="AF968" s="98"/>
      <c r="AG968" s="98"/>
      <c r="AH968" s="98"/>
      <c r="AI968" s="20"/>
      <c r="AJ968" s="20"/>
      <c r="AK968" s="20"/>
      <c r="AL968" s="20"/>
    </row>
    <row r="969">
      <c r="A969" s="156"/>
      <c r="B969" s="20"/>
      <c r="C969" s="20"/>
      <c r="D969" s="20"/>
      <c r="E969" s="20"/>
      <c r="F969" s="20"/>
      <c r="G969" s="20"/>
      <c r="H969" s="20"/>
      <c r="I969" s="20"/>
      <c r="J969" s="21"/>
      <c r="K969" s="98"/>
      <c r="L969" s="98"/>
      <c r="M969" s="17"/>
      <c r="N969" s="17"/>
      <c r="O969" s="20"/>
      <c r="P969" s="20"/>
      <c r="Q969" s="159"/>
      <c r="R969" s="20"/>
      <c r="S969" s="20"/>
      <c r="T969" s="20"/>
      <c r="U969" s="20"/>
      <c r="V969" s="20"/>
      <c r="W969" s="98"/>
      <c r="X969" s="98"/>
      <c r="Y969" s="98"/>
      <c r="Z969" s="98"/>
      <c r="AA969" s="98"/>
      <c r="AB969" s="98"/>
      <c r="AC969" s="98"/>
      <c r="AD969" s="98"/>
      <c r="AE969" s="98"/>
      <c r="AF969" s="98"/>
      <c r="AG969" s="98"/>
      <c r="AH969" s="98"/>
      <c r="AI969" s="20"/>
      <c r="AJ969" s="20"/>
      <c r="AK969" s="20"/>
      <c r="AL969" s="20"/>
    </row>
    <row r="970">
      <c r="A970" s="156"/>
      <c r="B970" s="20"/>
      <c r="C970" s="20"/>
      <c r="D970" s="20"/>
      <c r="E970" s="20"/>
      <c r="F970" s="20"/>
      <c r="G970" s="20"/>
      <c r="H970" s="20"/>
      <c r="I970" s="20"/>
      <c r="J970" s="21"/>
      <c r="K970" s="98"/>
      <c r="L970" s="98"/>
      <c r="M970" s="17"/>
      <c r="N970" s="17"/>
      <c r="O970" s="20"/>
      <c r="P970" s="20"/>
      <c r="Q970" s="159"/>
      <c r="R970" s="20"/>
      <c r="S970" s="20"/>
      <c r="T970" s="20"/>
      <c r="U970" s="20"/>
      <c r="V970" s="20"/>
      <c r="W970" s="98"/>
      <c r="X970" s="98"/>
      <c r="Y970" s="98"/>
      <c r="Z970" s="98"/>
      <c r="AA970" s="98"/>
      <c r="AB970" s="98"/>
      <c r="AC970" s="98"/>
      <c r="AD970" s="98"/>
      <c r="AE970" s="98"/>
      <c r="AF970" s="98"/>
      <c r="AG970" s="98"/>
      <c r="AH970" s="98"/>
      <c r="AI970" s="20"/>
      <c r="AJ970" s="20"/>
      <c r="AK970" s="20"/>
      <c r="AL970" s="20"/>
    </row>
    <row r="971">
      <c r="A971" s="156"/>
      <c r="B971" s="20"/>
      <c r="C971" s="20"/>
      <c r="D971" s="20"/>
      <c r="E971" s="20"/>
      <c r="F971" s="20"/>
      <c r="G971" s="20"/>
      <c r="H971" s="20"/>
      <c r="I971" s="20"/>
      <c r="J971" s="21"/>
      <c r="K971" s="98"/>
      <c r="L971" s="98"/>
      <c r="M971" s="17"/>
      <c r="N971" s="17"/>
      <c r="O971" s="20"/>
      <c r="P971" s="20"/>
      <c r="Q971" s="159"/>
      <c r="R971" s="20"/>
      <c r="S971" s="20"/>
      <c r="T971" s="20"/>
      <c r="U971" s="20"/>
      <c r="V971" s="20"/>
      <c r="W971" s="98"/>
      <c r="X971" s="98"/>
      <c r="Y971" s="98"/>
      <c r="Z971" s="98"/>
      <c r="AA971" s="98"/>
      <c r="AB971" s="98"/>
      <c r="AC971" s="98"/>
      <c r="AD971" s="98"/>
      <c r="AE971" s="98"/>
      <c r="AF971" s="98"/>
      <c r="AG971" s="98"/>
      <c r="AH971" s="98"/>
      <c r="AI971" s="20"/>
      <c r="AJ971" s="20"/>
      <c r="AK971" s="20"/>
      <c r="AL971" s="20"/>
    </row>
    <row r="972">
      <c r="A972" s="156"/>
      <c r="B972" s="20"/>
      <c r="C972" s="20"/>
      <c r="D972" s="20"/>
      <c r="E972" s="20"/>
      <c r="F972" s="20"/>
      <c r="G972" s="20"/>
      <c r="H972" s="20"/>
      <c r="I972" s="20"/>
      <c r="J972" s="21"/>
      <c r="K972" s="98"/>
      <c r="L972" s="98"/>
      <c r="M972" s="17"/>
      <c r="N972" s="17"/>
      <c r="O972" s="20"/>
      <c r="P972" s="20"/>
      <c r="Q972" s="159"/>
      <c r="R972" s="20"/>
      <c r="S972" s="20"/>
      <c r="T972" s="20"/>
      <c r="U972" s="20"/>
      <c r="V972" s="20"/>
      <c r="W972" s="98"/>
      <c r="X972" s="98"/>
      <c r="Y972" s="98"/>
      <c r="Z972" s="98"/>
      <c r="AA972" s="98"/>
      <c r="AB972" s="98"/>
      <c r="AC972" s="98"/>
      <c r="AD972" s="98"/>
      <c r="AE972" s="98"/>
      <c r="AF972" s="98"/>
      <c r="AG972" s="98"/>
      <c r="AH972" s="98"/>
      <c r="AI972" s="20"/>
      <c r="AJ972" s="20"/>
      <c r="AK972" s="20"/>
      <c r="AL972" s="20"/>
    </row>
    <row r="973">
      <c r="A973" s="156"/>
      <c r="B973" s="20"/>
      <c r="C973" s="20"/>
      <c r="D973" s="20"/>
      <c r="E973" s="20"/>
      <c r="F973" s="20"/>
      <c r="G973" s="20"/>
      <c r="H973" s="20"/>
      <c r="I973" s="20"/>
      <c r="J973" s="21"/>
      <c r="K973" s="98"/>
      <c r="L973" s="98"/>
      <c r="M973" s="17"/>
      <c r="N973" s="17"/>
      <c r="O973" s="20"/>
      <c r="P973" s="20"/>
      <c r="Q973" s="159"/>
      <c r="R973" s="20"/>
      <c r="S973" s="20"/>
      <c r="T973" s="20"/>
      <c r="U973" s="20"/>
      <c r="V973" s="20"/>
      <c r="W973" s="98"/>
      <c r="X973" s="98"/>
      <c r="Y973" s="98"/>
      <c r="Z973" s="98"/>
      <c r="AA973" s="98"/>
      <c r="AB973" s="98"/>
      <c r="AC973" s="98"/>
      <c r="AD973" s="98"/>
      <c r="AE973" s="98"/>
      <c r="AF973" s="98"/>
      <c r="AG973" s="98"/>
      <c r="AH973" s="98"/>
      <c r="AI973" s="20"/>
      <c r="AJ973" s="20"/>
      <c r="AK973" s="20"/>
      <c r="AL973" s="20"/>
    </row>
    <row r="974">
      <c r="A974" s="156"/>
      <c r="B974" s="20"/>
      <c r="C974" s="20"/>
      <c r="D974" s="20"/>
      <c r="E974" s="20"/>
      <c r="F974" s="20"/>
      <c r="G974" s="20"/>
      <c r="H974" s="20"/>
      <c r="I974" s="20"/>
      <c r="J974" s="21"/>
      <c r="K974" s="98"/>
      <c r="L974" s="98"/>
      <c r="M974" s="17"/>
      <c r="N974" s="17"/>
      <c r="O974" s="20"/>
      <c r="P974" s="20"/>
      <c r="Q974" s="159"/>
      <c r="R974" s="20"/>
      <c r="S974" s="20"/>
      <c r="T974" s="20"/>
      <c r="U974" s="20"/>
      <c r="V974" s="20"/>
      <c r="W974" s="98"/>
      <c r="X974" s="98"/>
      <c r="Y974" s="98"/>
      <c r="Z974" s="98"/>
      <c r="AA974" s="98"/>
      <c r="AB974" s="98"/>
      <c r="AC974" s="98"/>
      <c r="AD974" s="98"/>
      <c r="AE974" s="98"/>
      <c r="AF974" s="98"/>
      <c r="AG974" s="98"/>
      <c r="AH974" s="98"/>
      <c r="AI974" s="20"/>
      <c r="AJ974" s="20"/>
      <c r="AK974" s="20"/>
      <c r="AL974" s="20"/>
    </row>
    <row r="975">
      <c r="A975" s="156"/>
      <c r="B975" s="20"/>
      <c r="C975" s="20"/>
      <c r="D975" s="20"/>
      <c r="E975" s="20"/>
      <c r="F975" s="20"/>
      <c r="G975" s="20"/>
      <c r="H975" s="20"/>
      <c r="I975" s="20"/>
      <c r="J975" s="21"/>
      <c r="K975" s="98"/>
      <c r="L975" s="98"/>
      <c r="M975" s="17"/>
      <c r="N975" s="17"/>
      <c r="O975" s="20"/>
      <c r="P975" s="20"/>
      <c r="Q975" s="159"/>
      <c r="R975" s="20"/>
      <c r="S975" s="20"/>
      <c r="T975" s="20"/>
      <c r="U975" s="20"/>
      <c r="V975" s="20"/>
      <c r="W975" s="98"/>
      <c r="X975" s="98"/>
      <c r="Y975" s="98"/>
      <c r="Z975" s="98"/>
      <c r="AA975" s="98"/>
      <c r="AB975" s="98"/>
      <c r="AC975" s="98"/>
      <c r="AD975" s="98"/>
      <c r="AE975" s="98"/>
      <c r="AF975" s="98"/>
      <c r="AG975" s="98"/>
      <c r="AH975" s="98"/>
      <c r="AI975" s="20"/>
      <c r="AJ975" s="20"/>
      <c r="AK975" s="20"/>
      <c r="AL975" s="20"/>
    </row>
    <row r="976">
      <c r="A976" s="156"/>
      <c r="B976" s="20"/>
      <c r="C976" s="20"/>
      <c r="D976" s="20"/>
      <c r="E976" s="20"/>
      <c r="F976" s="20"/>
      <c r="G976" s="20"/>
      <c r="H976" s="20"/>
      <c r="I976" s="20"/>
      <c r="J976" s="21"/>
      <c r="K976" s="98"/>
      <c r="L976" s="98"/>
      <c r="M976" s="17"/>
      <c r="N976" s="17"/>
      <c r="O976" s="20"/>
      <c r="P976" s="20"/>
      <c r="Q976" s="159"/>
      <c r="R976" s="20"/>
      <c r="S976" s="20"/>
      <c r="T976" s="20"/>
      <c r="U976" s="20"/>
      <c r="V976" s="20"/>
      <c r="W976" s="98"/>
      <c r="X976" s="98"/>
      <c r="Y976" s="98"/>
      <c r="Z976" s="98"/>
      <c r="AA976" s="98"/>
      <c r="AB976" s="98"/>
      <c r="AC976" s="98"/>
      <c r="AD976" s="98"/>
      <c r="AE976" s="98"/>
      <c r="AF976" s="98"/>
      <c r="AG976" s="98"/>
      <c r="AH976" s="98"/>
      <c r="AI976" s="20"/>
      <c r="AJ976" s="20"/>
      <c r="AK976" s="20"/>
      <c r="AL976" s="20"/>
    </row>
    <row r="977">
      <c r="A977" s="156"/>
      <c r="B977" s="20"/>
      <c r="C977" s="20"/>
      <c r="D977" s="20"/>
      <c r="E977" s="20"/>
      <c r="F977" s="20"/>
      <c r="G977" s="20"/>
      <c r="H977" s="20"/>
      <c r="I977" s="20"/>
      <c r="J977" s="21"/>
      <c r="K977" s="98"/>
      <c r="L977" s="98"/>
      <c r="M977" s="17"/>
      <c r="N977" s="17"/>
      <c r="O977" s="20"/>
      <c r="P977" s="20"/>
      <c r="Q977" s="159"/>
      <c r="R977" s="20"/>
      <c r="S977" s="20"/>
      <c r="T977" s="20"/>
      <c r="U977" s="20"/>
      <c r="V977" s="20"/>
      <c r="W977" s="98"/>
      <c r="X977" s="98"/>
      <c r="Y977" s="98"/>
      <c r="Z977" s="98"/>
      <c r="AA977" s="98"/>
      <c r="AB977" s="98"/>
      <c r="AC977" s="98"/>
      <c r="AD977" s="98"/>
      <c r="AE977" s="98"/>
      <c r="AF977" s="98"/>
      <c r="AG977" s="98"/>
      <c r="AH977" s="98"/>
      <c r="AI977" s="20"/>
      <c r="AJ977" s="20"/>
      <c r="AK977" s="20"/>
      <c r="AL977" s="20"/>
    </row>
    <row r="978">
      <c r="A978" s="156"/>
      <c r="B978" s="20"/>
      <c r="C978" s="20"/>
      <c r="D978" s="20"/>
      <c r="E978" s="20"/>
      <c r="F978" s="20"/>
      <c r="G978" s="20"/>
      <c r="H978" s="20"/>
      <c r="I978" s="20"/>
      <c r="J978" s="21"/>
      <c r="K978" s="98"/>
      <c r="L978" s="98"/>
      <c r="M978" s="17"/>
      <c r="N978" s="17"/>
      <c r="O978" s="20"/>
      <c r="P978" s="20"/>
      <c r="Q978" s="159"/>
      <c r="R978" s="20"/>
      <c r="S978" s="20"/>
      <c r="T978" s="20"/>
      <c r="U978" s="20"/>
      <c r="V978" s="20"/>
      <c r="W978" s="98"/>
      <c r="X978" s="98"/>
      <c r="Y978" s="98"/>
      <c r="Z978" s="98"/>
      <c r="AA978" s="98"/>
      <c r="AB978" s="98"/>
      <c r="AC978" s="98"/>
      <c r="AD978" s="98"/>
      <c r="AE978" s="98"/>
      <c r="AF978" s="98"/>
      <c r="AG978" s="98"/>
      <c r="AH978" s="98"/>
      <c r="AI978" s="20"/>
      <c r="AJ978" s="20"/>
      <c r="AK978" s="20"/>
      <c r="AL978" s="20"/>
    </row>
    <row r="979">
      <c r="A979" s="156"/>
      <c r="B979" s="20"/>
      <c r="C979" s="20"/>
      <c r="D979" s="20"/>
      <c r="E979" s="20"/>
      <c r="F979" s="20"/>
      <c r="G979" s="20"/>
      <c r="H979" s="20"/>
      <c r="I979" s="20"/>
      <c r="J979" s="21"/>
      <c r="K979" s="98"/>
      <c r="L979" s="98"/>
      <c r="M979" s="17"/>
      <c r="N979" s="17"/>
      <c r="O979" s="20"/>
      <c r="P979" s="20"/>
      <c r="Q979" s="159"/>
      <c r="R979" s="20"/>
      <c r="S979" s="20"/>
      <c r="T979" s="20"/>
      <c r="U979" s="20"/>
      <c r="V979" s="20"/>
      <c r="W979" s="98"/>
      <c r="X979" s="98"/>
      <c r="Y979" s="98"/>
      <c r="Z979" s="98"/>
      <c r="AA979" s="98"/>
      <c r="AB979" s="98"/>
      <c r="AC979" s="98"/>
      <c r="AD979" s="98"/>
      <c r="AE979" s="98"/>
      <c r="AF979" s="98"/>
      <c r="AG979" s="98"/>
      <c r="AH979" s="98"/>
      <c r="AI979" s="20"/>
      <c r="AJ979" s="20"/>
      <c r="AK979" s="20"/>
      <c r="AL979" s="20"/>
    </row>
    <row r="980">
      <c r="A980" s="156"/>
      <c r="B980" s="20"/>
      <c r="C980" s="20"/>
      <c r="D980" s="20"/>
      <c r="E980" s="20"/>
      <c r="F980" s="20"/>
      <c r="G980" s="20"/>
      <c r="H980" s="20"/>
      <c r="I980" s="20"/>
      <c r="J980" s="21"/>
      <c r="K980" s="98"/>
      <c r="L980" s="98"/>
      <c r="M980" s="17"/>
      <c r="N980" s="17"/>
      <c r="O980" s="20"/>
      <c r="P980" s="20"/>
      <c r="Q980" s="159"/>
      <c r="R980" s="20"/>
      <c r="S980" s="20"/>
      <c r="T980" s="20"/>
      <c r="U980" s="20"/>
      <c r="V980" s="20"/>
      <c r="W980" s="98"/>
      <c r="X980" s="98"/>
      <c r="Y980" s="98"/>
      <c r="Z980" s="98"/>
      <c r="AA980" s="98"/>
      <c r="AB980" s="98"/>
      <c r="AC980" s="98"/>
      <c r="AD980" s="98"/>
      <c r="AE980" s="98"/>
      <c r="AF980" s="98"/>
      <c r="AG980" s="98"/>
      <c r="AH980" s="98"/>
      <c r="AI980" s="20"/>
      <c r="AJ980" s="20"/>
      <c r="AK980" s="20"/>
      <c r="AL980" s="20"/>
    </row>
    <row r="981">
      <c r="A981" s="156"/>
      <c r="B981" s="20"/>
      <c r="C981" s="20"/>
      <c r="D981" s="20"/>
      <c r="E981" s="20"/>
      <c r="F981" s="20"/>
      <c r="G981" s="20"/>
      <c r="H981" s="20"/>
      <c r="I981" s="20"/>
      <c r="J981" s="21"/>
      <c r="K981" s="98"/>
      <c r="L981" s="98"/>
      <c r="M981" s="17"/>
      <c r="N981" s="17"/>
      <c r="O981" s="20"/>
      <c r="P981" s="20"/>
      <c r="Q981" s="159"/>
      <c r="R981" s="20"/>
      <c r="S981" s="20"/>
      <c r="T981" s="20"/>
      <c r="U981" s="20"/>
      <c r="V981" s="20"/>
      <c r="W981" s="98"/>
      <c r="X981" s="98"/>
      <c r="Y981" s="98"/>
      <c r="Z981" s="98"/>
      <c r="AA981" s="98"/>
      <c r="AB981" s="98"/>
      <c r="AC981" s="98"/>
      <c r="AD981" s="98"/>
      <c r="AE981" s="98"/>
      <c r="AF981" s="98"/>
      <c r="AG981" s="98"/>
      <c r="AH981" s="98"/>
      <c r="AI981" s="20"/>
      <c r="AJ981" s="20"/>
      <c r="AK981" s="20"/>
      <c r="AL981" s="20"/>
    </row>
    <row r="982">
      <c r="A982" s="156"/>
      <c r="B982" s="20"/>
      <c r="C982" s="20"/>
      <c r="D982" s="20"/>
      <c r="E982" s="20"/>
      <c r="F982" s="20"/>
      <c r="G982" s="20"/>
      <c r="H982" s="20"/>
      <c r="I982" s="20"/>
      <c r="J982" s="21"/>
      <c r="K982" s="98"/>
      <c r="L982" s="98"/>
      <c r="M982" s="17"/>
      <c r="N982" s="17"/>
      <c r="O982" s="20"/>
      <c r="P982" s="20"/>
      <c r="Q982" s="159"/>
      <c r="R982" s="20"/>
      <c r="S982" s="20"/>
      <c r="T982" s="20"/>
      <c r="U982" s="20"/>
      <c r="V982" s="20"/>
      <c r="W982" s="98"/>
      <c r="X982" s="98"/>
      <c r="Y982" s="98"/>
      <c r="Z982" s="98"/>
      <c r="AA982" s="98"/>
      <c r="AB982" s="98"/>
      <c r="AC982" s="98"/>
      <c r="AD982" s="98"/>
      <c r="AE982" s="98"/>
      <c r="AF982" s="98"/>
      <c r="AG982" s="98"/>
      <c r="AH982" s="98"/>
      <c r="AI982" s="20"/>
      <c r="AJ982" s="20"/>
      <c r="AK982" s="20"/>
      <c r="AL982" s="20"/>
    </row>
    <row r="983">
      <c r="A983" s="156"/>
      <c r="B983" s="20"/>
      <c r="C983" s="20"/>
      <c r="D983" s="20"/>
      <c r="E983" s="20"/>
      <c r="F983" s="20"/>
      <c r="G983" s="20"/>
      <c r="H983" s="20"/>
      <c r="I983" s="20"/>
      <c r="J983" s="21"/>
      <c r="K983" s="98"/>
      <c r="L983" s="98"/>
      <c r="M983" s="17"/>
      <c r="N983" s="17"/>
      <c r="O983" s="20"/>
      <c r="P983" s="20"/>
      <c r="Q983" s="159"/>
      <c r="R983" s="20"/>
      <c r="S983" s="20"/>
      <c r="T983" s="20"/>
      <c r="U983" s="20"/>
      <c r="V983" s="20"/>
      <c r="W983" s="98"/>
      <c r="X983" s="98"/>
      <c r="Y983" s="98"/>
      <c r="Z983" s="98"/>
      <c r="AA983" s="98"/>
      <c r="AB983" s="98"/>
      <c r="AC983" s="98"/>
      <c r="AD983" s="98"/>
      <c r="AE983" s="98"/>
      <c r="AF983" s="98"/>
      <c r="AG983" s="98"/>
      <c r="AH983" s="98"/>
      <c r="AI983" s="20"/>
      <c r="AJ983" s="20"/>
      <c r="AK983" s="20"/>
      <c r="AL983" s="20"/>
    </row>
    <row r="984">
      <c r="A984" s="156"/>
      <c r="B984" s="20"/>
      <c r="C984" s="20"/>
      <c r="D984" s="20"/>
      <c r="E984" s="20"/>
      <c r="F984" s="20"/>
      <c r="G984" s="20"/>
      <c r="H984" s="20"/>
      <c r="I984" s="20"/>
      <c r="J984" s="21"/>
      <c r="K984" s="98"/>
      <c r="L984" s="98"/>
      <c r="M984" s="17"/>
      <c r="N984" s="17"/>
      <c r="O984" s="20"/>
      <c r="P984" s="20"/>
      <c r="Q984" s="159"/>
      <c r="R984" s="20"/>
      <c r="S984" s="20"/>
      <c r="T984" s="20"/>
      <c r="U984" s="20"/>
      <c r="V984" s="20"/>
      <c r="W984" s="98"/>
      <c r="X984" s="98"/>
      <c r="Y984" s="98"/>
      <c r="Z984" s="98"/>
      <c r="AA984" s="98"/>
      <c r="AB984" s="98"/>
      <c r="AC984" s="98"/>
      <c r="AD984" s="98"/>
      <c r="AE984" s="98"/>
      <c r="AF984" s="98"/>
      <c r="AG984" s="98"/>
      <c r="AH984" s="98"/>
      <c r="AI984" s="20"/>
      <c r="AJ984" s="20"/>
      <c r="AK984" s="20"/>
      <c r="AL984" s="20"/>
    </row>
    <row r="985">
      <c r="A985" s="156"/>
      <c r="B985" s="20"/>
      <c r="C985" s="20"/>
      <c r="D985" s="20"/>
      <c r="E985" s="20"/>
      <c r="F985" s="20"/>
      <c r="G985" s="20"/>
      <c r="H985" s="20"/>
      <c r="I985" s="20"/>
      <c r="J985" s="21"/>
      <c r="K985" s="98"/>
      <c r="L985" s="98"/>
      <c r="M985" s="17"/>
      <c r="N985" s="17"/>
      <c r="O985" s="20"/>
      <c r="P985" s="20"/>
      <c r="Q985" s="159"/>
      <c r="R985" s="20"/>
      <c r="S985" s="20"/>
      <c r="T985" s="20"/>
      <c r="U985" s="20"/>
      <c r="V985" s="20"/>
      <c r="W985" s="98"/>
      <c r="X985" s="98"/>
      <c r="Y985" s="98"/>
      <c r="Z985" s="98"/>
      <c r="AA985" s="98"/>
      <c r="AB985" s="98"/>
      <c r="AC985" s="98"/>
      <c r="AD985" s="98"/>
      <c r="AE985" s="98"/>
      <c r="AF985" s="98"/>
      <c r="AG985" s="98"/>
      <c r="AH985" s="98"/>
      <c r="AI985" s="20"/>
      <c r="AJ985" s="20"/>
      <c r="AK985" s="20"/>
      <c r="AL985" s="20"/>
    </row>
    <row r="986">
      <c r="A986" s="156"/>
      <c r="B986" s="20"/>
      <c r="C986" s="20"/>
      <c r="D986" s="20"/>
      <c r="E986" s="20"/>
      <c r="F986" s="20"/>
      <c r="G986" s="20"/>
      <c r="H986" s="20"/>
      <c r="I986" s="20"/>
      <c r="J986" s="21"/>
      <c r="K986" s="98"/>
      <c r="L986" s="98"/>
      <c r="M986" s="17"/>
      <c r="N986" s="17"/>
      <c r="O986" s="20"/>
      <c r="P986" s="20"/>
      <c r="Q986" s="159"/>
      <c r="R986" s="20"/>
      <c r="S986" s="20"/>
      <c r="T986" s="20"/>
      <c r="U986" s="20"/>
      <c r="V986" s="20"/>
      <c r="W986" s="98"/>
      <c r="X986" s="98"/>
      <c r="Y986" s="98"/>
      <c r="Z986" s="98"/>
      <c r="AA986" s="98"/>
      <c r="AB986" s="98"/>
      <c r="AC986" s="98"/>
      <c r="AD986" s="98"/>
      <c r="AE986" s="98"/>
      <c r="AF986" s="98"/>
      <c r="AG986" s="98"/>
      <c r="AH986" s="98"/>
      <c r="AI986" s="20"/>
      <c r="AJ986" s="20"/>
      <c r="AK986" s="20"/>
      <c r="AL986" s="20"/>
    </row>
    <row r="987">
      <c r="A987" s="156"/>
      <c r="B987" s="20"/>
      <c r="C987" s="20"/>
      <c r="D987" s="20"/>
      <c r="E987" s="20"/>
      <c r="F987" s="20"/>
      <c r="G987" s="20"/>
      <c r="H987" s="20"/>
      <c r="I987" s="20"/>
      <c r="J987" s="21"/>
      <c r="K987" s="98"/>
      <c r="L987" s="98"/>
      <c r="M987" s="17"/>
      <c r="N987" s="17"/>
      <c r="O987" s="20"/>
      <c r="P987" s="20"/>
      <c r="Q987" s="159"/>
      <c r="R987" s="20"/>
      <c r="S987" s="20"/>
      <c r="T987" s="20"/>
      <c r="U987" s="20"/>
      <c r="V987" s="20"/>
      <c r="W987" s="98"/>
      <c r="X987" s="98"/>
      <c r="Y987" s="98"/>
      <c r="Z987" s="98"/>
      <c r="AA987" s="98"/>
      <c r="AB987" s="98"/>
      <c r="AC987" s="98"/>
      <c r="AD987" s="98"/>
      <c r="AE987" s="98"/>
      <c r="AF987" s="98"/>
      <c r="AG987" s="98"/>
      <c r="AH987" s="98"/>
      <c r="AI987" s="20"/>
      <c r="AJ987" s="20"/>
      <c r="AK987" s="20"/>
      <c r="AL987" s="20"/>
    </row>
    <row r="988">
      <c r="A988" s="156"/>
      <c r="B988" s="20"/>
      <c r="C988" s="20"/>
      <c r="D988" s="20"/>
      <c r="E988" s="20"/>
      <c r="F988" s="20"/>
      <c r="G988" s="20"/>
      <c r="H988" s="20"/>
      <c r="I988" s="20"/>
      <c r="J988" s="21"/>
      <c r="K988" s="98"/>
      <c r="L988" s="98"/>
      <c r="M988" s="17"/>
      <c r="N988" s="17"/>
      <c r="O988" s="20"/>
      <c r="P988" s="20"/>
      <c r="Q988" s="159"/>
      <c r="R988" s="20"/>
      <c r="S988" s="20"/>
      <c r="T988" s="20"/>
      <c r="U988" s="20"/>
      <c r="V988" s="20"/>
      <c r="W988" s="98"/>
      <c r="X988" s="98"/>
      <c r="Y988" s="98"/>
      <c r="Z988" s="98"/>
      <c r="AA988" s="98"/>
      <c r="AB988" s="98"/>
      <c r="AC988" s="98"/>
      <c r="AD988" s="98"/>
      <c r="AE988" s="98"/>
      <c r="AF988" s="98"/>
      <c r="AG988" s="98"/>
      <c r="AH988" s="98"/>
      <c r="AI988" s="20"/>
      <c r="AJ988" s="20"/>
      <c r="AK988" s="20"/>
      <c r="AL988" s="20"/>
    </row>
    <row r="989">
      <c r="A989" s="156"/>
      <c r="B989" s="20"/>
      <c r="C989" s="20"/>
      <c r="D989" s="20"/>
      <c r="E989" s="20"/>
      <c r="F989" s="20"/>
      <c r="G989" s="20"/>
      <c r="H989" s="20"/>
      <c r="I989" s="20"/>
      <c r="J989" s="21"/>
      <c r="K989" s="98"/>
      <c r="L989" s="98"/>
      <c r="M989" s="17"/>
      <c r="N989" s="17"/>
      <c r="O989" s="20"/>
      <c r="P989" s="20"/>
      <c r="Q989" s="159"/>
      <c r="R989" s="20"/>
      <c r="S989" s="20"/>
      <c r="T989" s="20"/>
      <c r="U989" s="20"/>
      <c r="V989" s="20"/>
      <c r="W989" s="98"/>
      <c r="X989" s="98"/>
      <c r="Y989" s="98"/>
      <c r="Z989" s="98"/>
      <c r="AA989" s="98"/>
      <c r="AB989" s="98"/>
      <c r="AC989" s="98"/>
      <c r="AD989" s="98"/>
      <c r="AE989" s="98"/>
      <c r="AF989" s="98"/>
      <c r="AG989" s="98"/>
      <c r="AH989" s="98"/>
      <c r="AI989" s="20"/>
      <c r="AJ989" s="20"/>
      <c r="AK989" s="20"/>
      <c r="AL989" s="20"/>
    </row>
    <row r="990">
      <c r="A990" s="156"/>
      <c r="B990" s="20"/>
      <c r="C990" s="20"/>
      <c r="D990" s="20"/>
      <c r="E990" s="20"/>
      <c r="F990" s="20"/>
      <c r="G990" s="20"/>
      <c r="H990" s="20"/>
      <c r="I990" s="20"/>
      <c r="J990" s="21"/>
      <c r="K990" s="98"/>
      <c r="L990" s="98"/>
      <c r="M990" s="17"/>
      <c r="N990" s="17"/>
      <c r="O990" s="20"/>
      <c r="P990" s="20"/>
      <c r="Q990" s="159"/>
      <c r="R990" s="20"/>
      <c r="S990" s="20"/>
      <c r="T990" s="20"/>
      <c r="U990" s="20"/>
      <c r="V990" s="20"/>
      <c r="W990" s="98"/>
      <c r="X990" s="98"/>
      <c r="Y990" s="98"/>
      <c r="Z990" s="98"/>
      <c r="AA990" s="98"/>
      <c r="AB990" s="98"/>
      <c r="AC990" s="98"/>
      <c r="AD990" s="98"/>
      <c r="AE990" s="98"/>
      <c r="AF990" s="98"/>
      <c r="AG990" s="98"/>
      <c r="AH990" s="98"/>
      <c r="AI990" s="20"/>
      <c r="AJ990" s="20"/>
      <c r="AK990" s="20"/>
      <c r="AL990" s="20"/>
    </row>
    <row r="991">
      <c r="A991" s="156"/>
      <c r="B991" s="20"/>
      <c r="C991" s="20"/>
      <c r="D991" s="20"/>
      <c r="E991" s="20"/>
      <c r="F991" s="20"/>
      <c r="G991" s="20"/>
      <c r="H991" s="20"/>
      <c r="I991" s="20"/>
      <c r="J991" s="21"/>
      <c r="K991" s="98"/>
      <c r="L991" s="98"/>
      <c r="M991" s="17"/>
      <c r="N991" s="17"/>
      <c r="O991" s="20"/>
      <c r="P991" s="20"/>
      <c r="Q991" s="159"/>
      <c r="R991" s="20"/>
      <c r="S991" s="20"/>
      <c r="T991" s="20"/>
      <c r="U991" s="20"/>
      <c r="V991" s="20"/>
      <c r="W991" s="98"/>
      <c r="X991" s="98"/>
      <c r="Y991" s="98"/>
      <c r="Z991" s="98"/>
      <c r="AA991" s="98"/>
      <c r="AB991" s="98"/>
      <c r="AC991" s="98"/>
      <c r="AD991" s="98"/>
      <c r="AE991" s="98"/>
      <c r="AF991" s="98"/>
      <c r="AG991" s="98"/>
      <c r="AH991" s="98"/>
      <c r="AI991" s="20"/>
      <c r="AJ991" s="20"/>
      <c r="AK991" s="20"/>
      <c r="AL991" s="20"/>
    </row>
    <row r="992">
      <c r="A992" s="156"/>
      <c r="B992" s="20"/>
      <c r="C992" s="20"/>
      <c r="D992" s="20"/>
      <c r="E992" s="20"/>
      <c r="F992" s="20"/>
      <c r="G992" s="20"/>
      <c r="H992" s="20"/>
      <c r="I992" s="20"/>
      <c r="J992" s="21"/>
      <c r="K992" s="98"/>
      <c r="L992" s="98"/>
      <c r="M992" s="17"/>
      <c r="N992" s="17"/>
      <c r="O992" s="20"/>
      <c r="P992" s="20"/>
      <c r="Q992" s="159"/>
      <c r="R992" s="20"/>
      <c r="S992" s="20"/>
      <c r="T992" s="20"/>
      <c r="U992" s="20"/>
      <c r="V992" s="20"/>
      <c r="W992" s="98"/>
      <c r="X992" s="98"/>
      <c r="Y992" s="98"/>
      <c r="Z992" s="98"/>
      <c r="AA992" s="98"/>
      <c r="AB992" s="98"/>
      <c r="AC992" s="98"/>
      <c r="AD992" s="98"/>
      <c r="AE992" s="98"/>
      <c r="AF992" s="98"/>
      <c r="AG992" s="98"/>
      <c r="AH992" s="98"/>
      <c r="AI992" s="20"/>
      <c r="AJ992" s="20"/>
      <c r="AK992" s="20"/>
      <c r="AL992" s="20"/>
    </row>
    <row r="993">
      <c r="A993" s="156"/>
      <c r="B993" s="20"/>
      <c r="C993" s="20"/>
      <c r="D993" s="20"/>
      <c r="E993" s="20"/>
      <c r="F993" s="20"/>
      <c r="G993" s="20"/>
      <c r="H993" s="20"/>
      <c r="I993" s="20"/>
      <c r="J993" s="21"/>
      <c r="K993" s="98"/>
      <c r="L993" s="98"/>
      <c r="M993" s="17"/>
      <c r="N993" s="17"/>
      <c r="O993" s="20"/>
      <c r="P993" s="20"/>
      <c r="Q993" s="159"/>
      <c r="R993" s="20"/>
      <c r="S993" s="20"/>
      <c r="T993" s="20"/>
      <c r="U993" s="20"/>
      <c r="V993" s="20"/>
      <c r="W993" s="98"/>
      <c r="X993" s="98"/>
      <c r="Y993" s="98"/>
      <c r="Z993" s="98"/>
      <c r="AA993" s="98"/>
      <c r="AB993" s="98"/>
      <c r="AC993" s="98"/>
      <c r="AD993" s="98"/>
      <c r="AE993" s="98"/>
      <c r="AF993" s="98"/>
      <c r="AG993" s="98"/>
      <c r="AH993" s="98"/>
      <c r="AI993" s="20"/>
      <c r="AJ993" s="20"/>
      <c r="AK993" s="20"/>
      <c r="AL993" s="20"/>
    </row>
    <row r="994">
      <c r="A994" s="156"/>
      <c r="B994" s="20"/>
      <c r="C994" s="20"/>
      <c r="D994" s="20"/>
      <c r="E994" s="20"/>
      <c r="F994" s="20"/>
      <c r="G994" s="20"/>
      <c r="H994" s="20"/>
      <c r="I994" s="20"/>
      <c r="J994" s="21"/>
      <c r="K994" s="98"/>
      <c r="L994" s="98"/>
      <c r="M994" s="17"/>
      <c r="N994" s="17"/>
      <c r="O994" s="20"/>
      <c r="P994" s="20"/>
      <c r="Q994" s="159"/>
      <c r="R994" s="20"/>
      <c r="S994" s="20"/>
      <c r="T994" s="20"/>
      <c r="U994" s="20"/>
      <c r="V994" s="20"/>
      <c r="W994" s="98"/>
      <c r="X994" s="98"/>
      <c r="Y994" s="98"/>
      <c r="Z994" s="98"/>
      <c r="AA994" s="98"/>
      <c r="AB994" s="98"/>
      <c r="AC994" s="98"/>
      <c r="AD994" s="98"/>
      <c r="AE994" s="98"/>
      <c r="AF994" s="98"/>
      <c r="AG994" s="98"/>
      <c r="AH994" s="98"/>
      <c r="AI994" s="20"/>
      <c r="AJ994" s="20"/>
      <c r="AK994" s="20"/>
      <c r="AL994" s="20"/>
    </row>
    <row r="995">
      <c r="A995" s="156"/>
      <c r="B995" s="20"/>
      <c r="C995" s="20"/>
      <c r="D995" s="20"/>
      <c r="E995" s="20"/>
      <c r="F995" s="20"/>
      <c r="G995" s="20"/>
      <c r="H995" s="20"/>
      <c r="I995" s="20"/>
      <c r="J995" s="21"/>
      <c r="K995" s="98"/>
      <c r="L995" s="98"/>
      <c r="M995" s="17"/>
      <c r="N995" s="17"/>
      <c r="O995" s="20"/>
      <c r="P995" s="20"/>
      <c r="Q995" s="159"/>
      <c r="R995" s="20"/>
      <c r="S995" s="20"/>
      <c r="T995" s="20"/>
      <c r="U995" s="20"/>
      <c r="V995" s="20"/>
      <c r="W995" s="98"/>
      <c r="X995" s="98"/>
      <c r="Y995" s="98"/>
      <c r="Z995" s="98"/>
      <c r="AA995" s="98"/>
      <c r="AB995" s="98"/>
      <c r="AC995" s="98"/>
      <c r="AD995" s="98"/>
      <c r="AE995" s="98"/>
      <c r="AF995" s="98"/>
      <c r="AG995" s="98"/>
      <c r="AH995" s="98"/>
      <c r="AI995" s="20"/>
      <c r="AJ995" s="20"/>
      <c r="AK995" s="20"/>
      <c r="AL995" s="20"/>
    </row>
    <row r="996">
      <c r="A996" s="156"/>
      <c r="B996" s="20"/>
      <c r="C996" s="20"/>
      <c r="D996" s="20"/>
      <c r="E996" s="20"/>
      <c r="F996" s="20"/>
      <c r="G996" s="20"/>
      <c r="H996" s="20"/>
      <c r="I996" s="20"/>
      <c r="J996" s="21"/>
      <c r="K996" s="98"/>
      <c r="L996" s="98"/>
      <c r="M996" s="17"/>
      <c r="N996" s="17"/>
      <c r="O996" s="20"/>
      <c r="P996" s="20"/>
      <c r="Q996" s="159"/>
      <c r="R996" s="20"/>
      <c r="S996" s="20"/>
      <c r="T996" s="20"/>
      <c r="U996" s="20"/>
      <c r="V996" s="20"/>
      <c r="W996" s="98"/>
      <c r="X996" s="98"/>
      <c r="Y996" s="98"/>
      <c r="Z996" s="98"/>
      <c r="AA996" s="98"/>
      <c r="AB996" s="98"/>
      <c r="AC996" s="98"/>
      <c r="AD996" s="98"/>
      <c r="AE996" s="98"/>
      <c r="AF996" s="98"/>
      <c r="AG996" s="98"/>
      <c r="AH996" s="98"/>
      <c r="AI996" s="20"/>
      <c r="AJ996" s="20"/>
      <c r="AK996" s="20"/>
      <c r="AL996" s="20"/>
    </row>
    <row r="997">
      <c r="A997" s="156"/>
      <c r="B997" s="20"/>
      <c r="C997" s="20"/>
      <c r="D997" s="20"/>
      <c r="E997" s="20"/>
      <c r="F997" s="20"/>
      <c r="G997" s="20"/>
      <c r="H997" s="20"/>
      <c r="I997" s="20"/>
      <c r="J997" s="21"/>
      <c r="K997" s="98"/>
      <c r="L997" s="98"/>
      <c r="M997" s="17"/>
      <c r="N997" s="17"/>
      <c r="O997" s="20"/>
      <c r="P997" s="20"/>
      <c r="Q997" s="159"/>
      <c r="R997" s="20"/>
      <c r="S997" s="20"/>
      <c r="T997" s="20"/>
      <c r="U997" s="20"/>
      <c r="V997" s="20"/>
      <c r="W997" s="98"/>
      <c r="X997" s="98"/>
      <c r="Y997" s="98"/>
      <c r="Z997" s="98"/>
      <c r="AA997" s="98"/>
      <c r="AB997" s="98"/>
      <c r="AC997" s="98"/>
      <c r="AD997" s="98"/>
      <c r="AE997" s="98"/>
      <c r="AF997" s="98"/>
      <c r="AG997" s="98"/>
      <c r="AH997" s="98"/>
      <c r="AI997" s="20"/>
      <c r="AJ997" s="20"/>
      <c r="AK997" s="20"/>
      <c r="AL997" s="20"/>
    </row>
    <row r="998">
      <c r="A998" s="156"/>
      <c r="B998" s="20"/>
      <c r="C998" s="20"/>
      <c r="D998" s="20"/>
      <c r="E998" s="20"/>
      <c r="F998" s="20"/>
      <c r="G998" s="20"/>
      <c r="H998" s="20"/>
      <c r="I998" s="20"/>
      <c r="J998" s="21"/>
      <c r="K998" s="98"/>
      <c r="L998" s="98"/>
      <c r="M998" s="17"/>
      <c r="N998" s="17"/>
      <c r="O998" s="20"/>
      <c r="P998" s="20"/>
      <c r="Q998" s="159"/>
      <c r="R998" s="20"/>
      <c r="S998" s="20"/>
      <c r="T998" s="20"/>
      <c r="U998" s="20"/>
      <c r="V998" s="20"/>
      <c r="W998" s="98"/>
      <c r="X998" s="98"/>
      <c r="Y998" s="98"/>
      <c r="Z998" s="98"/>
      <c r="AA998" s="98"/>
      <c r="AB998" s="98"/>
      <c r="AC998" s="98"/>
      <c r="AD998" s="98"/>
      <c r="AE998" s="98"/>
      <c r="AF998" s="98"/>
      <c r="AG998" s="98"/>
      <c r="AH998" s="98"/>
      <c r="AI998" s="20"/>
      <c r="AJ998" s="20"/>
      <c r="AK998" s="20"/>
      <c r="AL998" s="20"/>
    </row>
    <row r="999">
      <c r="A999" s="156"/>
      <c r="B999" s="20"/>
      <c r="C999" s="20"/>
      <c r="D999" s="20"/>
      <c r="E999" s="20"/>
      <c r="F999" s="20"/>
      <c r="G999" s="20"/>
      <c r="H999" s="20"/>
      <c r="I999" s="20"/>
      <c r="J999" s="21"/>
      <c r="K999" s="98"/>
      <c r="L999" s="98"/>
      <c r="M999" s="17"/>
      <c r="N999" s="17"/>
      <c r="O999" s="20"/>
      <c r="P999" s="20"/>
      <c r="Q999" s="159"/>
      <c r="R999" s="20"/>
      <c r="S999" s="20"/>
      <c r="T999" s="20"/>
      <c r="U999" s="20"/>
      <c r="V999" s="20"/>
      <c r="W999" s="98"/>
      <c r="X999" s="98"/>
      <c r="Y999" s="98"/>
      <c r="Z999" s="98"/>
      <c r="AA999" s="98"/>
      <c r="AB999" s="98"/>
      <c r="AC999" s="98"/>
      <c r="AD999" s="98"/>
      <c r="AE999" s="98"/>
      <c r="AF999" s="98"/>
      <c r="AG999" s="98"/>
      <c r="AH999" s="98"/>
      <c r="AI999" s="20"/>
      <c r="AJ999" s="20"/>
      <c r="AK999" s="20"/>
      <c r="AL999" s="20"/>
    </row>
    <row r="1000">
      <c r="A1000" s="156"/>
      <c r="B1000" s="20"/>
      <c r="C1000" s="20"/>
      <c r="D1000" s="20"/>
      <c r="E1000" s="20"/>
      <c r="F1000" s="20"/>
      <c r="G1000" s="20"/>
      <c r="H1000" s="20"/>
      <c r="I1000" s="20"/>
      <c r="J1000" s="21"/>
      <c r="K1000" s="98"/>
      <c r="L1000" s="98"/>
      <c r="M1000" s="17"/>
      <c r="N1000" s="17"/>
      <c r="O1000" s="20"/>
      <c r="P1000" s="20"/>
      <c r="Q1000" s="159"/>
      <c r="R1000" s="20"/>
      <c r="S1000" s="20"/>
      <c r="T1000" s="20"/>
      <c r="U1000" s="20"/>
      <c r="V1000" s="20"/>
      <c r="W1000" s="98"/>
      <c r="X1000" s="98"/>
      <c r="Y1000" s="98"/>
      <c r="Z1000" s="98"/>
      <c r="AA1000" s="98"/>
      <c r="AB1000" s="98"/>
      <c r="AC1000" s="98"/>
      <c r="AD1000" s="98"/>
      <c r="AE1000" s="98"/>
      <c r="AF1000" s="98"/>
      <c r="AG1000" s="98"/>
      <c r="AH1000" s="98"/>
      <c r="AI1000" s="20"/>
      <c r="AJ1000" s="20"/>
      <c r="AK1000" s="20"/>
      <c r="AL1000" s="20"/>
    </row>
    <row r="1001">
      <c r="A1001" s="156"/>
      <c r="B1001" s="20"/>
      <c r="C1001" s="20"/>
      <c r="D1001" s="20"/>
      <c r="E1001" s="20"/>
      <c r="F1001" s="20"/>
      <c r="G1001" s="20"/>
      <c r="H1001" s="20"/>
      <c r="I1001" s="20"/>
      <c r="J1001" s="21"/>
      <c r="K1001" s="98"/>
      <c r="L1001" s="98"/>
      <c r="M1001" s="17"/>
      <c r="N1001" s="17"/>
      <c r="O1001" s="20"/>
      <c r="P1001" s="20"/>
      <c r="Q1001" s="159"/>
      <c r="R1001" s="20"/>
      <c r="S1001" s="20"/>
      <c r="T1001" s="20"/>
      <c r="U1001" s="20"/>
      <c r="V1001" s="20"/>
      <c r="W1001" s="98"/>
      <c r="X1001" s="98"/>
      <c r="Y1001" s="98"/>
      <c r="Z1001" s="98"/>
      <c r="AA1001" s="98"/>
      <c r="AB1001" s="98"/>
      <c r="AC1001" s="98"/>
      <c r="AD1001" s="98"/>
      <c r="AE1001" s="98"/>
      <c r="AF1001" s="98"/>
      <c r="AG1001" s="98"/>
      <c r="AH1001" s="98"/>
      <c r="AI1001" s="20"/>
      <c r="AJ1001" s="20"/>
      <c r="AK1001" s="20"/>
      <c r="AL1001" s="20"/>
    </row>
    <row r="1002">
      <c r="A1002" s="156"/>
      <c r="B1002" s="20"/>
      <c r="C1002" s="20"/>
      <c r="D1002" s="20"/>
      <c r="E1002" s="20"/>
      <c r="F1002" s="20"/>
      <c r="G1002" s="20"/>
      <c r="H1002" s="20"/>
      <c r="I1002" s="20"/>
      <c r="J1002" s="21"/>
      <c r="K1002" s="98"/>
      <c r="L1002" s="98"/>
      <c r="M1002" s="17"/>
      <c r="N1002" s="17"/>
      <c r="O1002" s="20"/>
      <c r="P1002" s="20"/>
      <c r="Q1002" s="159"/>
      <c r="R1002" s="20"/>
      <c r="S1002" s="20"/>
      <c r="T1002" s="20"/>
      <c r="U1002" s="20"/>
      <c r="V1002" s="20"/>
      <c r="W1002" s="98"/>
      <c r="X1002" s="98"/>
      <c r="Y1002" s="98"/>
      <c r="Z1002" s="98"/>
      <c r="AA1002" s="98"/>
      <c r="AB1002" s="98"/>
      <c r="AC1002" s="98"/>
      <c r="AD1002" s="98"/>
      <c r="AE1002" s="98"/>
      <c r="AF1002" s="98"/>
      <c r="AG1002" s="98"/>
      <c r="AH1002" s="98"/>
      <c r="AI1002" s="20"/>
      <c r="AJ1002" s="20"/>
      <c r="AK1002" s="20"/>
      <c r="AL1002" s="20"/>
    </row>
    <row r="1003">
      <c r="A1003" s="156"/>
      <c r="B1003" s="20"/>
      <c r="C1003" s="20"/>
      <c r="D1003" s="20"/>
      <c r="E1003" s="20"/>
      <c r="F1003" s="20"/>
      <c r="G1003" s="20"/>
      <c r="H1003" s="20"/>
      <c r="I1003" s="20"/>
      <c r="J1003" s="21"/>
      <c r="K1003" s="98"/>
      <c r="L1003" s="98"/>
      <c r="M1003" s="17"/>
      <c r="N1003" s="17"/>
      <c r="O1003" s="20"/>
      <c r="P1003" s="20"/>
      <c r="Q1003" s="159"/>
      <c r="R1003" s="20"/>
      <c r="S1003" s="20"/>
      <c r="T1003" s="20"/>
      <c r="U1003" s="20"/>
      <c r="V1003" s="20"/>
      <c r="W1003" s="98"/>
      <c r="X1003" s="98"/>
      <c r="Y1003" s="98"/>
      <c r="Z1003" s="98"/>
      <c r="AA1003" s="98"/>
      <c r="AB1003" s="98"/>
      <c r="AC1003" s="98"/>
      <c r="AD1003" s="98"/>
      <c r="AE1003" s="98"/>
      <c r="AF1003" s="98"/>
      <c r="AG1003" s="98"/>
      <c r="AH1003" s="98"/>
      <c r="AI1003" s="20"/>
      <c r="AJ1003" s="20"/>
      <c r="AK1003" s="20"/>
      <c r="AL1003" s="20"/>
    </row>
    <row r="1004">
      <c r="A1004" s="156"/>
      <c r="B1004" s="20"/>
      <c r="C1004" s="20"/>
      <c r="D1004" s="20"/>
      <c r="E1004" s="20"/>
      <c r="F1004" s="20"/>
      <c r="G1004" s="20"/>
      <c r="H1004" s="20"/>
      <c r="I1004" s="20"/>
      <c r="J1004" s="21"/>
      <c r="K1004" s="98"/>
      <c r="L1004" s="98"/>
      <c r="M1004" s="17"/>
      <c r="N1004" s="17"/>
      <c r="O1004" s="20"/>
      <c r="P1004" s="20"/>
      <c r="Q1004" s="159"/>
      <c r="R1004" s="20"/>
      <c r="S1004" s="20"/>
      <c r="T1004" s="20"/>
      <c r="U1004" s="20"/>
      <c r="V1004" s="20"/>
      <c r="W1004" s="98"/>
      <c r="X1004" s="98"/>
      <c r="Y1004" s="98"/>
      <c r="Z1004" s="98"/>
      <c r="AA1004" s="98"/>
      <c r="AB1004" s="98"/>
      <c r="AC1004" s="98"/>
      <c r="AD1004" s="98"/>
      <c r="AE1004" s="98"/>
      <c r="AF1004" s="98"/>
      <c r="AG1004" s="98"/>
      <c r="AH1004" s="98"/>
      <c r="AI1004" s="20"/>
      <c r="AJ1004" s="20"/>
      <c r="AK1004" s="20"/>
      <c r="AL1004" s="20"/>
    </row>
    <row r="1005">
      <c r="A1005" s="156"/>
      <c r="B1005" s="20"/>
      <c r="C1005" s="20"/>
      <c r="D1005" s="20"/>
      <c r="E1005" s="20"/>
      <c r="F1005" s="20"/>
      <c r="G1005" s="20"/>
      <c r="H1005" s="20"/>
      <c r="I1005" s="20"/>
      <c r="J1005" s="21"/>
      <c r="K1005" s="98"/>
      <c r="L1005" s="98"/>
      <c r="M1005" s="17"/>
      <c r="N1005" s="17"/>
      <c r="O1005" s="20"/>
      <c r="P1005" s="20"/>
      <c r="Q1005" s="159"/>
      <c r="R1005" s="20"/>
      <c r="S1005" s="20"/>
      <c r="T1005" s="20"/>
      <c r="U1005" s="20"/>
      <c r="V1005" s="20"/>
      <c r="W1005" s="98"/>
      <c r="X1005" s="98"/>
      <c r="Y1005" s="98"/>
      <c r="Z1005" s="98"/>
      <c r="AA1005" s="98"/>
      <c r="AB1005" s="98"/>
      <c r="AC1005" s="98"/>
      <c r="AD1005" s="98"/>
      <c r="AE1005" s="98"/>
      <c r="AF1005" s="98"/>
      <c r="AG1005" s="98"/>
      <c r="AH1005" s="98"/>
      <c r="AI1005" s="20"/>
      <c r="AJ1005" s="20"/>
      <c r="AK1005" s="20"/>
      <c r="AL1005" s="20"/>
    </row>
    <row r="1006">
      <c r="A1006" s="156"/>
      <c r="B1006" s="20"/>
      <c r="C1006" s="20"/>
      <c r="D1006" s="20"/>
      <c r="E1006" s="20"/>
      <c r="F1006" s="20"/>
      <c r="G1006" s="20"/>
      <c r="H1006" s="20"/>
      <c r="I1006" s="20"/>
      <c r="J1006" s="21"/>
      <c r="K1006" s="98"/>
      <c r="L1006" s="98"/>
      <c r="M1006" s="17"/>
      <c r="N1006" s="17"/>
      <c r="O1006" s="20"/>
      <c r="P1006" s="20"/>
      <c r="Q1006" s="159"/>
      <c r="R1006" s="20"/>
      <c r="S1006" s="20"/>
      <c r="T1006" s="20"/>
      <c r="U1006" s="20"/>
      <c r="V1006" s="20"/>
      <c r="W1006" s="98"/>
      <c r="X1006" s="98"/>
      <c r="Y1006" s="98"/>
      <c r="Z1006" s="98"/>
      <c r="AA1006" s="98"/>
      <c r="AB1006" s="98"/>
      <c r="AC1006" s="98"/>
      <c r="AD1006" s="98"/>
      <c r="AE1006" s="98"/>
      <c r="AF1006" s="98"/>
      <c r="AG1006" s="98"/>
      <c r="AH1006" s="98"/>
      <c r="AI1006" s="20"/>
      <c r="AJ1006" s="20"/>
      <c r="AK1006" s="20"/>
      <c r="AL1006" s="20"/>
    </row>
    <row r="1007">
      <c r="A1007" s="156"/>
      <c r="B1007" s="20"/>
      <c r="C1007" s="20"/>
      <c r="D1007" s="20"/>
      <c r="E1007" s="20"/>
      <c r="F1007" s="20"/>
      <c r="G1007" s="20"/>
      <c r="H1007" s="20"/>
      <c r="I1007" s="20"/>
      <c r="J1007" s="21"/>
      <c r="K1007" s="98"/>
      <c r="L1007" s="98"/>
      <c r="M1007" s="17"/>
      <c r="N1007" s="17"/>
      <c r="O1007" s="20"/>
      <c r="P1007" s="20"/>
      <c r="Q1007" s="159"/>
      <c r="R1007" s="20"/>
      <c r="S1007" s="20"/>
      <c r="T1007" s="20"/>
      <c r="U1007" s="20"/>
      <c r="V1007" s="20"/>
      <c r="W1007" s="98"/>
      <c r="X1007" s="98"/>
      <c r="Y1007" s="98"/>
      <c r="Z1007" s="98"/>
      <c r="AA1007" s="98"/>
      <c r="AB1007" s="98"/>
      <c r="AC1007" s="98"/>
      <c r="AD1007" s="98"/>
      <c r="AE1007" s="98"/>
      <c r="AF1007" s="98"/>
      <c r="AG1007" s="98"/>
      <c r="AH1007" s="98"/>
      <c r="AI1007" s="20"/>
      <c r="AJ1007" s="20"/>
      <c r="AK1007" s="20"/>
      <c r="AL1007" s="20"/>
    </row>
    <row r="1008">
      <c r="A1008" s="156"/>
      <c r="B1008" s="20"/>
      <c r="C1008" s="20"/>
      <c r="D1008" s="20"/>
      <c r="E1008" s="20"/>
      <c r="F1008" s="20"/>
      <c r="G1008" s="20"/>
      <c r="H1008" s="20"/>
      <c r="I1008" s="20"/>
      <c r="J1008" s="21"/>
      <c r="K1008" s="98"/>
      <c r="L1008" s="98"/>
      <c r="M1008" s="17"/>
      <c r="N1008" s="17"/>
      <c r="O1008" s="20"/>
      <c r="P1008" s="20"/>
      <c r="Q1008" s="159"/>
      <c r="R1008" s="20"/>
      <c r="S1008" s="20"/>
      <c r="T1008" s="20"/>
      <c r="U1008" s="20"/>
      <c r="V1008" s="20"/>
      <c r="W1008" s="98"/>
      <c r="X1008" s="98"/>
      <c r="Y1008" s="98"/>
      <c r="Z1008" s="98"/>
      <c r="AA1008" s="98"/>
      <c r="AB1008" s="98"/>
      <c r="AC1008" s="98"/>
      <c r="AD1008" s="98"/>
      <c r="AE1008" s="98"/>
      <c r="AF1008" s="98"/>
      <c r="AG1008" s="98"/>
      <c r="AH1008" s="98"/>
      <c r="AI1008" s="20"/>
      <c r="AJ1008" s="20"/>
      <c r="AK1008" s="20"/>
      <c r="AL1008" s="20"/>
    </row>
    <row r="1009">
      <c r="A1009" s="156"/>
      <c r="B1009" s="20"/>
      <c r="C1009" s="20"/>
      <c r="D1009" s="20"/>
      <c r="E1009" s="20"/>
      <c r="F1009" s="20"/>
      <c r="G1009" s="20"/>
      <c r="H1009" s="20"/>
      <c r="I1009" s="20"/>
      <c r="J1009" s="21"/>
      <c r="K1009" s="98"/>
      <c r="L1009" s="98"/>
      <c r="M1009" s="17"/>
      <c r="N1009" s="17"/>
      <c r="O1009" s="20"/>
      <c r="P1009" s="20"/>
      <c r="Q1009" s="159"/>
      <c r="R1009" s="20"/>
      <c r="S1009" s="20"/>
      <c r="T1009" s="20"/>
      <c r="U1009" s="20"/>
      <c r="V1009" s="20"/>
      <c r="W1009" s="98"/>
      <c r="X1009" s="98"/>
      <c r="Y1009" s="98"/>
      <c r="Z1009" s="98"/>
      <c r="AA1009" s="98"/>
      <c r="AB1009" s="98"/>
      <c r="AC1009" s="98"/>
      <c r="AD1009" s="98"/>
      <c r="AE1009" s="98"/>
      <c r="AF1009" s="98"/>
      <c r="AG1009" s="98"/>
      <c r="AH1009" s="98"/>
      <c r="AI1009" s="20"/>
      <c r="AJ1009" s="20"/>
      <c r="AK1009" s="20"/>
      <c r="AL1009" s="20"/>
    </row>
    <row r="1010">
      <c r="A1010" s="156"/>
      <c r="B1010" s="20"/>
      <c r="C1010" s="20"/>
      <c r="D1010" s="20"/>
      <c r="E1010" s="20"/>
      <c r="F1010" s="20"/>
      <c r="G1010" s="20"/>
      <c r="H1010" s="20"/>
      <c r="I1010" s="20"/>
      <c r="J1010" s="21"/>
      <c r="K1010" s="98"/>
      <c r="L1010" s="98"/>
      <c r="M1010" s="17"/>
      <c r="N1010" s="17"/>
      <c r="O1010" s="20"/>
      <c r="P1010" s="20"/>
      <c r="Q1010" s="159"/>
      <c r="R1010" s="20"/>
      <c r="S1010" s="20"/>
      <c r="T1010" s="20"/>
      <c r="U1010" s="20"/>
      <c r="V1010" s="20"/>
      <c r="W1010" s="98"/>
      <c r="X1010" s="98"/>
      <c r="Y1010" s="98"/>
      <c r="Z1010" s="98"/>
      <c r="AA1010" s="98"/>
      <c r="AB1010" s="98"/>
      <c r="AC1010" s="98"/>
      <c r="AD1010" s="98"/>
      <c r="AE1010" s="98"/>
      <c r="AF1010" s="98"/>
      <c r="AG1010" s="98"/>
      <c r="AH1010" s="98"/>
      <c r="AI1010" s="20"/>
      <c r="AJ1010" s="20"/>
      <c r="AK1010" s="20"/>
      <c r="AL1010" s="20"/>
    </row>
    <row r="1011">
      <c r="A1011" s="156"/>
      <c r="B1011" s="20"/>
      <c r="C1011" s="20"/>
      <c r="D1011" s="20"/>
      <c r="E1011" s="20"/>
      <c r="F1011" s="20"/>
      <c r="G1011" s="20"/>
      <c r="H1011" s="20"/>
      <c r="I1011" s="20"/>
      <c r="J1011" s="21"/>
      <c r="K1011" s="98"/>
      <c r="L1011" s="98"/>
      <c r="M1011" s="17"/>
      <c r="N1011" s="17"/>
      <c r="O1011" s="20"/>
      <c r="P1011" s="20"/>
      <c r="Q1011" s="159"/>
      <c r="R1011" s="20"/>
      <c r="S1011" s="20"/>
      <c r="T1011" s="20"/>
      <c r="U1011" s="20"/>
      <c r="V1011" s="20"/>
      <c r="W1011" s="98"/>
      <c r="X1011" s="98"/>
      <c r="Y1011" s="98"/>
      <c r="Z1011" s="98"/>
      <c r="AA1011" s="98"/>
      <c r="AB1011" s="98"/>
      <c r="AC1011" s="98"/>
      <c r="AD1011" s="98"/>
      <c r="AE1011" s="98"/>
      <c r="AF1011" s="98"/>
      <c r="AG1011" s="98"/>
      <c r="AH1011" s="98"/>
      <c r="AI1011" s="20"/>
      <c r="AJ1011" s="20"/>
      <c r="AK1011" s="20"/>
      <c r="AL1011" s="20"/>
    </row>
    <row r="1012">
      <c r="A1012" s="156"/>
      <c r="B1012" s="20"/>
      <c r="C1012" s="20"/>
      <c r="D1012" s="20"/>
      <c r="E1012" s="20"/>
      <c r="F1012" s="20"/>
      <c r="G1012" s="20"/>
      <c r="H1012" s="20"/>
      <c r="I1012" s="20"/>
      <c r="J1012" s="21"/>
      <c r="K1012" s="98"/>
      <c r="L1012" s="98"/>
      <c r="M1012" s="17"/>
      <c r="N1012" s="17"/>
      <c r="O1012" s="20"/>
      <c r="P1012" s="20"/>
      <c r="Q1012" s="159"/>
      <c r="R1012" s="20"/>
      <c r="S1012" s="20"/>
      <c r="T1012" s="20"/>
      <c r="U1012" s="20"/>
      <c r="V1012" s="20"/>
      <c r="W1012" s="98"/>
      <c r="X1012" s="98"/>
      <c r="Y1012" s="98"/>
      <c r="Z1012" s="98"/>
      <c r="AA1012" s="98"/>
      <c r="AB1012" s="98"/>
      <c r="AC1012" s="98"/>
      <c r="AD1012" s="98"/>
      <c r="AE1012" s="98"/>
      <c r="AF1012" s="98"/>
      <c r="AG1012" s="98"/>
      <c r="AH1012" s="98"/>
      <c r="AI1012" s="20"/>
      <c r="AJ1012" s="20"/>
      <c r="AK1012" s="20"/>
      <c r="AL1012" s="20"/>
    </row>
    <row r="1013">
      <c r="A1013" s="156"/>
      <c r="B1013" s="20"/>
      <c r="C1013" s="20"/>
      <c r="D1013" s="20"/>
      <c r="E1013" s="20"/>
      <c r="F1013" s="20"/>
      <c r="G1013" s="20"/>
      <c r="H1013" s="20"/>
      <c r="I1013" s="20"/>
      <c r="J1013" s="21"/>
      <c r="K1013" s="98"/>
      <c r="L1013" s="98"/>
      <c r="M1013" s="17"/>
      <c r="N1013" s="17"/>
      <c r="O1013" s="20"/>
      <c r="P1013" s="20"/>
      <c r="Q1013" s="159"/>
      <c r="R1013" s="20"/>
      <c r="S1013" s="20"/>
      <c r="T1013" s="20"/>
      <c r="U1013" s="20"/>
      <c r="V1013" s="20"/>
      <c r="W1013" s="98"/>
      <c r="X1013" s="98"/>
      <c r="Y1013" s="98"/>
      <c r="Z1013" s="98"/>
      <c r="AA1013" s="98"/>
      <c r="AB1013" s="98"/>
      <c r="AC1013" s="98"/>
      <c r="AD1013" s="98"/>
      <c r="AE1013" s="98"/>
      <c r="AF1013" s="98"/>
      <c r="AG1013" s="98"/>
      <c r="AH1013" s="98"/>
      <c r="AI1013" s="20"/>
      <c r="AJ1013" s="20"/>
      <c r="AK1013" s="20"/>
      <c r="AL1013" s="20"/>
    </row>
    <row r="1014">
      <c r="A1014" s="156"/>
      <c r="B1014" s="20"/>
      <c r="C1014" s="20"/>
      <c r="D1014" s="20"/>
      <c r="E1014" s="20"/>
      <c r="F1014" s="20"/>
      <c r="G1014" s="20"/>
      <c r="H1014" s="20"/>
      <c r="I1014" s="20"/>
      <c r="J1014" s="21"/>
      <c r="K1014" s="98"/>
      <c r="L1014" s="98"/>
      <c r="M1014" s="17"/>
      <c r="N1014" s="17"/>
      <c r="O1014" s="20"/>
      <c r="P1014" s="20"/>
      <c r="Q1014" s="159"/>
      <c r="R1014" s="20"/>
      <c r="S1014" s="20"/>
      <c r="T1014" s="20"/>
      <c r="U1014" s="20"/>
      <c r="V1014" s="20"/>
      <c r="W1014" s="98"/>
      <c r="X1014" s="98"/>
      <c r="Y1014" s="98"/>
      <c r="Z1014" s="98"/>
      <c r="AA1014" s="98"/>
      <c r="AB1014" s="98"/>
      <c r="AC1014" s="98"/>
      <c r="AD1014" s="98"/>
      <c r="AE1014" s="98"/>
      <c r="AF1014" s="98"/>
      <c r="AG1014" s="98"/>
      <c r="AH1014" s="98"/>
      <c r="AI1014" s="20"/>
      <c r="AJ1014" s="20"/>
      <c r="AK1014" s="20"/>
      <c r="AL1014" s="20"/>
    </row>
    <row r="1015">
      <c r="A1015" s="156"/>
      <c r="B1015" s="20"/>
      <c r="C1015" s="20"/>
      <c r="D1015" s="20"/>
      <c r="E1015" s="20"/>
      <c r="F1015" s="20"/>
      <c r="G1015" s="20"/>
      <c r="H1015" s="20"/>
      <c r="I1015" s="20"/>
      <c r="J1015" s="21"/>
      <c r="K1015" s="98"/>
      <c r="L1015" s="98"/>
      <c r="M1015" s="17"/>
      <c r="N1015" s="17"/>
      <c r="O1015" s="20"/>
      <c r="P1015" s="20"/>
      <c r="Q1015" s="159"/>
      <c r="R1015" s="20"/>
      <c r="S1015" s="20"/>
      <c r="T1015" s="20"/>
      <c r="U1015" s="20"/>
      <c r="V1015" s="20"/>
      <c r="W1015" s="98"/>
      <c r="X1015" s="98"/>
      <c r="Y1015" s="98"/>
      <c r="Z1015" s="98"/>
      <c r="AA1015" s="98"/>
      <c r="AB1015" s="98"/>
      <c r="AC1015" s="98"/>
      <c r="AD1015" s="98"/>
      <c r="AE1015" s="98"/>
      <c r="AF1015" s="98"/>
      <c r="AG1015" s="98"/>
      <c r="AH1015" s="98"/>
      <c r="AI1015" s="20"/>
      <c r="AJ1015" s="20"/>
      <c r="AK1015" s="20"/>
      <c r="AL1015" s="20"/>
    </row>
    <row r="1016">
      <c r="A1016" s="156"/>
      <c r="B1016" s="20"/>
      <c r="C1016" s="20"/>
      <c r="D1016" s="20"/>
      <c r="E1016" s="20"/>
      <c r="F1016" s="20"/>
      <c r="G1016" s="20"/>
      <c r="H1016" s="20"/>
      <c r="I1016" s="20"/>
      <c r="J1016" s="21"/>
      <c r="K1016" s="98"/>
      <c r="L1016" s="98"/>
      <c r="M1016" s="17"/>
      <c r="N1016" s="17"/>
      <c r="O1016" s="20"/>
      <c r="P1016" s="20"/>
      <c r="Q1016" s="159"/>
      <c r="R1016" s="20"/>
      <c r="S1016" s="20"/>
      <c r="T1016" s="20"/>
      <c r="U1016" s="20"/>
      <c r="V1016" s="20"/>
      <c r="W1016" s="98"/>
      <c r="X1016" s="98"/>
      <c r="Y1016" s="98"/>
      <c r="Z1016" s="98"/>
      <c r="AA1016" s="98"/>
      <c r="AB1016" s="98"/>
      <c r="AC1016" s="98"/>
      <c r="AD1016" s="98"/>
      <c r="AE1016" s="98"/>
      <c r="AF1016" s="98"/>
      <c r="AG1016" s="98"/>
      <c r="AH1016" s="98"/>
      <c r="AI1016" s="20"/>
      <c r="AJ1016" s="20"/>
      <c r="AK1016" s="20"/>
      <c r="AL1016" s="20"/>
    </row>
    <row r="1017">
      <c r="A1017" s="156"/>
      <c r="B1017" s="20"/>
      <c r="C1017" s="20"/>
      <c r="D1017" s="20"/>
      <c r="E1017" s="20"/>
      <c r="F1017" s="20"/>
      <c r="G1017" s="20"/>
      <c r="H1017" s="20"/>
      <c r="I1017" s="20"/>
      <c r="J1017" s="21"/>
      <c r="K1017" s="98"/>
      <c r="L1017" s="98"/>
      <c r="M1017" s="17"/>
      <c r="N1017" s="17"/>
      <c r="O1017" s="20"/>
      <c r="P1017" s="20"/>
      <c r="Q1017" s="159"/>
      <c r="R1017" s="20"/>
      <c r="S1017" s="20"/>
      <c r="T1017" s="20"/>
      <c r="U1017" s="20"/>
      <c r="V1017" s="20"/>
      <c r="W1017" s="98"/>
      <c r="X1017" s="98"/>
      <c r="Y1017" s="98"/>
      <c r="Z1017" s="98"/>
      <c r="AA1017" s="98"/>
      <c r="AB1017" s="98"/>
      <c r="AC1017" s="98"/>
      <c r="AD1017" s="98"/>
      <c r="AE1017" s="98"/>
      <c r="AF1017" s="98"/>
      <c r="AG1017" s="98"/>
      <c r="AH1017" s="98"/>
      <c r="AI1017" s="20"/>
      <c r="AJ1017" s="20"/>
      <c r="AK1017" s="20"/>
      <c r="AL1017" s="20"/>
    </row>
    <row r="1018">
      <c r="A1018" s="156"/>
      <c r="B1018" s="20"/>
      <c r="C1018" s="20"/>
      <c r="D1018" s="20"/>
      <c r="E1018" s="20"/>
      <c r="F1018" s="20"/>
      <c r="G1018" s="20"/>
      <c r="H1018" s="20"/>
      <c r="I1018" s="20"/>
      <c r="J1018" s="21"/>
      <c r="K1018" s="98"/>
      <c r="L1018" s="98"/>
      <c r="M1018" s="17"/>
      <c r="N1018" s="17"/>
      <c r="O1018" s="20"/>
      <c r="P1018" s="20"/>
      <c r="Q1018" s="159"/>
      <c r="R1018" s="20"/>
      <c r="S1018" s="20"/>
      <c r="T1018" s="20"/>
      <c r="U1018" s="20"/>
      <c r="V1018" s="20"/>
      <c r="W1018" s="98"/>
      <c r="X1018" s="98"/>
      <c r="Y1018" s="98"/>
      <c r="Z1018" s="98"/>
      <c r="AA1018" s="98"/>
      <c r="AB1018" s="98"/>
      <c r="AC1018" s="98"/>
      <c r="AD1018" s="98"/>
      <c r="AE1018" s="98"/>
      <c r="AF1018" s="98"/>
      <c r="AG1018" s="98"/>
      <c r="AH1018" s="98"/>
      <c r="AI1018" s="20"/>
      <c r="AJ1018" s="20"/>
      <c r="AK1018" s="20"/>
      <c r="AL1018" s="20"/>
    </row>
    <row r="1019">
      <c r="A1019" s="156"/>
      <c r="B1019" s="20"/>
      <c r="C1019" s="20"/>
      <c r="D1019" s="20"/>
      <c r="E1019" s="20"/>
      <c r="F1019" s="20"/>
      <c r="G1019" s="20"/>
      <c r="H1019" s="20"/>
      <c r="I1019" s="20"/>
      <c r="J1019" s="21"/>
      <c r="K1019" s="98"/>
      <c r="L1019" s="98"/>
      <c r="M1019" s="17"/>
      <c r="N1019" s="17"/>
      <c r="O1019" s="20"/>
      <c r="P1019" s="20"/>
      <c r="Q1019" s="159"/>
      <c r="R1019" s="20"/>
      <c r="S1019" s="20"/>
      <c r="T1019" s="20"/>
      <c r="U1019" s="20"/>
      <c r="V1019" s="20"/>
      <c r="W1019" s="98"/>
      <c r="X1019" s="98"/>
      <c r="Y1019" s="98"/>
      <c r="Z1019" s="98"/>
      <c r="AA1019" s="98"/>
      <c r="AB1019" s="98"/>
      <c r="AC1019" s="98"/>
      <c r="AD1019" s="98"/>
      <c r="AE1019" s="98"/>
      <c r="AF1019" s="98"/>
      <c r="AG1019" s="98"/>
      <c r="AH1019" s="98"/>
      <c r="AI1019" s="20"/>
      <c r="AJ1019" s="20"/>
      <c r="AK1019" s="20"/>
      <c r="AL1019" s="20"/>
    </row>
    <row r="1020">
      <c r="A1020" s="156"/>
      <c r="B1020" s="20"/>
      <c r="C1020" s="20"/>
      <c r="D1020" s="20"/>
      <c r="E1020" s="20"/>
      <c r="F1020" s="20"/>
      <c r="G1020" s="20"/>
      <c r="H1020" s="20"/>
      <c r="I1020" s="20"/>
      <c r="J1020" s="21"/>
      <c r="K1020" s="98"/>
      <c r="L1020" s="98"/>
      <c r="M1020" s="17"/>
      <c r="N1020" s="17"/>
      <c r="O1020" s="20"/>
      <c r="P1020" s="20"/>
      <c r="Q1020" s="159"/>
      <c r="R1020" s="20"/>
      <c r="S1020" s="20"/>
      <c r="T1020" s="20"/>
      <c r="U1020" s="20"/>
      <c r="V1020" s="20"/>
      <c r="W1020" s="98"/>
      <c r="X1020" s="98"/>
      <c r="Y1020" s="98"/>
      <c r="Z1020" s="98"/>
      <c r="AA1020" s="98"/>
      <c r="AB1020" s="98"/>
      <c r="AC1020" s="98"/>
      <c r="AD1020" s="98"/>
      <c r="AE1020" s="98"/>
      <c r="AF1020" s="98"/>
      <c r="AG1020" s="98"/>
      <c r="AH1020" s="98"/>
      <c r="AI1020" s="20"/>
      <c r="AJ1020" s="20"/>
      <c r="AK1020" s="20"/>
      <c r="AL1020" s="20"/>
    </row>
    <row r="1021">
      <c r="A1021" s="156"/>
      <c r="B1021" s="20"/>
      <c r="C1021" s="20"/>
      <c r="D1021" s="20"/>
      <c r="E1021" s="20"/>
      <c r="F1021" s="20"/>
      <c r="G1021" s="20"/>
      <c r="H1021" s="20"/>
      <c r="I1021" s="20"/>
      <c r="J1021" s="21"/>
      <c r="K1021" s="98"/>
      <c r="L1021" s="98"/>
      <c r="M1021" s="17"/>
      <c r="N1021" s="17"/>
      <c r="O1021" s="20"/>
      <c r="P1021" s="20"/>
      <c r="Q1021" s="159"/>
      <c r="R1021" s="20"/>
      <c r="S1021" s="20"/>
      <c r="T1021" s="20"/>
      <c r="U1021" s="20"/>
      <c r="V1021" s="20"/>
      <c r="W1021" s="98"/>
      <c r="X1021" s="98"/>
      <c r="Y1021" s="98"/>
      <c r="Z1021" s="98"/>
      <c r="AA1021" s="98"/>
      <c r="AB1021" s="98"/>
      <c r="AC1021" s="98"/>
      <c r="AD1021" s="98"/>
      <c r="AE1021" s="98"/>
      <c r="AF1021" s="98"/>
      <c r="AG1021" s="98"/>
      <c r="AH1021" s="98"/>
      <c r="AI1021" s="20"/>
      <c r="AJ1021" s="20"/>
      <c r="AK1021" s="20"/>
      <c r="AL1021" s="20"/>
    </row>
    <row r="1022">
      <c r="A1022" s="156"/>
      <c r="B1022" s="20"/>
      <c r="C1022" s="20"/>
      <c r="D1022" s="20"/>
      <c r="E1022" s="20"/>
      <c r="F1022" s="20"/>
      <c r="G1022" s="20"/>
      <c r="H1022" s="20"/>
      <c r="I1022" s="20"/>
      <c r="J1022" s="21"/>
      <c r="K1022" s="98"/>
      <c r="L1022" s="98"/>
      <c r="M1022" s="17"/>
      <c r="N1022" s="17"/>
      <c r="O1022" s="20"/>
      <c r="P1022" s="20"/>
      <c r="Q1022" s="159"/>
      <c r="R1022" s="20"/>
      <c r="S1022" s="20"/>
      <c r="T1022" s="20"/>
      <c r="U1022" s="20"/>
      <c r="V1022" s="20"/>
      <c r="W1022" s="98"/>
      <c r="X1022" s="98"/>
      <c r="Y1022" s="98"/>
      <c r="Z1022" s="98"/>
      <c r="AA1022" s="98"/>
      <c r="AB1022" s="98"/>
      <c r="AC1022" s="98"/>
      <c r="AD1022" s="98"/>
      <c r="AE1022" s="98"/>
      <c r="AF1022" s="98"/>
      <c r="AG1022" s="98"/>
      <c r="AH1022" s="98"/>
      <c r="AI1022" s="20"/>
      <c r="AJ1022" s="20"/>
      <c r="AK1022" s="20"/>
      <c r="AL1022" s="20"/>
    </row>
    <row r="1023">
      <c r="A1023" s="156"/>
      <c r="B1023" s="20"/>
      <c r="C1023" s="20"/>
      <c r="D1023" s="20"/>
      <c r="E1023" s="20"/>
      <c r="F1023" s="20"/>
      <c r="G1023" s="20"/>
      <c r="H1023" s="20"/>
      <c r="I1023" s="20"/>
      <c r="J1023" s="21"/>
      <c r="K1023" s="98"/>
      <c r="L1023" s="98"/>
      <c r="M1023" s="17"/>
      <c r="N1023" s="17"/>
      <c r="O1023" s="20"/>
      <c r="P1023" s="20"/>
      <c r="Q1023" s="159"/>
      <c r="R1023" s="20"/>
      <c r="S1023" s="20"/>
      <c r="T1023" s="20"/>
      <c r="U1023" s="20"/>
      <c r="V1023" s="20"/>
      <c r="W1023" s="98"/>
      <c r="X1023" s="98"/>
      <c r="Y1023" s="98"/>
      <c r="Z1023" s="98"/>
      <c r="AA1023" s="98"/>
      <c r="AB1023" s="98"/>
      <c r="AC1023" s="98"/>
      <c r="AD1023" s="98"/>
      <c r="AE1023" s="98"/>
      <c r="AF1023" s="98"/>
      <c r="AG1023" s="98"/>
      <c r="AH1023" s="98"/>
      <c r="AI1023" s="20"/>
      <c r="AJ1023" s="20"/>
      <c r="AK1023" s="20"/>
      <c r="AL1023" s="20"/>
    </row>
    <row r="1024">
      <c r="A1024" s="156"/>
      <c r="B1024" s="20"/>
      <c r="C1024" s="20"/>
      <c r="D1024" s="20"/>
      <c r="E1024" s="20"/>
      <c r="F1024" s="20"/>
      <c r="G1024" s="20"/>
      <c r="H1024" s="20"/>
      <c r="I1024" s="20"/>
      <c r="J1024" s="21"/>
      <c r="K1024" s="98"/>
      <c r="L1024" s="98"/>
      <c r="M1024" s="17"/>
      <c r="N1024" s="17"/>
      <c r="O1024" s="20"/>
      <c r="P1024" s="20"/>
      <c r="Q1024" s="159"/>
      <c r="R1024" s="20"/>
      <c r="S1024" s="20"/>
      <c r="T1024" s="20"/>
      <c r="U1024" s="20"/>
      <c r="V1024" s="20"/>
      <c r="W1024" s="98"/>
      <c r="X1024" s="98"/>
      <c r="Y1024" s="98"/>
      <c r="Z1024" s="98"/>
      <c r="AA1024" s="98"/>
      <c r="AB1024" s="98"/>
      <c r="AC1024" s="98"/>
      <c r="AD1024" s="98"/>
      <c r="AE1024" s="98"/>
      <c r="AF1024" s="98"/>
      <c r="AG1024" s="98"/>
      <c r="AH1024" s="98"/>
      <c r="AI1024" s="20"/>
      <c r="AJ1024" s="20"/>
      <c r="AK1024" s="20"/>
      <c r="AL1024" s="20"/>
    </row>
    <row r="1025">
      <c r="A1025" s="156"/>
      <c r="B1025" s="20"/>
      <c r="C1025" s="20"/>
      <c r="D1025" s="20"/>
      <c r="E1025" s="20"/>
      <c r="F1025" s="20"/>
      <c r="G1025" s="20"/>
      <c r="H1025" s="20"/>
      <c r="I1025" s="20"/>
      <c r="J1025" s="21"/>
      <c r="K1025" s="98"/>
      <c r="L1025" s="98"/>
      <c r="M1025" s="17"/>
      <c r="N1025" s="17"/>
      <c r="O1025" s="20"/>
      <c r="P1025" s="20"/>
      <c r="Q1025" s="159"/>
      <c r="R1025" s="20"/>
      <c r="S1025" s="20"/>
      <c r="T1025" s="20"/>
      <c r="U1025" s="20"/>
      <c r="V1025" s="20"/>
      <c r="W1025" s="98"/>
      <c r="X1025" s="98"/>
      <c r="Y1025" s="98"/>
      <c r="Z1025" s="98"/>
      <c r="AA1025" s="98"/>
      <c r="AB1025" s="98"/>
      <c r="AC1025" s="98"/>
      <c r="AD1025" s="98"/>
      <c r="AE1025" s="98"/>
      <c r="AF1025" s="98"/>
      <c r="AG1025" s="98"/>
      <c r="AH1025" s="98"/>
      <c r="AI1025" s="20"/>
      <c r="AJ1025" s="20"/>
      <c r="AK1025" s="20"/>
      <c r="AL1025" s="20"/>
    </row>
    <row r="1026">
      <c r="A1026" s="156"/>
      <c r="B1026" s="20"/>
      <c r="C1026" s="20"/>
      <c r="D1026" s="20"/>
      <c r="E1026" s="20"/>
      <c r="F1026" s="20"/>
      <c r="G1026" s="20"/>
      <c r="H1026" s="20"/>
      <c r="I1026" s="20"/>
      <c r="J1026" s="21"/>
      <c r="K1026" s="98"/>
      <c r="L1026" s="98"/>
      <c r="M1026" s="17"/>
      <c r="N1026" s="17"/>
      <c r="O1026" s="20"/>
      <c r="P1026" s="20"/>
      <c r="Q1026" s="159"/>
      <c r="R1026" s="20"/>
      <c r="S1026" s="20"/>
      <c r="T1026" s="20"/>
      <c r="U1026" s="20"/>
      <c r="V1026" s="20"/>
      <c r="W1026" s="98"/>
      <c r="X1026" s="98"/>
      <c r="Y1026" s="98"/>
      <c r="Z1026" s="98"/>
      <c r="AA1026" s="98"/>
      <c r="AB1026" s="98"/>
      <c r="AC1026" s="98"/>
      <c r="AD1026" s="98"/>
      <c r="AE1026" s="98"/>
      <c r="AF1026" s="98"/>
      <c r="AG1026" s="98"/>
      <c r="AH1026" s="98"/>
      <c r="AI1026" s="20"/>
      <c r="AJ1026" s="20"/>
      <c r="AK1026" s="20"/>
      <c r="AL1026" s="20"/>
    </row>
    <row r="1027">
      <c r="A1027" s="156"/>
      <c r="B1027" s="20"/>
      <c r="C1027" s="20"/>
      <c r="D1027" s="20"/>
      <c r="E1027" s="20"/>
      <c r="F1027" s="20"/>
      <c r="G1027" s="20"/>
      <c r="H1027" s="20"/>
      <c r="I1027" s="20"/>
      <c r="J1027" s="21"/>
      <c r="K1027" s="98"/>
      <c r="L1027" s="98"/>
      <c r="M1027" s="17"/>
      <c r="N1027" s="17"/>
      <c r="O1027" s="20"/>
      <c r="P1027" s="20"/>
      <c r="Q1027" s="159"/>
      <c r="R1027" s="20"/>
      <c r="S1027" s="20"/>
      <c r="T1027" s="20"/>
      <c r="U1027" s="20"/>
      <c r="V1027" s="20"/>
      <c r="W1027" s="98"/>
      <c r="X1027" s="98"/>
      <c r="Y1027" s="98"/>
      <c r="Z1027" s="98"/>
      <c r="AA1027" s="98"/>
      <c r="AB1027" s="98"/>
      <c r="AC1027" s="98"/>
      <c r="AD1027" s="98"/>
      <c r="AE1027" s="98"/>
      <c r="AF1027" s="98"/>
      <c r="AG1027" s="98"/>
      <c r="AH1027" s="98"/>
      <c r="AI1027" s="20"/>
      <c r="AJ1027" s="20"/>
      <c r="AK1027" s="20"/>
      <c r="AL1027" s="20"/>
    </row>
    <row r="1028">
      <c r="A1028" s="156"/>
      <c r="B1028" s="20"/>
      <c r="C1028" s="20"/>
      <c r="D1028" s="20"/>
      <c r="E1028" s="20"/>
      <c r="F1028" s="20"/>
      <c r="G1028" s="20"/>
      <c r="H1028" s="20"/>
      <c r="I1028" s="20"/>
      <c r="J1028" s="21"/>
      <c r="K1028" s="98"/>
      <c r="L1028" s="98"/>
      <c r="M1028" s="17"/>
      <c r="N1028" s="17"/>
      <c r="O1028" s="20"/>
      <c r="P1028" s="20"/>
      <c r="Q1028" s="159"/>
      <c r="R1028" s="20"/>
      <c r="S1028" s="20"/>
      <c r="T1028" s="20"/>
      <c r="U1028" s="20"/>
      <c r="V1028" s="20"/>
      <c r="W1028" s="98"/>
      <c r="X1028" s="98"/>
      <c r="Y1028" s="98"/>
      <c r="Z1028" s="98"/>
      <c r="AA1028" s="98"/>
      <c r="AB1028" s="98"/>
      <c r="AC1028" s="98"/>
      <c r="AD1028" s="98"/>
      <c r="AE1028" s="98"/>
      <c r="AF1028" s="98"/>
      <c r="AG1028" s="98"/>
      <c r="AH1028" s="98"/>
      <c r="AI1028" s="20"/>
      <c r="AJ1028" s="20"/>
      <c r="AK1028" s="20"/>
      <c r="AL1028" s="20"/>
    </row>
    <row r="1029">
      <c r="A1029" s="156"/>
      <c r="B1029" s="20"/>
      <c r="C1029" s="20"/>
      <c r="D1029" s="20"/>
      <c r="E1029" s="20"/>
      <c r="F1029" s="20"/>
      <c r="G1029" s="20"/>
      <c r="H1029" s="20"/>
      <c r="I1029" s="20"/>
      <c r="J1029" s="21"/>
      <c r="K1029" s="98"/>
      <c r="L1029" s="98"/>
      <c r="M1029" s="17"/>
      <c r="N1029" s="17"/>
      <c r="O1029" s="20"/>
      <c r="P1029" s="20"/>
      <c r="Q1029" s="159"/>
      <c r="R1029" s="20"/>
      <c r="S1029" s="20"/>
      <c r="T1029" s="20"/>
      <c r="U1029" s="20"/>
      <c r="V1029" s="20"/>
      <c r="W1029" s="98"/>
      <c r="X1029" s="98"/>
      <c r="Y1029" s="98"/>
      <c r="Z1029" s="98"/>
      <c r="AA1029" s="98"/>
      <c r="AB1029" s="98"/>
      <c r="AC1029" s="98"/>
      <c r="AD1029" s="98"/>
      <c r="AE1029" s="98"/>
      <c r="AF1029" s="98"/>
      <c r="AG1029" s="98"/>
      <c r="AH1029" s="98"/>
      <c r="AI1029" s="20"/>
      <c r="AJ1029" s="20"/>
      <c r="AK1029" s="20"/>
      <c r="AL1029" s="20"/>
    </row>
    <row r="1030">
      <c r="A1030" s="156"/>
      <c r="B1030" s="20"/>
      <c r="C1030" s="20"/>
      <c r="D1030" s="20"/>
      <c r="E1030" s="20"/>
      <c r="F1030" s="20"/>
      <c r="G1030" s="20"/>
      <c r="H1030" s="20"/>
      <c r="I1030" s="20"/>
      <c r="J1030" s="21"/>
      <c r="K1030" s="98"/>
      <c r="L1030" s="98"/>
      <c r="M1030" s="17"/>
      <c r="N1030" s="17"/>
      <c r="O1030" s="20"/>
      <c r="P1030" s="20"/>
      <c r="Q1030" s="159"/>
      <c r="R1030" s="20"/>
      <c r="S1030" s="20"/>
      <c r="T1030" s="20"/>
      <c r="U1030" s="20"/>
      <c r="V1030" s="20"/>
      <c r="W1030" s="98"/>
      <c r="X1030" s="98"/>
      <c r="Y1030" s="98"/>
      <c r="Z1030" s="98"/>
      <c r="AA1030" s="98"/>
      <c r="AB1030" s="98"/>
      <c r="AC1030" s="98"/>
      <c r="AD1030" s="98"/>
      <c r="AE1030" s="98"/>
      <c r="AF1030" s="98"/>
      <c r="AG1030" s="98"/>
      <c r="AH1030" s="98"/>
      <c r="AI1030" s="20"/>
      <c r="AJ1030" s="20"/>
      <c r="AK1030" s="20"/>
      <c r="AL1030" s="20"/>
    </row>
    <row r="1031">
      <c r="A1031" s="156"/>
      <c r="B1031" s="20"/>
      <c r="C1031" s="20"/>
      <c r="D1031" s="20"/>
      <c r="E1031" s="20"/>
      <c r="F1031" s="20"/>
      <c r="G1031" s="20"/>
      <c r="H1031" s="20"/>
      <c r="I1031" s="20"/>
      <c r="J1031" s="21"/>
      <c r="K1031" s="98"/>
      <c r="L1031" s="98"/>
      <c r="M1031" s="17"/>
      <c r="N1031" s="17"/>
      <c r="O1031" s="20"/>
      <c r="P1031" s="20"/>
      <c r="Q1031" s="159"/>
      <c r="R1031" s="20"/>
      <c r="S1031" s="20"/>
      <c r="T1031" s="20"/>
      <c r="U1031" s="20"/>
      <c r="V1031" s="20"/>
      <c r="W1031" s="98"/>
      <c r="X1031" s="98"/>
      <c r="Y1031" s="98"/>
      <c r="Z1031" s="98"/>
      <c r="AA1031" s="98"/>
      <c r="AB1031" s="98"/>
      <c r="AC1031" s="98"/>
      <c r="AD1031" s="98"/>
      <c r="AE1031" s="98"/>
      <c r="AF1031" s="98"/>
      <c r="AG1031" s="98"/>
      <c r="AH1031" s="98"/>
      <c r="AI1031" s="20"/>
      <c r="AJ1031" s="20"/>
      <c r="AK1031" s="20"/>
      <c r="AL1031" s="20"/>
    </row>
    <row r="1032">
      <c r="A1032" s="156"/>
      <c r="B1032" s="20"/>
      <c r="C1032" s="20"/>
      <c r="D1032" s="20"/>
      <c r="E1032" s="20"/>
      <c r="F1032" s="20"/>
      <c r="G1032" s="20"/>
      <c r="H1032" s="20"/>
      <c r="I1032" s="20"/>
      <c r="J1032" s="21"/>
      <c r="K1032" s="98"/>
      <c r="L1032" s="98"/>
      <c r="M1032" s="17"/>
      <c r="N1032" s="17"/>
      <c r="O1032" s="20"/>
      <c r="P1032" s="20"/>
      <c r="Q1032" s="159"/>
      <c r="R1032" s="20"/>
      <c r="S1032" s="20"/>
      <c r="T1032" s="20"/>
      <c r="U1032" s="20"/>
      <c r="V1032" s="20"/>
      <c r="W1032" s="98"/>
      <c r="X1032" s="98"/>
      <c r="Y1032" s="98"/>
      <c r="Z1032" s="98"/>
      <c r="AA1032" s="98"/>
      <c r="AB1032" s="98"/>
      <c r="AC1032" s="98"/>
      <c r="AD1032" s="98"/>
      <c r="AE1032" s="98"/>
      <c r="AF1032" s="98"/>
      <c r="AG1032" s="98"/>
      <c r="AH1032" s="98"/>
      <c r="AI1032" s="20"/>
      <c r="AJ1032" s="20"/>
      <c r="AK1032" s="20"/>
      <c r="AL1032" s="20"/>
    </row>
    <row r="1033">
      <c r="A1033" s="156"/>
      <c r="B1033" s="20"/>
      <c r="C1033" s="20"/>
      <c r="D1033" s="20"/>
      <c r="E1033" s="20"/>
      <c r="F1033" s="20"/>
      <c r="G1033" s="20"/>
      <c r="H1033" s="20"/>
      <c r="I1033" s="20"/>
      <c r="J1033" s="21"/>
      <c r="K1033" s="98"/>
      <c r="L1033" s="98"/>
      <c r="M1033" s="17"/>
      <c r="N1033" s="17"/>
      <c r="O1033" s="20"/>
      <c r="P1033" s="20"/>
      <c r="Q1033" s="159"/>
      <c r="R1033" s="20"/>
      <c r="S1033" s="20"/>
      <c r="T1033" s="20"/>
      <c r="U1033" s="20"/>
      <c r="V1033" s="20"/>
      <c r="W1033" s="98"/>
      <c r="X1033" s="98"/>
      <c r="Y1033" s="98"/>
      <c r="Z1033" s="98"/>
      <c r="AA1033" s="98"/>
      <c r="AB1033" s="98"/>
      <c r="AC1033" s="98"/>
      <c r="AD1033" s="98"/>
      <c r="AE1033" s="98"/>
      <c r="AF1033" s="98"/>
      <c r="AG1033" s="98"/>
      <c r="AH1033" s="98"/>
      <c r="AI1033" s="20"/>
      <c r="AJ1033" s="20"/>
      <c r="AK1033" s="20"/>
      <c r="AL1033" s="20"/>
    </row>
    <row r="1034">
      <c r="A1034" s="156"/>
      <c r="B1034" s="20"/>
      <c r="C1034" s="20"/>
      <c r="D1034" s="20"/>
      <c r="E1034" s="20"/>
      <c r="F1034" s="20"/>
      <c r="G1034" s="20"/>
      <c r="H1034" s="20"/>
      <c r="I1034" s="20"/>
      <c r="J1034" s="21"/>
      <c r="K1034" s="98"/>
      <c r="L1034" s="98"/>
      <c r="M1034" s="17"/>
      <c r="N1034" s="17"/>
      <c r="O1034" s="20"/>
      <c r="P1034" s="20"/>
      <c r="Q1034" s="159"/>
      <c r="R1034" s="20"/>
      <c r="S1034" s="20"/>
      <c r="T1034" s="20"/>
      <c r="U1034" s="20"/>
      <c r="V1034" s="20"/>
      <c r="W1034" s="98"/>
      <c r="X1034" s="98"/>
      <c r="Y1034" s="98"/>
      <c r="Z1034" s="98"/>
      <c r="AA1034" s="98"/>
      <c r="AB1034" s="98"/>
      <c r="AC1034" s="98"/>
      <c r="AD1034" s="98"/>
      <c r="AE1034" s="98"/>
      <c r="AF1034" s="98"/>
      <c r="AG1034" s="98"/>
      <c r="AH1034" s="98"/>
      <c r="AI1034" s="20"/>
      <c r="AJ1034" s="20"/>
      <c r="AK1034" s="20"/>
      <c r="AL1034" s="20"/>
    </row>
    <row r="1035">
      <c r="A1035" s="156"/>
      <c r="B1035" s="20"/>
      <c r="C1035" s="20"/>
      <c r="D1035" s="20"/>
      <c r="E1035" s="20"/>
      <c r="F1035" s="20"/>
      <c r="G1035" s="20"/>
      <c r="H1035" s="20"/>
      <c r="I1035" s="20"/>
      <c r="J1035" s="21"/>
      <c r="K1035" s="98"/>
      <c r="L1035" s="98"/>
      <c r="M1035" s="17"/>
      <c r="N1035" s="17"/>
      <c r="O1035" s="20"/>
      <c r="P1035" s="20"/>
      <c r="Q1035" s="159"/>
      <c r="R1035" s="20"/>
      <c r="S1035" s="20"/>
      <c r="T1035" s="20"/>
      <c r="U1035" s="20"/>
      <c r="V1035" s="20"/>
      <c r="W1035" s="98"/>
      <c r="X1035" s="98"/>
      <c r="Y1035" s="98"/>
      <c r="Z1035" s="98"/>
      <c r="AA1035" s="98"/>
      <c r="AB1035" s="98"/>
      <c r="AC1035" s="98"/>
      <c r="AD1035" s="98"/>
      <c r="AE1035" s="98"/>
      <c r="AF1035" s="98"/>
      <c r="AG1035" s="98"/>
      <c r="AH1035" s="98"/>
      <c r="AI1035" s="20"/>
      <c r="AJ1035" s="20"/>
      <c r="AK1035" s="20"/>
      <c r="AL1035" s="20"/>
    </row>
    <row r="1036">
      <c r="A1036" s="156"/>
      <c r="B1036" s="20"/>
      <c r="C1036" s="20"/>
      <c r="D1036" s="20"/>
      <c r="E1036" s="20"/>
      <c r="F1036" s="20"/>
      <c r="G1036" s="20"/>
      <c r="H1036" s="20"/>
      <c r="I1036" s="20"/>
      <c r="J1036" s="21"/>
      <c r="K1036" s="98"/>
      <c r="L1036" s="98"/>
      <c r="M1036" s="17"/>
      <c r="N1036" s="17"/>
      <c r="O1036" s="20"/>
      <c r="P1036" s="20"/>
      <c r="Q1036" s="159"/>
      <c r="R1036" s="20"/>
      <c r="S1036" s="20"/>
      <c r="T1036" s="20"/>
      <c r="U1036" s="20"/>
      <c r="V1036" s="20"/>
      <c r="W1036" s="98"/>
      <c r="X1036" s="98"/>
      <c r="Y1036" s="98"/>
      <c r="Z1036" s="98"/>
      <c r="AA1036" s="98"/>
      <c r="AB1036" s="98"/>
      <c r="AC1036" s="98"/>
      <c r="AD1036" s="98"/>
      <c r="AE1036" s="98"/>
      <c r="AF1036" s="98"/>
      <c r="AG1036" s="98"/>
      <c r="AH1036" s="98"/>
      <c r="AI1036" s="20"/>
      <c r="AJ1036" s="20"/>
      <c r="AK1036" s="20"/>
      <c r="AL1036" s="20"/>
    </row>
    <row r="1037">
      <c r="A1037" s="156"/>
      <c r="B1037" s="20"/>
      <c r="C1037" s="20"/>
      <c r="D1037" s="20"/>
      <c r="E1037" s="20"/>
      <c r="F1037" s="20"/>
      <c r="G1037" s="20"/>
      <c r="H1037" s="20"/>
      <c r="I1037" s="20"/>
      <c r="J1037" s="21"/>
      <c r="K1037" s="98"/>
      <c r="L1037" s="98"/>
      <c r="M1037" s="17"/>
      <c r="N1037" s="17"/>
      <c r="O1037" s="20"/>
      <c r="P1037" s="20"/>
      <c r="Q1037" s="159"/>
      <c r="R1037" s="20"/>
      <c r="S1037" s="20"/>
      <c r="T1037" s="20"/>
      <c r="U1037" s="20"/>
      <c r="V1037" s="20"/>
      <c r="W1037" s="98"/>
      <c r="X1037" s="98"/>
      <c r="Y1037" s="98"/>
      <c r="Z1037" s="98"/>
      <c r="AA1037" s="98"/>
      <c r="AB1037" s="98"/>
      <c r="AC1037" s="98"/>
      <c r="AD1037" s="98"/>
      <c r="AE1037" s="98"/>
      <c r="AF1037" s="98"/>
      <c r="AG1037" s="98"/>
      <c r="AH1037" s="98"/>
      <c r="AI1037" s="20"/>
      <c r="AJ1037" s="20"/>
      <c r="AK1037" s="20"/>
      <c r="AL1037" s="20"/>
    </row>
    <row r="1038">
      <c r="A1038" s="156"/>
      <c r="B1038" s="20"/>
      <c r="C1038" s="20"/>
      <c r="D1038" s="20"/>
      <c r="E1038" s="20"/>
      <c r="F1038" s="20"/>
      <c r="G1038" s="20"/>
      <c r="H1038" s="20"/>
      <c r="I1038" s="20"/>
      <c r="J1038" s="21"/>
      <c r="K1038" s="98"/>
      <c r="L1038" s="98"/>
      <c r="M1038" s="17"/>
      <c r="N1038" s="17"/>
      <c r="O1038" s="20"/>
      <c r="P1038" s="20"/>
      <c r="Q1038" s="159"/>
      <c r="R1038" s="20"/>
      <c r="S1038" s="20"/>
      <c r="T1038" s="20"/>
      <c r="U1038" s="20"/>
      <c r="V1038" s="20"/>
      <c r="W1038" s="98"/>
      <c r="X1038" s="98"/>
      <c r="Y1038" s="98"/>
      <c r="Z1038" s="98"/>
      <c r="AA1038" s="98"/>
      <c r="AB1038" s="98"/>
      <c r="AC1038" s="98"/>
      <c r="AD1038" s="98"/>
      <c r="AE1038" s="98"/>
      <c r="AF1038" s="98"/>
      <c r="AG1038" s="98"/>
      <c r="AH1038" s="98"/>
      <c r="AI1038" s="20"/>
      <c r="AJ1038" s="20"/>
      <c r="AK1038" s="20"/>
      <c r="AL1038" s="20"/>
    </row>
    <row r="1039">
      <c r="A1039" s="156"/>
      <c r="B1039" s="20"/>
      <c r="C1039" s="20"/>
      <c r="D1039" s="20"/>
      <c r="E1039" s="20"/>
      <c r="F1039" s="20"/>
      <c r="G1039" s="20"/>
      <c r="H1039" s="20"/>
      <c r="I1039" s="20"/>
      <c r="J1039" s="21"/>
      <c r="K1039" s="98"/>
      <c r="L1039" s="98"/>
      <c r="M1039" s="17"/>
      <c r="N1039" s="17"/>
      <c r="O1039" s="20"/>
      <c r="P1039" s="20"/>
      <c r="Q1039" s="159"/>
      <c r="R1039" s="20"/>
      <c r="S1039" s="20"/>
      <c r="T1039" s="20"/>
      <c r="U1039" s="20"/>
      <c r="V1039" s="20"/>
      <c r="W1039" s="98"/>
      <c r="X1039" s="98"/>
      <c r="Y1039" s="98"/>
      <c r="Z1039" s="98"/>
      <c r="AA1039" s="98"/>
      <c r="AB1039" s="98"/>
      <c r="AC1039" s="98"/>
      <c r="AD1039" s="98"/>
      <c r="AE1039" s="98"/>
      <c r="AF1039" s="98"/>
      <c r="AG1039" s="98"/>
      <c r="AH1039" s="98"/>
      <c r="AI1039" s="20"/>
      <c r="AJ1039" s="20"/>
      <c r="AK1039" s="20"/>
      <c r="AL1039" s="20"/>
    </row>
    <row r="1040">
      <c r="A1040" s="156"/>
      <c r="B1040" s="20"/>
      <c r="C1040" s="20"/>
      <c r="D1040" s="20"/>
      <c r="E1040" s="20"/>
      <c r="F1040" s="20"/>
      <c r="G1040" s="20"/>
      <c r="H1040" s="20"/>
      <c r="I1040" s="20"/>
      <c r="J1040" s="21"/>
      <c r="K1040" s="98"/>
      <c r="L1040" s="98"/>
      <c r="M1040" s="17"/>
      <c r="N1040" s="17"/>
      <c r="O1040" s="20"/>
      <c r="P1040" s="20"/>
      <c r="Q1040" s="159"/>
      <c r="R1040" s="20"/>
      <c r="S1040" s="20"/>
      <c r="T1040" s="20"/>
      <c r="U1040" s="20"/>
      <c r="V1040" s="20"/>
      <c r="W1040" s="98"/>
      <c r="X1040" s="98"/>
      <c r="Y1040" s="98"/>
      <c r="Z1040" s="98"/>
      <c r="AA1040" s="98"/>
      <c r="AB1040" s="98"/>
      <c r="AC1040" s="98"/>
      <c r="AD1040" s="98"/>
      <c r="AE1040" s="98"/>
      <c r="AF1040" s="98"/>
      <c r="AG1040" s="98"/>
      <c r="AH1040" s="98"/>
      <c r="AI1040" s="20"/>
      <c r="AJ1040" s="20"/>
      <c r="AK1040" s="20"/>
      <c r="AL1040" s="20"/>
    </row>
    <row r="1041">
      <c r="A1041" s="156"/>
      <c r="B1041" s="20"/>
      <c r="C1041" s="20"/>
      <c r="D1041" s="20"/>
      <c r="E1041" s="20"/>
      <c r="F1041" s="20"/>
      <c r="G1041" s="20"/>
      <c r="H1041" s="20"/>
      <c r="I1041" s="20"/>
      <c r="J1041" s="21"/>
      <c r="K1041" s="98"/>
      <c r="L1041" s="98"/>
      <c r="M1041" s="17"/>
      <c r="N1041" s="17"/>
      <c r="O1041" s="20"/>
      <c r="P1041" s="20"/>
      <c r="Q1041" s="159"/>
      <c r="R1041" s="20"/>
      <c r="S1041" s="20"/>
      <c r="T1041" s="20"/>
      <c r="U1041" s="20"/>
      <c r="V1041" s="20"/>
      <c r="W1041" s="98"/>
      <c r="X1041" s="98"/>
      <c r="Y1041" s="98"/>
      <c r="Z1041" s="98"/>
      <c r="AA1041" s="98"/>
      <c r="AB1041" s="98"/>
      <c r="AC1041" s="98"/>
      <c r="AD1041" s="98"/>
      <c r="AE1041" s="98"/>
      <c r="AF1041" s="98"/>
      <c r="AG1041" s="98"/>
      <c r="AH1041" s="98"/>
      <c r="AI1041" s="20"/>
      <c r="AJ1041" s="20"/>
      <c r="AK1041" s="20"/>
      <c r="AL1041" s="20"/>
    </row>
    <row r="1042">
      <c r="A1042" s="156"/>
      <c r="B1042" s="20"/>
      <c r="C1042" s="20"/>
      <c r="D1042" s="20"/>
      <c r="E1042" s="20"/>
      <c r="F1042" s="20"/>
      <c r="G1042" s="20"/>
      <c r="H1042" s="20"/>
      <c r="I1042" s="20"/>
      <c r="J1042" s="21"/>
      <c r="K1042" s="98"/>
      <c r="L1042" s="98"/>
      <c r="M1042" s="17"/>
      <c r="N1042" s="17"/>
      <c r="O1042" s="20"/>
      <c r="P1042" s="20"/>
      <c r="Q1042" s="159"/>
      <c r="R1042" s="20"/>
      <c r="S1042" s="20"/>
      <c r="T1042" s="20"/>
      <c r="U1042" s="20"/>
      <c r="V1042" s="20"/>
      <c r="W1042" s="98"/>
      <c r="X1042" s="98"/>
      <c r="Y1042" s="98"/>
      <c r="Z1042" s="98"/>
      <c r="AA1042" s="98"/>
      <c r="AB1042" s="98"/>
      <c r="AC1042" s="98"/>
      <c r="AD1042" s="98"/>
      <c r="AE1042" s="98"/>
      <c r="AF1042" s="98"/>
      <c r="AG1042" s="98"/>
      <c r="AH1042" s="98"/>
      <c r="AI1042" s="20"/>
      <c r="AJ1042" s="20"/>
      <c r="AK1042" s="20"/>
      <c r="AL1042" s="20"/>
    </row>
    <row r="1043">
      <c r="A1043" s="156"/>
      <c r="B1043" s="20"/>
      <c r="C1043" s="20"/>
      <c r="D1043" s="20"/>
      <c r="E1043" s="20"/>
      <c r="F1043" s="20"/>
      <c r="G1043" s="20"/>
      <c r="H1043" s="20"/>
      <c r="I1043" s="20"/>
      <c r="J1043" s="21"/>
      <c r="K1043" s="98"/>
      <c r="L1043" s="98"/>
      <c r="M1043" s="17"/>
      <c r="N1043" s="17"/>
      <c r="O1043" s="20"/>
      <c r="P1043" s="20"/>
      <c r="Q1043" s="159"/>
      <c r="R1043" s="20"/>
      <c r="S1043" s="20"/>
      <c r="T1043" s="20"/>
      <c r="U1043" s="20"/>
      <c r="V1043" s="20"/>
      <c r="W1043" s="98"/>
      <c r="X1043" s="98"/>
      <c r="Y1043" s="98"/>
      <c r="Z1043" s="98"/>
      <c r="AA1043" s="98"/>
      <c r="AB1043" s="98"/>
      <c r="AC1043" s="98"/>
      <c r="AD1043" s="98"/>
      <c r="AE1043" s="98"/>
      <c r="AF1043" s="98"/>
      <c r="AG1043" s="98"/>
      <c r="AH1043" s="98"/>
      <c r="AI1043" s="20"/>
      <c r="AJ1043" s="20"/>
      <c r="AK1043" s="20"/>
      <c r="AL1043" s="20"/>
    </row>
    <row r="1044">
      <c r="A1044" s="156"/>
      <c r="B1044" s="20"/>
      <c r="C1044" s="20"/>
      <c r="D1044" s="20"/>
      <c r="E1044" s="20"/>
      <c r="F1044" s="20"/>
      <c r="G1044" s="20"/>
      <c r="H1044" s="20"/>
      <c r="I1044" s="20"/>
      <c r="J1044" s="21"/>
      <c r="K1044" s="98"/>
      <c r="L1044" s="98"/>
      <c r="M1044" s="17"/>
      <c r="N1044" s="17"/>
      <c r="O1044" s="20"/>
      <c r="P1044" s="20"/>
      <c r="Q1044" s="159"/>
      <c r="R1044" s="20"/>
      <c r="S1044" s="20"/>
      <c r="T1044" s="20"/>
      <c r="U1044" s="20"/>
      <c r="V1044" s="20"/>
      <c r="W1044" s="98"/>
      <c r="X1044" s="98"/>
      <c r="Y1044" s="98"/>
      <c r="Z1044" s="98"/>
      <c r="AA1044" s="98"/>
      <c r="AB1044" s="98"/>
      <c r="AC1044" s="98"/>
      <c r="AD1044" s="98"/>
      <c r="AE1044" s="98"/>
      <c r="AF1044" s="98"/>
      <c r="AG1044" s="98"/>
      <c r="AH1044" s="98"/>
      <c r="AI1044" s="20"/>
      <c r="AJ1044" s="20"/>
      <c r="AK1044" s="20"/>
      <c r="AL1044" s="20"/>
    </row>
    <row r="1045">
      <c r="A1045" s="156"/>
      <c r="B1045" s="20"/>
      <c r="C1045" s="20"/>
      <c r="D1045" s="20"/>
      <c r="E1045" s="20"/>
      <c r="F1045" s="20"/>
      <c r="G1045" s="20"/>
      <c r="H1045" s="20"/>
      <c r="I1045" s="20"/>
      <c r="J1045" s="21"/>
      <c r="K1045" s="98"/>
      <c r="L1045" s="98"/>
      <c r="M1045" s="17"/>
      <c r="N1045" s="17"/>
      <c r="O1045" s="20"/>
      <c r="P1045" s="20"/>
      <c r="Q1045" s="159"/>
      <c r="R1045" s="20"/>
      <c r="S1045" s="20"/>
      <c r="T1045" s="20"/>
      <c r="U1045" s="20"/>
      <c r="V1045" s="20"/>
      <c r="W1045" s="98"/>
      <c r="X1045" s="98"/>
      <c r="Y1045" s="98"/>
      <c r="Z1045" s="98"/>
      <c r="AA1045" s="98"/>
      <c r="AB1045" s="98"/>
      <c r="AC1045" s="98"/>
      <c r="AD1045" s="98"/>
      <c r="AE1045" s="98"/>
      <c r="AF1045" s="98"/>
      <c r="AG1045" s="98"/>
      <c r="AH1045" s="98"/>
      <c r="AI1045" s="20"/>
      <c r="AJ1045" s="20"/>
      <c r="AK1045" s="20"/>
      <c r="AL1045" s="20"/>
    </row>
    <row r="1046">
      <c r="A1046" s="156"/>
      <c r="B1046" s="20"/>
      <c r="C1046" s="20"/>
      <c r="D1046" s="20"/>
      <c r="E1046" s="20"/>
      <c r="F1046" s="20"/>
      <c r="G1046" s="20"/>
      <c r="H1046" s="20"/>
      <c r="I1046" s="20"/>
      <c r="J1046" s="21"/>
      <c r="K1046" s="98"/>
      <c r="L1046" s="98"/>
      <c r="M1046" s="17"/>
      <c r="N1046" s="17"/>
      <c r="O1046" s="20"/>
      <c r="P1046" s="20"/>
      <c r="Q1046" s="159"/>
      <c r="R1046" s="20"/>
      <c r="S1046" s="20"/>
      <c r="T1046" s="20"/>
      <c r="U1046" s="20"/>
      <c r="V1046" s="20"/>
      <c r="W1046" s="98"/>
      <c r="X1046" s="98"/>
      <c r="Y1046" s="98"/>
      <c r="Z1046" s="98"/>
      <c r="AA1046" s="98"/>
      <c r="AB1046" s="98"/>
      <c r="AC1046" s="98"/>
      <c r="AD1046" s="98"/>
      <c r="AE1046" s="98"/>
      <c r="AF1046" s="98"/>
      <c r="AG1046" s="98"/>
      <c r="AH1046" s="98"/>
      <c r="AI1046" s="20"/>
      <c r="AJ1046" s="20"/>
      <c r="AK1046" s="20"/>
      <c r="AL1046" s="20"/>
    </row>
    <row r="1047">
      <c r="A1047" s="156"/>
      <c r="B1047" s="20"/>
      <c r="C1047" s="20"/>
      <c r="D1047" s="20"/>
      <c r="E1047" s="20"/>
      <c r="F1047" s="20"/>
      <c r="G1047" s="20"/>
      <c r="H1047" s="20"/>
      <c r="I1047" s="20"/>
      <c r="J1047" s="21"/>
      <c r="K1047" s="98"/>
      <c r="L1047" s="98"/>
      <c r="M1047" s="17"/>
      <c r="N1047" s="17"/>
      <c r="O1047" s="20"/>
      <c r="P1047" s="20"/>
      <c r="Q1047" s="159"/>
      <c r="R1047" s="20"/>
      <c r="S1047" s="20"/>
      <c r="T1047" s="20"/>
      <c r="U1047" s="20"/>
      <c r="V1047" s="20"/>
      <c r="W1047" s="98"/>
      <c r="X1047" s="98"/>
      <c r="Y1047" s="98"/>
      <c r="Z1047" s="98"/>
      <c r="AA1047" s="98"/>
      <c r="AB1047" s="98"/>
      <c r="AC1047" s="98"/>
      <c r="AD1047" s="98"/>
      <c r="AE1047" s="98"/>
      <c r="AF1047" s="98"/>
      <c r="AG1047" s="98"/>
      <c r="AH1047" s="98"/>
      <c r="AI1047" s="20"/>
      <c r="AJ1047" s="20"/>
      <c r="AK1047" s="20"/>
      <c r="AL1047" s="20"/>
    </row>
    <row r="1048">
      <c r="A1048" s="156"/>
      <c r="B1048" s="20"/>
      <c r="C1048" s="20"/>
      <c r="D1048" s="20"/>
      <c r="E1048" s="20"/>
      <c r="F1048" s="20"/>
      <c r="G1048" s="20"/>
      <c r="H1048" s="20"/>
      <c r="I1048" s="20"/>
      <c r="J1048" s="21"/>
      <c r="K1048" s="98"/>
      <c r="L1048" s="98"/>
      <c r="M1048" s="17"/>
      <c r="N1048" s="17"/>
      <c r="O1048" s="20"/>
      <c r="P1048" s="20"/>
      <c r="Q1048" s="159"/>
      <c r="R1048" s="20"/>
      <c r="S1048" s="20"/>
      <c r="T1048" s="20"/>
      <c r="U1048" s="20"/>
      <c r="V1048" s="20"/>
      <c r="W1048" s="98"/>
      <c r="X1048" s="98"/>
      <c r="Y1048" s="98"/>
      <c r="Z1048" s="98"/>
      <c r="AA1048" s="98"/>
      <c r="AB1048" s="98"/>
      <c r="AC1048" s="98"/>
      <c r="AD1048" s="98"/>
      <c r="AE1048" s="98"/>
      <c r="AF1048" s="98"/>
      <c r="AG1048" s="98"/>
      <c r="AH1048" s="98"/>
      <c r="AI1048" s="20"/>
      <c r="AJ1048" s="20"/>
      <c r="AK1048" s="20"/>
      <c r="AL1048" s="20"/>
    </row>
    <row r="1049">
      <c r="A1049" s="156"/>
      <c r="B1049" s="20"/>
      <c r="C1049" s="20"/>
      <c r="D1049" s="20"/>
      <c r="E1049" s="20"/>
      <c r="F1049" s="20"/>
      <c r="G1049" s="20"/>
      <c r="H1049" s="20"/>
      <c r="I1049" s="20"/>
      <c r="J1049" s="21"/>
      <c r="K1049" s="98"/>
      <c r="L1049" s="98"/>
      <c r="M1049" s="17"/>
      <c r="N1049" s="17"/>
      <c r="O1049" s="20"/>
      <c r="P1049" s="20"/>
      <c r="Q1049" s="159"/>
      <c r="R1049" s="20"/>
      <c r="S1049" s="20"/>
      <c r="T1049" s="20"/>
      <c r="U1049" s="20"/>
      <c r="V1049" s="20"/>
      <c r="W1049" s="98"/>
      <c r="X1049" s="98"/>
      <c r="Y1049" s="98"/>
      <c r="Z1049" s="98"/>
      <c r="AA1049" s="98"/>
      <c r="AB1049" s="98"/>
      <c r="AC1049" s="98"/>
      <c r="AD1049" s="98"/>
      <c r="AE1049" s="98"/>
      <c r="AF1049" s="98"/>
      <c r="AG1049" s="98"/>
      <c r="AH1049" s="98"/>
      <c r="AI1049" s="20"/>
      <c r="AJ1049" s="20"/>
      <c r="AK1049" s="20"/>
      <c r="AL1049" s="20"/>
    </row>
    <row r="1050">
      <c r="A1050" s="156"/>
      <c r="B1050" s="20"/>
      <c r="C1050" s="20"/>
      <c r="D1050" s="20"/>
      <c r="E1050" s="20"/>
      <c r="F1050" s="20"/>
      <c r="G1050" s="20"/>
      <c r="H1050" s="20"/>
      <c r="I1050" s="20"/>
      <c r="J1050" s="21"/>
      <c r="K1050" s="98"/>
      <c r="L1050" s="98"/>
      <c r="M1050" s="17"/>
      <c r="N1050" s="17"/>
      <c r="O1050" s="20"/>
      <c r="P1050" s="20"/>
      <c r="Q1050" s="159"/>
      <c r="R1050" s="20"/>
      <c r="S1050" s="20"/>
      <c r="T1050" s="20"/>
      <c r="U1050" s="20"/>
      <c r="V1050" s="20"/>
      <c r="W1050" s="98"/>
      <c r="X1050" s="98"/>
      <c r="Y1050" s="98"/>
      <c r="Z1050" s="98"/>
      <c r="AA1050" s="98"/>
      <c r="AB1050" s="98"/>
      <c r="AC1050" s="98"/>
      <c r="AD1050" s="98"/>
      <c r="AE1050" s="98"/>
      <c r="AF1050" s="98"/>
      <c r="AG1050" s="98"/>
      <c r="AH1050" s="98"/>
      <c r="AI1050" s="20"/>
      <c r="AJ1050" s="20"/>
      <c r="AK1050" s="20"/>
      <c r="AL1050" s="20"/>
    </row>
    <row r="1051">
      <c r="A1051" s="156"/>
      <c r="B1051" s="20"/>
      <c r="C1051" s="20"/>
      <c r="D1051" s="20"/>
      <c r="E1051" s="20"/>
      <c r="F1051" s="20"/>
      <c r="G1051" s="20"/>
      <c r="H1051" s="20"/>
      <c r="I1051" s="20"/>
      <c r="J1051" s="21"/>
      <c r="K1051" s="98"/>
      <c r="L1051" s="98"/>
      <c r="M1051" s="17"/>
      <c r="N1051" s="17"/>
      <c r="O1051" s="20"/>
      <c r="P1051" s="20"/>
      <c r="Q1051" s="159"/>
      <c r="R1051" s="20"/>
      <c r="S1051" s="20"/>
      <c r="T1051" s="20"/>
      <c r="U1051" s="20"/>
      <c r="V1051" s="20"/>
      <c r="W1051" s="98"/>
      <c r="X1051" s="98"/>
      <c r="Y1051" s="98"/>
      <c r="Z1051" s="98"/>
      <c r="AA1051" s="98"/>
      <c r="AB1051" s="98"/>
      <c r="AC1051" s="98"/>
      <c r="AD1051" s="98"/>
      <c r="AE1051" s="98"/>
      <c r="AF1051" s="98"/>
      <c r="AG1051" s="98"/>
      <c r="AH1051" s="98"/>
      <c r="AI1051" s="20"/>
      <c r="AJ1051" s="20"/>
      <c r="AK1051" s="20"/>
      <c r="AL1051" s="20"/>
    </row>
    <row r="1052">
      <c r="A1052" s="156"/>
      <c r="B1052" s="20"/>
      <c r="C1052" s="20"/>
      <c r="D1052" s="20"/>
      <c r="E1052" s="20"/>
      <c r="F1052" s="20"/>
      <c r="G1052" s="20"/>
      <c r="H1052" s="20"/>
      <c r="I1052" s="20"/>
      <c r="J1052" s="21"/>
      <c r="K1052" s="98"/>
      <c r="L1052" s="98"/>
      <c r="M1052" s="17"/>
      <c r="N1052" s="17"/>
      <c r="O1052" s="20"/>
      <c r="P1052" s="20"/>
      <c r="Q1052" s="159"/>
      <c r="R1052" s="20"/>
      <c r="S1052" s="20"/>
      <c r="T1052" s="20"/>
      <c r="U1052" s="20"/>
      <c r="V1052" s="20"/>
      <c r="W1052" s="98"/>
      <c r="X1052" s="98"/>
      <c r="Y1052" s="98"/>
      <c r="Z1052" s="98"/>
      <c r="AA1052" s="98"/>
      <c r="AB1052" s="98"/>
      <c r="AC1052" s="98"/>
      <c r="AD1052" s="98"/>
      <c r="AE1052" s="98"/>
      <c r="AF1052" s="98"/>
      <c r="AG1052" s="98"/>
      <c r="AH1052" s="98"/>
      <c r="AI1052" s="20"/>
      <c r="AJ1052" s="20"/>
      <c r="AK1052" s="20"/>
      <c r="AL1052" s="20"/>
    </row>
    <row r="1053">
      <c r="A1053" s="156"/>
      <c r="B1053" s="20"/>
      <c r="C1053" s="20"/>
      <c r="D1053" s="20"/>
      <c r="E1053" s="20"/>
      <c r="F1053" s="20"/>
      <c r="G1053" s="20"/>
      <c r="H1053" s="20"/>
      <c r="I1053" s="20"/>
      <c r="J1053" s="21"/>
      <c r="K1053" s="98"/>
      <c r="L1053" s="98"/>
      <c r="M1053" s="17"/>
      <c r="N1053" s="17"/>
      <c r="O1053" s="20"/>
      <c r="P1053" s="20"/>
      <c r="Q1053" s="159"/>
      <c r="R1053" s="20"/>
      <c r="S1053" s="20"/>
      <c r="T1053" s="20"/>
      <c r="U1053" s="20"/>
      <c r="V1053" s="20"/>
      <c r="W1053" s="98"/>
      <c r="X1053" s="98"/>
      <c r="Y1053" s="98"/>
      <c r="Z1053" s="98"/>
      <c r="AA1053" s="98"/>
      <c r="AB1053" s="98"/>
      <c r="AC1053" s="98"/>
      <c r="AD1053" s="98"/>
      <c r="AE1053" s="98"/>
      <c r="AF1053" s="98"/>
      <c r="AG1053" s="98"/>
      <c r="AH1053" s="98"/>
      <c r="AI1053" s="20"/>
      <c r="AJ1053" s="20"/>
      <c r="AK1053" s="20"/>
      <c r="AL1053" s="20"/>
    </row>
    <row r="1054">
      <c r="A1054" s="156"/>
      <c r="B1054" s="20"/>
      <c r="C1054" s="20"/>
      <c r="D1054" s="20"/>
      <c r="E1054" s="20"/>
      <c r="F1054" s="20"/>
      <c r="G1054" s="20"/>
      <c r="H1054" s="20"/>
      <c r="I1054" s="20"/>
      <c r="J1054" s="21"/>
      <c r="K1054" s="98"/>
      <c r="L1054" s="98"/>
      <c r="M1054" s="17"/>
      <c r="N1054" s="17"/>
      <c r="O1054" s="20"/>
      <c r="P1054" s="20"/>
      <c r="Q1054" s="159"/>
      <c r="R1054" s="20"/>
      <c r="S1054" s="20"/>
      <c r="T1054" s="20"/>
      <c r="U1054" s="20"/>
      <c r="V1054" s="20"/>
      <c r="W1054" s="98"/>
      <c r="X1054" s="98"/>
      <c r="Y1054" s="98"/>
      <c r="Z1054" s="98"/>
      <c r="AA1054" s="98"/>
      <c r="AB1054" s="98"/>
      <c r="AC1054" s="98"/>
      <c r="AD1054" s="98"/>
      <c r="AE1054" s="98"/>
      <c r="AF1054" s="98"/>
      <c r="AG1054" s="98"/>
      <c r="AH1054" s="98"/>
      <c r="AI1054" s="20"/>
      <c r="AJ1054" s="20"/>
      <c r="AK1054" s="20"/>
      <c r="AL1054" s="20"/>
    </row>
    <row r="1055">
      <c r="A1055" s="156"/>
      <c r="B1055" s="20"/>
      <c r="C1055" s="20"/>
      <c r="D1055" s="20"/>
      <c r="E1055" s="20"/>
      <c r="F1055" s="20"/>
      <c r="G1055" s="20"/>
      <c r="H1055" s="20"/>
      <c r="I1055" s="20"/>
      <c r="J1055" s="21"/>
      <c r="K1055" s="98"/>
      <c r="L1055" s="98"/>
      <c r="M1055" s="17"/>
      <c r="N1055" s="17"/>
      <c r="O1055" s="20"/>
      <c r="P1055" s="20"/>
      <c r="Q1055" s="159"/>
      <c r="R1055" s="20"/>
      <c r="S1055" s="20"/>
      <c r="T1055" s="20"/>
      <c r="U1055" s="20"/>
      <c r="V1055" s="20"/>
      <c r="W1055" s="98"/>
      <c r="X1055" s="98"/>
      <c r="Y1055" s="98"/>
      <c r="Z1055" s="98"/>
      <c r="AA1055" s="98"/>
      <c r="AB1055" s="98"/>
      <c r="AC1055" s="98"/>
      <c r="AD1055" s="98"/>
      <c r="AE1055" s="98"/>
      <c r="AF1055" s="98"/>
      <c r="AG1055" s="98"/>
      <c r="AH1055" s="98"/>
      <c r="AI1055" s="20"/>
      <c r="AJ1055" s="20"/>
      <c r="AK1055" s="20"/>
      <c r="AL1055" s="20"/>
    </row>
    <row r="1056">
      <c r="A1056" s="156"/>
      <c r="B1056" s="20"/>
      <c r="C1056" s="20"/>
      <c r="D1056" s="20"/>
      <c r="E1056" s="20"/>
      <c r="F1056" s="20"/>
      <c r="G1056" s="20"/>
      <c r="H1056" s="20"/>
      <c r="I1056" s="20"/>
      <c r="J1056" s="21"/>
      <c r="K1056" s="98"/>
      <c r="L1056" s="98"/>
      <c r="M1056" s="17"/>
      <c r="N1056" s="17"/>
      <c r="O1056" s="20"/>
      <c r="P1056" s="20"/>
      <c r="Q1056" s="159"/>
      <c r="R1056" s="20"/>
      <c r="S1056" s="20"/>
      <c r="T1056" s="20"/>
      <c r="U1056" s="20"/>
      <c r="V1056" s="20"/>
      <c r="W1056" s="98"/>
      <c r="X1056" s="98"/>
      <c r="Y1056" s="98"/>
      <c r="Z1056" s="98"/>
      <c r="AA1056" s="98"/>
      <c r="AB1056" s="98"/>
      <c r="AC1056" s="98"/>
      <c r="AD1056" s="98"/>
      <c r="AE1056" s="98"/>
      <c r="AF1056" s="98"/>
      <c r="AG1056" s="98"/>
      <c r="AH1056" s="98"/>
      <c r="AI1056" s="20"/>
      <c r="AJ1056" s="20"/>
      <c r="AK1056" s="20"/>
      <c r="AL1056" s="20"/>
    </row>
    <row r="1057">
      <c r="A1057" s="156"/>
      <c r="B1057" s="20"/>
      <c r="C1057" s="20"/>
      <c r="D1057" s="20"/>
      <c r="E1057" s="20"/>
      <c r="F1057" s="20"/>
      <c r="G1057" s="20"/>
      <c r="H1057" s="20"/>
      <c r="I1057" s="20"/>
      <c r="J1057" s="21"/>
      <c r="K1057" s="98"/>
      <c r="L1057" s="98"/>
      <c r="M1057" s="17"/>
      <c r="N1057" s="17"/>
      <c r="O1057" s="20"/>
      <c r="P1057" s="20"/>
      <c r="Q1057" s="159"/>
      <c r="R1057" s="20"/>
      <c r="S1057" s="20"/>
      <c r="T1057" s="20"/>
      <c r="U1057" s="20"/>
      <c r="V1057" s="20"/>
      <c r="W1057" s="98"/>
      <c r="X1057" s="98"/>
      <c r="Y1057" s="98"/>
      <c r="Z1057" s="98"/>
      <c r="AA1057" s="98"/>
      <c r="AB1057" s="98"/>
      <c r="AC1057" s="98"/>
      <c r="AD1057" s="98"/>
      <c r="AE1057" s="98"/>
      <c r="AF1057" s="98"/>
      <c r="AG1057" s="98"/>
      <c r="AH1057" s="98"/>
      <c r="AI1057" s="20"/>
      <c r="AJ1057" s="20"/>
      <c r="AK1057" s="20"/>
      <c r="AL1057" s="20"/>
    </row>
    <row r="1058">
      <c r="A1058" s="156"/>
      <c r="B1058" s="20"/>
      <c r="C1058" s="20"/>
      <c r="D1058" s="20"/>
      <c r="E1058" s="20"/>
      <c r="F1058" s="20"/>
      <c r="G1058" s="20"/>
      <c r="H1058" s="20"/>
      <c r="I1058" s="20"/>
      <c r="J1058" s="21"/>
      <c r="K1058" s="98"/>
      <c r="L1058" s="98"/>
      <c r="M1058" s="17"/>
      <c r="N1058" s="17"/>
      <c r="O1058" s="20"/>
      <c r="P1058" s="20"/>
      <c r="Q1058" s="159"/>
      <c r="R1058" s="20"/>
      <c r="S1058" s="20"/>
      <c r="T1058" s="20"/>
      <c r="U1058" s="20"/>
      <c r="V1058" s="20"/>
      <c r="W1058" s="98"/>
      <c r="X1058" s="98"/>
      <c r="Y1058" s="98"/>
      <c r="Z1058" s="98"/>
      <c r="AA1058" s="98"/>
      <c r="AB1058" s="98"/>
      <c r="AC1058" s="98"/>
      <c r="AD1058" s="98"/>
      <c r="AE1058" s="98"/>
      <c r="AF1058" s="98"/>
      <c r="AG1058" s="98"/>
      <c r="AH1058" s="98"/>
      <c r="AI1058" s="20"/>
      <c r="AJ1058" s="20"/>
      <c r="AK1058" s="20"/>
      <c r="AL1058" s="20"/>
    </row>
    <row r="1059">
      <c r="A1059" s="156"/>
      <c r="B1059" s="20"/>
      <c r="C1059" s="20"/>
      <c r="D1059" s="20"/>
      <c r="E1059" s="20"/>
      <c r="F1059" s="20"/>
      <c r="G1059" s="20"/>
      <c r="H1059" s="20"/>
      <c r="I1059" s="20"/>
      <c r="J1059" s="21"/>
      <c r="K1059" s="98"/>
      <c r="L1059" s="98"/>
      <c r="M1059" s="17"/>
      <c r="N1059" s="17"/>
      <c r="O1059" s="20"/>
      <c r="P1059" s="20"/>
      <c r="Q1059" s="159"/>
      <c r="R1059" s="20"/>
      <c r="S1059" s="20"/>
      <c r="T1059" s="20"/>
      <c r="U1059" s="20"/>
      <c r="V1059" s="20"/>
      <c r="W1059" s="98"/>
      <c r="X1059" s="98"/>
      <c r="Y1059" s="98"/>
      <c r="Z1059" s="98"/>
      <c r="AA1059" s="98"/>
      <c r="AB1059" s="98"/>
      <c r="AC1059" s="98"/>
      <c r="AD1059" s="98"/>
      <c r="AE1059" s="98"/>
      <c r="AF1059" s="98"/>
      <c r="AG1059" s="98"/>
      <c r="AH1059" s="98"/>
      <c r="AI1059" s="20"/>
      <c r="AJ1059" s="20"/>
      <c r="AK1059" s="20"/>
      <c r="AL1059" s="20"/>
    </row>
    <row r="1060">
      <c r="A1060" s="156"/>
      <c r="B1060" s="20"/>
      <c r="C1060" s="20"/>
      <c r="D1060" s="20"/>
      <c r="E1060" s="20"/>
      <c r="F1060" s="20"/>
      <c r="G1060" s="20"/>
      <c r="H1060" s="20"/>
      <c r="I1060" s="20"/>
      <c r="J1060" s="21"/>
      <c r="K1060" s="98"/>
      <c r="L1060" s="98"/>
      <c r="M1060" s="17"/>
      <c r="N1060" s="17"/>
      <c r="O1060" s="20"/>
      <c r="P1060" s="20"/>
      <c r="Q1060" s="159"/>
      <c r="R1060" s="20"/>
      <c r="S1060" s="20"/>
      <c r="T1060" s="20"/>
      <c r="U1060" s="20"/>
      <c r="V1060" s="20"/>
      <c r="W1060" s="98"/>
      <c r="X1060" s="98"/>
      <c r="Y1060" s="98"/>
      <c r="Z1060" s="98"/>
      <c r="AA1060" s="98"/>
      <c r="AB1060" s="98"/>
      <c r="AC1060" s="98"/>
      <c r="AD1060" s="98"/>
      <c r="AE1060" s="98"/>
      <c r="AF1060" s="98"/>
      <c r="AG1060" s="98"/>
      <c r="AH1060" s="98"/>
      <c r="AI1060" s="20"/>
      <c r="AJ1060" s="20"/>
      <c r="AK1060" s="20"/>
      <c r="AL1060" s="20"/>
    </row>
    <row r="1061">
      <c r="A1061" s="156"/>
      <c r="B1061" s="20"/>
      <c r="C1061" s="20"/>
      <c r="D1061" s="20"/>
      <c r="E1061" s="20"/>
      <c r="F1061" s="20"/>
      <c r="G1061" s="20"/>
      <c r="H1061" s="20"/>
      <c r="I1061" s="20"/>
      <c r="J1061" s="21"/>
      <c r="K1061" s="98"/>
      <c r="L1061" s="98"/>
      <c r="M1061" s="17"/>
      <c r="N1061" s="17"/>
      <c r="O1061" s="20"/>
      <c r="P1061" s="20"/>
      <c r="Q1061" s="159"/>
      <c r="R1061" s="20"/>
      <c r="S1061" s="20"/>
      <c r="T1061" s="20"/>
      <c r="U1061" s="20"/>
      <c r="V1061" s="20"/>
      <c r="W1061" s="98"/>
      <c r="X1061" s="98"/>
      <c r="Y1061" s="98"/>
      <c r="Z1061" s="98"/>
      <c r="AA1061" s="98"/>
      <c r="AB1061" s="98"/>
      <c r="AC1061" s="98"/>
      <c r="AD1061" s="98"/>
      <c r="AE1061" s="98"/>
      <c r="AF1061" s="98"/>
      <c r="AG1061" s="98"/>
      <c r="AH1061" s="98"/>
      <c r="AI1061" s="20"/>
      <c r="AJ1061" s="20"/>
      <c r="AK1061" s="20"/>
      <c r="AL1061" s="20"/>
    </row>
    <row r="1062">
      <c r="A1062" s="156"/>
      <c r="B1062" s="20"/>
      <c r="C1062" s="20"/>
      <c r="D1062" s="20"/>
      <c r="E1062" s="20"/>
      <c r="F1062" s="20"/>
      <c r="G1062" s="20"/>
      <c r="H1062" s="20"/>
      <c r="I1062" s="20"/>
      <c r="J1062" s="21"/>
      <c r="K1062" s="98"/>
      <c r="L1062" s="98"/>
      <c r="M1062" s="17"/>
      <c r="N1062" s="17"/>
      <c r="O1062" s="20"/>
      <c r="P1062" s="20"/>
      <c r="Q1062" s="159"/>
      <c r="R1062" s="20"/>
      <c r="S1062" s="20"/>
      <c r="T1062" s="20"/>
      <c r="U1062" s="20"/>
      <c r="V1062" s="20"/>
      <c r="W1062" s="98"/>
      <c r="X1062" s="98"/>
      <c r="Y1062" s="98"/>
      <c r="Z1062" s="98"/>
      <c r="AA1062" s="98"/>
      <c r="AB1062" s="98"/>
      <c r="AC1062" s="98"/>
      <c r="AD1062" s="98"/>
      <c r="AE1062" s="98"/>
      <c r="AF1062" s="98"/>
      <c r="AG1062" s="98"/>
      <c r="AH1062" s="98"/>
      <c r="AI1062" s="20"/>
      <c r="AJ1062" s="20"/>
      <c r="AK1062" s="20"/>
      <c r="AL1062" s="20"/>
    </row>
    <row r="1063">
      <c r="A1063" s="156"/>
      <c r="B1063" s="20"/>
      <c r="C1063" s="20"/>
      <c r="D1063" s="20"/>
      <c r="E1063" s="20"/>
      <c r="F1063" s="20"/>
      <c r="G1063" s="20"/>
      <c r="H1063" s="20"/>
      <c r="I1063" s="20"/>
      <c r="J1063" s="21"/>
      <c r="K1063" s="98"/>
      <c r="L1063" s="98"/>
      <c r="M1063" s="17"/>
      <c r="N1063" s="17"/>
      <c r="O1063" s="20"/>
      <c r="P1063" s="20"/>
      <c r="Q1063" s="159"/>
      <c r="R1063" s="20"/>
      <c r="S1063" s="20"/>
      <c r="T1063" s="20"/>
      <c r="U1063" s="20"/>
      <c r="V1063" s="20"/>
      <c r="W1063" s="98"/>
      <c r="X1063" s="98"/>
      <c r="Y1063" s="98"/>
      <c r="Z1063" s="98"/>
      <c r="AA1063" s="98"/>
      <c r="AB1063" s="98"/>
      <c r="AC1063" s="98"/>
      <c r="AD1063" s="98"/>
      <c r="AE1063" s="98"/>
      <c r="AF1063" s="98"/>
      <c r="AG1063" s="98"/>
      <c r="AH1063" s="98"/>
      <c r="AI1063" s="20"/>
      <c r="AJ1063" s="20"/>
      <c r="AK1063" s="20"/>
      <c r="AL1063" s="20"/>
    </row>
    <row r="1064">
      <c r="A1064" s="156"/>
      <c r="B1064" s="20"/>
      <c r="C1064" s="20"/>
      <c r="D1064" s="20"/>
      <c r="E1064" s="20"/>
      <c r="F1064" s="20"/>
      <c r="G1064" s="20"/>
      <c r="H1064" s="20"/>
      <c r="I1064" s="20"/>
      <c r="J1064" s="21"/>
      <c r="K1064" s="98"/>
      <c r="L1064" s="98"/>
      <c r="M1064" s="17"/>
      <c r="N1064" s="17"/>
      <c r="O1064" s="20"/>
      <c r="P1064" s="20"/>
      <c r="Q1064" s="159"/>
      <c r="R1064" s="20"/>
      <c r="S1064" s="20"/>
      <c r="T1064" s="20"/>
      <c r="U1064" s="20"/>
      <c r="V1064" s="20"/>
      <c r="W1064" s="98"/>
      <c r="X1064" s="98"/>
      <c r="Y1064" s="98"/>
      <c r="Z1064" s="98"/>
      <c r="AA1064" s="98"/>
      <c r="AB1064" s="98"/>
      <c r="AC1064" s="98"/>
      <c r="AD1064" s="98"/>
      <c r="AE1064" s="98"/>
      <c r="AF1064" s="98"/>
      <c r="AG1064" s="98"/>
      <c r="AH1064" s="98"/>
      <c r="AI1064" s="20"/>
      <c r="AJ1064" s="20"/>
      <c r="AK1064" s="20"/>
      <c r="AL1064" s="20"/>
    </row>
    <row r="1065">
      <c r="A1065" s="156"/>
      <c r="B1065" s="20"/>
      <c r="C1065" s="20"/>
      <c r="D1065" s="20"/>
      <c r="E1065" s="20"/>
      <c r="F1065" s="20"/>
      <c r="G1065" s="20"/>
      <c r="H1065" s="20"/>
      <c r="I1065" s="20"/>
      <c r="J1065" s="21"/>
      <c r="K1065" s="98"/>
      <c r="L1065" s="98"/>
      <c r="M1065" s="17"/>
      <c r="N1065" s="17"/>
      <c r="O1065" s="20"/>
      <c r="P1065" s="20"/>
      <c r="Q1065" s="159"/>
      <c r="R1065" s="20"/>
      <c r="S1065" s="20"/>
      <c r="T1065" s="20"/>
      <c r="U1065" s="20"/>
      <c r="V1065" s="20"/>
      <c r="W1065" s="98"/>
      <c r="X1065" s="98"/>
      <c r="Y1065" s="98"/>
      <c r="Z1065" s="98"/>
      <c r="AA1065" s="98"/>
      <c r="AB1065" s="98"/>
      <c r="AC1065" s="98"/>
      <c r="AD1065" s="98"/>
      <c r="AE1065" s="98"/>
      <c r="AF1065" s="98"/>
      <c r="AG1065" s="98"/>
      <c r="AH1065" s="98"/>
      <c r="AI1065" s="20"/>
      <c r="AJ1065" s="20"/>
      <c r="AK1065" s="20"/>
      <c r="AL1065" s="20"/>
    </row>
    <row r="1066">
      <c r="A1066" s="156"/>
      <c r="B1066" s="20"/>
      <c r="C1066" s="20"/>
      <c r="D1066" s="20"/>
      <c r="E1066" s="20"/>
      <c r="F1066" s="20"/>
      <c r="G1066" s="20"/>
      <c r="H1066" s="20"/>
      <c r="I1066" s="20"/>
      <c r="J1066" s="21"/>
      <c r="K1066" s="98"/>
      <c r="L1066" s="98"/>
      <c r="M1066" s="17"/>
      <c r="N1066" s="17"/>
      <c r="O1066" s="20"/>
      <c r="P1066" s="20"/>
      <c r="Q1066" s="159"/>
      <c r="R1066" s="20"/>
      <c r="S1066" s="20"/>
      <c r="T1066" s="20"/>
      <c r="U1066" s="20"/>
      <c r="V1066" s="20"/>
      <c r="W1066" s="98"/>
      <c r="X1066" s="98"/>
      <c r="Y1066" s="98"/>
      <c r="Z1066" s="98"/>
      <c r="AA1066" s="98"/>
      <c r="AB1066" s="98"/>
      <c r="AC1066" s="98"/>
      <c r="AD1066" s="98"/>
      <c r="AE1066" s="98"/>
      <c r="AF1066" s="98"/>
      <c r="AG1066" s="98"/>
      <c r="AH1066" s="98"/>
      <c r="AI1066" s="20"/>
      <c r="AJ1066" s="20"/>
      <c r="AK1066" s="20"/>
      <c r="AL1066" s="20"/>
    </row>
    <row r="1067">
      <c r="A1067" s="156"/>
      <c r="B1067" s="20"/>
      <c r="C1067" s="20"/>
      <c r="D1067" s="20"/>
      <c r="E1067" s="20"/>
      <c r="F1067" s="20"/>
      <c r="G1067" s="20"/>
      <c r="H1067" s="20"/>
      <c r="I1067" s="20"/>
      <c r="J1067" s="21"/>
      <c r="K1067" s="98"/>
      <c r="L1067" s="98"/>
      <c r="M1067" s="17"/>
      <c r="N1067" s="17"/>
      <c r="O1067" s="20"/>
      <c r="P1067" s="20"/>
      <c r="Q1067" s="159"/>
      <c r="R1067" s="20"/>
      <c r="S1067" s="20"/>
      <c r="T1067" s="20"/>
      <c r="U1067" s="20"/>
      <c r="V1067" s="20"/>
      <c r="W1067" s="98"/>
      <c r="X1067" s="98"/>
      <c r="Y1067" s="98"/>
      <c r="Z1067" s="98"/>
      <c r="AA1067" s="98"/>
      <c r="AB1067" s="98"/>
      <c r="AC1067" s="98"/>
      <c r="AD1067" s="98"/>
      <c r="AE1067" s="98"/>
      <c r="AF1067" s="98"/>
      <c r="AG1067" s="98"/>
      <c r="AH1067" s="98"/>
      <c r="AI1067" s="20"/>
      <c r="AJ1067" s="20"/>
      <c r="AK1067" s="20"/>
      <c r="AL1067" s="20"/>
    </row>
    <row r="1068">
      <c r="A1068" s="156"/>
      <c r="B1068" s="20"/>
      <c r="C1068" s="20"/>
      <c r="D1068" s="20"/>
      <c r="E1068" s="20"/>
      <c r="F1068" s="20"/>
      <c r="G1068" s="20"/>
      <c r="H1068" s="20"/>
      <c r="I1068" s="20"/>
      <c r="J1068" s="21"/>
      <c r="K1068" s="98"/>
      <c r="L1068" s="98"/>
      <c r="M1068" s="17"/>
      <c r="N1068" s="17"/>
      <c r="O1068" s="20"/>
      <c r="P1068" s="20"/>
      <c r="Q1068" s="159"/>
      <c r="R1068" s="20"/>
      <c r="S1068" s="20"/>
      <c r="T1068" s="20"/>
      <c r="U1068" s="20"/>
      <c r="V1068" s="20"/>
      <c r="W1068" s="98"/>
      <c r="X1068" s="98"/>
      <c r="Y1068" s="98"/>
      <c r="Z1068" s="98"/>
      <c r="AA1068" s="98"/>
      <c r="AB1068" s="98"/>
      <c r="AC1068" s="98"/>
      <c r="AD1068" s="98"/>
      <c r="AE1068" s="98"/>
      <c r="AF1068" s="98"/>
      <c r="AG1068" s="98"/>
      <c r="AH1068" s="98"/>
      <c r="AI1068" s="20"/>
      <c r="AJ1068" s="20"/>
      <c r="AK1068" s="20"/>
      <c r="AL1068" s="20"/>
    </row>
    <row r="1069">
      <c r="A1069" s="156"/>
      <c r="B1069" s="20"/>
      <c r="C1069" s="20"/>
      <c r="D1069" s="20"/>
      <c r="E1069" s="20"/>
      <c r="F1069" s="20"/>
      <c r="G1069" s="20"/>
      <c r="H1069" s="20"/>
      <c r="I1069" s="20"/>
      <c r="J1069" s="21"/>
      <c r="K1069" s="98"/>
      <c r="L1069" s="98"/>
      <c r="M1069" s="17"/>
      <c r="N1069" s="17"/>
      <c r="O1069" s="20"/>
      <c r="P1069" s="20"/>
      <c r="Q1069" s="159"/>
      <c r="R1069" s="20"/>
      <c r="S1069" s="20"/>
      <c r="T1069" s="20"/>
      <c r="U1069" s="20"/>
      <c r="V1069" s="20"/>
      <c r="W1069" s="98"/>
      <c r="X1069" s="98"/>
      <c r="Y1069" s="98"/>
      <c r="Z1069" s="98"/>
      <c r="AA1069" s="98"/>
      <c r="AB1069" s="98"/>
      <c r="AC1069" s="98"/>
      <c r="AD1069" s="98"/>
      <c r="AE1069" s="98"/>
      <c r="AF1069" s="98"/>
      <c r="AG1069" s="98"/>
      <c r="AH1069" s="98"/>
      <c r="AI1069" s="20"/>
      <c r="AJ1069" s="20"/>
      <c r="AK1069" s="20"/>
      <c r="AL1069" s="20"/>
    </row>
    <row r="1070">
      <c r="A1070" s="156"/>
      <c r="B1070" s="20"/>
      <c r="C1070" s="20"/>
      <c r="D1070" s="20"/>
      <c r="E1070" s="20"/>
      <c r="F1070" s="20"/>
      <c r="G1070" s="20"/>
      <c r="H1070" s="20"/>
      <c r="I1070" s="20"/>
      <c r="J1070" s="21"/>
      <c r="K1070" s="98"/>
      <c r="L1070" s="98"/>
      <c r="M1070" s="17"/>
      <c r="N1070" s="17"/>
      <c r="O1070" s="20"/>
      <c r="P1070" s="20"/>
      <c r="Q1070" s="159"/>
      <c r="R1070" s="20"/>
      <c r="S1070" s="20"/>
      <c r="T1070" s="20"/>
      <c r="U1070" s="20"/>
      <c r="V1070" s="20"/>
      <c r="W1070" s="98"/>
      <c r="X1070" s="98"/>
      <c r="Y1070" s="98"/>
      <c r="Z1070" s="98"/>
      <c r="AA1070" s="98"/>
      <c r="AB1070" s="98"/>
      <c r="AC1070" s="98"/>
      <c r="AD1070" s="98"/>
      <c r="AE1070" s="98"/>
      <c r="AF1070" s="98"/>
      <c r="AG1070" s="98"/>
      <c r="AH1070" s="98"/>
      <c r="AI1070" s="20"/>
      <c r="AJ1070" s="20"/>
      <c r="AK1070" s="20"/>
      <c r="AL1070" s="20"/>
    </row>
    <row r="1071">
      <c r="A1071" s="156"/>
      <c r="B1071" s="20"/>
      <c r="C1071" s="20"/>
      <c r="D1071" s="20"/>
      <c r="E1071" s="20"/>
      <c r="F1071" s="20"/>
      <c r="G1071" s="20"/>
      <c r="H1071" s="20"/>
      <c r="I1071" s="20"/>
      <c r="J1071" s="21"/>
      <c r="K1071" s="98"/>
      <c r="L1071" s="98"/>
      <c r="M1071" s="17"/>
      <c r="N1071" s="17"/>
      <c r="O1071" s="20"/>
      <c r="P1071" s="20"/>
      <c r="Q1071" s="159"/>
      <c r="R1071" s="20"/>
      <c r="S1071" s="20"/>
      <c r="T1071" s="20"/>
      <c r="U1071" s="20"/>
      <c r="V1071" s="20"/>
      <c r="W1071" s="98"/>
      <c r="X1071" s="98"/>
      <c r="Y1071" s="98"/>
      <c r="Z1071" s="98"/>
      <c r="AA1071" s="98"/>
      <c r="AB1071" s="98"/>
      <c r="AC1071" s="98"/>
      <c r="AD1071" s="98"/>
      <c r="AE1071" s="98"/>
      <c r="AF1071" s="98"/>
      <c r="AG1071" s="98"/>
      <c r="AH1071" s="98"/>
      <c r="AI1071" s="20"/>
      <c r="AJ1071" s="20"/>
      <c r="AK1071" s="20"/>
      <c r="AL1071" s="20"/>
    </row>
    <row r="1072">
      <c r="A1072" s="156"/>
      <c r="B1072" s="20"/>
      <c r="C1072" s="20"/>
      <c r="D1072" s="20"/>
      <c r="E1072" s="20"/>
      <c r="F1072" s="20"/>
      <c r="G1072" s="20"/>
      <c r="H1072" s="20"/>
      <c r="I1072" s="20"/>
      <c r="J1072" s="21"/>
      <c r="K1072" s="98"/>
      <c r="L1072" s="98"/>
      <c r="M1072" s="17"/>
      <c r="N1072" s="17"/>
      <c r="O1072" s="20"/>
      <c r="P1072" s="20"/>
      <c r="Q1072" s="159"/>
      <c r="R1072" s="20"/>
      <c r="S1072" s="20"/>
      <c r="T1072" s="20"/>
      <c r="U1072" s="20"/>
      <c r="V1072" s="20"/>
      <c r="W1072" s="98"/>
      <c r="X1072" s="98"/>
      <c r="Y1072" s="98"/>
      <c r="Z1072" s="98"/>
      <c r="AA1072" s="98"/>
      <c r="AB1072" s="98"/>
      <c r="AC1072" s="98"/>
      <c r="AD1072" s="98"/>
      <c r="AE1072" s="98"/>
      <c r="AF1072" s="98"/>
      <c r="AG1072" s="98"/>
      <c r="AH1072" s="98"/>
      <c r="AI1072" s="20"/>
      <c r="AJ1072" s="20"/>
      <c r="AK1072" s="20"/>
      <c r="AL1072" s="20"/>
    </row>
    <row r="1073">
      <c r="A1073" s="156"/>
      <c r="B1073" s="20"/>
      <c r="C1073" s="20"/>
      <c r="D1073" s="20"/>
      <c r="E1073" s="20"/>
      <c r="F1073" s="20"/>
      <c r="G1073" s="20"/>
      <c r="H1073" s="20"/>
      <c r="I1073" s="20"/>
      <c r="J1073" s="21"/>
      <c r="K1073" s="98"/>
      <c r="L1073" s="98"/>
      <c r="M1073" s="17"/>
      <c r="N1073" s="17"/>
      <c r="O1073" s="20"/>
      <c r="P1073" s="20"/>
      <c r="Q1073" s="159"/>
      <c r="R1073" s="20"/>
      <c r="S1073" s="20"/>
      <c r="T1073" s="20"/>
      <c r="U1073" s="20"/>
      <c r="V1073" s="20"/>
      <c r="W1073" s="98"/>
      <c r="X1073" s="98"/>
      <c r="Y1073" s="98"/>
      <c r="Z1073" s="98"/>
      <c r="AA1073" s="98"/>
      <c r="AB1073" s="98"/>
      <c r="AC1073" s="98"/>
      <c r="AD1073" s="98"/>
      <c r="AE1073" s="98"/>
      <c r="AF1073" s="98"/>
      <c r="AG1073" s="98"/>
      <c r="AH1073" s="98"/>
      <c r="AI1073" s="20"/>
      <c r="AJ1073" s="20"/>
      <c r="AK1073" s="20"/>
      <c r="AL1073" s="20"/>
    </row>
    <row r="1074">
      <c r="A1074" s="156"/>
      <c r="B1074" s="20"/>
      <c r="C1074" s="20"/>
      <c r="D1074" s="20"/>
      <c r="E1074" s="20"/>
      <c r="F1074" s="20"/>
      <c r="G1074" s="20"/>
      <c r="H1074" s="20"/>
      <c r="I1074" s="20"/>
      <c r="J1074" s="21"/>
      <c r="K1074" s="98"/>
      <c r="L1074" s="98"/>
      <c r="M1074" s="17"/>
      <c r="N1074" s="17"/>
      <c r="O1074" s="20"/>
      <c r="P1074" s="20"/>
      <c r="Q1074" s="159"/>
      <c r="R1074" s="20"/>
      <c r="S1074" s="20"/>
      <c r="T1074" s="20"/>
      <c r="U1074" s="20"/>
      <c r="V1074" s="20"/>
      <c r="W1074" s="98"/>
      <c r="X1074" s="98"/>
      <c r="Y1074" s="98"/>
      <c r="Z1074" s="98"/>
      <c r="AA1074" s="98"/>
      <c r="AB1074" s="98"/>
      <c r="AC1074" s="98"/>
      <c r="AD1074" s="98"/>
      <c r="AE1074" s="98"/>
      <c r="AF1074" s="98"/>
      <c r="AG1074" s="98"/>
      <c r="AH1074" s="98"/>
      <c r="AI1074" s="20"/>
      <c r="AJ1074" s="20"/>
      <c r="AK1074" s="20"/>
      <c r="AL1074" s="20"/>
    </row>
    <row r="1075">
      <c r="A1075" s="156"/>
      <c r="B1075" s="20"/>
      <c r="C1075" s="20"/>
      <c r="D1075" s="20"/>
      <c r="E1075" s="20"/>
      <c r="F1075" s="20"/>
      <c r="G1075" s="20"/>
      <c r="H1075" s="20"/>
      <c r="I1075" s="20"/>
      <c r="J1075" s="21"/>
      <c r="K1075" s="98"/>
      <c r="L1075" s="98"/>
      <c r="M1075" s="17"/>
      <c r="N1075" s="17"/>
      <c r="O1075" s="20"/>
      <c r="P1075" s="20"/>
      <c r="Q1075" s="159"/>
      <c r="R1075" s="20"/>
      <c r="S1075" s="20"/>
      <c r="T1075" s="20"/>
      <c r="U1075" s="20"/>
      <c r="V1075" s="20"/>
      <c r="W1075" s="98"/>
      <c r="X1075" s="98"/>
      <c r="Y1075" s="98"/>
      <c r="Z1075" s="98"/>
      <c r="AA1075" s="98"/>
      <c r="AB1075" s="98"/>
      <c r="AC1075" s="98"/>
      <c r="AD1075" s="98"/>
      <c r="AE1075" s="98"/>
      <c r="AF1075" s="98"/>
      <c r="AG1075" s="98"/>
      <c r="AH1075" s="98"/>
      <c r="AI1075" s="20"/>
      <c r="AJ1075" s="20"/>
      <c r="AK1075" s="20"/>
      <c r="AL1075" s="20"/>
    </row>
    <row r="1076">
      <c r="A1076" s="156"/>
      <c r="B1076" s="20"/>
      <c r="C1076" s="20"/>
      <c r="D1076" s="20"/>
      <c r="E1076" s="20"/>
      <c r="F1076" s="20"/>
      <c r="G1076" s="20"/>
      <c r="H1076" s="20"/>
      <c r="I1076" s="20"/>
      <c r="J1076" s="21"/>
      <c r="K1076" s="98"/>
      <c r="L1076" s="98"/>
      <c r="M1076" s="17"/>
      <c r="N1076" s="17"/>
      <c r="O1076" s="20"/>
      <c r="P1076" s="20"/>
      <c r="Q1076" s="159"/>
      <c r="R1076" s="20"/>
      <c r="S1076" s="20"/>
      <c r="T1076" s="20"/>
      <c r="U1076" s="20"/>
      <c r="V1076" s="20"/>
      <c r="W1076" s="98"/>
      <c r="X1076" s="98"/>
      <c r="Y1076" s="98"/>
      <c r="Z1076" s="98"/>
      <c r="AA1076" s="98"/>
      <c r="AB1076" s="98"/>
      <c r="AC1076" s="98"/>
      <c r="AD1076" s="98"/>
      <c r="AE1076" s="98"/>
      <c r="AF1076" s="98"/>
      <c r="AG1076" s="98"/>
      <c r="AH1076" s="98"/>
      <c r="AI1076" s="20"/>
      <c r="AJ1076" s="20"/>
      <c r="AK1076" s="20"/>
      <c r="AL1076" s="20"/>
    </row>
    <row r="1077">
      <c r="A1077" s="156"/>
      <c r="B1077" s="20"/>
      <c r="C1077" s="20"/>
      <c r="D1077" s="20"/>
      <c r="E1077" s="20"/>
      <c r="F1077" s="20"/>
      <c r="G1077" s="20"/>
      <c r="H1077" s="20"/>
      <c r="I1077" s="20"/>
      <c r="J1077" s="21"/>
      <c r="K1077" s="98"/>
      <c r="L1077" s="98"/>
      <c r="M1077" s="17"/>
      <c r="N1077" s="17"/>
      <c r="O1077" s="20"/>
      <c r="P1077" s="20"/>
      <c r="Q1077" s="159"/>
      <c r="R1077" s="20"/>
      <c r="S1077" s="20"/>
      <c r="T1077" s="20"/>
      <c r="U1077" s="20"/>
      <c r="V1077" s="20"/>
      <c r="W1077" s="98"/>
      <c r="X1077" s="98"/>
      <c r="Y1077" s="98"/>
      <c r="Z1077" s="98"/>
      <c r="AA1077" s="98"/>
      <c r="AB1077" s="98"/>
      <c r="AC1077" s="98"/>
      <c r="AD1077" s="98"/>
      <c r="AE1077" s="98"/>
      <c r="AF1077" s="98"/>
      <c r="AG1077" s="98"/>
      <c r="AH1077" s="98"/>
      <c r="AI1077" s="20"/>
      <c r="AJ1077" s="20"/>
      <c r="AK1077" s="20"/>
      <c r="AL1077" s="20"/>
    </row>
    <row r="1078">
      <c r="A1078" s="156"/>
      <c r="B1078" s="20"/>
      <c r="C1078" s="20"/>
      <c r="D1078" s="20"/>
      <c r="E1078" s="20"/>
      <c r="F1078" s="20"/>
      <c r="G1078" s="20"/>
      <c r="H1078" s="20"/>
      <c r="I1078" s="20"/>
      <c r="J1078" s="21"/>
      <c r="K1078" s="98"/>
      <c r="L1078" s="98"/>
      <c r="M1078" s="17"/>
      <c r="N1078" s="17"/>
      <c r="O1078" s="20"/>
      <c r="P1078" s="20"/>
      <c r="Q1078" s="159"/>
      <c r="R1078" s="20"/>
      <c r="S1078" s="20"/>
      <c r="T1078" s="20"/>
      <c r="U1078" s="20"/>
      <c r="V1078" s="20"/>
      <c r="W1078" s="98"/>
      <c r="X1078" s="98"/>
      <c r="Y1078" s="98"/>
      <c r="Z1078" s="98"/>
      <c r="AA1078" s="98"/>
      <c r="AB1078" s="98"/>
      <c r="AC1078" s="98"/>
      <c r="AD1078" s="98"/>
      <c r="AE1078" s="98"/>
      <c r="AF1078" s="98"/>
      <c r="AG1078" s="98"/>
      <c r="AH1078" s="98"/>
      <c r="AI1078" s="20"/>
      <c r="AJ1078" s="20"/>
      <c r="AK1078" s="20"/>
      <c r="AL1078" s="20"/>
    </row>
    <row r="1079">
      <c r="A1079" s="156"/>
      <c r="B1079" s="20"/>
      <c r="C1079" s="20"/>
      <c r="D1079" s="20"/>
      <c r="E1079" s="20"/>
      <c r="F1079" s="20"/>
      <c r="G1079" s="20"/>
      <c r="H1079" s="20"/>
      <c r="I1079" s="20"/>
      <c r="J1079" s="21"/>
      <c r="K1079" s="98"/>
      <c r="L1079" s="98"/>
      <c r="M1079" s="17"/>
      <c r="N1079" s="17"/>
      <c r="O1079" s="20"/>
      <c r="P1079" s="20"/>
      <c r="Q1079" s="159"/>
      <c r="R1079" s="20"/>
      <c r="S1079" s="20"/>
      <c r="T1079" s="20"/>
      <c r="U1079" s="20"/>
      <c r="V1079" s="20"/>
      <c r="W1079" s="98"/>
      <c r="X1079" s="98"/>
      <c r="Y1079" s="98"/>
      <c r="Z1079" s="98"/>
      <c r="AA1079" s="98"/>
      <c r="AB1079" s="98"/>
      <c r="AC1079" s="98"/>
      <c r="AD1079" s="98"/>
      <c r="AE1079" s="98"/>
      <c r="AF1079" s="98"/>
      <c r="AG1079" s="98"/>
      <c r="AH1079" s="98"/>
      <c r="AI1079" s="20"/>
      <c r="AJ1079" s="20"/>
      <c r="AK1079" s="20"/>
      <c r="AL1079" s="20"/>
    </row>
    <row r="1080">
      <c r="A1080" s="156"/>
      <c r="B1080" s="20"/>
      <c r="C1080" s="20"/>
      <c r="D1080" s="20"/>
      <c r="E1080" s="20"/>
      <c r="F1080" s="20"/>
      <c r="G1080" s="20"/>
      <c r="H1080" s="20"/>
      <c r="I1080" s="20"/>
      <c r="J1080" s="21"/>
      <c r="K1080" s="98"/>
      <c r="L1080" s="98"/>
      <c r="M1080" s="17"/>
      <c r="N1080" s="17"/>
      <c r="O1080" s="20"/>
      <c r="P1080" s="20"/>
      <c r="Q1080" s="159"/>
      <c r="R1080" s="20"/>
      <c r="S1080" s="20"/>
      <c r="T1080" s="20"/>
      <c r="U1080" s="20"/>
      <c r="V1080" s="20"/>
      <c r="W1080" s="98"/>
      <c r="X1080" s="98"/>
      <c r="Y1080" s="98"/>
      <c r="Z1080" s="98"/>
      <c r="AA1080" s="98"/>
      <c r="AB1080" s="98"/>
      <c r="AC1080" s="98"/>
      <c r="AD1080" s="98"/>
      <c r="AE1080" s="98"/>
      <c r="AF1080" s="98"/>
      <c r="AG1080" s="98"/>
      <c r="AH1080" s="98"/>
      <c r="AI1080" s="20"/>
      <c r="AJ1080" s="20"/>
      <c r="AK1080" s="20"/>
      <c r="AL1080" s="20"/>
    </row>
    <row r="1081">
      <c r="A1081" s="156"/>
      <c r="B1081" s="20"/>
      <c r="C1081" s="20"/>
      <c r="D1081" s="20"/>
      <c r="E1081" s="20"/>
      <c r="F1081" s="20"/>
      <c r="G1081" s="20"/>
      <c r="H1081" s="20"/>
      <c r="I1081" s="20"/>
      <c r="J1081" s="21"/>
      <c r="K1081" s="98"/>
      <c r="L1081" s="98"/>
      <c r="M1081" s="17"/>
      <c r="N1081" s="17"/>
      <c r="O1081" s="20"/>
      <c r="P1081" s="20"/>
      <c r="Q1081" s="159"/>
      <c r="R1081" s="20"/>
      <c r="S1081" s="20"/>
      <c r="T1081" s="20"/>
      <c r="U1081" s="20"/>
      <c r="V1081" s="20"/>
      <c r="W1081" s="98"/>
      <c r="X1081" s="98"/>
      <c r="Y1081" s="98"/>
      <c r="Z1081" s="98"/>
      <c r="AA1081" s="98"/>
      <c r="AB1081" s="98"/>
      <c r="AC1081" s="98"/>
      <c r="AD1081" s="98"/>
      <c r="AE1081" s="98"/>
      <c r="AF1081" s="98"/>
      <c r="AG1081" s="98"/>
      <c r="AH1081" s="98"/>
      <c r="AI1081" s="20"/>
      <c r="AJ1081" s="20"/>
      <c r="AK1081" s="20"/>
      <c r="AL1081" s="20"/>
    </row>
    <row r="1082">
      <c r="A1082" s="156"/>
      <c r="B1082" s="20"/>
      <c r="C1082" s="20"/>
      <c r="D1082" s="20"/>
      <c r="E1082" s="20"/>
      <c r="F1082" s="20"/>
      <c r="G1082" s="20"/>
      <c r="H1082" s="20"/>
      <c r="I1082" s="20"/>
      <c r="J1082" s="21"/>
      <c r="K1082" s="98"/>
      <c r="L1082" s="98"/>
      <c r="M1082" s="17"/>
      <c r="N1082" s="17"/>
      <c r="O1082" s="20"/>
      <c r="P1082" s="20"/>
      <c r="Q1082" s="159"/>
      <c r="R1082" s="20"/>
      <c r="S1082" s="20"/>
      <c r="T1082" s="20"/>
      <c r="U1082" s="20"/>
      <c r="V1082" s="20"/>
      <c r="W1082" s="98"/>
      <c r="X1082" s="98"/>
      <c r="Y1082" s="98"/>
      <c r="Z1082" s="98"/>
      <c r="AA1082" s="98"/>
      <c r="AB1082" s="98"/>
      <c r="AC1082" s="98"/>
      <c r="AD1082" s="98"/>
      <c r="AE1082" s="98"/>
      <c r="AF1082" s="98"/>
      <c r="AG1082" s="98"/>
      <c r="AH1082" s="98"/>
      <c r="AI1082" s="20"/>
      <c r="AJ1082" s="20"/>
      <c r="AK1082" s="20"/>
      <c r="AL1082" s="20"/>
    </row>
    <row r="1083">
      <c r="A1083" s="156"/>
      <c r="B1083" s="20"/>
      <c r="C1083" s="20"/>
      <c r="D1083" s="20"/>
      <c r="E1083" s="20"/>
      <c r="F1083" s="20"/>
      <c r="G1083" s="20"/>
      <c r="H1083" s="20"/>
      <c r="I1083" s="20"/>
      <c r="J1083" s="21"/>
      <c r="K1083" s="98"/>
      <c r="L1083" s="98"/>
      <c r="M1083" s="17"/>
      <c r="N1083" s="17"/>
      <c r="O1083" s="20"/>
      <c r="P1083" s="20"/>
      <c r="Q1083" s="159"/>
      <c r="R1083" s="20"/>
      <c r="S1083" s="20"/>
      <c r="T1083" s="20"/>
      <c r="U1083" s="20"/>
      <c r="V1083" s="20"/>
      <c r="W1083" s="98"/>
      <c r="X1083" s="98"/>
      <c r="Y1083" s="98"/>
      <c r="Z1083" s="98"/>
      <c r="AA1083" s="98"/>
      <c r="AB1083" s="98"/>
      <c r="AC1083" s="98"/>
      <c r="AD1083" s="98"/>
      <c r="AE1083" s="98"/>
      <c r="AF1083" s="98"/>
      <c r="AG1083" s="98"/>
      <c r="AH1083" s="98"/>
      <c r="AI1083" s="20"/>
      <c r="AJ1083" s="20"/>
      <c r="AK1083" s="20"/>
      <c r="AL1083" s="20"/>
    </row>
    <row r="1084">
      <c r="A1084" s="156"/>
      <c r="B1084" s="20"/>
      <c r="C1084" s="20"/>
      <c r="D1084" s="20"/>
      <c r="E1084" s="20"/>
      <c r="F1084" s="20"/>
      <c r="G1084" s="20"/>
      <c r="H1084" s="20"/>
      <c r="I1084" s="20"/>
      <c r="J1084" s="21"/>
      <c r="K1084" s="98"/>
      <c r="L1084" s="98"/>
      <c r="M1084" s="17"/>
      <c r="N1084" s="17"/>
      <c r="O1084" s="20"/>
      <c r="P1084" s="20"/>
      <c r="Q1084" s="159"/>
      <c r="R1084" s="20"/>
      <c r="S1084" s="20"/>
      <c r="T1084" s="20"/>
      <c r="U1084" s="20"/>
      <c r="V1084" s="20"/>
      <c r="W1084" s="98"/>
      <c r="X1084" s="98"/>
      <c r="Y1084" s="98"/>
      <c r="Z1084" s="98"/>
      <c r="AA1084" s="98"/>
      <c r="AB1084" s="98"/>
      <c r="AC1084" s="98"/>
      <c r="AD1084" s="98"/>
      <c r="AE1084" s="98"/>
      <c r="AF1084" s="98"/>
      <c r="AG1084" s="98"/>
      <c r="AH1084" s="98"/>
      <c r="AI1084" s="20"/>
      <c r="AJ1084" s="20"/>
      <c r="AK1084" s="20"/>
      <c r="AL1084" s="20"/>
    </row>
    <row r="1085">
      <c r="A1085" s="156"/>
      <c r="B1085" s="20"/>
      <c r="C1085" s="20"/>
      <c r="D1085" s="20"/>
      <c r="E1085" s="20"/>
      <c r="F1085" s="20"/>
      <c r="G1085" s="20"/>
      <c r="H1085" s="20"/>
      <c r="I1085" s="20"/>
      <c r="J1085" s="21"/>
      <c r="K1085" s="98"/>
      <c r="L1085" s="98"/>
      <c r="M1085" s="17"/>
      <c r="N1085" s="17"/>
      <c r="O1085" s="20"/>
      <c r="P1085" s="20"/>
      <c r="Q1085" s="159"/>
      <c r="R1085" s="20"/>
      <c r="S1085" s="20"/>
      <c r="T1085" s="20"/>
      <c r="U1085" s="20"/>
      <c r="V1085" s="20"/>
      <c r="W1085" s="98"/>
      <c r="X1085" s="98"/>
      <c r="Y1085" s="98"/>
      <c r="Z1085" s="98"/>
      <c r="AA1085" s="98"/>
      <c r="AB1085" s="98"/>
      <c r="AC1085" s="98"/>
      <c r="AD1085" s="98"/>
      <c r="AE1085" s="98"/>
      <c r="AF1085" s="98"/>
      <c r="AG1085" s="98"/>
      <c r="AH1085" s="98"/>
      <c r="AI1085" s="20"/>
      <c r="AJ1085" s="20"/>
      <c r="AK1085" s="20"/>
      <c r="AL1085" s="20"/>
    </row>
    <row r="1086">
      <c r="A1086" s="156"/>
      <c r="B1086" s="20"/>
      <c r="C1086" s="20"/>
      <c r="D1086" s="20"/>
      <c r="E1086" s="20"/>
      <c r="F1086" s="20"/>
      <c r="G1086" s="20"/>
      <c r="H1086" s="20"/>
      <c r="I1086" s="20"/>
      <c r="J1086" s="21"/>
      <c r="K1086" s="98"/>
      <c r="L1086" s="98"/>
      <c r="M1086" s="17"/>
      <c r="N1086" s="17"/>
      <c r="O1086" s="20"/>
      <c r="P1086" s="20"/>
      <c r="Q1086" s="159"/>
      <c r="R1086" s="20"/>
      <c r="S1086" s="20"/>
      <c r="T1086" s="20"/>
      <c r="U1086" s="20"/>
      <c r="V1086" s="20"/>
      <c r="W1086" s="98"/>
      <c r="X1086" s="98"/>
      <c r="Y1086" s="98"/>
      <c r="Z1086" s="98"/>
      <c r="AA1086" s="98"/>
      <c r="AB1086" s="98"/>
      <c r="AC1086" s="98"/>
      <c r="AD1086" s="98"/>
      <c r="AE1086" s="98"/>
      <c r="AF1086" s="98"/>
      <c r="AG1086" s="98"/>
      <c r="AH1086" s="98"/>
      <c r="AI1086" s="20"/>
      <c r="AJ1086" s="20"/>
      <c r="AK1086" s="20"/>
      <c r="AL1086" s="20"/>
    </row>
    <row r="1087">
      <c r="A1087" s="156"/>
      <c r="B1087" s="20"/>
      <c r="C1087" s="20"/>
      <c r="D1087" s="20"/>
      <c r="E1087" s="20"/>
      <c r="F1087" s="20"/>
      <c r="G1087" s="20"/>
      <c r="H1087" s="20"/>
      <c r="I1087" s="20"/>
      <c r="J1087" s="21"/>
      <c r="K1087" s="98"/>
      <c r="L1087" s="98"/>
      <c r="M1087" s="17"/>
      <c r="N1087" s="17"/>
      <c r="O1087" s="20"/>
      <c r="P1087" s="20"/>
      <c r="Q1087" s="159"/>
      <c r="R1087" s="20"/>
      <c r="S1087" s="20"/>
      <c r="T1087" s="20"/>
      <c r="U1087" s="20"/>
      <c r="V1087" s="20"/>
      <c r="W1087" s="98"/>
      <c r="X1087" s="98"/>
      <c r="Y1087" s="98"/>
      <c r="Z1087" s="98"/>
      <c r="AA1087" s="98"/>
      <c r="AB1087" s="98"/>
      <c r="AC1087" s="98"/>
      <c r="AD1087" s="98"/>
      <c r="AE1087" s="98"/>
      <c r="AF1087" s="98"/>
      <c r="AG1087" s="98"/>
      <c r="AH1087" s="98"/>
      <c r="AI1087" s="20"/>
      <c r="AJ1087" s="20"/>
      <c r="AK1087" s="20"/>
      <c r="AL1087" s="20"/>
    </row>
    <row r="1088">
      <c r="A1088" s="156"/>
      <c r="B1088" s="20"/>
      <c r="C1088" s="20"/>
      <c r="D1088" s="20"/>
      <c r="E1088" s="20"/>
      <c r="F1088" s="20"/>
      <c r="G1088" s="20"/>
      <c r="H1088" s="20"/>
      <c r="I1088" s="20"/>
      <c r="J1088" s="21"/>
      <c r="K1088" s="98"/>
      <c r="L1088" s="98"/>
      <c r="M1088" s="17"/>
      <c r="N1088" s="17"/>
      <c r="O1088" s="20"/>
      <c r="P1088" s="20"/>
      <c r="Q1088" s="159"/>
      <c r="R1088" s="20"/>
      <c r="S1088" s="20"/>
      <c r="T1088" s="20"/>
      <c r="U1088" s="20"/>
      <c r="V1088" s="20"/>
      <c r="W1088" s="98"/>
      <c r="X1088" s="98"/>
      <c r="Y1088" s="98"/>
      <c r="Z1088" s="98"/>
      <c r="AA1088" s="98"/>
      <c r="AB1088" s="98"/>
      <c r="AC1088" s="98"/>
      <c r="AD1088" s="98"/>
      <c r="AE1088" s="98"/>
      <c r="AF1088" s="98"/>
      <c r="AG1088" s="98"/>
      <c r="AH1088" s="98"/>
      <c r="AI1088" s="20"/>
      <c r="AJ1088" s="20"/>
      <c r="AK1088" s="20"/>
      <c r="AL1088" s="20"/>
    </row>
    <row r="1089">
      <c r="A1089" s="156"/>
      <c r="B1089" s="20"/>
      <c r="C1089" s="20"/>
      <c r="D1089" s="20"/>
      <c r="E1089" s="20"/>
      <c r="F1089" s="20"/>
      <c r="G1089" s="20"/>
      <c r="H1089" s="20"/>
      <c r="I1089" s="20"/>
      <c r="J1089" s="21"/>
      <c r="K1089" s="98"/>
      <c r="L1089" s="98"/>
      <c r="M1089" s="17"/>
      <c r="N1089" s="17"/>
      <c r="O1089" s="20"/>
      <c r="P1089" s="20"/>
      <c r="Q1089" s="159"/>
      <c r="R1089" s="20"/>
      <c r="S1089" s="20"/>
      <c r="T1089" s="20"/>
      <c r="U1089" s="20"/>
      <c r="V1089" s="20"/>
      <c r="W1089" s="98"/>
      <c r="X1089" s="98"/>
      <c r="Y1089" s="98"/>
      <c r="Z1089" s="98"/>
      <c r="AA1089" s="98"/>
      <c r="AB1089" s="98"/>
      <c r="AC1089" s="98"/>
      <c r="AD1089" s="98"/>
      <c r="AE1089" s="98"/>
      <c r="AF1089" s="98"/>
      <c r="AG1089" s="98"/>
      <c r="AH1089" s="98"/>
      <c r="AI1089" s="20"/>
      <c r="AJ1089" s="20"/>
      <c r="AK1089" s="20"/>
      <c r="AL1089" s="20"/>
    </row>
    <row r="1090">
      <c r="A1090" s="156"/>
      <c r="B1090" s="20"/>
      <c r="C1090" s="20"/>
      <c r="D1090" s="20"/>
      <c r="E1090" s="20"/>
      <c r="F1090" s="20"/>
      <c r="G1090" s="20"/>
      <c r="H1090" s="20"/>
      <c r="I1090" s="20"/>
      <c r="J1090" s="21"/>
      <c r="K1090" s="98"/>
      <c r="L1090" s="98"/>
      <c r="M1090" s="17"/>
      <c r="N1090" s="17"/>
      <c r="O1090" s="20"/>
      <c r="P1090" s="20"/>
      <c r="Q1090" s="159"/>
      <c r="R1090" s="20"/>
      <c r="S1090" s="20"/>
      <c r="T1090" s="20"/>
      <c r="U1090" s="20"/>
      <c r="V1090" s="20"/>
      <c r="W1090" s="98"/>
      <c r="X1090" s="98"/>
      <c r="Y1090" s="98"/>
      <c r="Z1090" s="98"/>
      <c r="AA1090" s="98"/>
      <c r="AB1090" s="98"/>
      <c r="AC1090" s="98"/>
      <c r="AD1090" s="98"/>
      <c r="AE1090" s="98"/>
      <c r="AF1090" s="98"/>
      <c r="AG1090" s="98"/>
      <c r="AH1090" s="98"/>
      <c r="AI1090" s="20"/>
      <c r="AJ1090" s="20"/>
      <c r="AK1090" s="20"/>
      <c r="AL1090" s="20"/>
    </row>
    <row r="1091">
      <c r="A1091" s="156"/>
      <c r="B1091" s="20"/>
      <c r="C1091" s="20"/>
      <c r="D1091" s="20"/>
      <c r="E1091" s="20"/>
      <c r="F1091" s="20"/>
      <c r="G1091" s="20"/>
      <c r="H1091" s="20"/>
      <c r="I1091" s="20"/>
      <c r="J1091" s="21"/>
      <c r="K1091" s="98"/>
      <c r="L1091" s="98"/>
      <c r="M1091" s="17"/>
      <c r="N1091" s="17"/>
      <c r="O1091" s="20"/>
      <c r="P1091" s="20"/>
      <c r="Q1091" s="159"/>
      <c r="R1091" s="20"/>
      <c r="S1091" s="20"/>
      <c r="T1091" s="20"/>
      <c r="U1091" s="20"/>
      <c r="V1091" s="20"/>
      <c r="W1091" s="98"/>
      <c r="X1091" s="98"/>
      <c r="Y1091" s="98"/>
      <c r="Z1091" s="98"/>
      <c r="AA1091" s="98"/>
      <c r="AB1091" s="98"/>
      <c r="AC1091" s="98"/>
      <c r="AD1091" s="98"/>
      <c r="AE1091" s="98"/>
      <c r="AF1091" s="98"/>
      <c r="AG1091" s="98"/>
      <c r="AH1091" s="98"/>
      <c r="AI1091" s="20"/>
      <c r="AJ1091" s="20"/>
      <c r="AK1091" s="20"/>
      <c r="AL1091" s="20"/>
    </row>
    <row r="1092">
      <c r="A1092" s="156"/>
      <c r="B1092" s="20"/>
      <c r="C1092" s="20"/>
      <c r="D1092" s="20"/>
      <c r="E1092" s="20"/>
      <c r="F1092" s="20"/>
      <c r="G1092" s="20"/>
      <c r="H1092" s="20"/>
      <c r="I1092" s="20"/>
      <c r="J1092" s="21"/>
      <c r="K1092" s="98"/>
      <c r="L1092" s="98"/>
      <c r="M1092" s="17"/>
      <c r="N1092" s="17"/>
      <c r="O1092" s="20"/>
      <c r="P1092" s="20"/>
      <c r="Q1092" s="159"/>
      <c r="R1092" s="20"/>
      <c r="S1092" s="20"/>
      <c r="T1092" s="20"/>
      <c r="U1092" s="20"/>
      <c r="V1092" s="20"/>
      <c r="W1092" s="98"/>
      <c r="X1092" s="98"/>
      <c r="Y1092" s="98"/>
      <c r="Z1092" s="98"/>
      <c r="AA1092" s="98"/>
      <c r="AB1092" s="98"/>
      <c r="AC1092" s="98"/>
      <c r="AD1092" s="98"/>
      <c r="AE1092" s="98"/>
      <c r="AF1092" s="98"/>
      <c r="AG1092" s="98"/>
      <c r="AH1092" s="98"/>
      <c r="AI1092" s="20"/>
      <c r="AJ1092" s="20"/>
      <c r="AK1092" s="20"/>
      <c r="AL1092" s="20"/>
    </row>
    <row r="1093">
      <c r="A1093" s="156"/>
      <c r="B1093" s="20"/>
      <c r="C1093" s="20"/>
      <c r="D1093" s="20"/>
      <c r="E1093" s="20"/>
      <c r="F1093" s="20"/>
      <c r="G1093" s="20"/>
      <c r="H1093" s="20"/>
      <c r="I1093" s="20"/>
      <c r="J1093" s="21"/>
      <c r="K1093" s="98"/>
      <c r="L1093" s="98"/>
      <c r="M1093" s="17"/>
      <c r="N1093" s="17"/>
      <c r="O1093" s="20"/>
      <c r="P1093" s="20"/>
      <c r="Q1093" s="159"/>
      <c r="R1093" s="20"/>
      <c r="S1093" s="20"/>
      <c r="T1093" s="20"/>
      <c r="U1093" s="20"/>
      <c r="V1093" s="20"/>
      <c r="W1093" s="98"/>
      <c r="X1093" s="98"/>
      <c r="Y1093" s="98"/>
      <c r="Z1093" s="98"/>
      <c r="AA1093" s="98"/>
      <c r="AB1093" s="98"/>
      <c r="AC1093" s="98"/>
      <c r="AD1093" s="98"/>
      <c r="AE1093" s="98"/>
      <c r="AF1093" s="98"/>
      <c r="AG1093" s="98"/>
      <c r="AH1093" s="98"/>
      <c r="AI1093" s="20"/>
      <c r="AJ1093" s="20"/>
      <c r="AK1093" s="20"/>
      <c r="AL1093" s="20"/>
    </row>
    <row r="1094">
      <c r="A1094" s="156"/>
      <c r="B1094" s="20"/>
      <c r="C1094" s="20"/>
      <c r="D1094" s="20"/>
      <c r="E1094" s="20"/>
      <c r="F1094" s="20"/>
      <c r="G1094" s="20"/>
      <c r="H1094" s="20"/>
      <c r="I1094" s="20"/>
      <c r="J1094" s="21"/>
      <c r="K1094" s="98"/>
      <c r="L1094" s="98"/>
      <c r="M1094" s="17"/>
      <c r="N1094" s="17"/>
      <c r="O1094" s="20"/>
      <c r="P1094" s="20"/>
      <c r="Q1094" s="159"/>
      <c r="R1094" s="20"/>
      <c r="S1094" s="20"/>
      <c r="T1094" s="20"/>
      <c r="U1094" s="20"/>
      <c r="V1094" s="20"/>
      <c r="W1094" s="98"/>
      <c r="X1094" s="98"/>
      <c r="Y1094" s="98"/>
      <c r="Z1094" s="98"/>
      <c r="AA1094" s="98"/>
      <c r="AB1094" s="98"/>
      <c r="AC1094" s="98"/>
      <c r="AD1094" s="98"/>
      <c r="AE1094" s="98"/>
      <c r="AF1094" s="98"/>
      <c r="AG1094" s="98"/>
      <c r="AH1094" s="98"/>
      <c r="AI1094" s="20"/>
      <c r="AJ1094" s="20"/>
      <c r="AK1094" s="20"/>
      <c r="AL1094" s="20"/>
    </row>
    <row r="1095">
      <c r="A1095" s="156"/>
      <c r="B1095" s="20"/>
      <c r="C1095" s="20"/>
      <c r="D1095" s="20"/>
      <c r="E1095" s="20"/>
      <c r="F1095" s="20"/>
      <c r="G1095" s="20"/>
      <c r="H1095" s="20"/>
      <c r="I1095" s="20"/>
      <c r="J1095" s="21"/>
      <c r="K1095" s="98"/>
      <c r="L1095" s="98"/>
      <c r="M1095" s="17"/>
      <c r="N1095" s="17"/>
      <c r="O1095" s="20"/>
      <c r="P1095" s="20"/>
      <c r="Q1095" s="159"/>
      <c r="R1095" s="20"/>
      <c r="S1095" s="20"/>
      <c r="T1095" s="20"/>
      <c r="U1095" s="20"/>
      <c r="V1095" s="20"/>
      <c r="W1095" s="98"/>
      <c r="X1095" s="98"/>
      <c r="Y1095" s="98"/>
      <c r="Z1095" s="98"/>
      <c r="AA1095" s="98"/>
      <c r="AB1095" s="98"/>
      <c r="AC1095" s="98"/>
      <c r="AD1095" s="98"/>
      <c r="AE1095" s="98"/>
      <c r="AF1095" s="98"/>
      <c r="AG1095" s="98"/>
      <c r="AH1095" s="98"/>
      <c r="AI1095" s="20"/>
      <c r="AJ1095" s="20"/>
      <c r="AK1095" s="20"/>
      <c r="AL1095" s="20"/>
    </row>
    <row r="1096">
      <c r="A1096" s="156"/>
      <c r="B1096" s="20"/>
      <c r="C1096" s="20"/>
      <c r="D1096" s="20"/>
      <c r="E1096" s="20"/>
      <c r="F1096" s="20"/>
      <c r="G1096" s="20"/>
      <c r="H1096" s="20"/>
      <c r="I1096" s="20"/>
      <c r="J1096" s="21"/>
      <c r="K1096" s="98"/>
      <c r="L1096" s="98"/>
      <c r="M1096" s="17"/>
      <c r="N1096" s="17"/>
      <c r="O1096" s="20"/>
      <c r="P1096" s="20"/>
      <c r="Q1096" s="159"/>
      <c r="R1096" s="20"/>
      <c r="S1096" s="20"/>
      <c r="T1096" s="20"/>
      <c r="U1096" s="20"/>
      <c r="V1096" s="20"/>
      <c r="W1096" s="98"/>
      <c r="X1096" s="98"/>
      <c r="Y1096" s="98"/>
      <c r="Z1096" s="98"/>
      <c r="AA1096" s="98"/>
      <c r="AB1096" s="98"/>
      <c r="AC1096" s="98"/>
      <c r="AD1096" s="98"/>
      <c r="AE1096" s="98"/>
      <c r="AF1096" s="98"/>
      <c r="AG1096" s="98"/>
      <c r="AH1096" s="98"/>
      <c r="AI1096" s="20"/>
      <c r="AJ1096" s="20"/>
      <c r="AK1096" s="20"/>
      <c r="AL1096" s="20"/>
    </row>
    <row r="1097">
      <c r="A1097" s="156"/>
      <c r="B1097" s="20"/>
      <c r="C1097" s="20"/>
      <c r="D1097" s="20"/>
      <c r="E1097" s="20"/>
      <c r="F1097" s="20"/>
      <c r="G1097" s="20"/>
      <c r="H1097" s="20"/>
      <c r="I1097" s="20"/>
      <c r="J1097" s="21"/>
      <c r="K1097" s="98"/>
      <c r="L1097" s="98"/>
      <c r="M1097" s="17"/>
      <c r="N1097" s="17"/>
      <c r="O1097" s="20"/>
      <c r="P1097" s="20"/>
      <c r="Q1097" s="159"/>
      <c r="R1097" s="20"/>
      <c r="S1097" s="20"/>
      <c r="T1097" s="20"/>
      <c r="U1097" s="20"/>
      <c r="V1097" s="20"/>
      <c r="W1097" s="98"/>
      <c r="X1097" s="98"/>
      <c r="Y1097" s="98"/>
      <c r="Z1097" s="98"/>
      <c r="AA1097" s="98"/>
      <c r="AB1097" s="98"/>
      <c r="AC1097" s="98"/>
      <c r="AD1097" s="98"/>
      <c r="AE1097" s="98"/>
      <c r="AF1097" s="98"/>
      <c r="AG1097" s="98"/>
      <c r="AH1097" s="98"/>
      <c r="AI1097" s="20"/>
      <c r="AJ1097" s="20"/>
      <c r="AK1097" s="20"/>
      <c r="AL1097" s="20"/>
    </row>
    <row r="1098">
      <c r="A1098" s="156"/>
      <c r="B1098" s="20"/>
      <c r="C1098" s="20"/>
      <c r="D1098" s="20"/>
      <c r="E1098" s="20"/>
      <c r="F1098" s="20"/>
      <c r="G1098" s="20"/>
      <c r="H1098" s="20"/>
      <c r="I1098" s="20"/>
      <c r="J1098" s="21"/>
      <c r="K1098" s="98"/>
      <c r="L1098" s="98"/>
      <c r="M1098" s="17"/>
      <c r="N1098" s="17"/>
      <c r="O1098" s="20"/>
      <c r="P1098" s="20"/>
      <c r="Q1098" s="159"/>
      <c r="R1098" s="20"/>
      <c r="S1098" s="20"/>
      <c r="T1098" s="20"/>
      <c r="U1098" s="20"/>
      <c r="V1098" s="20"/>
      <c r="W1098" s="98"/>
      <c r="X1098" s="98"/>
      <c r="Y1098" s="98"/>
      <c r="Z1098" s="98"/>
      <c r="AA1098" s="98"/>
      <c r="AB1098" s="98"/>
      <c r="AC1098" s="98"/>
      <c r="AD1098" s="98"/>
      <c r="AE1098" s="98"/>
      <c r="AF1098" s="98"/>
      <c r="AG1098" s="98"/>
      <c r="AH1098" s="98"/>
      <c r="AI1098" s="20"/>
      <c r="AJ1098" s="20"/>
      <c r="AK1098" s="20"/>
      <c r="AL1098" s="20"/>
    </row>
    <row r="1099">
      <c r="A1099" s="156"/>
      <c r="B1099" s="20"/>
      <c r="C1099" s="20"/>
      <c r="D1099" s="20"/>
      <c r="E1099" s="20"/>
      <c r="F1099" s="20"/>
      <c r="G1099" s="20"/>
      <c r="H1099" s="20"/>
      <c r="I1099" s="20"/>
      <c r="J1099" s="21"/>
      <c r="K1099" s="98"/>
      <c r="L1099" s="98"/>
      <c r="M1099" s="17"/>
      <c r="N1099" s="17"/>
      <c r="O1099" s="20"/>
      <c r="P1099" s="20"/>
      <c r="Q1099" s="159"/>
      <c r="R1099" s="20"/>
      <c r="S1099" s="20"/>
      <c r="T1099" s="20"/>
      <c r="U1099" s="20"/>
      <c r="V1099" s="20"/>
      <c r="W1099" s="98"/>
      <c r="X1099" s="98"/>
      <c r="Y1099" s="98"/>
      <c r="Z1099" s="98"/>
      <c r="AA1099" s="98"/>
      <c r="AB1099" s="98"/>
      <c r="AC1099" s="98"/>
      <c r="AD1099" s="98"/>
      <c r="AE1099" s="98"/>
      <c r="AF1099" s="98"/>
      <c r="AG1099" s="98"/>
      <c r="AH1099" s="98"/>
      <c r="AI1099" s="20"/>
      <c r="AJ1099" s="20"/>
      <c r="AK1099" s="20"/>
      <c r="AL1099" s="20"/>
    </row>
    <row r="1100">
      <c r="A1100" s="156"/>
      <c r="B1100" s="20"/>
      <c r="C1100" s="20"/>
      <c r="D1100" s="20"/>
      <c r="E1100" s="20"/>
      <c r="F1100" s="20"/>
      <c r="G1100" s="20"/>
      <c r="H1100" s="20"/>
      <c r="I1100" s="20"/>
      <c r="J1100" s="21"/>
      <c r="K1100" s="98"/>
      <c r="L1100" s="98"/>
      <c r="M1100" s="17"/>
      <c r="N1100" s="17"/>
      <c r="O1100" s="20"/>
      <c r="P1100" s="20"/>
      <c r="Q1100" s="159"/>
      <c r="R1100" s="20"/>
      <c r="S1100" s="20"/>
      <c r="T1100" s="20"/>
      <c r="U1100" s="20"/>
      <c r="V1100" s="20"/>
      <c r="W1100" s="98"/>
      <c r="X1100" s="98"/>
      <c r="Y1100" s="98"/>
      <c r="Z1100" s="98"/>
      <c r="AA1100" s="98"/>
      <c r="AB1100" s="98"/>
      <c r="AC1100" s="98"/>
      <c r="AD1100" s="98"/>
      <c r="AE1100" s="98"/>
      <c r="AF1100" s="98"/>
      <c r="AG1100" s="98"/>
      <c r="AH1100" s="98"/>
      <c r="AI1100" s="20"/>
      <c r="AJ1100" s="20"/>
      <c r="AK1100" s="20"/>
      <c r="AL1100" s="20"/>
    </row>
    <row r="1101">
      <c r="A1101" s="156"/>
      <c r="B1101" s="20"/>
      <c r="C1101" s="20"/>
      <c r="D1101" s="20"/>
      <c r="E1101" s="20"/>
      <c r="F1101" s="20"/>
      <c r="G1101" s="20"/>
      <c r="H1101" s="20"/>
      <c r="I1101" s="20"/>
      <c r="J1101" s="21"/>
      <c r="K1101" s="98"/>
      <c r="L1101" s="98"/>
      <c r="M1101" s="17"/>
      <c r="N1101" s="17"/>
      <c r="O1101" s="20"/>
      <c r="P1101" s="20"/>
      <c r="Q1101" s="159"/>
      <c r="R1101" s="20"/>
      <c r="S1101" s="20"/>
      <c r="T1101" s="20"/>
      <c r="U1101" s="20"/>
      <c r="V1101" s="20"/>
      <c r="W1101" s="98"/>
      <c r="X1101" s="98"/>
      <c r="Y1101" s="98"/>
      <c r="Z1101" s="98"/>
      <c r="AA1101" s="98"/>
      <c r="AB1101" s="98"/>
      <c r="AC1101" s="98"/>
      <c r="AD1101" s="98"/>
      <c r="AE1101" s="98"/>
      <c r="AF1101" s="98"/>
      <c r="AG1101" s="98"/>
      <c r="AH1101" s="98"/>
      <c r="AI1101" s="20"/>
      <c r="AJ1101" s="20"/>
      <c r="AK1101" s="20"/>
      <c r="AL1101" s="20"/>
    </row>
    <row r="1102">
      <c r="A1102" s="156"/>
      <c r="B1102" s="20"/>
      <c r="C1102" s="20"/>
      <c r="D1102" s="20"/>
      <c r="E1102" s="20"/>
      <c r="F1102" s="20"/>
      <c r="G1102" s="20"/>
      <c r="H1102" s="20"/>
      <c r="I1102" s="20"/>
      <c r="J1102" s="21"/>
      <c r="K1102" s="98"/>
      <c r="L1102" s="98"/>
      <c r="M1102" s="17"/>
      <c r="N1102" s="17"/>
      <c r="O1102" s="20"/>
      <c r="P1102" s="20"/>
      <c r="Q1102" s="159"/>
      <c r="R1102" s="20"/>
      <c r="S1102" s="20"/>
      <c r="T1102" s="20"/>
      <c r="U1102" s="20"/>
      <c r="V1102" s="20"/>
      <c r="W1102" s="98"/>
      <c r="X1102" s="98"/>
      <c r="Y1102" s="98"/>
      <c r="Z1102" s="98"/>
      <c r="AA1102" s="98"/>
      <c r="AB1102" s="98"/>
      <c r="AC1102" s="98"/>
      <c r="AD1102" s="98"/>
      <c r="AE1102" s="98"/>
      <c r="AF1102" s="98"/>
      <c r="AG1102" s="98"/>
      <c r="AH1102" s="98"/>
      <c r="AI1102" s="20"/>
      <c r="AJ1102" s="20"/>
      <c r="AK1102" s="20"/>
      <c r="AL1102" s="20"/>
    </row>
    <row r="1103">
      <c r="A1103" s="156"/>
      <c r="B1103" s="20"/>
      <c r="C1103" s="20"/>
      <c r="D1103" s="20"/>
      <c r="E1103" s="20"/>
      <c r="F1103" s="20"/>
      <c r="G1103" s="20"/>
      <c r="H1103" s="20"/>
      <c r="I1103" s="20"/>
      <c r="J1103" s="21"/>
      <c r="K1103" s="98"/>
      <c r="L1103" s="98"/>
      <c r="M1103" s="17"/>
      <c r="N1103" s="17"/>
      <c r="O1103" s="20"/>
      <c r="P1103" s="20"/>
      <c r="Q1103" s="159"/>
      <c r="R1103" s="20"/>
      <c r="S1103" s="20"/>
      <c r="T1103" s="20"/>
      <c r="U1103" s="20"/>
      <c r="V1103" s="20"/>
      <c r="W1103" s="98"/>
      <c r="X1103" s="98"/>
      <c r="Y1103" s="98"/>
      <c r="Z1103" s="98"/>
      <c r="AA1103" s="98"/>
      <c r="AB1103" s="98"/>
      <c r="AC1103" s="98"/>
      <c r="AD1103" s="98"/>
      <c r="AE1103" s="98"/>
      <c r="AF1103" s="98"/>
      <c r="AG1103" s="98"/>
      <c r="AH1103" s="98"/>
      <c r="AI1103" s="20"/>
      <c r="AJ1103" s="20"/>
      <c r="AK1103" s="20"/>
      <c r="AL1103" s="20"/>
    </row>
    <row r="1104">
      <c r="A1104" s="156"/>
      <c r="B1104" s="20"/>
      <c r="C1104" s="20"/>
      <c r="D1104" s="20"/>
      <c r="E1104" s="20"/>
      <c r="F1104" s="20"/>
      <c r="G1104" s="20"/>
      <c r="H1104" s="20"/>
      <c r="I1104" s="20"/>
      <c r="J1104" s="21"/>
      <c r="K1104" s="98"/>
      <c r="L1104" s="98"/>
      <c r="M1104" s="17"/>
      <c r="N1104" s="17"/>
      <c r="O1104" s="20"/>
      <c r="P1104" s="20"/>
      <c r="Q1104" s="159"/>
      <c r="R1104" s="20"/>
      <c r="S1104" s="20"/>
      <c r="T1104" s="20"/>
      <c r="U1104" s="20"/>
      <c r="V1104" s="20"/>
      <c r="W1104" s="98"/>
      <c r="X1104" s="98"/>
      <c r="Y1104" s="98"/>
      <c r="Z1104" s="98"/>
      <c r="AA1104" s="98"/>
      <c r="AB1104" s="98"/>
      <c r="AC1104" s="98"/>
      <c r="AD1104" s="98"/>
      <c r="AE1104" s="98"/>
      <c r="AF1104" s="98"/>
      <c r="AG1104" s="98"/>
      <c r="AH1104" s="98"/>
      <c r="AI1104" s="20"/>
      <c r="AJ1104" s="20"/>
      <c r="AK1104" s="20"/>
      <c r="AL1104" s="20"/>
    </row>
    <row r="1105">
      <c r="A1105" s="156"/>
      <c r="B1105" s="20"/>
      <c r="C1105" s="20"/>
      <c r="D1105" s="20"/>
      <c r="E1105" s="20"/>
      <c r="F1105" s="20"/>
      <c r="G1105" s="20"/>
      <c r="H1105" s="20"/>
      <c r="I1105" s="20"/>
      <c r="J1105" s="21"/>
      <c r="K1105" s="98"/>
      <c r="L1105" s="98"/>
      <c r="M1105" s="17"/>
      <c r="N1105" s="17"/>
      <c r="O1105" s="20"/>
      <c r="P1105" s="20"/>
      <c r="Q1105" s="159"/>
      <c r="R1105" s="20"/>
      <c r="S1105" s="20"/>
      <c r="T1105" s="20"/>
      <c r="U1105" s="20"/>
      <c r="V1105" s="20"/>
      <c r="W1105" s="98"/>
      <c r="X1105" s="98"/>
      <c r="Y1105" s="98"/>
      <c r="Z1105" s="98"/>
      <c r="AA1105" s="98"/>
      <c r="AB1105" s="98"/>
      <c r="AC1105" s="98"/>
      <c r="AD1105" s="98"/>
      <c r="AE1105" s="98"/>
      <c r="AF1105" s="98"/>
      <c r="AG1105" s="98"/>
      <c r="AH1105" s="98"/>
      <c r="AI1105" s="20"/>
      <c r="AJ1105" s="20"/>
      <c r="AK1105" s="20"/>
      <c r="AL1105" s="20"/>
    </row>
    <row r="1106">
      <c r="A1106" s="156"/>
      <c r="B1106" s="20"/>
      <c r="C1106" s="20"/>
      <c r="D1106" s="20"/>
      <c r="E1106" s="20"/>
      <c r="F1106" s="20"/>
      <c r="G1106" s="20"/>
      <c r="H1106" s="20"/>
      <c r="I1106" s="20"/>
      <c r="J1106" s="21"/>
      <c r="K1106" s="98"/>
      <c r="L1106" s="98"/>
      <c r="M1106" s="17"/>
      <c r="N1106" s="17"/>
      <c r="O1106" s="20"/>
      <c r="P1106" s="20"/>
      <c r="Q1106" s="159"/>
      <c r="R1106" s="20"/>
      <c r="S1106" s="20"/>
      <c r="T1106" s="20"/>
      <c r="U1106" s="20"/>
      <c r="V1106" s="20"/>
      <c r="W1106" s="98"/>
      <c r="X1106" s="98"/>
      <c r="Y1106" s="98"/>
      <c r="Z1106" s="98"/>
      <c r="AA1106" s="98"/>
      <c r="AB1106" s="98"/>
      <c r="AC1106" s="98"/>
      <c r="AD1106" s="98"/>
      <c r="AE1106" s="98"/>
      <c r="AF1106" s="98"/>
      <c r="AG1106" s="98"/>
      <c r="AH1106" s="98"/>
      <c r="AI1106" s="20"/>
      <c r="AJ1106" s="20"/>
      <c r="AK1106" s="20"/>
      <c r="AL1106" s="20"/>
    </row>
    <row r="1107">
      <c r="A1107" s="156"/>
      <c r="B1107" s="20"/>
      <c r="C1107" s="20"/>
      <c r="D1107" s="20"/>
      <c r="E1107" s="20"/>
      <c r="F1107" s="20"/>
      <c r="G1107" s="20"/>
      <c r="H1107" s="20"/>
      <c r="I1107" s="20"/>
      <c r="J1107" s="21"/>
      <c r="K1107" s="98"/>
      <c r="L1107" s="98"/>
      <c r="M1107" s="17"/>
      <c r="N1107" s="17"/>
      <c r="O1107" s="20"/>
      <c r="P1107" s="20"/>
      <c r="Q1107" s="159"/>
      <c r="R1107" s="20"/>
      <c r="S1107" s="20"/>
      <c r="T1107" s="20"/>
      <c r="U1107" s="20"/>
      <c r="V1107" s="20"/>
      <c r="W1107" s="98"/>
      <c r="X1107" s="98"/>
      <c r="Y1107" s="98"/>
      <c r="Z1107" s="98"/>
      <c r="AA1107" s="98"/>
      <c r="AB1107" s="98"/>
      <c r="AC1107" s="98"/>
      <c r="AD1107" s="98"/>
      <c r="AE1107" s="98"/>
      <c r="AF1107" s="98"/>
      <c r="AG1107" s="98"/>
      <c r="AH1107" s="98"/>
      <c r="AI1107" s="20"/>
      <c r="AJ1107" s="20"/>
      <c r="AK1107" s="20"/>
      <c r="AL1107" s="20"/>
    </row>
    <row r="1108">
      <c r="A1108" s="156"/>
      <c r="B1108" s="20"/>
      <c r="C1108" s="20"/>
      <c r="D1108" s="20"/>
      <c r="E1108" s="20"/>
      <c r="F1108" s="20"/>
      <c r="G1108" s="20"/>
      <c r="H1108" s="20"/>
      <c r="I1108" s="20"/>
      <c r="J1108" s="21"/>
      <c r="K1108" s="98"/>
      <c r="L1108" s="98"/>
      <c r="M1108" s="17"/>
      <c r="N1108" s="17"/>
      <c r="O1108" s="20"/>
      <c r="P1108" s="20"/>
      <c r="Q1108" s="159"/>
      <c r="R1108" s="20"/>
      <c r="S1108" s="20"/>
      <c r="T1108" s="20"/>
      <c r="U1108" s="20"/>
      <c r="V1108" s="20"/>
      <c r="W1108" s="98"/>
      <c r="X1108" s="98"/>
      <c r="Y1108" s="98"/>
      <c r="Z1108" s="98"/>
      <c r="AA1108" s="98"/>
      <c r="AB1108" s="98"/>
      <c r="AC1108" s="98"/>
      <c r="AD1108" s="98"/>
      <c r="AE1108" s="98"/>
      <c r="AF1108" s="98"/>
      <c r="AG1108" s="98"/>
      <c r="AH1108" s="98"/>
      <c r="AI1108" s="20"/>
      <c r="AJ1108" s="20"/>
      <c r="AK1108" s="20"/>
      <c r="AL1108" s="20"/>
    </row>
    <row r="1109">
      <c r="A1109" s="156"/>
      <c r="B1109" s="20"/>
      <c r="C1109" s="20"/>
      <c r="D1109" s="20"/>
      <c r="E1109" s="20"/>
      <c r="F1109" s="20"/>
      <c r="G1109" s="20"/>
      <c r="H1109" s="20"/>
      <c r="I1109" s="20"/>
      <c r="J1109" s="21"/>
      <c r="K1109" s="98"/>
      <c r="L1109" s="98"/>
      <c r="M1109" s="17"/>
      <c r="N1109" s="17"/>
      <c r="O1109" s="20"/>
      <c r="P1109" s="20"/>
      <c r="Q1109" s="159"/>
      <c r="R1109" s="20"/>
      <c r="S1109" s="20"/>
      <c r="T1109" s="20"/>
      <c r="U1109" s="20"/>
      <c r="V1109" s="20"/>
      <c r="W1109" s="98"/>
      <c r="X1109" s="98"/>
      <c r="Y1109" s="98"/>
      <c r="Z1109" s="98"/>
      <c r="AA1109" s="98"/>
      <c r="AB1109" s="98"/>
      <c r="AC1109" s="98"/>
      <c r="AD1109" s="98"/>
      <c r="AE1109" s="98"/>
      <c r="AF1109" s="98"/>
      <c r="AG1109" s="98"/>
      <c r="AH1109" s="98"/>
      <c r="AI1109" s="20"/>
      <c r="AJ1109" s="20"/>
      <c r="AK1109" s="20"/>
      <c r="AL1109" s="20"/>
    </row>
    <row r="1110">
      <c r="A1110" s="156"/>
      <c r="B1110" s="20"/>
      <c r="C1110" s="20"/>
      <c r="D1110" s="20"/>
      <c r="E1110" s="20"/>
      <c r="F1110" s="20"/>
      <c r="G1110" s="20"/>
      <c r="H1110" s="20"/>
      <c r="I1110" s="20"/>
      <c r="J1110" s="21"/>
      <c r="K1110" s="98"/>
      <c r="L1110" s="98"/>
      <c r="M1110" s="17"/>
      <c r="N1110" s="17"/>
      <c r="O1110" s="20"/>
      <c r="P1110" s="20"/>
      <c r="Q1110" s="159"/>
      <c r="R1110" s="20"/>
      <c r="S1110" s="20"/>
      <c r="T1110" s="20"/>
      <c r="U1110" s="20"/>
      <c r="V1110" s="20"/>
      <c r="W1110" s="98"/>
      <c r="X1110" s="98"/>
      <c r="Y1110" s="98"/>
      <c r="Z1110" s="98"/>
      <c r="AA1110" s="98"/>
      <c r="AB1110" s="98"/>
      <c r="AC1110" s="98"/>
      <c r="AD1110" s="98"/>
      <c r="AE1110" s="98"/>
      <c r="AF1110" s="98"/>
      <c r="AG1110" s="98"/>
      <c r="AH1110" s="98"/>
      <c r="AI1110" s="20"/>
      <c r="AJ1110" s="20"/>
      <c r="AK1110" s="20"/>
      <c r="AL1110" s="20"/>
    </row>
    <row r="1111">
      <c r="A1111" s="156"/>
      <c r="B1111" s="20"/>
      <c r="C1111" s="20"/>
      <c r="D1111" s="20"/>
      <c r="E1111" s="20"/>
      <c r="F1111" s="20"/>
      <c r="G1111" s="20"/>
      <c r="H1111" s="20"/>
      <c r="I1111" s="20"/>
      <c r="J1111" s="21"/>
      <c r="K1111" s="98"/>
      <c r="L1111" s="98"/>
      <c r="M1111" s="17"/>
      <c r="N1111" s="17"/>
      <c r="O1111" s="20"/>
      <c r="P1111" s="20"/>
      <c r="Q1111" s="159"/>
      <c r="R1111" s="20"/>
      <c r="S1111" s="20"/>
      <c r="T1111" s="20"/>
      <c r="U1111" s="20"/>
      <c r="V1111" s="20"/>
      <c r="W1111" s="98"/>
      <c r="X1111" s="98"/>
      <c r="Y1111" s="98"/>
      <c r="Z1111" s="98"/>
      <c r="AA1111" s="98"/>
      <c r="AB1111" s="98"/>
      <c r="AC1111" s="98"/>
      <c r="AD1111" s="98"/>
      <c r="AE1111" s="98"/>
      <c r="AF1111" s="98"/>
      <c r="AG1111" s="98"/>
      <c r="AH1111" s="98"/>
      <c r="AI1111" s="20"/>
      <c r="AJ1111" s="20"/>
      <c r="AK1111" s="20"/>
      <c r="AL1111" s="20"/>
    </row>
    <row r="1112">
      <c r="A1112" s="156"/>
      <c r="B1112" s="20"/>
      <c r="C1112" s="20"/>
      <c r="D1112" s="20"/>
      <c r="E1112" s="20"/>
      <c r="F1112" s="20"/>
      <c r="G1112" s="20"/>
      <c r="H1112" s="20"/>
      <c r="I1112" s="20"/>
      <c r="J1112" s="21"/>
      <c r="K1112" s="98"/>
      <c r="L1112" s="98"/>
      <c r="M1112" s="17"/>
      <c r="N1112" s="17"/>
      <c r="O1112" s="20"/>
      <c r="P1112" s="20"/>
      <c r="Q1112" s="159"/>
      <c r="R1112" s="20"/>
      <c r="S1112" s="20"/>
      <c r="T1112" s="20"/>
      <c r="U1112" s="20"/>
      <c r="V1112" s="20"/>
      <c r="W1112" s="98"/>
      <c r="X1112" s="98"/>
      <c r="Y1112" s="98"/>
      <c r="Z1112" s="98"/>
      <c r="AA1112" s="98"/>
      <c r="AB1112" s="98"/>
      <c r="AC1112" s="98"/>
      <c r="AD1112" s="98"/>
      <c r="AE1112" s="98"/>
      <c r="AF1112" s="98"/>
      <c r="AG1112" s="98"/>
      <c r="AH1112" s="98"/>
      <c r="AI1112" s="20"/>
      <c r="AJ1112" s="20"/>
      <c r="AK1112" s="20"/>
      <c r="AL1112" s="20"/>
    </row>
    <row r="1113">
      <c r="A1113" s="156"/>
      <c r="B1113" s="20"/>
      <c r="C1113" s="20"/>
      <c r="D1113" s="20"/>
      <c r="E1113" s="20"/>
      <c r="F1113" s="20"/>
      <c r="G1113" s="20"/>
      <c r="H1113" s="20"/>
      <c r="I1113" s="20"/>
      <c r="J1113" s="21"/>
      <c r="K1113" s="98"/>
      <c r="L1113" s="98"/>
      <c r="M1113" s="17"/>
      <c r="N1113" s="17"/>
      <c r="O1113" s="20"/>
      <c r="P1113" s="20"/>
      <c r="Q1113" s="159"/>
      <c r="R1113" s="20"/>
      <c r="S1113" s="20"/>
      <c r="T1113" s="20"/>
      <c r="U1113" s="20"/>
      <c r="V1113" s="20"/>
      <c r="W1113" s="98"/>
      <c r="X1113" s="98"/>
      <c r="Y1113" s="98"/>
      <c r="Z1113" s="98"/>
      <c r="AA1113" s="98"/>
      <c r="AB1113" s="98"/>
      <c r="AC1113" s="98"/>
      <c r="AD1113" s="98"/>
      <c r="AE1113" s="98"/>
      <c r="AF1113" s="98"/>
      <c r="AG1113" s="98"/>
      <c r="AH1113" s="98"/>
      <c r="AI1113" s="20"/>
      <c r="AJ1113" s="20"/>
      <c r="AK1113" s="20"/>
      <c r="AL1113" s="20"/>
    </row>
    <row r="1114">
      <c r="A1114" s="156"/>
      <c r="B1114" s="20"/>
      <c r="C1114" s="20"/>
      <c r="D1114" s="20"/>
      <c r="E1114" s="20"/>
      <c r="F1114" s="20"/>
      <c r="G1114" s="20"/>
      <c r="H1114" s="20"/>
      <c r="I1114" s="20"/>
      <c r="J1114" s="21"/>
      <c r="K1114" s="98"/>
      <c r="L1114" s="98"/>
      <c r="M1114" s="17"/>
      <c r="N1114" s="17"/>
      <c r="O1114" s="20"/>
      <c r="P1114" s="20"/>
      <c r="Q1114" s="159"/>
      <c r="R1114" s="20"/>
      <c r="S1114" s="20"/>
      <c r="T1114" s="20"/>
      <c r="U1114" s="20"/>
      <c r="V1114" s="20"/>
      <c r="W1114" s="98"/>
      <c r="X1114" s="98"/>
      <c r="Y1114" s="98"/>
      <c r="Z1114" s="98"/>
      <c r="AA1114" s="98"/>
      <c r="AB1114" s="98"/>
      <c r="AC1114" s="98"/>
      <c r="AD1114" s="98"/>
      <c r="AE1114" s="98"/>
      <c r="AF1114" s="98"/>
      <c r="AG1114" s="98"/>
      <c r="AH1114" s="98"/>
      <c r="AI1114" s="20"/>
      <c r="AJ1114" s="20"/>
      <c r="AK1114" s="20"/>
      <c r="AL1114" s="20"/>
    </row>
    <row r="1115">
      <c r="A1115" s="156"/>
      <c r="B1115" s="20"/>
      <c r="C1115" s="20"/>
      <c r="D1115" s="20"/>
      <c r="E1115" s="20"/>
      <c r="F1115" s="20"/>
      <c r="G1115" s="20"/>
      <c r="H1115" s="20"/>
      <c r="I1115" s="20"/>
      <c r="J1115" s="21"/>
      <c r="K1115" s="98"/>
      <c r="L1115" s="98"/>
      <c r="M1115" s="17"/>
      <c r="N1115" s="17"/>
      <c r="O1115" s="20"/>
      <c r="P1115" s="20"/>
      <c r="Q1115" s="159"/>
      <c r="R1115" s="20"/>
      <c r="S1115" s="20"/>
      <c r="T1115" s="20"/>
      <c r="U1115" s="20"/>
      <c r="V1115" s="20"/>
      <c r="W1115" s="98"/>
      <c r="X1115" s="98"/>
      <c r="Y1115" s="98"/>
      <c r="Z1115" s="98"/>
      <c r="AA1115" s="98"/>
      <c r="AB1115" s="98"/>
      <c r="AC1115" s="98"/>
      <c r="AD1115" s="98"/>
      <c r="AE1115" s="98"/>
      <c r="AF1115" s="98"/>
      <c r="AG1115" s="98"/>
      <c r="AH1115" s="98"/>
      <c r="AI1115" s="20"/>
      <c r="AJ1115" s="20"/>
      <c r="AK1115" s="20"/>
      <c r="AL1115" s="20"/>
    </row>
    <row r="1116">
      <c r="A1116" s="156"/>
      <c r="B1116" s="20"/>
      <c r="C1116" s="20"/>
      <c r="D1116" s="20"/>
      <c r="E1116" s="20"/>
      <c r="F1116" s="20"/>
      <c r="G1116" s="20"/>
      <c r="H1116" s="20"/>
      <c r="I1116" s="20"/>
      <c r="J1116" s="21"/>
      <c r="K1116" s="98"/>
      <c r="L1116" s="98"/>
      <c r="M1116" s="17"/>
      <c r="N1116" s="17"/>
      <c r="O1116" s="20"/>
      <c r="P1116" s="20"/>
      <c r="Q1116" s="159"/>
      <c r="R1116" s="20"/>
      <c r="S1116" s="20"/>
      <c r="T1116" s="20"/>
      <c r="U1116" s="20"/>
      <c r="V1116" s="20"/>
      <c r="W1116" s="98"/>
      <c r="X1116" s="98"/>
      <c r="Y1116" s="98"/>
      <c r="Z1116" s="98"/>
      <c r="AA1116" s="98"/>
      <c r="AB1116" s="98"/>
      <c r="AC1116" s="98"/>
      <c r="AD1116" s="98"/>
      <c r="AE1116" s="98"/>
      <c r="AF1116" s="98"/>
      <c r="AG1116" s="98"/>
      <c r="AH1116" s="98"/>
      <c r="AI1116" s="20"/>
      <c r="AJ1116" s="20"/>
      <c r="AK1116" s="20"/>
      <c r="AL1116" s="20"/>
    </row>
    <row r="1117">
      <c r="A1117" s="156"/>
      <c r="B1117" s="20"/>
      <c r="C1117" s="20"/>
      <c r="D1117" s="20"/>
      <c r="E1117" s="20"/>
      <c r="F1117" s="20"/>
      <c r="G1117" s="20"/>
      <c r="H1117" s="20"/>
      <c r="I1117" s="20"/>
      <c r="J1117" s="21"/>
      <c r="K1117" s="98"/>
      <c r="L1117" s="98"/>
      <c r="M1117" s="17"/>
      <c r="N1117" s="17"/>
      <c r="O1117" s="20"/>
      <c r="P1117" s="20"/>
      <c r="Q1117" s="159"/>
      <c r="R1117" s="20"/>
      <c r="S1117" s="20"/>
      <c r="T1117" s="20"/>
      <c r="U1117" s="20"/>
      <c r="V1117" s="20"/>
      <c r="W1117" s="98"/>
      <c r="X1117" s="98"/>
      <c r="Y1117" s="98"/>
      <c r="Z1117" s="98"/>
      <c r="AA1117" s="98"/>
      <c r="AB1117" s="98"/>
      <c r="AC1117" s="98"/>
      <c r="AD1117" s="98"/>
      <c r="AE1117" s="98"/>
      <c r="AF1117" s="98"/>
      <c r="AG1117" s="98"/>
      <c r="AH1117" s="98"/>
      <c r="AI1117" s="20"/>
      <c r="AJ1117" s="20"/>
      <c r="AK1117" s="20"/>
      <c r="AL1117" s="20"/>
    </row>
    <row r="1118">
      <c r="A1118" s="156"/>
      <c r="B1118" s="20"/>
      <c r="C1118" s="20"/>
      <c r="D1118" s="20"/>
      <c r="E1118" s="20"/>
      <c r="F1118" s="20"/>
      <c r="G1118" s="20"/>
      <c r="H1118" s="20"/>
      <c r="I1118" s="20"/>
      <c r="J1118" s="21"/>
      <c r="K1118" s="98"/>
      <c r="L1118" s="98"/>
      <c r="M1118" s="17"/>
      <c r="N1118" s="17"/>
      <c r="O1118" s="20"/>
      <c r="P1118" s="20"/>
      <c r="Q1118" s="159"/>
      <c r="R1118" s="20"/>
      <c r="S1118" s="20"/>
      <c r="T1118" s="20"/>
      <c r="U1118" s="20"/>
      <c r="V1118" s="20"/>
      <c r="W1118" s="98"/>
      <c r="X1118" s="98"/>
      <c r="Y1118" s="98"/>
      <c r="Z1118" s="98"/>
      <c r="AA1118" s="98"/>
      <c r="AB1118" s="98"/>
      <c r="AC1118" s="98"/>
      <c r="AD1118" s="98"/>
      <c r="AE1118" s="98"/>
      <c r="AF1118" s="98"/>
      <c r="AG1118" s="98"/>
      <c r="AH1118" s="98"/>
      <c r="AI1118" s="20"/>
      <c r="AJ1118" s="20"/>
      <c r="AK1118" s="20"/>
      <c r="AL1118" s="20"/>
    </row>
    <row r="1119">
      <c r="A1119" s="156"/>
      <c r="B1119" s="20"/>
      <c r="C1119" s="20"/>
      <c r="D1119" s="20"/>
      <c r="E1119" s="20"/>
      <c r="F1119" s="20"/>
      <c r="G1119" s="20"/>
      <c r="H1119" s="20"/>
      <c r="I1119" s="20"/>
      <c r="J1119" s="21"/>
      <c r="K1119" s="98"/>
      <c r="L1119" s="98"/>
      <c r="M1119" s="17"/>
      <c r="N1119" s="17"/>
      <c r="O1119" s="20"/>
      <c r="P1119" s="20"/>
      <c r="Q1119" s="159"/>
      <c r="R1119" s="20"/>
      <c r="S1119" s="20"/>
      <c r="T1119" s="20"/>
      <c r="U1119" s="20"/>
      <c r="V1119" s="20"/>
      <c r="W1119" s="98"/>
      <c r="X1119" s="98"/>
      <c r="Y1119" s="98"/>
      <c r="Z1119" s="98"/>
      <c r="AA1119" s="98"/>
      <c r="AB1119" s="98"/>
      <c r="AC1119" s="98"/>
      <c r="AD1119" s="98"/>
      <c r="AE1119" s="98"/>
      <c r="AF1119" s="98"/>
      <c r="AG1119" s="98"/>
      <c r="AH1119" s="98"/>
      <c r="AI1119" s="20"/>
      <c r="AJ1119" s="20"/>
      <c r="AK1119" s="20"/>
      <c r="AL1119" s="20"/>
    </row>
    <row r="1120">
      <c r="A1120" s="156"/>
      <c r="B1120" s="20"/>
      <c r="C1120" s="20"/>
      <c r="D1120" s="20"/>
      <c r="E1120" s="20"/>
      <c r="F1120" s="20"/>
      <c r="G1120" s="20"/>
      <c r="H1120" s="20"/>
      <c r="I1120" s="20"/>
      <c r="J1120" s="21"/>
      <c r="K1120" s="98"/>
      <c r="L1120" s="98"/>
      <c r="M1120" s="17"/>
      <c r="N1120" s="17"/>
      <c r="O1120" s="20"/>
      <c r="P1120" s="20"/>
      <c r="Q1120" s="159"/>
      <c r="R1120" s="20"/>
      <c r="S1120" s="20"/>
      <c r="T1120" s="20"/>
      <c r="U1120" s="20"/>
      <c r="V1120" s="20"/>
      <c r="W1120" s="98"/>
      <c r="X1120" s="98"/>
      <c r="Y1120" s="98"/>
      <c r="Z1120" s="98"/>
      <c r="AA1120" s="98"/>
      <c r="AB1120" s="98"/>
      <c r="AC1120" s="98"/>
      <c r="AD1120" s="98"/>
      <c r="AE1120" s="98"/>
      <c r="AF1120" s="98"/>
      <c r="AG1120" s="98"/>
      <c r="AH1120" s="98"/>
      <c r="AI1120" s="20"/>
      <c r="AJ1120" s="20"/>
      <c r="AK1120" s="20"/>
      <c r="AL1120" s="20"/>
    </row>
    <row r="1121">
      <c r="A1121" s="156"/>
      <c r="B1121" s="20"/>
      <c r="C1121" s="20"/>
      <c r="D1121" s="20"/>
      <c r="E1121" s="20"/>
      <c r="F1121" s="20"/>
      <c r="G1121" s="20"/>
      <c r="H1121" s="20"/>
      <c r="I1121" s="20"/>
      <c r="J1121" s="21"/>
      <c r="K1121" s="98"/>
      <c r="L1121" s="98"/>
      <c r="M1121" s="17"/>
      <c r="N1121" s="17"/>
      <c r="O1121" s="20"/>
      <c r="P1121" s="20"/>
      <c r="Q1121" s="159"/>
      <c r="R1121" s="20"/>
      <c r="S1121" s="20"/>
      <c r="T1121" s="20"/>
      <c r="U1121" s="20"/>
      <c r="V1121" s="20"/>
      <c r="W1121" s="98"/>
      <c r="X1121" s="98"/>
      <c r="Y1121" s="98"/>
      <c r="Z1121" s="98"/>
      <c r="AA1121" s="98"/>
      <c r="AB1121" s="98"/>
      <c r="AC1121" s="98"/>
      <c r="AD1121" s="98"/>
      <c r="AE1121" s="98"/>
      <c r="AF1121" s="98"/>
      <c r="AG1121" s="98"/>
      <c r="AH1121" s="98"/>
      <c r="AI1121" s="20"/>
      <c r="AJ1121" s="20"/>
      <c r="AK1121" s="20"/>
      <c r="AL1121" s="20"/>
    </row>
    <row r="1122">
      <c r="A1122" s="156"/>
      <c r="B1122" s="20"/>
      <c r="C1122" s="20"/>
      <c r="D1122" s="20"/>
      <c r="E1122" s="20"/>
      <c r="F1122" s="20"/>
      <c r="G1122" s="20"/>
      <c r="H1122" s="20"/>
      <c r="I1122" s="20"/>
      <c r="J1122" s="21"/>
      <c r="K1122" s="98"/>
      <c r="L1122" s="98"/>
      <c r="M1122" s="17"/>
      <c r="N1122" s="17"/>
      <c r="O1122" s="20"/>
      <c r="P1122" s="20"/>
      <c r="Q1122" s="159"/>
      <c r="R1122" s="20"/>
      <c r="S1122" s="20"/>
      <c r="T1122" s="20"/>
      <c r="U1122" s="20"/>
      <c r="V1122" s="20"/>
      <c r="W1122" s="98"/>
      <c r="X1122" s="98"/>
      <c r="Y1122" s="98"/>
      <c r="Z1122" s="98"/>
      <c r="AA1122" s="98"/>
      <c r="AB1122" s="98"/>
      <c r="AC1122" s="98"/>
      <c r="AD1122" s="98"/>
      <c r="AE1122" s="98"/>
      <c r="AF1122" s="98"/>
      <c r="AG1122" s="98"/>
      <c r="AH1122" s="98"/>
      <c r="AI1122" s="20"/>
      <c r="AJ1122" s="20"/>
      <c r="AK1122" s="20"/>
      <c r="AL1122" s="20"/>
    </row>
    <row r="1123">
      <c r="A1123" s="156"/>
      <c r="B1123" s="20"/>
      <c r="C1123" s="20"/>
      <c r="D1123" s="20"/>
      <c r="E1123" s="20"/>
      <c r="F1123" s="20"/>
      <c r="G1123" s="20"/>
      <c r="H1123" s="20"/>
      <c r="I1123" s="20"/>
      <c r="J1123" s="21"/>
      <c r="K1123" s="98"/>
      <c r="L1123" s="98"/>
      <c r="M1123" s="17"/>
      <c r="N1123" s="17"/>
      <c r="O1123" s="20"/>
      <c r="P1123" s="20"/>
      <c r="Q1123" s="159"/>
      <c r="R1123" s="20"/>
      <c r="S1123" s="20"/>
      <c r="T1123" s="20"/>
      <c r="U1123" s="20"/>
      <c r="V1123" s="20"/>
      <c r="W1123" s="98"/>
      <c r="X1123" s="98"/>
      <c r="Y1123" s="98"/>
      <c r="Z1123" s="98"/>
      <c r="AA1123" s="98"/>
      <c r="AB1123" s="98"/>
      <c r="AC1123" s="98"/>
      <c r="AD1123" s="98"/>
      <c r="AE1123" s="98"/>
      <c r="AF1123" s="98"/>
      <c r="AG1123" s="98"/>
      <c r="AH1123" s="98"/>
      <c r="AI1123" s="20"/>
      <c r="AJ1123" s="20"/>
      <c r="AK1123" s="20"/>
      <c r="AL1123" s="20"/>
    </row>
    <row r="1124">
      <c r="A1124" s="156"/>
      <c r="B1124" s="20"/>
      <c r="C1124" s="20"/>
      <c r="D1124" s="20"/>
      <c r="E1124" s="20"/>
      <c r="F1124" s="20"/>
      <c r="G1124" s="20"/>
      <c r="H1124" s="20"/>
      <c r="I1124" s="20"/>
      <c r="J1124" s="21"/>
      <c r="K1124" s="98"/>
      <c r="L1124" s="98"/>
      <c r="M1124" s="17"/>
      <c r="N1124" s="17"/>
      <c r="O1124" s="20"/>
      <c r="P1124" s="20"/>
      <c r="Q1124" s="159"/>
      <c r="R1124" s="20"/>
      <c r="S1124" s="20"/>
      <c r="T1124" s="20"/>
      <c r="U1124" s="20"/>
      <c r="V1124" s="20"/>
      <c r="W1124" s="98"/>
      <c r="X1124" s="98"/>
      <c r="Y1124" s="98"/>
      <c r="Z1124" s="98"/>
      <c r="AA1124" s="98"/>
      <c r="AB1124" s="98"/>
      <c r="AC1124" s="98"/>
      <c r="AD1124" s="98"/>
      <c r="AE1124" s="98"/>
      <c r="AF1124" s="98"/>
      <c r="AG1124" s="98"/>
      <c r="AH1124" s="98"/>
      <c r="AI1124" s="20"/>
      <c r="AJ1124" s="20"/>
      <c r="AK1124" s="20"/>
      <c r="AL1124" s="20"/>
    </row>
    <row r="1125">
      <c r="A1125" s="156"/>
      <c r="B1125" s="20"/>
      <c r="C1125" s="20"/>
      <c r="D1125" s="20"/>
      <c r="E1125" s="20"/>
      <c r="F1125" s="20"/>
      <c r="G1125" s="20"/>
      <c r="H1125" s="20"/>
      <c r="I1125" s="20"/>
      <c r="J1125" s="21"/>
      <c r="K1125" s="98"/>
      <c r="L1125" s="98"/>
      <c r="M1125" s="17"/>
      <c r="N1125" s="17"/>
      <c r="O1125" s="20"/>
      <c r="P1125" s="20"/>
      <c r="Q1125" s="159"/>
      <c r="R1125" s="20"/>
      <c r="S1125" s="20"/>
      <c r="T1125" s="20"/>
      <c r="U1125" s="20"/>
      <c r="V1125" s="20"/>
      <c r="W1125" s="98"/>
      <c r="X1125" s="98"/>
      <c r="Y1125" s="98"/>
      <c r="Z1125" s="98"/>
      <c r="AA1125" s="98"/>
      <c r="AB1125" s="98"/>
      <c r="AC1125" s="98"/>
      <c r="AD1125" s="98"/>
      <c r="AE1125" s="98"/>
      <c r="AF1125" s="98"/>
      <c r="AG1125" s="98"/>
      <c r="AH1125" s="98"/>
      <c r="AI1125" s="20"/>
      <c r="AJ1125" s="20"/>
      <c r="AK1125" s="20"/>
      <c r="AL1125" s="20"/>
    </row>
    <row r="1126">
      <c r="A1126" s="156"/>
      <c r="B1126" s="20"/>
      <c r="C1126" s="20"/>
      <c r="D1126" s="20"/>
      <c r="E1126" s="20"/>
      <c r="F1126" s="20"/>
      <c r="G1126" s="20"/>
      <c r="H1126" s="20"/>
      <c r="I1126" s="20"/>
      <c r="J1126" s="21"/>
      <c r="K1126" s="98"/>
      <c r="L1126" s="98"/>
      <c r="M1126" s="17"/>
      <c r="N1126" s="17"/>
      <c r="O1126" s="20"/>
      <c r="P1126" s="20"/>
      <c r="Q1126" s="159"/>
      <c r="R1126" s="20"/>
      <c r="S1126" s="20"/>
      <c r="T1126" s="20"/>
      <c r="U1126" s="20"/>
      <c r="V1126" s="20"/>
      <c r="W1126" s="98"/>
      <c r="X1126" s="98"/>
      <c r="Y1126" s="98"/>
      <c r="Z1126" s="98"/>
      <c r="AA1126" s="98"/>
      <c r="AB1126" s="98"/>
      <c r="AC1126" s="98"/>
      <c r="AD1126" s="98"/>
      <c r="AE1126" s="98"/>
      <c r="AF1126" s="98"/>
      <c r="AG1126" s="98"/>
      <c r="AH1126" s="98"/>
      <c r="AI1126" s="20"/>
      <c r="AJ1126" s="20"/>
      <c r="AK1126" s="20"/>
      <c r="AL1126" s="20"/>
    </row>
    <row r="1127">
      <c r="A1127" s="156"/>
      <c r="B1127" s="20"/>
      <c r="C1127" s="20"/>
      <c r="D1127" s="20"/>
      <c r="E1127" s="20"/>
      <c r="F1127" s="20"/>
      <c r="G1127" s="20"/>
      <c r="H1127" s="20"/>
      <c r="I1127" s="20"/>
      <c r="J1127" s="21"/>
      <c r="K1127" s="98"/>
      <c r="L1127" s="98"/>
      <c r="M1127" s="17"/>
      <c r="N1127" s="17"/>
      <c r="O1127" s="20"/>
      <c r="P1127" s="20"/>
      <c r="Q1127" s="159"/>
      <c r="R1127" s="20"/>
      <c r="S1127" s="20"/>
      <c r="T1127" s="20"/>
      <c r="U1127" s="20"/>
      <c r="V1127" s="20"/>
      <c r="W1127" s="98"/>
      <c r="X1127" s="98"/>
      <c r="Y1127" s="98"/>
      <c r="Z1127" s="98"/>
      <c r="AA1127" s="98"/>
      <c r="AB1127" s="98"/>
      <c r="AC1127" s="98"/>
      <c r="AD1127" s="98"/>
      <c r="AE1127" s="98"/>
      <c r="AF1127" s="98"/>
      <c r="AG1127" s="98"/>
      <c r="AH1127" s="98"/>
      <c r="AI1127" s="20"/>
      <c r="AJ1127" s="20"/>
      <c r="AK1127" s="20"/>
      <c r="AL1127" s="20"/>
    </row>
    <row r="1128">
      <c r="A1128" s="156"/>
      <c r="B1128" s="20"/>
      <c r="C1128" s="20"/>
      <c r="D1128" s="20"/>
      <c r="E1128" s="20"/>
      <c r="F1128" s="20"/>
      <c r="G1128" s="20"/>
      <c r="H1128" s="20"/>
      <c r="I1128" s="20"/>
      <c r="J1128" s="21"/>
      <c r="K1128" s="98"/>
      <c r="L1128" s="98"/>
      <c r="M1128" s="17"/>
      <c r="N1128" s="17"/>
      <c r="O1128" s="20"/>
      <c r="P1128" s="20"/>
      <c r="Q1128" s="159"/>
      <c r="R1128" s="20"/>
      <c r="S1128" s="20"/>
      <c r="T1128" s="20"/>
      <c r="U1128" s="20"/>
      <c r="V1128" s="20"/>
      <c r="W1128" s="98"/>
      <c r="X1128" s="98"/>
      <c r="Y1128" s="98"/>
      <c r="Z1128" s="98"/>
      <c r="AA1128" s="98"/>
      <c r="AB1128" s="98"/>
      <c r="AC1128" s="98"/>
      <c r="AD1128" s="98"/>
      <c r="AE1128" s="98"/>
      <c r="AF1128" s="98"/>
      <c r="AG1128" s="98"/>
      <c r="AH1128" s="98"/>
      <c r="AI1128" s="20"/>
      <c r="AJ1128" s="20"/>
      <c r="AK1128" s="20"/>
      <c r="AL1128" s="20"/>
    </row>
    <row r="1129">
      <c r="A1129" s="156"/>
      <c r="B1129" s="20"/>
      <c r="C1129" s="20"/>
      <c r="D1129" s="20"/>
      <c r="E1129" s="20"/>
      <c r="F1129" s="20"/>
      <c r="G1129" s="20"/>
      <c r="H1129" s="20"/>
      <c r="I1129" s="20"/>
      <c r="J1129" s="21"/>
      <c r="K1129" s="98"/>
      <c r="L1129" s="98"/>
      <c r="M1129" s="17"/>
      <c r="N1129" s="17"/>
      <c r="O1129" s="20"/>
      <c r="P1129" s="20"/>
      <c r="Q1129" s="159"/>
      <c r="R1129" s="20"/>
      <c r="S1129" s="20"/>
      <c r="T1129" s="20"/>
      <c r="U1129" s="20"/>
      <c r="V1129" s="20"/>
      <c r="W1129" s="98"/>
      <c r="X1129" s="98"/>
      <c r="Y1129" s="98"/>
      <c r="Z1129" s="98"/>
      <c r="AA1129" s="98"/>
      <c r="AB1129" s="98"/>
      <c r="AC1129" s="98"/>
      <c r="AD1129" s="98"/>
      <c r="AE1129" s="98"/>
      <c r="AF1129" s="98"/>
      <c r="AG1129" s="98"/>
      <c r="AH1129" s="98"/>
      <c r="AI1129" s="20"/>
      <c r="AJ1129" s="20"/>
      <c r="AK1129" s="20"/>
      <c r="AL1129" s="20"/>
    </row>
    <row r="1130">
      <c r="A1130" s="156"/>
      <c r="B1130" s="20"/>
      <c r="C1130" s="20"/>
      <c r="D1130" s="20"/>
      <c r="E1130" s="20"/>
      <c r="F1130" s="20"/>
      <c r="G1130" s="20"/>
      <c r="H1130" s="20"/>
      <c r="I1130" s="20"/>
      <c r="J1130" s="21"/>
      <c r="K1130" s="98"/>
      <c r="L1130" s="98"/>
      <c r="M1130" s="17"/>
      <c r="N1130" s="17"/>
      <c r="O1130" s="20"/>
      <c r="P1130" s="20"/>
      <c r="Q1130" s="159"/>
      <c r="R1130" s="20"/>
      <c r="S1130" s="20"/>
      <c r="T1130" s="20"/>
      <c r="U1130" s="20"/>
      <c r="V1130" s="20"/>
      <c r="W1130" s="98"/>
      <c r="X1130" s="98"/>
      <c r="Y1130" s="98"/>
      <c r="Z1130" s="98"/>
      <c r="AA1130" s="98"/>
      <c r="AB1130" s="98"/>
      <c r="AC1130" s="98"/>
      <c r="AD1130" s="98"/>
      <c r="AE1130" s="98"/>
      <c r="AF1130" s="98"/>
      <c r="AG1130" s="98"/>
      <c r="AH1130" s="98"/>
      <c r="AI1130" s="20"/>
      <c r="AJ1130" s="20"/>
      <c r="AK1130" s="20"/>
      <c r="AL1130" s="20"/>
    </row>
    <row r="1131">
      <c r="A1131" s="156"/>
      <c r="B1131" s="20"/>
      <c r="C1131" s="20"/>
      <c r="D1131" s="20"/>
      <c r="E1131" s="20"/>
      <c r="F1131" s="20"/>
      <c r="G1131" s="20"/>
      <c r="H1131" s="20"/>
      <c r="I1131" s="20"/>
      <c r="J1131" s="21"/>
      <c r="K1131" s="98"/>
      <c r="L1131" s="98"/>
      <c r="M1131" s="17"/>
      <c r="N1131" s="17"/>
      <c r="O1131" s="20"/>
      <c r="P1131" s="20"/>
      <c r="Q1131" s="159"/>
      <c r="R1131" s="20"/>
      <c r="S1131" s="20"/>
      <c r="T1131" s="20"/>
      <c r="U1131" s="20"/>
      <c r="V1131" s="20"/>
      <c r="W1131" s="98"/>
      <c r="X1131" s="98"/>
      <c r="Y1131" s="98"/>
      <c r="Z1131" s="98"/>
      <c r="AA1131" s="98"/>
      <c r="AB1131" s="98"/>
      <c r="AC1131" s="98"/>
      <c r="AD1131" s="98"/>
      <c r="AE1131" s="98"/>
      <c r="AF1131" s="98"/>
      <c r="AG1131" s="98"/>
      <c r="AH1131" s="98"/>
      <c r="AI1131" s="20"/>
      <c r="AJ1131" s="20"/>
      <c r="AK1131" s="20"/>
      <c r="AL1131" s="20"/>
    </row>
    <row r="1132">
      <c r="A1132" s="156"/>
      <c r="B1132" s="20"/>
      <c r="C1132" s="20"/>
      <c r="D1132" s="20"/>
      <c r="E1132" s="20"/>
      <c r="F1132" s="20"/>
      <c r="G1132" s="20"/>
      <c r="H1132" s="20"/>
      <c r="I1132" s="20"/>
      <c r="J1132" s="21"/>
      <c r="K1132" s="98"/>
      <c r="L1132" s="98"/>
      <c r="M1132" s="17"/>
      <c r="N1132" s="17"/>
      <c r="O1132" s="20"/>
      <c r="P1132" s="20"/>
      <c r="Q1132" s="159"/>
      <c r="R1132" s="20"/>
      <c r="S1132" s="20"/>
      <c r="T1132" s="20"/>
      <c r="U1132" s="20"/>
      <c r="V1132" s="20"/>
      <c r="W1132" s="98"/>
      <c r="X1132" s="98"/>
      <c r="Y1132" s="98"/>
      <c r="Z1132" s="98"/>
      <c r="AA1132" s="98"/>
      <c r="AB1132" s="98"/>
      <c r="AC1132" s="98"/>
      <c r="AD1132" s="98"/>
      <c r="AE1132" s="98"/>
      <c r="AF1132" s="98"/>
      <c r="AG1132" s="98"/>
      <c r="AH1132" s="98"/>
      <c r="AI1132" s="20"/>
      <c r="AJ1132" s="20"/>
      <c r="AK1132" s="20"/>
      <c r="AL1132" s="20"/>
    </row>
    <row r="1133">
      <c r="A1133" s="156"/>
      <c r="B1133" s="20"/>
      <c r="C1133" s="20"/>
      <c r="D1133" s="20"/>
      <c r="E1133" s="20"/>
      <c r="F1133" s="20"/>
      <c r="G1133" s="20"/>
      <c r="H1133" s="20"/>
      <c r="I1133" s="20"/>
      <c r="J1133" s="21"/>
      <c r="K1133" s="98"/>
      <c r="L1133" s="98"/>
      <c r="M1133" s="17"/>
      <c r="N1133" s="17"/>
      <c r="O1133" s="20"/>
      <c r="P1133" s="20"/>
      <c r="Q1133" s="159"/>
      <c r="R1133" s="20"/>
      <c r="S1133" s="20"/>
      <c r="T1133" s="20"/>
      <c r="U1133" s="20"/>
      <c r="V1133" s="20"/>
      <c r="W1133" s="98"/>
      <c r="X1133" s="98"/>
      <c r="Y1133" s="98"/>
      <c r="Z1133" s="98"/>
      <c r="AA1133" s="98"/>
      <c r="AB1133" s="98"/>
      <c r="AC1133" s="98"/>
      <c r="AD1133" s="98"/>
      <c r="AE1133" s="98"/>
      <c r="AF1133" s="98"/>
      <c r="AG1133" s="98"/>
      <c r="AH1133" s="98"/>
      <c r="AI1133" s="20"/>
      <c r="AJ1133" s="20"/>
      <c r="AK1133" s="20"/>
      <c r="AL1133" s="20"/>
    </row>
    <row r="1134">
      <c r="A1134" s="156"/>
      <c r="B1134" s="20"/>
      <c r="C1134" s="20"/>
      <c r="D1134" s="20"/>
      <c r="E1134" s="20"/>
      <c r="F1134" s="20"/>
      <c r="G1134" s="20"/>
      <c r="H1134" s="20"/>
      <c r="I1134" s="20"/>
      <c r="J1134" s="21"/>
      <c r="K1134" s="98"/>
      <c r="L1134" s="98"/>
      <c r="M1134" s="17"/>
      <c r="N1134" s="17"/>
      <c r="O1134" s="20"/>
      <c r="P1134" s="20"/>
      <c r="Q1134" s="159"/>
      <c r="R1134" s="20"/>
      <c r="S1134" s="20"/>
      <c r="T1134" s="20"/>
      <c r="U1134" s="20"/>
      <c r="V1134" s="20"/>
      <c r="W1134" s="98"/>
      <c r="X1134" s="98"/>
      <c r="Y1134" s="98"/>
      <c r="Z1134" s="98"/>
      <c r="AA1134" s="98"/>
      <c r="AB1134" s="98"/>
      <c r="AC1134" s="98"/>
      <c r="AD1134" s="98"/>
      <c r="AE1134" s="98"/>
      <c r="AF1134" s="98"/>
      <c r="AG1134" s="98"/>
      <c r="AH1134" s="98"/>
      <c r="AI1134" s="20"/>
      <c r="AJ1134" s="20"/>
      <c r="AK1134" s="20"/>
      <c r="AL1134" s="20"/>
    </row>
    <row r="1135">
      <c r="A1135" s="156"/>
      <c r="B1135" s="20"/>
      <c r="C1135" s="20"/>
      <c r="D1135" s="20"/>
      <c r="E1135" s="20"/>
      <c r="F1135" s="20"/>
      <c r="G1135" s="20"/>
      <c r="H1135" s="20"/>
      <c r="I1135" s="20"/>
      <c r="J1135" s="21"/>
      <c r="K1135" s="98"/>
      <c r="L1135" s="98"/>
      <c r="M1135" s="17"/>
      <c r="N1135" s="17"/>
      <c r="O1135" s="20"/>
      <c r="P1135" s="20"/>
      <c r="Q1135" s="159"/>
      <c r="R1135" s="20"/>
      <c r="S1135" s="20"/>
      <c r="T1135" s="20"/>
      <c r="U1135" s="20"/>
      <c r="V1135" s="20"/>
      <c r="W1135" s="98"/>
      <c r="X1135" s="98"/>
      <c r="Y1135" s="98"/>
      <c r="Z1135" s="98"/>
      <c r="AA1135" s="98"/>
      <c r="AB1135" s="98"/>
      <c r="AC1135" s="98"/>
      <c r="AD1135" s="98"/>
      <c r="AE1135" s="98"/>
      <c r="AF1135" s="98"/>
      <c r="AG1135" s="98"/>
      <c r="AH1135" s="98"/>
      <c r="AI1135" s="20"/>
      <c r="AJ1135" s="20"/>
      <c r="AK1135" s="20"/>
      <c r="AL1135" s="20"/>
    </row>
    <row r="1136">
      <c r="A1136" s="156"/>
      <c r="B1136" s="20"/>
      <c r="C1136" s="20"/>
      <c r="D1136" s="20"/>
      <c r="E1136" s="20"/>
      <c r="F1136" s="20"/>
      <c r="G1136" s="20"/>
      <c r="H1136" s="20"/>
      <c r="I1136" s="20"/>
      <c r="J1136" s="21"/>
      <c r="K1136" s="98"/>
      <c r="L1136" s="98"/>
      <c r="M1136" s="17"/>
      <c r="N1136" s="17"/>
      <c r="O1136" s="20"/>
      <c r="P1136" s="20"/>
      <c r="Q1136" s="159"/>
      <c r="R1136" s="20"/>
      <c r="S1136" s="20"/>
      <c r="T1136" s="20"/>
      <c r="U1136" s="20"/>
      <c r="V1136" s="20"/>
      <c r="W1136" s="98"/>
      <c r="X1136" s="98"/>
      <c r="Y1136" s="98"/>
      <c r="Z1136" s="98"/>
      <c r="AA1136" s="98"/>
      <c r="AB1136" s="98"/>
      <c r="AC1136" s="98"/>
      <c r="AD1136" s="98"/>
      <c r="AE1136" s="98"/>
      <c r="AF1136" s="98"/>
      <c r="AG1136" s="98"/>
      <c r="AH1136" s="98"/>
      <c r="AI1136" s="20"/>
      <c r="AJ1136" s="20"/>
      <c r="AK1136" s="20"/>
      <c r="AL1136" s="20"/>
    </row>
    <row r="1137">
      <c r="A1137" s="156"/>
      <c r="B1137" s="20"/>
      <c r="C1137" s="20"/>
      <c r="D1137" s="20"/>
      <c r="E1137" s="20"/>
      <c r="F1137" s="20"/>
      <c r="G1137" s="20"/>
      <c r="H1137" s="20"/>
      <c r="I1137" s="20"/>
      <c r="J1137" s="21"/>
      <c r="K1137" s="98"/>
      <c r="L1137" s="98"/>
      <c r="M1137" s="17"/>
      <c r="N1137" s="17"/>
      <c r="O1137" s="20"/>
      <c r="P1137" s="20"/>
      <c r="Q1137" s="159"/>
      <c r="R1137" s="20"/>
      <c r="S1137" s="20"/>
      <c r="T1137" s="20"/>
      <c r="U1137" s="20"/>
      <c r="V1137" s="20"/>
      <c r="W1137" s="98"/>
      <c r="X1137" s="98"/>
      <c r="Y1137" s="98"/>
      <c r="Z1137" s="98"/>
      <c r="AA1137" s="98"/>
      <c r="AB1137" s="98"/>
      <c r="AC1137" s="98"/>
      <c r="AD1137" s="98"/>
      <c r="AE1137" s="98"/>
      <c r="AF1137" s="98"/>
      <c r="AG1137" s="98"/>
      <c r="AH1137" s="98"/>
      <c r="AI1137" s="20"/>
      <c r="AJ1137" s="20"/>
      <c r="AK1137" s="20"/>
      <c r="AL1137" s="20"/>
    </row>
    <row r="1138">
      <c r="A1138" s="156"/>
      <c r="B1138" s="20"/>
      <c r="C1138" s="20"/>
      <c r="D1138" s="20"/>
      <c r="E1138" s="20"/>
      <c r="F1138" s="20"/>
      <c r="G1138" s="20"/>
      <c r="H1138" s="20"/>
      <c r="I1138" s="20"/>
      <c r="J1138" s="21"/>
      <c r="K1138" s="98"/>
      <c r="L1138" s="98"/>
      <c r="M1138" s="17"/>
      <c r="N1138" s="17"/>
      <c r="O1138" s="20"/>
      <c r="P1138" s="20"/>
      <c r="Q1138" s="159"/>
      <c r="R1138" s="20"/>
      <c r="S1138" s="20"/>
      <c r="T1138" s="20"/>
      <c r="U1138" s="20"/>
      <c r="V1138" s="20"/>
      <c r="W1138" s="98"/>
      <c r="X1138" s="98"/>
      <c r="Y1138" s="98"/>
      <c r="Z1138" s="98"/>
      <c r="AA1138" s="98"/>
      <c r="AB1138" s="98"/>
      <c r="AC1138" s="98"/>
      <c r="AD1138" s="98"/>
      <c r="AE1138" s="98"/>
      <c r="AF1138" s="98"/>
      <c r="AG1138" s="98"/>
      <c r="AH1138" s="98"/>
      <c r="AI1138" s="20"/>
      <c r="AJ1138" s="20"/>
      <c r="AK1138" s="20"/>
      <c r="AL1138" s="20"/>
    </row>
    <row r="1139">
      <c r="A1139" s="156"/>
      <c r="B1139" s="20"/>
      <c r="C1139" s="20"/>
      <c r="D1139" s="20"/>
      <c r="E1139" s="20"/>
      <c r="F1139" s="20"/>
      <c r="G1139" s="20"/>
      <c r="H1139" s="20"/>
      <c r="I1139" s="20"/>
      <c r="J1139" s="21"/>
      <c r="K1139" s="98"/>
      <c r="L1139" s="98"/>
      <c r="M1139" s="17"/>
      <c r="N1139" s="17"/>
      <c r="O1139" s="20"/>
      <c r="P1139" s="20"/>
      <c r="Q1139" s="159"/>
      <c r="R1139" s="20"/>
      <c r="S1139" s="20"/>
      <c r="T1139" s="20"/>
      <c r="U1139" s="20"/>
      <c r="V1139" s="20"/>
      <c r="W1139" s="98"/>
      <c r="X1139" s="98"/>
      <c r="Y1139" s="98"/>
      <c r="Z1139" s="98"/>
      <c r="AA1139" s="98"/>
      <c r="AB1139" s="98"/>
      <c r="AC1139" s="98"/>
      <c r="AD1139" s="98"/>
      <c r="AE1139" s="98"/>
      <c r="AF1139" s="98"/>
      <c r="AG1139" s="98"/>
      <c r="AH1139" s="98"/>
      <c r="AI1139" s="20"/>
      <c r="AJ1139" s="20"/>
      <c r="AK1139" s="20"/>
      <c r="AL1139" s="20"/>
    </row>
    <row r="1140">
      <c r="A1140" s="156"/>
      <c r="B1140" s="20"/>
      <c r="C1140" s="20"/>
      <c r="D1140" s="20"/>
      <c r="E1140" s="20"/>
      <c r="F1140" s="20"/>
      <c r="G1140" s="20"/>
      <c r="H1140" s="20"/>
      <c r="I1140" s="20"/>
      <c r="J1140" s="21"/>
      <c r="K1140" s="98"/>
      <c r="L1140" s="98"/>
      <c r="M1140" s="17"/>
      <c r="N1140" s="17"/>
      <c r="O1140" s="20"/>
      <c r="P1140" s="20"/>
      <c r="Q1140" s="159"/>
      <c r="R1140" s="20"/>
      <c r="S1140" s="20"/>
      <c r="T1140" s="20"/>
      <c r="U1140" s="20"/>
      <c r="V1140" s="20"/>
      <c r="W1140" s="98"/>
      <c r="X1140" s="98"/>
      <c r="Y1140" s="98"/>
      <c r="Z1140" s="98"/>
      <c r="AA1140" s="98"/>
      <c r="AB1140" s="98"/>
      <c r="AC1140" s="98"/>
      <c r="AD1140" s="98"/>
      <c r="AE1140" s="98"/>
      <c r="AF1140" s="98"/>
      <c r="AG1140" s="98"/>
      <c r="AH1140" s="98"/>
      <c r="AI1140" s="20"/>
      <c r="AJ1140" s="20"/>
      <c r="AK1140" s="20"/>
      <c r="AL1140" s="20"/>
    </row>
    <row r="1141">
      <c r="A1141" s="156"/>
      <c r="B1141" s="20"/>
      <c r="C1141" s="20"/>
      <c r="D1141" s="20"/>
      <c r="E1141" s="20"/>
      <c r="F1141" s="20"/>
      <c r="G1141" s="20"/>
      <c r="H1141" s="20"/>
      <c r="I1141" s="20"/>
      <c r="J1141" s="21"/>
      <c r="K1141" s="98"/>
      <c r="L1141" s="98"/>
      <c r="M1141" s="17"/>
      <c r="N1141" s="17"/>
      <c r="O1141" s="20"/>
      <c r="P1141" s="20"/>
      <c r="Q1141" s="159"/>
      <c r="R1141" s="20"/>
      <c r="S1141" s="20"/>
      <c r="T1141" s="20"/>
      <c r="U1141" s="20"/>
      <c r="V1141" s="20"/>
      <c r="W1141" s="98"/>
      <c r="X1141" s="98"/>
      <c r="Y1141" s="98"/>
      <c r="Z1141" s="98"/>
      <c r="AA1141" s="98"/>
      <c r="AB1141" s="98"/>
      <c r="AC1141" s="98"/>
      <c r="AD1141" s="98"/>
      <c r="AE1141" s="98"/>
      <c r="AF1141" s="98"/>
      <c r="AG1141" s="98"/>
      <c r="AH1141" s="98"/>
      <c r="AI1141" s="20"/>
      <c r="AJ1141" s="20"/>
      <c r="AK1141" s="20"/>
      <c r="AL1141" s="20"/>
    </row>
    <row r="1142">
      <c r="A1142" s="156"/>
      <c r="B1142" s="20"/>
      <c r="C1142" s="20"/>
      <c r="D1142" s="20"/>
      <c r="E1142" s="20"/>
      <c r="F1142" s="20"/>
      <c r="G1142" s="20"/>
      <c r="H1142" s="20"/>
      <c r="I1142" s="20"/>
      <c r="J1142" s="21"/>
      <c r="K1142" s="98"/>
      <c r="L1142" s="98"/>
      <c r="M1142" s="17"/>
      <c r="N1142" s="17"/>
      <c r="O1142" s="20"/>
      <c r="P1142" s="20"/>
      <c r="Q1142" s="159"/>
      <c r="R1142" s="20"/>
      <c r="S1142" s="20"/>
      <c r="T1142" s="20"/>
      <c r="U1142" s="20"/>
      <c r="V1142" s="20"/>
      <c r="W1142" s="98"/>
      <c r="X1142" s="98"/>
      <c r="Y1142" s="98"/>
      <c r="Z1142" s="98"/>
      <c r="AA1142" s="98"/>
      <c r="AB1142" s="98"/>
      <c r="AC1142" s="98"/>
      <c r="AD1142" s="98"/>
      <c r="AE1142" s="98"/>
      <c r="AF1142" s="98"/>
      <c r="AG1142" s="98"/>
      <c r="AH1142" s="98"/>
      <c r="AI1142" s="20"/>
      <c r="AJ1142" s="20"/>
      <c r="AK1142" s="20"/>
      <c r="AL1142" s="20"/>
    </row>
    <row r="1143">
      <c r="A1143" s="156"/>
      <c r="B1143" s="20"/>
      <c r="C1143" s="20"/>
      <c r="D1143" s="20"/>
      <c r="E1143" s="20"/>
      <c r="F1143" s="20"/>
      <c r="G1143" s="20"/>
      <c r="H1143" s="20"/>
      <c r="I1143" s="20"/>
      <c r="J1143" s="21"/>
      <c r="K1143" s="98"/>
      <c r="L1143" s="98"/>
      <c r="M1143" s="17"/>
      <c r="N1143" s="17"/>
      <c r="O1143" s="20"/>
      <c r="P1143" s="20"/>
      <c r="Q1143" s="159"/>
      <c r="R1143" s="20"/>
      <c r="S1143" s="20"/>
      <c r="T1143" s="20"/>
      <c r="U1143" s="20"/>
      <c r="V1143" s="20"/>
      <c r="W1143" s="98"/>
      <c r="X1143" s="98"/>
      <c r="Y1143" s="98"/>
      <c r="Z1143" s="98"/>
      <c r="AA1143" s="98"/>
      <c r="AB1143" s="98"/>
      <c r="AC1143" s="98"/>
      <c r="AD1143" s="98"/>
      <c r="AE1143" s="98"/>
      <c r="AF1143" s="98"/>
      <c r="AG1143" s="98"/>
      <c r="AH1143" s="98"/>
      <c r="AI1143" s="20"/>
      <c r="AJ1143" s="20"/>
      <c r="AK1143" s="20"/>
      <c r="AL1143" s="20"/>
    </row>
    <row r="1144">
      <c r="A1144" s="156"/>
      <c r="B1144" s="20"/>
      <c r="C1144" s="20"/>
      <c r="D1144" s="20"/>
      <c r="E1144" s="20"/>
      <c r="F1144" s="20"/>
      <c r="G1144" s="20"/>
      <c r="H1144" s="20"/>
      <c r="I1144" s="20"/>
      <c r="J1144" s="21"/>
      <c r="K1144" s="98"/>
      <c r="L1144" s="98"/>
      <c r="M1144" s="17"/>
      <c r="N1144" s="17"/>
      <c r="O1144" s="20"/>
      <c r="P1144" s="20"/>
      <c r="Q1144" s="159"/>
      <c r="R1144" s="20"/>
      <c r="S1144" s="20"/>
      <c r="T1144" s="20"/>
      <c r="U1144" s="20"/>
      <c r="V1144" s="20"/>
      <c r="W1144" s="98"/>
      <c r="X1144" s="98"/>
      <c r="Y1144" s="98"/>
      <c r="Z1144" s="98"/>
      <c r="AA1144" s="98"/>
      <c r="AB1144" s="98"/>
      <c r="AC1144" s="98"/>
      <c r="AD1144" s="98"/>
      <c r="AE1144" s="98"/>
      <c r="AF1144" s="98"/>
      <c r="AG1144" s="98"/>
      <c r="AH1144" s="98"/>
      <c r="AI1144" s="20"/>
      <c r="AJ1144" s="20"/>
      <c r="AK1144" s="20"/>
      <c r="AL1144" s="20"/>
    </row>
    <row r="1145">
      <c r="A1145" s="156"/>
      <c r="B1145" s="20"/>
      <c r="C1145" s="20"/>
      <c r="D1145" s="20"/>
      <c r="E1145" s="20"/>
      <c r="F1145" s="20"/>
      <c r="G1145" s="20"/>
      <c r="H1145" s="20"/>
      <c r="I1145" s="20"/>
      <c r="J1145" s="21"/>
      <c r="K1145" s="98"/>
      <c r="L1145" s="98"/>
      <c r="M1145" s="17"/>
      <c r="N1145" s="17"/>
      <c r="O1145" s="20"/>
      <c r="P1145" s="20"/>
      <c r="Q1145" s="159"/>
      <c r="R1145" s="20"/>
      <c r="S1145" s="20"/>
      <c r="T1145" s="20"/>
      <c r="U1145" s="20"/>
      <c r="V1145" s="20"/>
      <c r="W1145" s="98"/>
      <c r="X1145" s="98"/>
      <c r="Y1145" s="98"/>
      <c r="Z1145" s="98"/>
      <c r="AA1145" s="98"/>
      <c r="AB1145" s="98"/>
      <c r="AC1145" s="98"/>
      <c r="AD1145" s="98"/>
      <c r="AE1145" s="98"/>
      <c r="AF1145" s="98"/>
      <c r="AG1145" s="98"/>
      <c r="AH1145" s="98"/>
      <c r="AI1145" s="20"/>
      <c r="AJ1145" s="20"/>
      <c r="AK1145" s="20"/>
      <c r="AL1145" s="20"/>
    </row>
    <row r="1146">
      <c r="A1146" s="156"/>
      <c r="B1146" s="20"/>
      <c r="C1146" s="20"/>
      <c r="D1146" s="20"/>
      <c r="E1146" s="20"/>
      <c r="F1146" s="20"/>
      <c r="G1146" s="20"/>
      <c r="H1146" s="20"/>
      <c r="I1146" s="20"/>
      <c r="J1146" s="21"/>
      <c r="K1146" s="98"/>
      <c r="L1146" s="98"/>
      <c r="M1146" s="17"/>
      <c r="N1146" s="17"/>
      <c r="O1146" s="20"/>
      <c r="P1146" s="20"/>
      <c r="Q1146" s="159"/>
      <c r="R1146" s="20"/>
      <c r="S1146" s="20"/>
      <c r="T1146" s="20"/>
      <c r="U1146" s="20"/>
      <c r="V1146" s="20"/>
      <c r="W1146" s="98"/>
      <c r="X1146" s="98"/>
      <c r="Y1146" s="98"/>
      <c r="Z1146" s="98"/>
      <c r="AA1146" s="98"/>
      <c r="AB1146" s="98"/>
      <c r="AC1146" s="98"/>
      <c r="AD1146" s="98"/>
      <c r="AE1146" s="98"/>
      <c r="AF1146" s="98"/>
      <c r="AG1146" s="98"/>
      <c r="AH1146" s="98"/>
      <c r="AI1146" s="20"/>
      <c r="AJ1146" s="20"/>
      <c r="AK1146" s="20"/>
      <c r="AL1146" s="20"/>
    </row>
    <row r="1147">
      <c r="A1147" s="156"/>
      <c r="B1147" s="20"/>
      <c r="C1147" s="20"/>
      <c r="D1147" s="20"/>
      <c r="E1147" s="20"/>
      <c r="F1147" s="20"/>
      <c r="G1147" s="20"/>
      <c r="H1147" s="20"/>
      <c r="I1147" s="20"/>
      <c r="J1147" s="21"/>
      <c r="K1147" s="98"/>
      <c r="L1147" s="98"/>
      <c r="M1147" s="17"/>
      <c r="N1147" s="17"/>
      <c r="O1147" s="20"/>
      <c r="P1147" s="20"/>
      <c r="Q1147" s="159"/>
      <c r="R1147" s="20"/>
      <c r="S1147" s="20"/>
      <c r="T1147" s="20"/>
      <c r="U1147" s="20"/>
      <c r="V1147" s="20"/>
      <c r="W1147" s="98"/>
      <c r="X1147" s="98"/>
      <c r="Y1147" s="98"/>
      <c r="Z1147" s="98"/>
      <c r="AA1147" s="98"/>
      <c r="AB1147" s="98"/>
      <c r="AC1147" s="98"/>
      <c r="AD1147" s="98"/>
      <c r="AE1147" s="98"/>
      <c r="AF1147" s="98"/>
      <c r="AG1147" s="98"/>
      <c r="AH1147" s="98"/>
      <c r="AI1147" s="20"/>
      <c r="AJ1147" s="20"/>
      <c r="AK1147" s="20"/>
      <c r="AL1147" s="20"/>
    </row>
    <row r="1148">
      <c r="A1148" s="156"/>
      <c r="B1148" s="20"/>
      <c r="C1148" s="20"/>
      <c r="D1148" s="20"/>
      <c r="E1148" s="20"/>
      <c r="F1148" s="20"/>
      <c r="G1148" s="20"/>
      <c r="H1148" s="20"/>
      <c r="I1148" s="20"/>
      <c r="J1148" s="21"/>
      <c r="K1148" s="98"/>
      <c r="L1148" s="98"/>
      <c r="M1148" s="17"/>
      <c r="N1148" s="17"/>
      <c r="O1148" s="20"/>
      <c r="P1148" s="20"/>
      <c r="Q1148" s="159"/>
      <c r="R1148" s="20"/>
      <c r="S1148" s="20"/>
      <c r="T1148" s="20"/>
      <c r="U1148" s="20"/>
      <c r="V1148" s="20"/>
      <c r="W1148" s="98"/>
      <c r="X1148" s="98"/>
      <c r="Y1148" s="98"/>
      <c r="Z1148" s="98"/>
      <c r="AA1148" s="98"/>
      <c r="AB1148" s="98"/>
      <c r="AC1148" s="98"/>
      <c r="AD1148" s="98"/>
      <c r="AE1148" s="98"/>
      <c r="AF1148" s="98"/>
      <c r="AG1148" s="98"/>
      <c r="AH1148" s="98"/>
      <c r="AI1148" s="20"/>
      <c r="AJ1148" s="20"/>
      <c r="AK1148" s="20"/>
      <c r="AL1148" s="20"/>
    </row>
    <row r="1149">
      <c r="A1149" s="156"/>
      <c r="B1149" s="20"/>
      <c r="C1149" s="20"/>
      <c r="D1149" s="20"/>
      <c r="E1149" s="20"/>
      <c r="F1149" s="20"/>
      <c r="G1149" s="20"/>
      <c r="H1149" s="20"/>
      <c r="I1149" s="20"/>
      <c r="J1149" s="21"/>
      <c r="K1149" s="98"/>
      <c r="L1149" s="98"/>
      <c r="M1149" s="17"/>
      <c r="N1149" s="17"/>
      <c r="O1149" s="20"/>
      <c r="P1149" s="20"/>
      <c r="Q1149" s="159"/>
      <c r="R1149" s="20"/>
      <c r="S1149" s="20"/>
      <c r="T1149" s="20"/>
      <c r="U1149" s="20"/>
      <c r="V1149" s="20"/>
      <c r="W1149" s="98"/>
      <c r="X1149" s="98"/>
      <c r="Y1149" s="98"/>
      <c r="Z1149" s="98"/>
      <c r="AA1149" s="98"/>
      <c r="AB1149" s="98"/>
      <c r="AC1149" s="98"/>
      <c r="AD1149" s="98"/>
      <c r="AE1149" s="98"/>
      <c r="AF1149" s="98"/>
      <c r="AG1149" s="98"/>
      <c r="AH1149" s="98"/>
      <c r="AI1149" s="20"/>
      <c r="AJ1149" s="20"/>
      <c r="AK1149" s="20"/>
      <c r="AL1149" s="20"/>
    </row>
  </sheetData>
  <autoFilter ref="$A$2:$AL$1149"/>
  <mergeCells count="3">
    <mergeCell ref="A1:C1"/>
    <mergeCell ref="D1:AL1"/>
    <mergeCell ref="K2:L2"/>
  </mergeCells>
  <conditionalFormatting sqref="A3:A1149">
    <cfRule type="expression" dxfId="2" priority="1">
      <formula>AND($A3&lt;&gt;"", $A3&lt;&gt;"Укажите вручную", COUNTIF($A:$A, $A3) &gt; COUNTIFS($A:$A, $A3, $B:$B, $B3, $C:$C, $C3, $I:$I, $I3))</formula>
    </cfRule>
  </conditionalFormatting>
  <dataValidations>
    <dataValidation type="list" allowBlank="1" showErrorMessage="1" sqref="H3:H681">
      <formula1>"Бизнес,Комфорт,Стандарт"</formula1>
    </dataValidation>
    <dataValidation type="list" allowBlank="1" showErrorMessage="1" sqref="F3:F681">
      <formula1>"А,Б"</formula1>
    </dataValidation>
  </dataValidations>
  <hyperlinks>
    <hyperlink r:id="rId1" ref="AH3"/>
    <hyperlink r:id="rId2" ref="AH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3.5"/>
    <col customWidth="1" min="3" max="3" width="22.0"/>
    <col customWidth="1" min="4" max="4" width="18.25"/>
    <col customWidth="1" min="5" max="5" width="32.63"/>
    <col customWidth="1" min="6" max="6" width="13.25"/>
    <col customWidth="1" min="7" max="7" width="21.13"/>
    <col customWidth="1" min="8" max="8" width="11.75"/>
    <col customWidth="1" min="9" max="9" width="27.38"/>
    <col customWidth="1" min="10" max="10" width="36.63"/>
    <col customWidth="1" min="11" max="12" width="20.88"/>
    <col customWidth="1" min="22" max="22" width="18.25"/>
    <col customWidth="1" min="23" max="23" width="15.75"/>
    <col customWidth="1" min="24" max="24" width="15.25"/>
    <col customWidth="1" min="28" max="28" width="13.25"/>
    <col customWidth="1" hidden="1" min="30" max="30" width="19.25"/>
  </cols>
  <sheetData>
    <row r="1" ht="136.5" customHeight="1">
      <c r="A1" s="7"/>
      <c r="D1" s="2" t="s">
        <v>1012</v>
      </c>
      <c r="AI1" s="2"/>
      <c r="AJ1" s="2"/>
      <c r="AK1" s="2"/>
      <c r="AL1" s="2"/>
    </row>
    <row r="2">
      <c r="A2" s="55" t="s">
        <v>21</v>
      </c>
      <c r="B2" s="55" t="s">
        <v>1</v>
      </c>
      <c r="C2" s="55" t="s">
        <v>2</v>
      </c>
      <c r="D2" s="55" t="s">
        <v>22</v>
      </c>
      <c r="E2" s="55" t="s">
        <v>23</v>
      </c>
      <c r="F2" s="55" t="s">
        <v>24</v>
      </c>
      <c r="G2" s="55" t="s">
        <v>25</v>
      </c>
      <c r="H2" s="55" t="s">
        <v>26</v>
      </c>
      <c r="I2" s="55" t="s">
        <v>27</v>
      </c>
      <c r="J2" s="55" t="s">
        <v>28</v>
      </c>
      <c r="K2" s="14" t="s">
        <v>29</v>
      </c>
      <c r="L2" s="6"/>
      <c r="M2" s="3" t="s">
        <v>32</v>
      </c>
      <c r="N2" s="3" t="s">
        <v>33</v>
      </c>
      <c r="O2" s="3" t="s">
        <v>34</v>
      </c>
      <c r="P2" s="3" t="s">
        <v>9</v>
      </c>
      <c r="Q2" s="3" t="s">
        <v>36</v>
      </c>
      <c r="R2" s="3" t="s">
        <v>37</v>
      </c>
      <c r="S2" s="3" t="s">
        <v>38</v>
      </c>
      <c r="T2" s="3" t="s">
        <v>39</v>
      </c>
      <c r="U2" s="3" t="s">
        <v>40</v>
      </c>
      <c r="V2" s="55" t="s">
        <v>41</v>
      </c>
      <c r="W2" s="55" t="s">
        <v>42</v>
      </c>
      <c r="X2" s="55" t="s">
        <v>43</v>
      </c>
      <c r="Y2" s="55" t="s">
        <v>48</v>
      </c>
      <c r="Z2" s="3" t="s">
        <v>50</v>
      </c>
      <c r="AA2" s="3" t="s">
        <v>51</v>
      </c>
      <c r="AB2" s="3" t="s">
        <v>52</v>
      </c>
      <c r="AC2" s="3" t="s">
        <v>16</v>
      </c>
      <c r="AD2" s="55" t="s">
        <v>53</v>
      </c>
      <c r="AE2" s="3" t="s">
        <v>55</v>
      </c>
      <c r="AF2" s="3" t="s">
        <v>56</v>
      </c>
      <c r="AG2" s="3" t="s">
        <v>1024</v>
      </c>
      <c r="AH2" s="3" t="s">
        <v>58</v>
      </c>
      <c r="AI2" s="56"/>
      <c r="AJ2" s="56"/>
      <c r="AK2" s="56"/>
      <c r="AL2" s="56"/>
    </row>
    <row r="3">
      <c r="A3" s="57" t="s">
        <v>59</v>
      </c>
      <c r="B3" s="58" t="s">
        <v>17</v>
      </c>
      <c r="C3" s="58" t="s">
        <v>19</v>
      </c>
      <c r="D3" s="58" t="s">
        <v>61</v>
      </c>
      <c r="E3" s="58" t="s">
        <v>62</v>
      </c>
      <c r="F3" s="58" t="s">
        <v>63</v>
      </c>
      <c r="G3" s="59">
        <v>45839.0</v>
      </c>
      <c r="H3" s="58" t="s">
        <v>65</v>
      </c>
      <c r="I3" s="60" t="s">
        <v>67</v>
      </c>
      <c r="J3" s="61" t="s">
        <v>68</v>
      </c>
      <c r="K3" s="61" t="s">
        <v>69</v>
      </c>
      <c r="L3" s="61" t="s">
        <v>70</v>
      </c>
      <c r="M3" s="58">
        <v>2021.0</v>
      </c>
      <c r="N3" s="58">
        <v>14.0</v>
      </c>
      <c r="O3" s="62">
        <v>412.0</v>
      </c>
      <c r="P3" s="62">
        <f t="shared" ref="P3:P184" si="1">O3*2.8</f>
        <v>1153.6</v>
      </c>
      <c r="Q3" s="63">
        <v>2.0</v>
      </c>
      <c r="R3" s="58">
        <v>1.0</v>
      </c>
      <c r="S3" s="58">
        <v>3.0</v>
      </c>
      <c r="T3" s="58">
        <v>1.0</v>
      </c>
      <c r="U3" s="58">
        <v>6.0</v>
      </c>
      <c r="V3" s="58" t="s">
        <v>75</v>
      </c>
      <c r="W3" s="61" t="s">
        <v>76</v>
      </c>
      <c r="X3" s="28" t="s">
        <v>1033</v>
      </c>
      <c r="Y3" s="64">
        <v>31.0</v>
      </c>
      <c r="Z3" s="65">
        <f t="shared" ref="Z3:Z561" si="2">AA3/P3</f>
        <v>13.43333333</v>
      </c>
      <c r="AA3" s="65">
        <f t="shared" ref="AA3:AA561" si="3">((P3*2.6*R3/S3/2)/2+(P3*2.6*T3/U3)/2)*Y3</f>
        <v>15496.69333</v>
      </c>
      <c r="AB3" s="65">
        <f t="shared" ref="AB3:AB561" si="4">AH3/AA3*1000</f>
        <v>1032.478327</v>
      </c>
      <c r="AC3" s="66">
        <v>1.0</v>
      </c>
      <c r="AD3" s="67"/>
      <c r="AE3" s="68">
        <f t="shared" ref="AE3:AE561" si="5">AF3/1.22</f>
        <v>6557.377049</v>
      </c>
      <c r="AF3" s="69">
        <v>8000.0</v>
      </c>
      <c r="AG3" s="68">
        <f t="shared" ref="AG3:AG561" si="6">AE3*Q3</f>
        <v>13114.7541</v>
      </c>
      <c r="AH3" s="70">
        <f t="shared" ref="AH3:AH561" si="7">AG3*1.22</f>
        <v>16000</v>
      </c>
      <c r="AI3" s="71"/>
      <c r="AJ3" s="71"/>
      <c r="AK3" s="71"/>
      <c r="AL3" s="71"/>
    </row>
    <row r="4">
      <c r="A4" s="57" t="s">
        <v>59</v>
      </c>
      <c r="B4" s="58" t="s">
        <v>17</v>
      </c>
      <c r="C4" s="58" t="s">
        <v>19</v>
      </c>
      <c r="D4" s="58" t="s">
        <v>61</v>
      </c>
      <c r="E4" s="58" t="s">
        <v>62</v>
      </c>
      <c r="F4" s="58" t="s">
        <v>63</v>
      </c>
      <c r="G4" s="59">
        <v>45839.0</v>
      </c>
      <c r="H4" s="58" t="s">
        <v>65</v>
      </c>
      <c r="I4" s="60" t="s">
        <v>67</v>
      </c>
      <c r="J4" s="61" t="s">
        <v>86</v>
      </c>
      <c r="K4" s="61" t="s">
        <v>87</v>
      </c>
      <c r="L4" s="61" t="s">
        <v>88</v>
      </c>
      <c r="M4" s="58">
        <v>2019.0</v>
      </c>
      <c r="N4" s="58">
        <v>26.0</v>
      </c>
      <c r="O4" s="62">
        <v>232.0</v>
      </c>
      <c r="P4" s="62">
        <f t="shared" si="1"/>
        <v>649.6</v>
      </c>
      <c r="Q4" s="63">
        <v>2.0</v>
      </c>
      <c r="R4" s="58">
        <v>1.0</v>
      </c>
      <c r="S4" s="58">
        <v>1.0</v>
      </c>
      <c r="T4" s="58">
        <v>1.0</v>
      </c>
      <c r="U4" s="58">
        <v>3.0</v>
      </c>
      <c r="V4" s="58" t="s">
        <v>75</v>
      </c>
      <c r="W4" s="61" t="s">
        <v>76</v>
      </c>
      <c r="X4" s="28" t="s">
        <v>1033</v>
      </c>
      <c r="Y4" s="64">
        <v>31.0</v>
      </c>
      <c r="Z4" s="65">
        <f t="shared" si="2"/>
        <v>33.58333333</v>
      </c>
      <c r="AA4" s="65">
        <f t="shared" si="3"/>
        <v>21815.73333</v>
      </c>
      <c r="AB4" s="65">
        <f t="shared" si="4"/>
        <v>733.4156389</v>
      </c>
      <c r="AC4" s="66">
        <v>1.0</v>
      </c>
      <c r="AD4" s="67"/>
      <c r="AE4" s="68">
        <f t="shared" si="5"/>
        <v>6557.377049</v>
      </c>
      <c r="AF4" s="69">
        <v>8000.0</v>
      </c>
      <c r="AG4" s="68">
        <f t="shared" si="6"/>
        <v>13114.7541</v>
      </c>
      <c r="AH4" s="70">
        <f t="shared" si="7"/>
        <v>16000</v>
      </c>
      <c r="AI4" s="71"/>
      <c r="AJ4" s="71"/>
      <c r="AK4" s="71"/>
      <c r="AL4" s="71"/>
    </row>
    <row r="5">
      <c r="A5" s="57" t="s">
        <v>59</v>
      </c>
      <c r="B5" s="58" t="s">
        <v>17</v>
      </c>
      <c r="C5" s="58" t="s">
        <v>19</v>
      </c>
      <c r="D5" s="58" t="s">
        <v>61</v>
      </c>
      <c r="E5" s="58" t="s">
        <v>62</v>
      </c>
      <c r="F5" s="58" t="s">
        <v>63</v>
      </c>
      <c r="G5" s="59">
        <v>45839.0</v>
      </c>
      <c r="H5" s="58" t="s">
        <v>65</v>
      </c>
      <c r="I5" s="60" t="s">
        <v>67</v>
      </c>
      <c r="J5" s="61" t="s">
        <v>90</v>
      </c>
      <c r="K5" s="61" t="s">
        <v>91</v>
      </c>
      <c r="L5" s="61" t="s">
        <v>92</v>
      </c>
      <c r="M5" s="58">
        <v>2023.0</v>
      </c>
      <c r="N5" s="58">
        <v>25.0</v>
      </c>
      <c r="O5" s="62">
        <v>173.0</v>
      </c>
      <c r="P5" s="62">
        <f t="shared" si="1"/>
        <v>484.4</v>
      </c>
      <c r="Q5" s="63">
        <v>1.0</v>
      </c>
      <c r="R5" s="58">
        <v>0.0</v>
      </c>
      <c r="S5" s="58">
        <v>1.0</v>
      </c>
      <c r="T5" s="58">
        <v>1.0</v>
      </c>
      <c r="U5" s="58">
        <v>3.0</v>
      </c>
      <c r="V5" s="58" t="s">
        <v>75</v>
      </c>
      <c r="W5" s="61" t="s">
        <v>76</v>
      </c>
      <c r="X5" s="28" t="s">
        <v>1033</v>
      </c>
      <c r="Y5" s="64">
        <v>31.0</v>
      </c>
      <c r="Z5" s="65">
        <f t="shared" si="2"/>
        <v>13.43333333</v>
      </c>
      <c r="AA5" s="65">
        <f t="shared" si="3"/>
        <v>6507.106667</v>
      </c>
      <c r="AB5" s="65">
        <f t="shared" si="4"/>
        <v>1229.425059</v>
      </c>
      <c r="AC5" s="66">
        <v>1.0</v>
      </c>
      <c r="AD5" s="70"/>
      <c r="AE5" s="68">
        <f t="shared" si="5"/>
        <v>6557.377049</v>
      </c>
      <c r="AF5" s="69">
        <v>8000.0</v>
      </c>
      <c r="AG5" s="68">
        <f t="shared" si="6"/>
        <v>6557.377049</v>
      </c>
      <c r="AH5" s="70">
        <f t="shared" si="7"/>
        <v>8000</v>
      </c>
      <c r="AI5" s="71"/>
      <c r="AJ5" s="71"/>
      <c r="AK5" s="71"/>
      <c r="AL5" s="71"/>
    </row>
    <row r="6">
      <c r="A6" s="57" t="s">
        <v>59</v>
      </c>
      <c r="B6" s="58" t="s">
        <v>17</v>
      </c>
      <c r="C6" s="58" t="s">
        <v>19</v>
      </c>
      <c r="D6" s="58" t="s">
        <v>61</v>
      </c>
      <c r="E6" s="58" t="s">
        <v>62</v>
      </c>
      <c r="F6" s="58" t="s">
        <v>63</v>
      </c>
      <c r="G6" s="59">
        <v>45839.0</v>
      </c>
      <c r="H6" s="58" t="s">
        <v>65</v>
      </c>
      <c r="I6" s="60" t="s">
        <v>67</v>
      </c>
      <c r="J6" s="61" t="s">
        <v>94</v>
      </c>
      <c r="K6" s="61" t="s">
        <v>95</v>
      </c>
      <c r="L6" s="61" t="s">
        <v>96</v>
      </c>
      <c r="M6" s="58">
        <v>2025.0</v>
      </c>
      <c r="N6" s="58">
        <v>26.0</v>
      </c>
      <c r="O6" s="62">
        <v>233.0</v>
      </c>
      <c r="P6" s="62">
        <f t="shared" si="1"/>
        <v>652.4</v>
      </c>
      <c r="Q6" s="63">
        <v>3.0</v>
      </c>
      <c r="R6" s="58">
        <v>0.0</v>
      </c>
      <c r="S6" s="58">
        <v>1.0</v>
      </c>
      <c r="T6" s="58">
        <v>3.0</v>
      </c>
      <c r="U6" s="58">
        <v>3.0</v>
      </c>
      <c r="V6" s="58" t="s">
        <v>75</v>
      </c>
      <c r="W6" s="61" t="s">
        <v>76</v>
      </c>
      <c r="X6" s="28" t="s">
        <v>1033</v>
      </c>
      <c r="Y6" s="64">
        <v>31.0</v>
      </c>
      <c r="Z6" s="65">
        <f t="shared" si="2"/>
        <v>40.3</v>
      </c>
      <c r="AA6" s="65">
        <f t="shared" si="3"/>
        <v>26291.72</v>
      </c>
      <c r="AB6" s="65">
        <f t="shared" si="4"/>
        <v>912.8349153</v>
      </c>
      <c r="AC6" s="66">
        <v>1.0</v>
      </c>
      <c r="AD6" s="70"/>
      <c r="AE6" s="68">
        <f t="shared" si="5"/>
        <v>6557.377049</v>
      </c>
      <c r="AF6" s="69">
        <v>8000.0</v>
      </c>
      <c r="AG6" s="68">
        <f t="shared" si="6"/>
        <v>19672.13115</v>
      </c>
      <c r="AH6" s="70">
        <f t="shared" si="7"/>
        <v>24000</v>
      </c>
      <c r="AI6" s="71"/>
      <c r="AJ6" s="71"/>
      <c r="AK6" s="71"/>
      <c r="AL6" s="71"/>
    </row>
    <row r="7">
      <c r="A7" s="57" t="s">
        <v>59</v>
      </c>
      <c r="B7" s="58" t="s">
        <v>17</v>
      </c>
      <c r="C7" s="58" t="s">
        <v>19</v>
      </c>
      <c r="D7" s="58" t="s">
        <v>61</v>
      </c>
      <c r="E7" s="58" t="s">
        <v>62</v>
      </c>
      <c r="F7" s="58" t="s">
        <v>63</v>
      </c>
      <c r="G7" s="59">
        <v>45839.0</v>
      </c>
      <c r="H7" s="58" t="s">
        <v>65</v>
      </c>
      <c r="I7" s="60" t="s">
        <v>67</v>
      </c>
      <c r="J7" s="61" t="s">
        <v>97</v>
      </c>
      <c r="K7" s="61" t="s">
        <v>98</v>
      </c>
      <c r="L7" s="61" t="s">
        <v>99</v>
      </c>
      <c r="M7" s="58">
        <v>2024.0</v>
      </c>
      <c r="N7" s="58">
        <v>15.0</v>
      </c>
      <c r="O7" s="62">
        <v>289.0</v>
      </c>
      <c r="P7" s="62">
        <f t="shared" si="1"/>
        <v>809.2</v>
      </c>
      <c r="Q7" s="63">
        <v>4.0</v>
      </c>
      <c r="R7" s="58">
        <v>2.0</v>
      </c>
      <c r="S7" s="58">
        <v>1.0</v>
      </c>
      <c r="T7" s="58">
        <v>2.0</v>
      </c>
      <c r="U7" s="58">
        <v>4.0</v>
      </c>
      <c r="V7" s="58" t="s">
        <v>75</v>
      </c>
      <c r="W7" s="61" t="s">
        <v>76</v>
      </c>
      <c r="X7" s="28" t="s">
        <v>1033</v>
      </c>
      <c r="Y7" s="64">
        <v>31.0</v>
      </c>
      <c r="Z7" s="65">
        <f t="shared" si="2"/>
        <v>60.45</v>
      </c>
      <c r="AA7" s="65">
        <f t="shared" si="3"/>
        <v>48916.14</v>
      </c>
      <c r="AB7" s="65">
        <f t="shared" si="4"/>
        <v>654.1808082</v>
      </c>
      <c r="AC7" s="66">
        <v>1.0</v>
      </c>
      <c r="AD7" s="70"/>
      <c r="AE7" s="68">
        <f t="shared" si="5"/>
        <v>6557.377049</v>
      </c>
      <c r="AF7" s="69">
        <v>8000.0</v>
      </c>
      <c r="AG7" s="68">
        <f t="shared" si="6"/>
        <v>26229.5082</v>
      </c>
      <c r="AH7" s="70">
        <f t="shared" si="7"/>
        <v>32000</v>
      </c>
      <c r="AI7" s="71"/>
      <c r="AJ7" s="71"/>
      <c r="AK7" s="71"/>
      <c r="AL7" s="71"/>
    </row>
    <row r="8">
      <c r="A8" s="57" t="s">
        <v>100</v>
      </c>
      <c r="B8" s="58" t="s">
        <v>17</v>
      </c>
      <c r="C8" s="58" t="s">
        <v>19</v>
      </c>
      <c r="D8" s="58" t="s">
        <v>101</v>
      </c>
      <c r="E8" s="58" t="s">
        <v>102</v>
      </c>
      <c r="F8" s="58" t="s">
        <v>103</v>
      </c>
      <c r="G8" s="59">
        <v>45985.0</v>
      </c>
      <c r="H8" s="58" t="s">
        <v>104</v>
      </c>
      <c r="I8" s="60" t="s">
        <v>105</v>
      </c>
      <c r="J8" s="61" t="s">
        <v>106</v>
      </c>
      <c r="K8" s="61" t="s">
        <v>107</v>
      </c>
      <c r="L8" s="61" t="s">
        <v>108</v>
      </c>
      <c r="M8" s="58">
        <v>2021.0</v>
      </c>
      <c r="N8" s="58">
        <v>28.0</v>
      </c>
      <c r="O8" s="62">
        <v>301.0</v>
      </c>
      <c r="P8" s="62">
        <f t="shared" si="1"/>
        <v>842.8</v>
      </c>
      <c r="Q8" s="63">
        <v>3.0</v>
      </c>
      <c r="R8" s="58">
        <v>1.0</v>
      </c>
      <c r="S8" s="58">
        <v>1.0</v>
      </c>
      <c r="T8" s="58">
        <v>2.0</v>
      </c>
      <c r="U8" s="58">
        <v>4.0</v>
      </c>
      <c r="V8" s="58" t="s">
        <v>75</v>
      </c>
      <c r="W8" s="61" t="s">
        <v>76</v>
      </c>
      <c r="X8" s="28" t="s">
        <v>1033</v>
      </c>
      <c r="Y8" s="64">
        <v>31.0</v>
      </c>
      <c r="Z8" s="65">
        <f t="shared" si="2"/>
        <v>40.3</v>
      </c>
      <c r="AA8" s="65">
        <f t="shared" si="3"/>
        <v>33964.84</v>
      </c>
      <c r="AB8" s="65">
        <f t="shared" si="4"/>
        <v>706.613074</v>
      </c>
      <c r="AC8" s="66">
        <v>1.0</v>
      </c>
      <c r="AD8" s="67"/>
      <c r="AE8" s="68">
        <f t="shared" si="5"/>
        <v>6557.377049</v>
      </c>
      <c r="AF8" s="69">
        <v>8000.0</v>
      </c>
      <c r="AG8" s="68">
        <f t="shared" si="6"/>
        <v>19672.13115</v>
      </c>
      <c r="AH8" s="70">
        <f t="shared" si="7"/>
        <v>24000</v>
      </c>
      <c r="AI8" s="71"/>
      <c r="AJ8" s="71"/>
      <c r="AK8" s="71"/>
      <c r="AL8" s="71"/>
    </row>
    <row r="9">
      <c r="A9" s="57" t="s">
        <v>109</v>
      </c>
      <c r="B9" s="58" t="s">
        <v>17</v>
      </c>
      <c r="C9" s="58" t="s">
        <v>19</v>
      </c>
      <c r="D9" s="58" t="s">
        <v>101</v>
      </c>
      <c r="E9" s="58" t="s">
        <v>110</v>
      </c>
      <c r="F9" s="58" t="s">
        <v>63</v>
      </c>
      <c r="G9" s="59">
        <v>45950.0</v>
      </c>
      <c r="H9" s="58" t="s">
        <v>65</v>
      </c>
      <c r="I9" s="60" t="s">
        <v>111</v>
      </c>
      <c r="J9" s="61" t="s">
        <v>112</v>
      </c>
      <c r="K9" s="61" t="s">
        <v>113</v>
      </c>
      <c r="L9" s="61" t="s">
        <v>114</v>
      </c>
      <c r="M9" s="58">
        <v>2024.0</v>
      </c>
      <c r="N9" s="58">
        <v>10.0</v>
      </c>
      <c r="O9" s="62">
        <v>329.0</v>
      </c>
      <c r="P9" s="62">
        <f t="shared" si="1"/>
        <v>921.2</v>
      </c>
      <c r="Q9" s="63">
        <v>5.0</v>
      </c>
      <c r="R9" s="58">
        <v>0.0</v>
      </c>
      <c r="S9" s="58">
        <v>5.0</v>
      </c>
      <c r="T9" s="58">
        <v>5.0</v>
      </c>
      <c r="U9" s="58">
        <v>5.0</v>
      </c>
      <c r="V9" s="58" t="s">
        <v>75</v>
      </c>
      <c r="W9" s="61" t="s">
        <v>76</v>
      </c>
      <c r="X9" s="28" t="s">
        <v>1033</v>
      </c>
      <c r="Y9" s="64">
        <v>31.0</v>
      </c>
      <c r="Z9" s="65">
        <f t="shared" si="2"/>
        <v>40.3</v>
      </c>
      <c r="AA9" s="65">
        <f t="shared" si="3"/>
        <v>37124.36</v>
      </c>
      <c r="AB9" s="65">
        <f t="shared" si="4"/>
        <v>1077.459652</v>
      </c>
      <c r="AC9" s="66">
        <v>1.0</v>
      </c>
      <c r="AD9" s="67"/>
      <c r="AE9" s="68">
        <f t="shared" si="5"/>
        <v>6557.377049</v>
      </c>
      <c r="AF9" s="69">
        <v>8000.0</v>
      </c>
      <c r="AG9" s="68">
        <f t="shared" si="6"/>
        <v>32786.88525</v>
      </c>
      <c r="AH9" s="70">
        <f t="shared" si="7"/>
        <v>40000</v>
      </c>
      <c r="AI9" s="71"/>
      <c r="AJ9" s="71"/>
      <c r="AK9" s="71"/>
      <c r="AL9" s="71"/>
    </row>
    <row r="10">
      <c r="A10" s="57" t="s">
        <v>115</v>
      </c>
      <c r="B10" s="58" t="s">
        <v>17</v>
      </c>
      <c r="C10" s="58" t="s">
        <v>19</v>
      </c>
      <c r="D10" s="58" t="s">
        <v>116</v>
      </c>
      <c r="E10" s="58" t="s">
        <v>117</v>
      </c>
      <c r="F10" s="58" t="s">
        <v>103</v>
      </c>
      <c r="G10" s="59">
        <v>45961.0</v>
      </c>
      <c r="H10" s="58" t="s">
        <v>118</v>
      </c>
      <c r="I10" s="60" t="s">
        <v>119</v>
      </c>
      <c r="J10" s="61" t="s">
        <v>120</v>
      </c>
      <c r="K10" s="61" t="s">
        <v>121</v>
      </c>
      <c r="L10" s="61" t="s">
        <v>122</v>
      </c>
      <c r="M10" s="58">
        <v>2023.0</v>
      </c>
      <c r="N10" s="58">
        <v>19.0</v>
      </c>
      <c r="O10" s="62">
        <v>102.0</v>
      </c>
      <c r="P10" s="62">
        <f t="shared" si="1"/>
        <v>285.6</v>
      </c>
      <c r="Q10" s="63">
        <v>1.0</v>
      </c>
      <c r="R10" s="58">
        <v>1.0</v>
      </c>
      <c r="S10" s="58">
        <v>8.0</v>
      </c>
      <c r="T10" s="58">
        <v>0.0</v>
      </c>
      <c r="U10" s="58">
        <v>16.0</v>
      </c>
      <c r="V10" s="58" t="s">
        <v>75</v>
      </c>
      <c r="W10" s="61" t="s">
        <v>76</v>
      </c>
      <c r="X10" s="28" t="s">
        <v>1033</v>
      </c>
      <c r="Y10" s="64">
        <v>31.0</v>
      </c>
      <c r="Z10" s="65">
        <f t="shared" si="2"/>
        <v>2.51875</v>
      </c>
      <c r="AA10" s="65">
        <f t="shared" si="3"/>
        <v>719.355</v>
      </c>
      <c r="AB10" s="65">
        <f t="shared" si="4"/>
        <v>11121.07374</v>
      </c>
      <c r="AC10" s="66">
        <v>1.0</v>
      </c>
      <c r="AD10" s="70"/>
      <c r="AE10" s="68">
        <f t="shared" si="5"/>
        <v>6557.377049</v>
      </c>
      <c r="AF10" s="69">
        <v>8000.0</v>
      </c>
      <c r="AG10" s="68">
        <f t="shared" si="6"/>
        <v>6557.377049</v>
      </c>
      <c r="AH10" s="70">
        <f t="shared" si="7"/>
        <v>8000</v>
      </c>
      <c r="AI10" s="71"/>
      <c r="AJ10" s="71"/>
      <c r="AK10" s="71"/>
      <c r="AL10" s="71"/>
    </row>
    <row r="11">
      <c r="A11" s="57" t="s">
        <v>115</v>
      </c>
      <c r="B11" s="58" t="s">
        <v>17</v>
      </c>
      <c r="C11" s="58" t="s">
        <v>19</v>
      </c>
      <c r="D11" s="58" t="s">
        <v>116</v>
      </c>
      <c r="E11" s="58" t="s">
        <v>117</v>
      </c>
      <c r="F11" s="58" t="s">
        <v>103</v>
      </c>
      <c r="G11" s="59">
        <v>45961.0</v>
      </c>
      <c r="H11" s="58" t="s">
        <v>118</v>
      </c>
      <c r="I11" s="60" t="s">
        <v>119</v>
      </c>
      <c r="J11" s="61" t="s">
        <v>124</v>
      </c>
      <c r="K11" s="61" t="s">
        <v>125</v>
      </c>
      <c r="L11" s="61" t="s">
        <v>126</v>
      </c>
      <c r="M11" s="58">
        <v>2018.0</v>
      </c>
      <c r="N11" s="58">
        <v>27.0</v>
      </c>
      <c r="O11" s="62">
        <v>338.0</v>
      </c>
      <c r="P11" s="62">
        <f t="shared" si="1"/>
        <v>946.4</v>
      </c>
      <c r="Q11" s="63">
        <v>1.0</v>
      </c>
      <c r="R11" s="58">
        <v>1.0</v>
      </c>
      <c r="S11" s="58">
        <v>1.0</v>
      </c>
      <c r="T11" s="58">
        <v>0.0</v>
      </c>
      <c r="U11" s="58">
        <v>3.0</v>
      </c>
      <c r="V11" s="58" t="s">
        <v>75</v>
      </c>
      <c r="W11" s="61" t="s">
        <v>76</v>
      </c>
      <c r="X11" s="28" t="s">
        <v>1033</v>
      </c>
      <c r="Y11" s="64">
        <v>31.0</v>
      </c>
      <c r="Z11" s="65">
        <f t="shared" si="2"/>
        <v>20.15</v>
      </c>
      <c r="AA11" s="65">
        <f t="shared" si="3"/>
        <v>19069.96</v>
      </c>
      <c r="AB11" s="65">
        <f t="shared" si="4"/>
        <v>419.5079591</v>
      </c>
      <c r="AC11" s="66">
        <v>1.0</v>
      </c>
      <c r="AD11" s="70"/>
      <c r="AE11" s="68">
        <f t="shared" si="5"/>
        <v>6557.377049</v>
      </c>
      <c r="AF11" s="69">
        <v>8000.0</v>
      </c>
      <c r="AG11" s="68">
        <f t="shared" si="6"/>
        <v>6557.377049</v>
      </c>
      <c r="AH11" s="70">
        <f t="shared" si="7"/>
        <v>8000</v>
      </c>
      <c r="AI11" s="71"/>
      <c r="AJ11" s="71"/>
      <c r="AK11" s="71"/>
      <c r="AL11" s="71"/>
    </row>
    <row r="12">
      <c r="A12" s="57" t="s">
        <v>115</v>
      </c>
      <c r="B12" s="58" t="s">
        <v>17</v>
      </c>
      <c r="C12" s="58" t="s">
        <v>19</v>
      </c>
      <c r="D12" s="58" t="s">
        <v>116</v>
      </c>
      <c r="E12" s="58" t="s">
        <v>117</v>
      </c>
      <c r="F12" s="58" t="s">
        <v>103</v>
      </c>
      <c r="G12" s="59">
        <v>45961.0</v>
      </c>
      <c r="H12" s="58" t="s">
        <v>118</v>
      </c>
      <c r="I12" s="60" t="s">
        <v>119</v>
      </c>
      <c r="J12" s="61" t="s">
        <v>127</v>
      </c>
      <c r="K12" s="61" t="s">
        <v>128</v>
      </c>
      <c r="L12" s="61" t="s">
        <v>129</v>
      </c>
      <c r="M12" s="58">
        <v>2017.0</v>
      </c>
      <c r="N12" s="58">
        <v>18.0</v>
      </c>
      <c r="O12" s="62">
        <v>187.0</v>
      </c>
      <c r="P12" s="62">
        <f t="shared" si="1"/>
        <v>523.6</v>
      </c>
      <c r="Q12" s="63">
        <v>2.0</v>
      </c>
      <c r="R12" s="58">
        <v>0.0</v>
      </c>
      <c r="S12" s="58">
        <v>2.0</v>
      </c>
      <c r="T12" s="58">
        <v>2.0</v>
      </c>
      <c r="U12" s="58">
        <v>4.0</v>
      </c>
      <c r="V12" s="58" t="s">
        <v>130</v>
      </c>
      <c r="W12" s="61" t="s">
        <v>76</v>
      </c>
      <c r="X12" s="28" t="s">
        <v>1033</v>
      </c>
      <c r="Y12" s="64">
        <v>31.0</v>
      </c>
      <c r="Z12" s="65">
        <f t="shared" si="2"/>
        <v>20.15</v>
      </c>
      <c r="AA12" s="65">
        <f t="shared" si="3"/>
        <v>10550.54</v>
      </c>
      <c r="AB12" s="65">
        <f t="shared" si="4"/>
        <v>1516.510055</v>
      </c>
      <c r="AC12" s="66">
        <v>1.0</v>
      </c>
      <c r="AD12" s="70"/>
      <c r="AE12" s="68">
        <f t="shared" si="5"/>
        <v>6557.377049</v>
      </c>
      <c r="AF12" s="69">
        <v>8000.0</v>
      </c>
      <c r="AG12" s="68">
        <f t="shared" si="6"/>
        <v>13114.7541</v>
      </c>
      <c r="AH12" s="70">
        <f t="shared" si="7"/>
        <v>16000</v>
      </c>
      <c r="AI12" s="71"/>
      <c r="AJ12" s="71"/>
      <c r="AK12" s="71"/>
      <c r="AL12" s="71"/>
    </row>
    <row r="13">
      <c r="A13" s="57" t="s">
        <v>131</v>
      </c>
      <c r="B13" s="58" t="s">
        <v>17</v>
      </c>
      <c r="C13" s="58" t="s">
        <v>19</v>
      </c>
      <c r="D13" s="58" t="s">
        <v>61</v>
      </c>
      <c r="E13" s="58" t="s">
        <v>110</v>
      </c>
      <c r="F13" s="58" t="s">
        <v>103</v>
      </c>
      <c r="G13" s="59">
        <v>45961.0</v>
      </c>
      <c r="H13" s="58" t="s">
        <v>65</v>
      </c>
      <c r="I13" s="60" t="s">
        <v>132</v>
      </c>
      <c r="J13" s="61" t="s">
        <v>133</v>
      </c>
      <c r="K13" s="61" t="s">
        <v>134</v>
      </c>
      <c r="L13" s="61" t="s">
        <v>135</v>
      </c>
      <c r="M13" s="58">
        <v>2023.0</v>
      </c>
      <c r="N13" s="58">
        <v>19.0</v>
      </c>
      <c r="O13" s="62">
        <v>321.0</v>
      </c>
      <c r="P13" s="62">
        <f t="shared" si="1"/>
        <v>898.8</v>
      </c>
      <c r="Q13" s="63">
        <v>2.0</v>
      </c>
      <c r="R13" s="58">
        <v>2.0</v>
      </c>
      <c r="S13" s="58">
        <v>2.0</v>
      </c>
      <c r="T13" s="58">
        <v>0.0</v>
      </c>
      <c r="U13" s="58">
        <v>4.0</v>
      </c>
      <c r="V13" s="58" t="s">
        <v>75</v>
      </c>
      <c r="W13" s="61" t="s">
        <v>76</v>
      </c>
      <c r="X13" s="28" t="s">
        <v>1033</v>
      </c>
      <c r="Y13" s="64">
        <v>31.0</v>
      </c>
      <c r="Z13" s="65">
        <f t="shared" si="2"/>
        <v>20.15</v>
      </c>
      <c r="AA13" s="65">
        <f t="shared" si="3"/>
        <v>18110.82</v>
      </c>
      <c r="AB13" s="65">
        <f t="shared" si="4"/>
        <v>883.4497831</v>
      </c>
      <c r="AC13" s="66">
        <v>1.0</v>
      </c>
      <c r="AD13" s="70"/>
      <c r="AE13" s="68">
        <f t="shared" si="5"/>
        <v>6557.377049</v>
      </c>
      <c r="AF13" s="69">
        <v>8000.0</v>
      </c>
      <c r="AG13" s="68">
        <f t="shared" si="6"/>
        <v>13114.7541</v>
      </c>
      <c r="AH13" s="70">
        <f t="shared" si="7"/>
        <v>16000</v>
      </c>
      <c r="AI13" s="71"/>
      <c r="AJ13" s="71"/>
      <c r="AK13" s="71"/>
      <c r="AL13" s="71"/>
    </row>
    <row r="14">
      <c r="A14" s="57" t="s">
        <v>131</v>
      </c>
      <c r="B14" s="58" t="s">
        <v>17</v>
      </c>
      <c r="C14" s="58" t="s">
        <v>19</v>
      </c>
      <c r="D14" s="58" t="s">
        <v>61</v>
      </c>
      <c r="E14" s="58" t="s">
        <v>110</v>
      </c>
      <c r="F14" s="58" t="s">
        <v>103</v>
      </c>
      <c r="G14" s="59">
        <v>45961.0</v>
      </c>
      <c r="H14" s="58" t="s">
        <v>65</v>
      </c>
      <c r="I14" s="60" t="s">
        <v>132</v>
      </c>
      <c r="J14" s="61" t="s">
        <v>136</v>
      </c>
      <c r="K14" s="61" t="s">
        <v>137</v>
      </c>
      <c r="L14" s="61" t="s">
        <v>138</v>
      </c>
      <c r="M14" s="58">
        <v>2020.0</v>
      </c>
      <c r="N14" s="58">
        <v>15.0</v>
      </c>
      <c r="O14" s="62">
        <v>151.0</v>
      </c>
      <c r="P14" s="62">
        <f t="shared" si="1"/>
        <v>422.8</v>
      </c>
      <c r="Q14" s="63">
        <v>2.0</v>
      </c>
      <c r="R14" s="58">
        <v>2.0</v>
      </c>
      <c r="S14" s="58">
        <v>2.0</v>
      </c>
      <c r="T14" s="58">
        <v>0.0</v>
      </c>
      <c r="U14" s="58">
        <v>4.0</v>
      </c>
      <c r="V14" s="58" t="s">
        <v>75</v>
      </c>
      <c r="W14" s="61" t="s">
        <v>76</v>
      </c>
      <c r="X14" s="28" t="s">
        <v>1033</v>
      </c>
      <c r="Y14" s="64">
        <v>31.0</v>
      </c>
      <c r="Z14" s="65">
        <f t="shared" si="2"/>
        <v>20.15</v>
      </c>
      <c r="AA14" s="65">
        <f t="shared" si="3"/>
        <v>8519.42</v>
      </c>
      <c r="AB14" s="65">
        <f t="shared" si="4"/>
        <v>1878.062122</v>
      </c>
      <c r="AC14" s="66">
        <v>1.0</v>
      </c>
      <c r="AD14" s="67"/>
      <c r="AE14" s="68">
        <f t="shared" si="5"/>
        <v>6557.377049</v>
      </c>
      <c r="AF14" s="69">
        <v>8000.0</v>
      </c>
      <c r="AG14" s="68">
        <f t="shared" si="6"/>
        <v>13114.7541</v>
      </c>
      <c r="AH14" s="70">
        <f t="shared" si="7"/>
        <v>16000</v>
      </c>
      <c r="AI14" s="71"/>
      <c r="AJ14" s="71"/>
      <c r="AK14" s="71"/>
      <c r="AL14" s="71"/>
    </row>
    <row r="15">
      <c r="A15" s="57" t="s">
        <v>131</v>
      </c>
      <c r="B15" s="58" t="s">
        <v>17</v>
      </c>
      <c r="C15" s="58" t="s">
        <v>19</v>
      </c>
      <c r="D15" s="58" t="s">
        <v>61</v>
      </c>
      <c r="E15" s="58" t="s">
        <v>110</v>
      </c>
      <c r="F15" s="58" t="s">
        <v>103</v>
      </c>
      <c r="G15" s="59">
        <v>45961.0</v>
      </c>
      <c r="H15" s="58" t="s">
        <v>65</v>
      </c>
      <c r="I15" s="60" t="s">
        <v>132</v>
      </c>
      <c r="J15" s="61" t="s">
        <v>139</v>
      </c>
      <c r="K15" s="61" t="s">
        <v>140</v>
      </c>
      <c r="L15" s="61" t="s">
        <v>141</v>
      </c>
      <c r="M15" s="58">
        <v>2012.0</v>
      </c>
      <c r="N15" s="58">
        <v>18.0</v>
      </c>
      <c r="O15" s="62">
        <v>111.0</v>
      </c>
      <c r="P15" s="62">
        <f t="shared" si="1"/>
        <v>310.8</v>
      </c>
      <c r="Q15" s="63">
        <v>1.0</v>
      </c>
      <c r="R15" s="58">
        <v>1.0</v>
      </c>
      <c r="S15" s="58">
        <v>1.0</v>
      </c>
      <c r="T15" s="58">
        <v>0.0</v>
      </c>
      <c r="U15" s="58">
        <v>2.0</v>
      </c>
      <c r="V15" s="58" t="s">
        <v>75</v>
      </c>
      <c r="W15" s="61" t="s">
        <v>76</v>
      </c>
      <c r="X15" s="28" t="s">
        <v>1033</v>
      </c>
      <c r="Y15" s="64">
        <v>31.0</v>
      </c>
      <c r="Z15" s="65">
        <f t="shared" si="2"/>
        <v>20.15</v>
      </c>
      <c r="AA15" s="65">
        <f t="shared" si="3"/>
        <v>6262.62</v>
      </c>
      <c r="AB15" s="65">
        <f t="shared" si="4"/>
        <v>1277.420632</v>
      </c>
      <c r="AC15" s="66">
        <v>1.0</v>
      </c>
      <c r="AD15" s="67"/>
      <c r="AE15" s="68">
        <f t="shared" si="5"/>
        <v>6557.377049</v>
      </c>
      <c r="AF15" s="69">
        <v>8000.0</v>
      </c>
      <c r="AG15" s="68">
        <f t="shared" si="6"/>
        <v>6557.377049</v>
      </c>
      <c r="AH15" s="70">
        <f t="shared" si="7"/>
        <v>8000</v>
      </c>
      <c r="AI15" s="71"/>
      <c r="AJ15" s="71"/>
      <c r="AK15" s="71"/>
      <c r="AL15" s="71"/>
    </row>
    <row r="16">
      <c r="A16" s="57" t="s">
        <v>131</v>
      </c>
      <c r="B16" s="58" t="s">
        <v>17</v>
      </c>
      <c r="C16" s="58" t="s">
        <v>19</v>
      </c>
      <c r="D16" s="58" t="s">
        <v>61</v>
      </c>
      <c r="E16" s="58" t="s">
        <v>110</v>
      </c>
      <c r="F16" s="58" t="s">
        <v>103</v>
      </c>
      <c r="G16" s="59">
        <v>45961.0</v>
      </c>
      <c r="H16" s="58" t="s">
        <v>65</v>
      </c>
      <c r="I16" s="60" t="s">
        <v>132</v>
      </c>
      <c r="J16" s="61" t="s">
        <v>144</v>
      </c>
      <c r="K16" s="61" t="s">
        <v>145</v>
      </c>
      <c r="L16" s="61" t="s">
        <v>146</v>
      </c>
      <c r="M16" s="58">
        <v>2018.0</v>
      </c>
      <c r="N16" s="58">
        <v>27.0</v>
      </c>
      <c r="O16" s="62">
        <v>271.0</v>
      </c>
      <c r="P16" s="62">
        <f t="shared" si="1"/>
        <v>758.8</v>
      </c>
      <c r="Q16" s="63">
        <v>1.0</v>
      </c>
      <c r="R16" s="58">
        <v>1.0</v>
      </c>
      <c r="S16" s="58">
        <v>1.0</v>
      </c>
      <c r="T16" s="58">
        <v>0.0</v>
      </c>
      <c r="U16" s="58">
        <v>3.0</v>
      </c>
      <c r="V16" s="58" t="s">
        <v>75</v>
      </c>
      <c r="W16" s="61" t="s">
        <v>76</v>
      </c>
      <c r="X16" s="28" t="s">
        <v>1033</v>
      </c>
      <c r="Y16" s="64">
        <v>31.0</v>
      </c>
      <c r="Z16" s="65">
        <f t="shared" si="2"/>
        <v>20.15</v>
      </c>
      <c r="AA16" s="65">
        <f t="shared" si="3"/>
        <v>15289.82</v>
      </c>
      <c r="AB16" s="65">
        <f t="shared" si="4"/>
        <v>523.223949</v>
      </c>
      <c r="AC16" s="66">
        <v>1.0</v>
      </c>
      <c r="AD16" s="70"/>
      <c r="AE16" s="68">
        <f t="shared" si="5"/>
        <v>6557.377049</v>
      </c>
      <c r="AF16" s="69">
        <v>8000.0</v>
      </c>
      <c r="AG16" s="68">
        <f t="shared" si="6"/>
        <v>6557.377049</v>
      </c>
      <c r="AH16" s="70">
        <f t="shared" si="7"/>
        <v>8000</v>
      </c>
      <c r="AI16" s="71"/>
      <c r="AJ16" s="71"/>
      <c r="AK16" s="71"/>
      <c r="AL16" s="71"/>
    </row>
    <row r="17">
      <c r="A17" s="57" t="s">
        <v>131</v>
      </c>
      <c r="B17" s="58" t="s">
        <v>17</v>
      </c>
      <c r="C17" s="58" t="s">
        <v>19</v>
      </c>
      <c r="D17" s="58" t="s">
        <v>61</v>
      </c>
      <c r="E17" s="58" t="s">
        <v>110</v>
      </c>
      <c r="F17" s="58" t="s">
        <v>103</v>
      </c>
      <c r="G17" s="59">
        <v>45961.0</v>
      </c>
      <c r="H17" s="58" t="s">
        <v>65</v>
      </c>
      <c r="I17" s="60" t="s">
        <v>132</v>
      </c>
      <c r="J17" s="61" t="s">
        <v>147</v>
      </c>
      <c r="K17" s="61" t="s">
        <v>148</v>
      </c>
      <c r="L17" s="61" t="s">
        <v>149</v>
      </c>
      <c r="M17" s="58">
        <v>2017.0</v>
      </c>
      <c r="N17" s="58">
        <v>13.0</v>
      </c>
      <c r="O17" s="62">
        <v>111.0</v>
      </c>
      <c r="P17" s="62">
        <f t="shared" si="1"/>
        <v>310.8</v>
      </c>
      <c r="Q17" s="63">
        <v>2.0</v>
      </c>
      <c r="R17" s="58">
        <v>2.0</v>
      </c>
      <c r="S17" s="58">
        <v>2.0</v>
      </c>
      <c r="T17" s="58">
        <v>0.0</v>
      </c>
      <c r="U17" s="58">
        <v>4.0</v>
      </c>
      <c r="V17" s="58" t="s">
        <v>75</v>
      </c>
      <c r="W17" s="61" t="s">
        <v>76</v>
      </c>
      <c r="X17" s="28" t="s">
        <v>1033</v>
      </c>
      <c r="Y17" s="64">
        <v>31.0</v>
      </c>
      <c r="Z17" s="65">
        <f t="shared" si="2"/>
        <v>20.15</v>
      </c>
      <c r="AA17" s="65">
        <f t="shared" si="3"/>
        <v>6262.62</v>
      </c>
      <c r="AB17" s="65">
        <f t="shared" si="4"/>
        <v>2554.841265</v>
      </c>
      <c r="AC17" s="66">
        <v>1.0</v>
      </c>
      <c r="AD17" s="70"/>
      <c r="AE17" s="68">
        <f t="shared" si="5"/>
        <v>6557.377049</v>
      </c>
      <c r="AF17" s="69">
        <v>8000.0</v>
      </c>
      <c r="AG17" s="68">
        <f t="shared" si="6"/>
        <v>13114.7541</v>
      </c>
      <c r="AH17" s="70">
        <f t="shared" si="7"/>
        <v>16000</v>
      </c>
      <c r="AI17" s="71"/>
      <c r="AJ17" s="71"/>
      <c r="AK17" s="71"/>
      <c r="AL17" s="71"/>
    </row>
    <row r="18">
      <c r="A18" s="57" t="s">
        <v>150</v>
      </c>
      <c r="B18" s="58" t="s">
        <v>17</v>
      </c>
      <c r="C18" s="58" t="s">
        <v>19</v>
      </c>
      <c r="D18" s="58" t="s">
        <v>123</v>
      </c>
      <c r="E18" s="58" t="s">
        <v>62</v>
      </c>
      <c r="F18" s="58" t="s">
        <v>63</v>
      </c>
      <c r="G18" s="59">
        <v>45961.0</v>
      </c>
      <c r="H18" s="58" t="s">
        <v>65</v>
      </c>
      <c r="I18" s="60" t="s">
        <v>151</v>
      </c>
      <c r="J18" s="61" t="s">
        <v>152</v>
      </c>
      <c r="K18" s="61" t="s">
        <v>153</v>
      </c>
      <c r="L18" s="61" t="s">
        <v>154</v>
      </c>
      <c r="M18" s="58">
        <v>2019.0</v>
      </c>
      <c r="N18" s="58">
        <v>19.0</v>
      </c>
      <c r="O18" s="62">
        <v>139.0</v>
      </c>
      <c r="P18" s="62">
        <f t="shared" si="1"/>
        <v>389.2</v>
      </c>
      <c r="Q18" s="63">
        <v>1.0</v>
      </c>
      <c r="R18" s="58">
        <v>1.0</v>
      </c>
      <c r="S18" s="58">
        <v>1.0</v>
      </c>
      <c r="T18" s="58">
        <v>0.0</v>
      </c>
      <c r="U18" s="58">
        <v>2.0</v>
      </c>
      <c r="V18" s="58" t="s">
        <v>75</v>
      </c>
      <c r="W18" s="61" t="s">
        <v>76</v>
      </c>
      <c r="X18" s="28" t="s">
        <v>1033</v>
      </c>
      <c r="Y18" s="64">
        <v>31.0</v>
      </c>
      <c r="Z18" s="65">
        <f t="shared" si="2"/>
        <v>20.15</v>
      </c>
      <c r="AA18" s="65">
        <f t="shared" si="3"/>
        <v>7842.38</v>
      </c>
      <c r="AB18" s="65">
        <f t="shared" si="4"/>
        <v>1020.098491</v>
      </c>
      <c r="AC18" s="66">
        <v>1.0</v>
      </c>
      <c r="AD18" s="70"/>
      <c r="AE18" s="68">
        <f t="shared" si="5"/>
        <v>6557.377049</v>
      </c>
      <c r="AF18" s="69">
        <v>8000.0</v>
      </c>
      <c r="AG18" s="68">
        <f t="shared" si="6"/>
        <v>6557.377049</v>
      </c>
      <c r="AH18" s="70">
        <f t="shared" si="7"/>
        <v>8000</v>
      </c>
      <c r="AI18" s="71"/>
      <c r="AJ18" s="71"/>
      <c r="AK18" s="71"/>
      <c r="AL18" s="71"/>
    </row>
    <row r="19">
      <c r="A19" s="57" t="s">
        <v>150</v>
      </c>
      <c r="B19" s="58" t="s">
        <v>17</v>
      </c>
      <c r="C19" s="58" t="s">
        <v>19</v>
      </c>
      <c r="D19" s="58" t="s">
        <v>123</v>
      </c>
      <c r="E19" s="58" t="s">
        <v>62</v>
      </c>
      <c r="F19" s="58" t="s">
        <v>63</v>
      </c>
      <c r="G19" s="59">
        <v>45961.0</v>
      </c>
      <c r="H19" s="58" t="s">
        <v>65</v>
      </c>
      <c r="I19" s="60" t="s">
        <v>151</v>
      </c>
      <c r="J19" s="61" t="s">
        <v>155</v>
      </c>
      <c r="K19" s="61" t="s">
        <v>156</v>
      </c>
      <c r="L19" s="61" t="s">
        <v>157</v>
      </c>
      <c r="M19" s="58">
        <v>2021.0</v>
      </c>
      <c r="N19" s="58">
        <v>28.0</v>
      </c>
      <c r="O19" s="62">
        <v>532.0</v>
      </c>
      <c r="P19" s="62">
        <f t="shared" si="1"/>
        <v>1489.6</v>
      </c>
      <c r="Q19" s="63">
        <v>2.0</v>
      </c>
      <c r="R19" s="58">
        <v>2.0</v>
      </c>
      <c r="S19" s="58">
        <v>1.0</v>
      </c>
      <c r="T19" s="58">
        <v>0.0</v>
      </c>
      <c r="U19" s="58">
        <v>4.0</v>
      </c>
      <c r="V19" s="58" t="s">
        <v>75</v>
      </c>
      <c r="W19" s="61" t="s">
        <v>76</v>
      </c>
      <c r="X19" s="28" t="s">
        <v>1033</v>
      </c>
      <c r="Y19" s="64">
        <v>31.0</v>
      </c>
      <c r="Z19" s="65">
        <f t="shared" si="2"/>
        <v>40.3</v>
      </c>
      <c r="AA19" s="65">
        <f t="shared" si="3"/>
        <v>60030.88</v>
      </c>
      <c r="AB19" s="65">
        <f t="shared" si="4"/>
        <v>266.5294928</v>
      </c>
      <c r="AC19" s="66">
        <v>1.0</v>
      </c>
      <c r="AD19" s="67"/>
      <c r="AE19" s="68">
        <f t="shared" si="5"/>
        <v>6557.377049</v>
      </c>
      <c r="AF19" s="69">
        <v>8000.0</v>
      </c>
      <c r="AG19" s="68">
        <f t="shared" si="6"/>
        <v>13114.7541</v>
      </c>
      <c r="AH19" s="70">
        <f t="shared" si="7"/>
        <v>16000</v>
      </c>
      <c r="AI19" s="71"/>
      <c r="AJ19" s="71"/>
      <c r="AK19" s="71"/>
      <c r="AL19" s="71"/>
    </row>
    <row r="20">
      <c r="A20" s="57" t="s">
        <v>150</v>
      </c>
      <c r="B20" s="58" t="s">
        <v>17</v>
      </c>
      <c r="C20" s="58" t="s">
        <v>19</v>
      </c>
      <c r="D20" s="58" t="s">
        <v>123</v>
      </c>
      <c r="E20" s="58" t="s">
        <v>62</v>
      </c>
      <c r="F20" s="58" t="s">
        <v>63</v>
      </c>
      <c r="G20" s="59">
        <v>45961.0</v>
      </c>
      <c r="H20" s="58" t="s">
        <v>65</v>
      </c>
      <c r="I20" s="60" t="s">
        <v>151</v>
      </c>
      <c r="J20" s="61" t="s">
        <v>158</v>
      </c>
      <c r="K20" s="61" t="s">
        <v>159</v>
      </c>
      <c r="L20" s="61" t="s">
        <v>160</v>
      </c>
      <c r="M20" s="58">
        <v>2024.0</v>
      </c>
      <c r="N20" s="58">
        <v>30.0</v>
      </c>
      <c r="O20" s="62">
        <v>451.0</v>
      </c>
      <c r="P20" s="62">
        <f t="shared" si="1"/>
        <v>1262.8</v>
      </c>
      <c r="Q20" s="63">
        <v>2.0</v>
      </c>
      <c r="R20" s="58">
        <v>2.0</v>
      </c>
      <c r="S20" s="58">
        <v>1.0</v>
      </c>
      <c r="T20" s="58">
        <v>0.0</v>
      </c>
      <c r="U20" s="58">
        <v>8.0</v>
      </c>
      <c r="V20" s="58" t="s">
        <v>75</v>
      </c>
      <c r="W20" s="61" t="s">
        <v>76</v>
      </c>
      <c r="X20" s="28" t="s">
        <v>1033</v>
      </c>
      <c r="Y20" s="64">
        <v>31.0</v>
      </c>
      <c r="Z20" s="65">
        <f t="shared" si="2"/>
        <v>40.3</v>
      </c>
      <c r="AA20" s="65">
        <f t="shared" si="3"/>
        <v>50890.84</v>
      </c>
      <c r="AB20" s="65">
        <f t="shared" si="4"/>
        <v>314.3984261</v>
      </c>
      <c r="AC20" s="66">
        <v>1.0</v>
      </c>
      <c r="AD20" s="67"/>
      <c r="AE20" s="68">
        <f t="shared" si="5"/>
        <v>6557.377049</v>
      </c>
      <c r="AF20" s="69">
        <v>8000.0</v>
      </c>
      <c r="AG20" s="68">
        <f t="shared" si="6"/>
        <v>13114.7541</v>
      </c>
      <c r="AH20" s="70">
        <f t="shared" si="7"/>
        <v>16000</v>
      </c>
      <c r="AI20" s="71"/>
      <c r="AJ20" s="71"/>
      <c r="AK20" s="71"/>
      <c r="AL20" s="71"/>
    </row>
    <row r="21">
      <c r="A21" s="57" t="s">
        <v>161</v>
      </c>
      <c r="B21" s="58" t="s">
        <v>17</v>
      </c>
      <c r="C21" s="58" t="s">
        <v>19</v>
      </c>
      <c r="D21" s="58" t="s">
        <v>162</v>
      </c>
      <c r="E21" s="58" t="s">
        <v>163</v>
      </c>
      <c r="F21" s="58" t="s">
        <v>103</v>
      </c>
      <c r="G21" s="59">
        <v>45961.0</v>
      </c>
      <c r="H21" s="58" t="s">
        <v>104</v>
      </c>
      <c r="I21" s="60" t="s">
        <v>164</v>
      </c>
      <c r="J21" s="61" t="s">
        <v>166</v>
      </c>
      <c r="K21" s="61" t="s">
        <v>167</v>
      </c>
      <c r="L21" s="61" t="s">
        <v>168</v>
      </c>
      <c r="M21" s="58">
        <v>2023.0</v>
      </c>
      <c r="N21" s="58">
        <v>27.0</v>
      </c>
      <c r="O21" s="62">
        <v>597.0</v>
      </c>
      <c r="P21" s="62">
        <f t="shared" si="1"/>
        <v>1671.6</v>
      </c>
      <c r="Q21" s="63">
        <v>2.0</v>
      </c>
      <c r="R21" s="58">
        <v>2.0</v>
      </c>
      <c r="S21" s="58">
        <v>2.0</v>
      </c>
      <c r="T21" s="58">
        <v>0.0</v>
      </c>
      <c r="U21" s="58">
        <v>6.0</v>
      </c>
      <c r="V21" s="58" t="s">
        <v>75</v>
      </c>
      <c r="W21" s="61" t="s">
        <v>76</v>
      </c>
      <c r="X21" s="28" t="s">
        <v>1033</v>
      </c>
      <c r="Y21" s="64">
        <v>31.0</v>
      </c>
      <c r="Z21" s="65">
        <f t="shared" si="2"/>
        <v>20.15</v>
      </c>
      <c r="AA21" s="65">
        <f t="shared" si="3"/>
        <v>33682.74</v>
      </c>
      <c r="AB21" s="65">
        <f t="shared" si="4"/>
        <v>475.0207376</v>
      </c>
      <c r="AC21" s="66">
        <v>1.0</v>
      </c>
      <c r="AD21" s="70"/>
      <c r="AE21" s="68">
        <f t="shared" si="5"/>
        <v>6557.377049</v>
      </c>
      <c r="AF21" s="69">
        <v>8000.0</v>
      </c>
      <c r="AG21" s="68">
        <f t="shared" si="6"/>
        <v>13114.7541</v>
      </c>
      <c r="AH21" s="70">
        <f t="shared" si="7"/>
        <v>16000</v>
      </c>
      <c r="AI21" s="71"/>
      <c r="AJ21" s="71"/>
      <c r="AK21" s="71"/>
      <c r="AL21" s="71"/>
    </row>
    <row r="22">
      <c r="A22" s="57" t="s">
        <v>170</v>
      </c>
      <c r="B22" s="58" t="s">
        <v>17</v>
      </c>
      <c r="C22" s="58" t="s">
        <v>19</v>
      </c>
      <c r="D22" s="58" t="s">
        <v>162</v>
      </c>
      <c r="E22" s="58" t="s">
        <v>102</v>
      </c>
      <c r="F22" s="58" t="s">
        <v>103</v>
      </c>
      <c r="G22" s="59">
        <v>45961.0</v>
      </c>
      <c r="H22" s="58" t="s">
        <v>104</v>
      </c>
      <c r="I22" s="60" t="s">
        <v>171</v>
      </c>
      <c r="J22" s="61" t="s">
        <v>172</v>
      </c>
      <c r="K22" s="61" t="s">
        <v>173</v>
      </c>
      <c r="L22" s="61" t="s">
        <v>174</v>
      </c>
      <c r="M22" s="58">
        <v>2022.0</v>
      </c>
      <c r="N22" s="58">
        <v>26.0</v>
      </c>
      <c r="O22" s="62">
        <v>590.0</v>
      </c>
      <c r="P22" s="62">
        <f t="shared" si="1"/>
        <v>1652</v>
      </c>
      <c r="Q22" s="63">
        <v>2.0</v>
      </c>
      <c r="R22" s="58">
        <v>2.0</v>
      </c>
      <c r="S22" s="58">
        <v>2.0</v>
      </c>
      <c r="T22" s="58">
        <v>0.0</v>
      </c>
      <c r="U22" s="58">
        <v>6.0</v>
      </c>
      <c r="V22" s="58" t="s">
        <v>75</v>
      </c>
      <c r="W22" s="61" t="s">
        <v>76</v>
      </c>
      <c r="X22" s="28" t="s">
        <v>1033</v>
      </c>
      <c r="Y22" s="64">
        <v>31.0</v>
      </c>
      <c r="Z22" s="65">
        <f t="shared" si="2"/>
        <v>20.15</v>
      </c>
      <c r="AA22" s="65">
        <f t="shared" si="3"/>
        <v>33287.8</v>
      </c>
      <c r="AB22" s="65">
        <f t="shared" si="4"/>
        <v>480.6565769</v>
      </c>
      <c r="AC22" s="66">
        <v>1.0</v>
      </c>
      <c r="AD22" s="70"/>
      <c r="AE22" s="68">
        <f t="shared" si="5"/>
        <v>6557.377049</v>
      </c>
      <c r="AF22" s="69">
        <v>8000.0</v>
      </c>
      <c r="AG22" s="68">
        <f t="shared" si="6"/>
        <v>13114.7541</v>
      </c>
      <c r="AH22" s="70">
        <f t="shared" si="7"/>
        <v>16000</v>
      </c>
      <c r="AI22" s="71"/>
      <c r="AJ22" s="71"/>
      <c r="AK22" s="71"/>
      <c r="AL22" s="71"/>
    </row>
    <row r="23">
      <c r="A23" s="57" t="s">
        <v>170</v>
      </c>
      <c r="B23" s="58" t="s">
        <v>17</v>
      </c>
      <c r="C23" s="58" t="s">
        <v>19</v>
      </c>
      <c r="D23" s="58" t="s">
        <v>162</v>
      </c>
      <c r="E23" s="58" t="s">
        <v>175</v>
      </c>
      <c r="F23" s="58" t="s">
        <v>103</v>
      </c>
      <c r="G23" s="59">
        <v>45961.0</v>
      </c>
      <c r="H23" s="58" t="s">
        <v>104</v>
      </c>
      <c r="I23" s="60" t="s">
        <v>171</v>
      </c>
      <c r="J23" s="61" t="s">
        <v>172</v>
      </c>
      <c r="K23" s="61" t="s">
        <v>173</v>
      </c>
      <c r="L23" s="61" t="s">
        <v>174</v>
      </c>
      <c r="M23" s="58">
        <v>2022.0</v>
      </c>
      <c r="N23" s="58">
        <v>26.0</v>
      </c>
      <c r="O23" s="62">
        <v>590.0</v>
      </c>
      <c r="P23" s="62">
        <f t="shared" si="1"/>
        <v>1652</v>
      </c>
      <c r="Q23" s="63">
        <v>6.0</v>
      </c>
      <c r="R23" s="58">
        <v>0.0</v>
      </c>
      <c r="S23" s="58">
        <v>2.0</v>
      </c>
      <c r="T23" s="58">
        <v>6.0</v>
      </c>
      <c r="U23" s="58">
        <v>6.0</v>
      </c>
      <c r="V23" s="58" t="s">
        <v>130</v>
      </c>
      <c r="W23" s="61" t="s">
        <v>76</v>
      </c>
      <c r="X23" s="28" t="s">
        <v>1033</v>
      </c>
      <c r="Y23" s="64">
        <v>31.0</v>
      </c>
      <c r="Z23" s="65">
        <f t="shared" si="2"/>
        <v>40.3</v>
      </c>
      <c r="AA23" s="65">
        <f t="shared" si="3"/>
        <v>66575.6</v>
      </c>
      <c r="AB23" s="65">
        <f t="shared" si="4"/>
        <v>720.9848653</v>
      </c>
      <c r="AC23" s="66">
        <v>1.0</v>
      </c>
      <c r="AD23" s="70"/>
      <c r="AE23" s="68">
        <f t="shared" si="5"/>
        <v>6557.377049</v>
      </c>
      <c r="AF23" s="69">
        <v>8000.0</v>
      </c>
      <c r="AG23" s="68">
        <f t="shared" si="6"/>
        <v>39344.2623</v>
      </c>
      <c r="AH23" s="70">
        <f t="shared" si="7"/>
        <v>48000</v>
      </c>
      <c r="AI23" s="71"/>
      <c r="AJ23" s="71"/>
      <c r="AK23" s="71"/>
      <c r="AL23" s="71"/>
    </row>
    <row r="24">
      <c r="A24" s="57" t="s">
        <v>176</v>
      </c>
      <c r="B24" s="58" t="s">
        <v>17</v>
      </c>
      <c r="C24" s="58" t="s">
        <v>19</v>
      </c>
      <c r="D24" s="58" t="s">
        <v>162</v>
      </c>
      <c r="E24" s="58" t="s">
        <v>177</v>
      </c>
      <c r="F24" s="58" t="s">
        <v>103</v>
      </c>
      <c r="G24" s="59">
        <v>45961.0</v>
      </c>
      <c r="H24" s="58" t="s">
        <v>104</v>
      </c>
      <c r="I24" s="60" t="s">
        <v>178</v>
      </c>
      <c r="J24" s="61" t="s">
        <v>179</v>
      </c>
      <c r="K24" s="61" t="s">
        <v>180</v>
      </c>
      <c r="L24" s="61" t="s">
        <v>181</v>
      </c>
      <c r="M24" s="58">
        <v>2025.0</v>
      </c>
      <c r="N24" s="58">
        <v>26.0</v>
      </c>
      <c r="O24" s="62">
        <v>578.0</v>
      </c>
      <c r="P24" s="62">
        <f t="shared" si="1"/>
        <v>1618.4</v>
      </c>
      <c r="Q24" s="63">
        <v>2.0</v>
      </c>
      <c r="R24" s="58">
        <v>2.0</v>
      </c>
      <c r="S24" s="58">
        <v>2.0</v>
      </c>
      <c r="T24" s="58">
        <v>0.0</v>
      </c>
      <c r="U24" s="58">
        <v>6.0</v>
      </c>
      <c r="V24" s="58" t="s">
        <v>75</v>
      </c>
      <c r="W24" s="61" t="s">
        <v>76</v>
      </c>
      <c r="X24" s="28" t="s">
        <v>1033</v>
      </c>
      <c r="Y24" s="64">
        <v>31.0</v>
      </c>
      <c r="Z24" s="65">
        <f t="shared" si="2"/>
        <v>20.15</v>
      </c>
      <c r="AA24" s="65">
        <f t="shared" si="3"/>
        <v>32610.76</v>
      </c>
      <c r="AB24" s="65">
        <f t="shared" si="4"/>
        <v>490.6356062</v>
      </c>
      <c r="AC24" s="66">
        <v>1.0</v>
      </c>
      <c r="AD24" s="67"/>
      <c r="AE24" s="68">
        <f t="shared" si="5"/>
        <v>6557.377049</v>
      </c>
      <c r="AF24" s="69">
        <v>8000.0</v>
      </c>
      <c r="AG24" s="68">
        <f t="shared" si="6"/>
        <v>13114.7541</v>
      </c>
      <c r="AH24" s="70">
        <f t="shared" si="7"/>
        <v>16000</v>
      </c>
      <c r="AI24" s="71"/>
      <c r="AJ24" s="71"/>
      <c r="AK24" s="71"/>
      <c r="AL24" s="71"/>
    </row>
    <row r="25">
      <c r="A25" s="57" t="s">
        <v>176</v>
      </c>
      <c r="B25" s="58" t="s">
        <v>17</v>
      </c>
      <c r="C25" s="58" t="s">
        <v>19</v>
      </c>
      <c r="D25" s="58" t="s">
        <v>162</v>
      </c>
      <c r="E25" s="58" t="s">
        <v>182</v>
      </c>
      <c r="F25" s="58" t="s">
        <v>103</v>
      </c>
      <c r="G25" s="59">
        <v>45961.0</v>
      </c>
      <c r="H25" s="58" t="s">
        <v>104</v>
      </c>
      <c r="I25" s="60" t="s">
        <v>178</v>
      </c>
      <c r="J25" s="61" t="s">
        <v>179</v>
      </c>
      <c r="K25" s="61" t="s">
        <v>180</v>
      </c>
      <c r="L25" s="61" t="s">
        <v>181</v>
      </c>
      <c r="M25" s="58">
        <v>2025.0</v>
      </c>
      <c r="N25" s="58">
        <v>26.0</v>
      </c>
      <c r="O25" s="62">
        <v>578.0</v>
      </c>
      <c r="P25" s="62">
        <f t="shared" si="1"/>
        <v>1618.4</v>
      </c>
      <c r="Q25" s="63">
        <v>5.0</v>
      </c>
      <c r="R25" s="58">
        <v>0.0</v>
      </c>
      <c r="S25" s="58">
        <v>2.0</v>
      </c>
      <c r="T25" s="58">
        <v>5.0</v>
      </c>
      <c r="U25" s="58">
        <v>6.0</v>
      </c>
      <c r="V25" s="58" t="s">
        <v>130</v>
      </c>
      <c r="W25" s="61" t="s">
        <v>76</v>
      </c>
      <c r="X25" s="28" t="s">
        <v>1033</v>
      </c>
      <c r="Y25" s="64">
        <v>31.0</v>
      </c>
      <c r="Z25" s="65">
        <f t="shared" si="2"/>
        <v>33.58333333</v>
      </c>
      <c r="AA25" s="65">
        <f t="shared" si="3"/>
        <v>54351.26667</v>
      </c>
      <c r="AB25" s="65">
        <f t="shared" si="4"/>
        <v>735.9534092</v>
      </c>
      <c r="AC25" s="66">
        <v>1.0</v>
      </c>
      <c r="AD25" s="67"/>
      <c r="AE25" s="68">
        <f t="shared" si="5"/>
        <v>6557.377049</v>
      </c>
      <c r="AF25" s="69">
        <v>8000.0</v>
      </c>
      <c r="AG25" s="68">
        <f t="shared" si="6"/>
        <v>32786.88525</v>
      </c>
      <c r="AH25" s="70">
        <f t="shared" si="7"/>
        <v>40000</v>
      </c>
      <c r="AI25" s="71"/>
      <c r="AJ25" s="71"/>
      <c r="AK25" s="71"/>
      <c r="AL25" s="71"/>
    </row>
    <row r="26">
      <c r="A26" s="57" t="s">
        <v>183</v>
      </c>
      <c r="B26" s="58" t="s">
        <v>17</v>
      </c>
      <c r="C26" s="58" t="s">
        <v>19</v>
      </c>
      <c r="D26" s="58" t="s">
        <v>61</v>
      </c>
      <c r="E26" s="58" t="s">
        <v>110</v>
      </c>
      <c r="F26" s="58" t="s">
        <v>103</v>
      </c>
      <c r="G26" s="59">
        <v>45961.0</v>
      </c>
      <c r="H26" s="58" t="s">
        <v>104</v>
      </c>
      <c r="I26" s="60" t="s">
        <v>184</v>
      </c>
      <c r="J26" s="61" t="s">
        <v>185</v>
      </c>
      <c r="K26" s="61" t="s">
        <v>186</v>
      </c>
      <c r="L26" s="61" t="s">
        <v>187</v>
      </c>
      <c r="M26" s="58">
        <v>2007.0</v>
      </c>
      <c r="N26" s="58">
        <v>11.0</v>
      </c>
      <c r="O26" s="62">
        <v>227.0</v>
      </c>
      <c r="P26" s="62">
        <f t="shared" si="1"/>
        <v>635.6</v>
      </c>
      <c r="Q26" s="63">
        <v>4.0</v>
      </c>
      <c r="R26" s="58">
        <v>4.0</v>
      </c>
      <c r="S26" s="58">
        <v>5.0</v>
      </c>
      <c r="T26" s="58">
        <v>0.0</v>
      </c>
      <c r="U26" s="58">
        <v>6.0</v>
      </c>
      <c r="V26" s="58" t="s">
        <v>75</v>
      </c>
      <c r="W26" s="61" t="s">
        <v>76</v>
      </c>
      <c r="X26" s="28" t="s">
        <v>1033</v>
      </c>
      <c r="Y26" s="64">
        <v>31.0</v>
      </c>
      <c r="Z26" s="65">
        <f t="shared" si="2"/>
        <v>16.12</v>
      </c>
      <c r="AA26" s="65">
        <f t="shared" si="3"/>
        <v>10245.872</v>
      </c>
      <c r="AB26" s="65">
        <f t="shared" si="4"/>
        <v>3123.209035</v>
      </c>
      <c r="AC26" s="66">
        <v>1.0</v>
      </c>
      <c r="AD26" s="70"/>
      <c r="AE26" s="68">
        <f t="shared" si="5"/>
        <v>6557.377049</v>
      </c>
      <c r="AF26" s="69">
        <v>8000.0</v>
      </c>
      <c r="AG26" s="68">
        <f t="shared" si="6"/>
        <v>26229.5082</v>
      </c>
      <c r="AH26" s="70">
        <f t="shared" si="7"/>
        <v>32000</v>
      </c>
      <c r="AI26" s="71"/>
      <c r="AJ26" s="71"/>
      <c r="AK26" s="71"/>
      <c r="AL26" s="71"/>
    </row>
    <row r="27">
      <c r="A27" s="57" t="s">
        <v>188</v>
      </c>
      <c r="B27" s="58" t="s">
        <v>17</v>
      </c>
      <c r="C27" s="58" t="s">
        <v>19</v>
      </c>
      <c r="D27" s="58" t="s">
        <v>123</v>
      </c>
      <c r="E27" s="58" t="s">
        <v>62</v>
      </c>
      <c r="F27" s="58" t="s">
        <v>63</v>
      </c>
      <c r="G27" s="59">
        <v>45961.0</v>
      </c>
      <c r="H27" s="58" t="s">
        <v>104</v>
      </c>
      <c r="I27" s="60" t="s">
        <v>189</v>
      </c>
      <c r="J27" s="61" t="s">
        <v>190</v>
      </c>
      <c r="K27" s="61" t="s">
        <v>191</v>
      </c>
      <c r="L27" s="61" t="s">
        <v>192</v>
      </c>
      <c r="M27" s="58">
        <v>2010.0</v>
      </c>
      <c r="N27" s="58">
        <v>16.0</v>
      </c>
      <c r="O27" s="62">
        <v>279.0</v>
      </c>
      <c r="P27" s="62">
        <f t="shared" si="1"/>
        <v>781.2</v>
      </c>
      <c r="Q27" s="63">
        <v>3.0</v>
      </c>
      <c r="R27" s="58">
        <v>3.0</v>
      </c>
      <c r="S27" s="58">
        <v>3.0</v>
      </c>
      <c r="T27" s="58">
        <v>0.0</v>
      </c>
      <c r="U27" s="58">
        <v>6.0</v>
      </c>
      <c r="V27" s="58" t="s">
        <v>75</v>
      </c>
      <c r="W27" s="61" t="s">
        <v>76</v>
      </c>
      <c r="X27" s="28" t="s">
        <v>1033</v>
      </c>
      <c r="Y27" s="64">
        <v>31.0</v>
      </c>
      <c r="Z27" s="65">
        <f t="shared" si="2"/>
        <v>20.15</v>
      </c>
      <c r="AA27" s="65">
        <f t="shared" si="3"/>
        <v>15741.18</v>
      </c>
      <c r="AB27" s="65">
        <f t="shared" si="4"/>
        <v>1524.663335</v>
      </c>
      <c r="AC27" s="66">
        <v>1.0</v>
      </c>
      <c r="AD27" s="70"/>
      <c r="AE27" s="68">
        <f t="shared" si="5"/>
        <v>6557.377049</v>
      </c>
      <c r="AF27" s="69">
        <v>8000.0</v>
      </c>
      <c r="AG27" s="68">
        <f t="shared" si="6"/>
        <v>19672.13115</v>
      </c>
      <c r="AH27" s="70">
        <f t="shared" si="7"/>
        <v>24000</v>
      </c>
      <c r="AI27" s="71"/>
      <c r="AJ27" s="71"/>
      <c r="AK27" s="71"/>
      <c r="AL27" s="71"/>
    </row>
    <row r="28">
      <c r="A28" s="57" t="s">
        <v>188</v>
      </c>
      <c r="B28" s="58" t="s">
        <v>17</v>
      </c>
      <c r="C28" s="58" t="s">
        <v>19</v>
      </c>
      <c r="D28" s="58" t="s">
        <v>123</v>
      </c>
      <c r="E28" s="58" t="s">
        <v>62</v>
      </c>
      <c r="F28" s="58" t="s">
        <v>63</v>
      </c>
      <c r="G28" s="59">
        <v>45961.0</v>
      </c>
      <c r="H28" s="58" t="s">
        <v>104</v>
      </c>
      <c r="I28" s="60" t="s">
        <v>189</v>
      </c>
      <c r="J28" s="61" t="s">
        <v>195</v>
      </c>
      <c r="K28" s="61" t="s">
        <v>196</v>
      </c>
      <c r="L28" s="61" t="s">
        <v>197</v>
      </c>
      <c r="M28" s="58">
        <v>2010.0</v>
      </c>
      <c r="N28" s="58">
        <v>17.0</v>
      </c>
      <c r="O28" s="62">
        <v>51.0</v>
      </c>
      <c r="P28" s="62">
        <f t="shared" si="1"/>
        <v>142.8</v>
      </c>
      <c r="Q28" s="63">
        <v>1.0</v>
      </c>
      <c r="R28" s="58">
        <v>1.0</v>
      </c>
      <c r="S28" s="58">
        <v>1.0</v>
      </c>
      <c r="T28" s="58">
        <v>0.0</v>
      </c>
      <c r="U28" s="58">
        <v>2.0</v>
      </c>
      <c r="V28" s="58" t="s">
        <v>75</v>
      </c>
      <c r="W28" s="61" t="s">
        <v>76</v>
      </c>
      <c r="X28" s="28" t="s">
        <v>1033</v>
      </c>
      <c r="Y28" s="64">
        <v>31.0</v>
      </c>
      <c r="Z28" s="65">
        <f t="shared" si="2"/>
        <v>20.15</v>
      </c>
      <c r="AA28" s="65">
        <f t="shared" si="3"/>
        <v>2877.42</v>
      </c>
      <c r="AB28" s="65">
        <f t="shared" si="4"/>
        <v>2780.268435</v>
      </c>
      <c r="AC28" s="66">
        <v>1.0</v>
      </c>
      <c r="AD28" s="70"/>
      <c r="AE28" s="68">
        <f t="shared" si="5"/>
        <v>6557.377049</v>
      </c>
      <c r="AF28" s="69">
        <v>8000.0</v>
      </c>
      <c r="AG28" s="68">
        <f t="shared" si="6"/>
        <v>6557.377049</v>
      </c>
      <c r="AH28" s="70">
        <f t="shared" si="7"/>
        <v>8000</v>
      </c>
      <c r="AI28" s="71"/>
      <c r="AJ28" s="71"/>
      <c r="AK28" s="71"/>
      <c r="AL28" s="71"/>
    </row>
    <row r="29">
      <c r="A29" s="57" t="s">
        <v>198</v>
      </c>
      <c r="B29" s="58" t="s">
        <v>17</v>
      </c>
      <c r="C29" s="58" t="s">
        <v>19</v>
      </c>
      <c r="D29" s="58" t="s">
        <v>162</v>
      </c>
      <c r="E29" s="58" t="s">
        <v>163</v>
      </c>
      <c r="F29" s="58" t="s">
        <v>63</v>
      </c>
      <c r="G29" s="59">
        <v>45961.0</v>
      </c>
      <c r="H29" s="58" t="s">
        <v>65</v>
      </c>
      <c r="I29" s="60" t="s">
        <v>199</v>
      </c>
      <c r="J29" s="61" t="s">
        <v>200</v>
      </c>
      <c r="K29" s="61" t="s">
        <v>201</v>
      </c>
      <c r="L29" s="61" t="s">
        <v>203</v>
      </c>
      <c r="M29" s="58">
        <v>2023.0</v>
      </c>
      <c r="N29" s="58">
        <v>32.0</v>
      </c>
      <c r="O29" s="62">
        <v>540.0</v>
      </c>
      <c r="P29" s="62">
        <f t="shared" si="1"/>
        <v>1512</v>
      </c>
      <c r="Q29" s="63">
        <v>2.0</v>
      </c>
      <c r="R29" s="58">
        <v>2.0</v>
      </c>
      <c r="S29" s="58">
        <v>2.0</v>
      </c>
      <c r="T29" s="58">
        <v>0.0</v>
      </c>
      <c r="U29" s="58">
        <v>8.0</v>
      </c>
      <c r="V29" s="58" t="s">
        <v>75</v>
      </c>
      <c r="W29" s="61" t="s">
        <v>76</v>
      </c>
      <c r="X29" s="28" t="s">
        <v>1033</v>
      </c>
      <c r="Y29" s="64">
        <v>31.0</v>
      </c>
      <c r="Z29" s="65">
        <f t="shared" si="2"/>
        <v>20.15</v>
      </c>
      <c r="AA29" s="65">
        <f t="shared" si="3"/>
        <v>30466.8</v>
      </c>
      <c r="AB29" s="65">
        <f t="shared" si="4"/>
        <v>525.1618155</v>
      </c>
      <c r="AC29" s="66">
        <v>1.0</v>
      </c>
      <c r="AD29" s="67"/>
      <c r="AE29" s="68">
        <f t="shared" si="5"/>
        <v>6557.377049</v>
      </c>
      <c r="AF29" s="69">
        <v>8000.0</v>
      </c>
      <c r="AG29" s="68">
        <f t="shared" si="6"/>
        <v>13114.7541</v>
      </c>
      <c r="AH29" s="70">
        <f t="shared" si="7"/>
        <v>16000</v>
      </c>
      <c r="AI29" s="71"/>
      <c r="AJ29" s="71"/>
      <c r="AK29" s="71"/>
      <c r="AL29" s="71"/>
    </row>
    <row r="30">
      <c r="A30" s="57" t="s">
        <v>205</v>
      </c>
      <c r="B30" s="58" t="s">
        <v>17</v>
      </c>
      <c r="C30" s="58" t="s">
        <v>19</v>
      </c>
      <c r="D30" s="58" t="s">
        <v>101</v>
      </c>
      <c r="E30" s="58" t="s">
        <v>163</v>
      </c>
      <c r="F30" s="58" t="s">
        <v>103</v>
      </c>
      <c r="G30" s="59">
        <v>45961.0</v>
      </c>
      <c r="H30" s="58" t="s">
        <v>104</v>
      </c>
      <c r="I30" s="60" t="s">
        <v>206</v>
      </c>
      <c r="J30" s="61" t="s">
        <v>207</v>
      </c>
      <c r="K30" s="61" t="s">
        <v>208</v>
      </c>
      <c r="L30" s="61" t="s">
        <v>209</v>
      </c>
      <c r="M30" s="58">
        <v>2014.0</v>
      </c>
      <c r="N30" s="58">
        <v>26.0</v>
      </c>
      <c r="O30" s="62">
        <v>252.0</v>
      </c>
      <c r="P30" s="62">
        <f t="shared" si="1"/>
        <v>705.6</v>
      </c>
      <c r="Q30" s="63">
        <v>3.0</v>
      </c>
      <c r="R30" s="58">
        <v>1.0</v>
      </c>
      <c r="S30" s="58">
        <v>1.0</v>
      </c>
      <c r="T30" s="58">
        <v>2.0</v>
      </c>
      <c r="U30" s="58">
        <v>4.0</v>
      </c>
      <c r="V30" s="58" t="s">
        <v>75</v>
      </c>
      <c r="W30" s="61" t="s">
        <v>76</v>
      </c>
      <c r="X30" s="28" t="s">
        <v>1033</v>
      </c>
      <c r="Y30" s="64">
        <v>31.0</v>
      </c>
      <c r="Z30" s="65">
        <f t="shared" si="2"/>
        <v>40.3</v>
      </c>
      <c r="AA30" s="65">
        <f t="shared" si="3"/>
        <v>28435.68</v>
      </c>
      <c r="AB30" s="65">
        <f t="shared" si="4"/>
        <v>844.0100606</v>
      </c>
      <c r="AC30" s="66">
        <v>1.0</v>
      </c>
      <c r="AD30" s="67"/>
      <c r="AE30" s="68">
        <f t="shared" si="5"/>
        <v>6557.377049</v>
      </c>
      <c r="AF30" s="69">
        <v>8000.0</v>
      </c>
      <c r="AG30" s="68">
        <f t="shared" si="6"/>
        <v>19672.13115</v>
      </c>
      <c r="AH30" s="70">
        <f t="shared" si="7"/>
        <v>24000</v>
      </c>
      <c r="AI30" s="71"/>
      <c r="AJ30" s="71"/>
      <c r="AK30" s="71"/>
      <c r="AL30" s="71"/>
    </row>
    <row r="31">
      <c r="A31" s="57" t="s">
        <v>210</v>
      </c>
      <c r="B31" s="58" t="s">
        <v>17</v>
      </c>
      <c r="C31" s="58" t="s">
        <v>19</v>
      </c>
      <c r="D31" s="58" t="s">
        <v>101</v>
      </c>
      <c r="E31" s="58" t="s">
        <v>102</v>
      </c>
      <c r="F31" s="58" t="s">
        <v>103</v>
      </c>
      <c r="G31" s="59">
        <v>45961.0</v>
      </c>
      <c r="H31" s="58" t="s">
        <v>104</v>
      </c>
      <c r="I31" s="60" t="s">
        <v>211</v>
      </c>
      <c r="J31" s="61" t="s">
        <v>212</v>
      </c>
      <c r="K31" s="61" t="s">
        <v>213</v>
      </c>
      <c r="L31" s="61" t="s">
        <v>214</v>
      </c>
      <c r="M31" s="58">
        <v>2024.0</v>
      </c>
      <c r="N31" s="58">
        <v>20.0</v>
      </c>
      <c r="O31" s="62">
        <v>797.0</v>
      </c>
      <c r="P31" s="62">
        <f t="shared" si="1"/>
        <v>2231.6</v>
      </c>
      <c r="Q31" s="63">
        <v>6.0</v>
      </c>
      <c r="R31" s="58">
        <v>6.0</v>
      </c>
      <c r="S31" s="58">
        <v>6.0</v>
      </c>
      <c r="T31" s="58">
        <v>0.0</v>
      </c>
      <c r="U31" s="58">
        <v>12.0</v>
      </c>
      <c r="V31" s="58" t="s">
        <v>75</v>
      </c>
      <c r="W31" s="61" t="s">
        <v>76</v>
      </c>
      <c r="X31" s="28" t="s">
        <v>1033</v>
      </c>
      <c r="Y31" s="64">
        <v>31.0</v>
      </c>
      <c r="Z31" s="65">
        <f t="shared" si="2"/>
        <v>20.15</v>
      </c>
      <c r="AA31" s="65">
        <f t="shared" si="3"/>
        <v>44966.74</v>
      </c>
      <c r="AB31" s="65">
        <f t="shared" si="4"/>
        <v>1067.455635</v>
      </c>
      <c r="AC31" s="66">
        <v>1.0</v>
      </c>
      <c r="AD31" s="70"/>
      <c r="AE31" s="68">
        <f t="shared" si="5"/>
        <v>6557.377049</v>
      </c>
      <c r="AF31" s="69">
        <v>8000.0</v>
      </c>
      <c r="AG31" s="68">
        <f t="shared" si="6"/>
        <v>39344.2623</v>
      </c>
      <c r="AH31" s="70">
        <f t="shared" si="7"/>
        <v>48000</v>
      </c>
      <c r="AI31" s="71"/>
      <c r="AJ31" s="71"/>
      <c r="AK31" s="71"/>
      <c r="AL31" s="71"/>
    </row>
    <row r="32">
      <c r="A32" s="57" t="s">
        <v>215</v>
      </c>
      <c r="B32" s="58" t="s">
        <v>17</v>
      </c>
      <c r="C32" s="58" t="s">
        <v>19</v>
      </c>
      <c r="D32" s="58" t="s">
        <v>101</v>
      </c>
      <c r="E32" s="58" t="s">
        <v>102</v>
      </c>
      <c r="F32" s="58" t="s">
        <v>103</v>
      </c>
      <c r="G32" s="59">
        <v>45961.0</v>
      </c>
      <c r="H32" s="58" t="s">
        <v>104</v>
      </c>
      <c r="I32" s="58" t="s">
        <v>217</v>
      </c>
      <c r="J32" s="61" t="s">
        <v>218</v>
      </c>
      <c r="K32" s="61" t="s">
        <v>219</v>
      </c>
      <c r="L32" s="61" t="s">
        <v>220</v>
      </c>
      <c r="M32" s="58">
        <v>2025.0</v>
      </c>
      <c r="N32" s="58">
        <v>27.0</v>
      </c>
      <c r="O32" s="62">
        <v>1062.0</v>
      </c>
      <c r="P32" s="62">
        <f t="shared" si="1"/>
        <v>2973.6</v>
      </c>
      <c r="Q32" s="63">
        <v>3.0</v>
      </c>
      <c r="R32" s="58">
        <v>3.0</v>
      </c>
      <c r="S32" s="58">
        <v>3.0</v>
      </c>
      <c r="T32" s="58">
        <v>0.0</v>
      </c>
      <c r="U32" s="58">
        <v>2.0</v>
      </c>
      <c r="V32" s="58" t="s">
        <v>75</v>
      </c>
      <c r="W32" s="61" t="s">
        <v>76</v>
      </c>
      <c r="X32" s="28" t="s">
        <v>1033</v>
      </c>
      <c r="Y32" s="64">
        <v>31.0</v>
      </c>
      <c r="Z32" s="65">
        <f t="shared" si="2"/>
        <v>20.15</v>
      </c>
      <c r="AA32" s="65">
        <f t="shared" si="3"/>
        <v>59918.04</v>
      </c>
      <c r="AB32" s="65">
        <f t="shared" si="4"/>
        <v>400.5471474</v>
      </c>
      <c r="AC32" s="66">
        <v>1.0</v>
      </c>
      <c r="AD32" s="70"/>
      <c r="AE32" s="68">
        <f t="shared" si="5"/>
        <v>6557.377049</v>
      </c>
      <c r="AF32" s="69">
        <v>8000.0</v>
      </c>
      <c r="AG32" s="68">
        <f t="shared" si="6"/>
        <v>19672.13115</v>
      </c>
      <c r="AH32" s="70">
        <f t="shared" si="7"/>
        <v>24000</v>
      </c>
      <c r="AI32" s="71"/>
      <c r="AJ32" s="71"/>
      <c r="AK32" s="71"/>
      <c r="AL32" s="71"/>
    </row>
    <row r="33">
      <c r="A33" s="57" t="s">
        <v>215</v>
      </c>
      <c r="B33" s="58" t="s">
        <v>17</v>
      </c>
      <c r="C33" s="58" t="s">
        <v>19</v>
      </c>
      <c r="D33" s="58" t="s">
        <v>101</v>
      </c>
      <c r="E33" s="58" t="s">
        <v>102</v>
      </c>
      <c r="F33" s="58" t="s">
        <v>103</v>
      </c>
      <c r="G33" s="59">
        <v>45961.0</v>
      </c>
      <c r="H33" s="58" t="s">
        <v>104</v>
      </c>
      <c r="I33" s="58" t="s">
        <v>217</v>
      </c>
      <c r="J33" s="61" t="s">
        <v>221</v>
      </c>
      <c r="K33" s="61" t="s">
        <v>222</v>
      </c>
      <c r="L33" s="61" t="s">
        <v>223</v>
      </c>
      <c r="M33" s="58">
        <v>2021.0</v>
      </c>
      <c r="N33" s="58">
        <v>19.0</v>
      </c>
      <c r="O33" s="62">
        <v>411.0</v>
      </c>
      <c r="P33" s="62">
        <f t="shared" si="1"/>
        <v>1150.8</v>
      </c>
      <c r="Q33" s="63">
        <v>4.0</v>
      </c>
      <c r="R33" s="58">
        <v>4.0</v>
      </c>
      <c r="S33" s="58">
        <v>6.0</v>
      </c>
      <c r="T33" s="58">
        <v>0.0</v>
      </c>
      <c r="U33" s="58">
        <v>8.0</v>
      </c>
      <c r="V33" s="58" t="s">
        <v>75</v>
      </c>
      <c r="W33" s="61" t="s">
        <v>76</v>
      </c>
      <c r="X33" s="28" t="s">
        <v>1033</v>
      </c>
      <c r="Y33" s="64">
        <v>31.0</v>
      </c>
      <c r="Z33" s="65">
        <f t="shared" si="2"/>
        <v>13.43333333</v>
      </c>
      <c r="AA33" s="65">
        <f t="shared" si="3"/>
        <v>15459.08</v>
      </c>
      <c r="AB33" s="65">
        <f t="shared" si="4"/>
        <v>2069.980879</v>
      </c>
      <c r="AC33" s="66">
        <v>1.0</v>
      </c>
      <c r="AD33" s="70"/>
      <c r="AE33" s="68">
        <f t="shared" si="5"/>
        <v>6557.377049</v>
      </c>
      <c r="AF33" s="69">
        <v>8000.0</v>
      </c>
      <c r="AG33" s="68">
        <f t="shared" si="6"/>
        <v>26229.5082</v>
      </c>
      <c r="AH33" s="70">
        <f t="shared" si="7"/>
        <v>32000</v>
      </c>
      <c r="AI33" s="71"/>
      <c r="AJ33" s="71"/>
      <c r="AK33" s="71"/>
      <c r="AL33" s="71"/>
    </row>
    <row r="34">
      <c r="A34" s="57" t="s">
        <v>224</v>
      </c>
      <c r="B34" s="58" t="s">
        <v>17</v>
      </c>
      <c r="C34" s="58" t="s">
        <v>19</v>
      </c>
      <c r="D34" s="58" t="s">
        <v>162</v>
      </c>
      <c r="E34" s="58" t="s">
        <v>110</v>
      </c>
      <c r="F34" s="58" t="s">
        <v>103</v>
      </c>
      <c r="G34" s="59">
        <v>45979.0</v>
      </c>
      <c r="H34" s="58" t="s">
        <v>118</v>
      </c>
      <c r="I34" s="60" t="s">
        <v>225</v>
      </c>
      <c r="J34" s="61" t="s">
        <v>226</v>
      </c>
      <c r="K34" s="61" t="s">
        <v>227</v>
      </c>
      <c r="L34" s="61" t="s">
        <v>228</v>
      </c>
      <c r="M34" s="58">
        <v>2015.0</v>
      </c>
      <c r="N34" s="58">
        <v>20.0</v>
      </c>
      <c r="O34" s="62">
        <v>703.0</v>
      </c>
      <c r="P34" s="62">
        <f t="shared" si="1"/>
        <v>1968.4</v>
      </c>
      <c r="Q34" s="63">
        <v>6.0</v>
      </c>
      <c r="R34" s="58">
        <v>6.0</v>
      </c>
      <c r="S34" s="58">
        <v>6.0</v>
      </c>
      <c r="T34" s="58">
        <v>0.0</v>
      </c>
      <c r="U34" s="58">
        <v>11.0</v>
      </c>
      <c r="V34" s="58" t="s">
        <v>75</v>
      </c>
      <c r="W34" s="61" t="s">
        <v>76</v>
      </c>
      <c r="X34" s="28" t="s">
        <v>1033</v>
      </c>
      <c r="Y34" s="64">
        <v>31.0</v>
      </c>
      <c r="Z34" s="65">
        <f t="shared" si="2"/>
        <v>20.15</v>
      </c>
      <c r="AA34" s="65">
        <f t="shared" si="3"/>
        <v>39663.26</v>
      </c>
      <c r="AB34" s="65">
        <f t="shared" si="4"/>
        <v>1210.187967</v>
      </c>
      <c r="AC34" s="66">
        <v>1.0</v>
      </c>
      <c r="AD34" s="67"/>
      <c r="AE34" s="68">
        <f t="shared" si="5"/>
        <v>6557.377049</v>
      </c>
      <c r="AF34" s="69">
        <v>8000.0</v>
      </c>
      <c r="AG34" s="68">
        <f t="shared" si="6"/>
        <v>39344.2623</v>
      </c>
      <c r="AH34" s="70">
        <f t="shared" si="7"/>
        <v>48000</v>
      </c>
      <c r="AI34" s="71"/>
      <c r="AJ34" s="71"/>
      <c r="AK34" s="71"/>
      <c r="AL34" s="71"/>
    </row>
    <row r="35">
      <c r="A35" s="57" t="s">
        <v>229</v>
      </c>
      <c r="B35" s="58" t="s">
        <v>17</v>
      </c>
      <c r="C35" s="58" t="s">
        <v>19</v>
      </c>
      <c r="D35" s="58" t="s">
        <v>61</v>
      </c>
      <c r="E35" s="58" t="s">
        <v>110</v>
      </c>
      <c r="F35" s="58" t="s">
        <v>103</v>
      </c>
      <c r="G35" s="59">
        <v>45961.0</v>
      </c>
      <c r="H35" s="58" t="s">
        <v>104</v>
      </c>
      <c r="I35" s="60" t="s">
        <v>230</v>
      </c>
      <c r="J35" s="61" t="s">
        <v>231</v>
      </c>
      <c r="K35" s="61" t="s">
        <v>232</v>
      </c>
      <c r="L35" s="61" t="s">
        <v>233</v>
      </c>
      <c r="M35" s="58">
        <v>2018.0</v>
      </c>
      <c r="N35" s="58">
        <v>25.0</v>
      </c>
      <c r="O35" s="62">
        <v>571.0</v>
      </c>
      <c r="P35" s="62">
        <f t="shared" si="1"/>
        <v>1598.8</v>
      </c>
      <c r="Q35" s="63">
        <v>4.0</v>
      </c>
      <c r="R35" s="58">
        <v>4.0</v>
      </c>
      <c r="S35" s="58">
        <v>4.0</v>
      </c>
      <c r="T35" s="58">
        <v>0.0</v>
      </c>
      <c r="U35" s="58">
        <v>8.0</v>
      </c>
      <c r="V35" s="58" t="s">
        <v>75</v>
      </c>
      <c r="W35" s="61" t="s">
        <v>76</v>
      </c>
      <c r="X35" s="28" t="s">
        <v>1033</v>
      </c>
      <c r="Y35" s="64">
        <v>31.0</v>
      </c>
      <c r="Z35" s="65">
        <f t="shared" si="2"/>
        <v>20.15</v>
      </c>
      <c r="AA35" s="65">
        <f t="shared" si="3"/>
        <v>32215.82</v>
      </c>
      <c r="AB35" s="65">
        <f t="shared" si="4"/>
        <v>993.3008069</v>
      </c>
      <c r="AC35" s="66">
        <v>1.0</v>
      </c>
      <c r="AD35" s="67"/>
      <c r="AE35" s="68">
        <f t="shared" si="5"/>
        <v>6557.377049</v>
      </c>
      <c r="AF35" s="69">
        <v>8000.0</v>
      </c>
      <c r="AG35" s="68">
        <f t="shared" si="6"/>
        <v>26229.5082</v>
      </c>
      <c r="AH35" s="70">
        <f t="shared" si="7"/>
        <v>32000</v>
      </c>
      <c r="AI35" s="71"/>
      <c r="AJ35" s="71"/>
      <c r="AK35" s="71"/>
      <c r="AL35" s="71"/>
    </row>
    <row r="36">
      <c r="A36" s="57" t="s">
        <v>234</v>
      </c>
      <c r="B36" s="58" t="s">
        <v>17</v>
      </c>
      <c r="C36" s="58" t="s">
        <v>19</v>
      </c>
      <c r="D36" s="58" t="s">
        <v>101</v>
      </c>
      <c r="E36" s="58" t="s">
        <v>102</v>
      </c>
      <c r="F36" s="58" t="s">
        <v>103</v>
      </c>
      <c r="G36" s="59">
        <v>45961.0</v>
      </c>
      <c r="H36" s="58" t="s">
        <v>118</v>
      </c>
      <c r="I36" s="60" t="s">
        <v>235</v>
      </c>
      <c r="J36" s="61" t="s">
        <v>236</v>
      </c>
      <c r="K36" s="61" t="s">
        <v>237</v>
      </c>
      <c r="L36" s="61" t="s">
        <v>238</v>
      </c>
      <c r="M36" s="58">
        <v>2020.0</v>
      </c>
      <c r="N36" s="58">
        <v>21.0</v>
      </c>
      <c r="O36" s="62">
        <v>193.0</v>
      </c>
      <c r="P36" s="62">
        <f t="shared" si="1"/>
        <v>540.4</v>
      </c>
      <c r="Q36" s="63">
        <v>1.0</v>
      </c>
      <c r="R36" s="58">
        <v>1.0</v>
      </c>
      <c r="S36" s="58">
        <v>1.0</v>
      </c>
      <c r="T36" s="58">
        <v>0.0</v>
      </c>
      <c r="U36" s="58">
        <v>2.0</v>
      </c>
      <c r="V36" s="58" t="s">
        <v>75</v>
      </c>
      <c r="W36" s="61" t="s">
        <v>76</v>
      </c>
      <c r="X36" s="28" t="s">
        <v>1033</v>
      </c>
      <c r="Y36" s="64">
        <v>31.0</v>
      </c>
      <c r="Z36" s="65">
        <f t="shared" si="2"/>
        <v>20.15</v>
      </c>
      <c r="AA36" s="65">
        <f t="shared" si="3"/>
        <v>10889.06</v>
      </c>
      <c r="AB36" s="65">
        <f t="shared" si="4"/>
        <v>734.6823325</v>
      </c>
      <c r="AC36" s="66">
        <v>1.0</v>
      </c>
      <c r="AD36" s="70"/>
      <c r="AE36" s="68">
        <f t="shared" si="5"/>
        <v>6557.377049</v>
      </c>
      <c r="AF36" s="69">
        <v>8000.0</v>
      </c>
      <c r="AG36" s="68">
        <f t="shared" si="6"/>
        <v>6557.377049</v>
      </c>
      <c r="AH36" s="70">
        <f t="shared" si="7"/>
        <v>8000</v>
      </c>
      <c r="AI36" s="71"/>
      <c r="AJ36" s="71"/>
      <c r="AK36" s="71"/>
      <c r="AL36" s="71"/>
    </row>
    <row r="37">
      <c r="A37" s="57" t="s">
        <v>241</v>
      </c>
      <c r="B37" s="58" t="s">
        <v>17</v>
      </c>
      <c r="C37" s="58" t="s">
        <v>19</v>
      </c>
      <c r="D37" s="58" t="s">
        <v>101</v>
      </c>
      <c r="E37" s="58" t="s">
        <v>110</v>
      </c>
      <c r="F37" s="58" t="s">
        <v>103</v>
      </c>
      <c r="G37" s="59">
        <v>45961.0</v>
      </c>
      <c r="H37" s="58" t="s">
        <v>65</v>
      </c>
      <c r="I37" s="60" t="s">
        <v>242</v>
      </c>
      <c r="J37" s="61" t="s">
        <v>243</v>
      </c>
      <c r="K37" s="61" t="s">
        <v>244</v>
      </c>
      <c r="L37" s="61" t="s">
        <v>245</v>
      </c>
      <c r="M37" s="58">
        <v>2004.0</v>
      </c>
      <c r="N37" s="58">
        <v>17.0</v>
      </c>
      <c r="O37" s="62">
        <v>323.0</v>
      </c>
      <c r="P37" s="62">
        <f t="shared" si="1"/>
        <v>904.4</v>
      </c>
      <c r="Q37" s="63">
        <v>6.0</v>
      </c>
      <c r="R37" s="58">
        <v>6.0</v>
      </c>
      <c r="S37" s="58">
        <v>6.0</v>
      </c>
      <c r="T37" s="58">
        <v>0.0</v>
      </c>
      <c r="U37" s="58">
        <v>10.0</v>
      </c>
      <c r="V37" s="58" t="s">
        <v>75</v>
      </c>
      <c r="W37" s="61" t="s">
        <v>76</v>
      </c>
      <c r="X37" s="28" t="s">
        <v>1033</v>
      </c>
      <c r="Y37" s="64">
        <v>31.0</v>
      </c>
      <c r="Z37" s="65">
        <f t="shared" si="2"/>
        <v>20.15</v>
      </c>
      <c r="AA37" s="65">
        <f t="shared" si="3"/>
        <v>18223.66</v>
      </c>
      <c r="AB37" s="65">
        <f t="shared" si="4"/>
        <v>2633.938517</v>
      </c>
      <c r="AC37" s="66">
        <v>1.0</v>
      </c>
      <c r="AD37" s="70"/>
      <c r="AE37" s="68">
        <f t="shared" si="5"/>
        <v>6557.377049</v>
      </c>
      <c r="AF37" s="69">
        <v>8000.0</v>
      </c>
      <c r="AG37" s="68">
        <f t="shared" si="6"/>
        <v>39344.2623</v>
      </c>
      <c r="AH37" s="70">
        <f t="shared" si="7"/>
        <v>48000</v>
      </c>
      <c r="AI37" s="71"/>
      <c r="AJ37" s="71"/>
      <c r="AK37" s="71"/>
      <c r="AL37" s="71"/>
    </row>
    <row r="38">
      <c r="A38" s="57" t="s">
        <v>246</v>
      </c>
      <c r="B38" s="58" t="s">
        <v>17</v>
      </c>
      <c r="C38" s="58" t="s">
        <v>19</v>
      </c>
      <c r="D38" s="58" t="s">
        <v>247</v>
      </c>
      <c r="E38" s="58" t="s">
        <v>62</v>
      </c>
      <c r="F38" s="58" t="s">
        <v>63</v>
      </c>
      <c r="G38" s="59">
        <v>45979.0</v>
      </c>
      <c r="H38" s="58" t="s">
        <v>65</v>
      </c>
      <c r="I38" s="60" t="s">
        <v>248</v>
      </c>
      <c r="J38" s="61" t="s">
        <v>249</v>
      </c>
      <c r="K38" s="61" t="s">
        <v>250</v>
      </c>
      <c r="L38" s="61" t="s">
        <v>251</v>
      </c>
      <c r="M38" s="58">
        <v>2016.0</v>
      </c>
      <c r="N38" s="58">
        <v>25.0</v>
      </c>
      <c r="O38" s="62">
        <v>535.0</v>
      </c>
      <c r="P38" s="62">
        <f t="shared" si="1"/>
        <v>1498</v>
      </c>
      <c r="Q38" s="63">
        <v>9.0</v>
      </c>
      <c r="R38" s="58">
        <v>9.0</v>
      </c>
      <c r="S38" s="58">
        <v>5.0</v>
      </c>
      <c r="T38" s="58">
        <v>0.0</v>
      </c>
      <c r="U38" s="58">
        <v>9.0</v>
      </c>
      <c r="V38" s="58" t="s">
        <v>75</v>
      </c>
      <c r="W38" s="61" t="s">
        <v>76</v>
      </c>
      <c r="X38" s="28" t="s">
        <v>1033</v>
      </c>
      <c r="Y38" s="64">
        <v>31.0</v>
      </c>
      <c r="Z38" s="65">
        <f t="shared" si="2"/>
        <v>36.27</v>
      </c>
      <c r="AA38" s="65">
        <f t="shared" si="3"/>
        <v>54332.46</v>
      </c>
      <c r="AB38" s="65">
        <f t="shared" si="4"/>
        <v>1325.174675</v>
      </c>
      <c r="AC38" s="66">
        <v>1.0</v>
      </c>
      <c r="AD38" s="70"/>
      <c r="AE38" s="68">
        <f t="shared" si="5"/>
        <v>6557.377049</v>
      </c>
      <c r="AF38" s="69">
        <v>8000.0</v>
      </c>
      <c r="AG38" s="68">
        <f t="shared" si="6"/>
        <v>59016.39344</v>
      </c>
      <c r="AH38" s="70">
        <f t="shared" si="7"/>
        <v>72000</v>
      </c>
      <c r="AI38" s="71"/>
      <c r="AJ38" s="71"/>
      <c r="AK38" s="71"/>
      <c r="AL38" s="71"/>
    </row>
    <row r="39">
      <c r="A39" s="57" t="s">
        <v>252</v>
      </c>
      <c r="B39" s="58" t="s">
        <v>17</v>
      </c>
      <c r="C39" s="58" t="s">
        <v>19</v>
      </c>
      <c r="D39" s="58" t="s">
        <v>247</v>
      </c>
      <c r="E39" s="58" t="s">
        <v>62</v>
      </c>
      <c r="F39" s="58" t="s">
        <v>63</v>
      </c>
      <c r="G39" s="59">
        <v>46141.0</v>
      </c>
      <c r="H39" s="58" t="s">
        <v>65</v>
      </c>
      <c r="I39" s="60" t="s">
        <v>253</v>
      </c>
      <c r="J39" s="61" t="s">
        <v>254</v>
      </c>
      <c r="K39" s="61" t="s">
        <v>255</v>
      </c>
      <c r="L39" s="61" t="s">
        <v>256</v>
      </c>
      <c r="M39" s="58">
        <v>2018.0</v>
      </c>
      <c r="N39" s="58">
        <v>34.0</v>
      </c>
      <c r="O39" s="62">
        <v>1379.0</v>
      </c>
      <c r="P39" s="62">
        <f t="shared" si="1"/>
        <v>3861.2</v>
      </c>
      <c r="Q39" s="63">
        <v>10.0</v>
      </c>
      <c r="R39" s="58">
        <v>0.0</v>
      </c>
      <c r="S39" s="58">
        <v>5.0</v>
      </c>
      <c r="T39" s="58">
        <v>10.0</v>
      </c>
      <c r="U39" s="58">
        <v>12.0</v>
      </c>
      <c r="V39" s="58" t="s">
        <v>130</v>
      </c>
      <c r="W39" s="61" t="s">
        <v>76</v>
      </c>
      <c r="X39" s="28" t="s">
        <v>1033</v>
      </c>
      <c r="Y39" s="64">
        <v>31.0</v>
      </c>
      <c r="Z39" s="65">
        <f t="shared" si="2"/>
        <v>33.58333333</v>
      </c>
      <c r="AA39" s="65">
        <f t="shared" si="3"/>
        <v>129671.9667</v>
      </c>
      <c r="AB39" s="65">
        <f t="shared" si="4"/>
        <v>616.9413641</v>
      </c>
      <c r="AC39" s="66">
        <v>1.0</v>
      </c>
      <c r="AD39" s="67"/>
      <c r="AE39" s="68">
        <f t="shared" si="5"/>
        <v>6557.377049</v>
      </c>
      <c r="AF39" s="69">
        <v>8000.0</v>
      </c>
      <c r="AG39" s="68">
        <f t="shared" si="6"/>
        <v>65573.77049</v>
      </c>
      <c r="AH39" s="70">
        <f t="shared" si="7"/>
        <v>80000</v>
      </c>
      <c r="AI39" s="71"/>
      <c r="AJ39" s="71"/>
      <c r="AK39" s="71"/>
      <c r="AL39" s="71"/>
    </row>
    <row r="40">
      <c r="A40" s="57" t="s">
        <v>257</v>
      </c>
      <c r="B40" s="58" t="s">
        <v>17</v>
      </c>
      <c r="C40" s="58" t="s">
        <v>19</v>
      </c>
      <c r="D40" s="58" t="s">
        <v>162</v>
      </c>
      <c r="E40" s="58" t="s">
        <v>62</v>
      </c>
      <c r="F40" s="58" t="s">
        <v>103</v>
      </c>
      <c r="G40" s="59">
        <v>45975.0</v>
      </c>
      <c r="H40" s="58" t="s">
        <v>118</v>
      </c>
      <c r="I40" s="60" t="s">
        <v>258</v>
      </c>
      <c r="J40" s="61" t="s">
        <v>259</v>
      </c>
      <c r="K40" s="61" t="s">
        <v>260</v>
      </c>
      <c r="L40" s="61" t="s">
        <v>261</v>
      </c>
      <c r="M40" s="58">
        <v>2017.0</v>
      </c>
      <c r="N40" s="58">
        <v>26.0</v>
      </c>
      <c r="O40" s="62">
        <v>215.0</v>
      </c>
      <c r="P40" s="62">
        <f t="shared" si="1"/>
        <v>602</v>
      </c>
      <c r="Q40" s="63">
        <v>4.0</v>
      </c>
      <c r="R40" s="58">
        <v>1.0</v>
      </c>
      <c r="S40" s="58">
        <v>1.0</v>
      </c>
      <c r="T40" s="58">
        <v>3.0</v>
      </c>
      <c r="U40" s="58">
        <v>3.0</v>
      </c>
      <c r="V40" s="58" t="s">
        <v>75</v>
      </c>
      <c r="W40" s="61" t="s">
        <v>76</v>
      </c>
      <c r="X40" s="28" t="s">
        <v>1033</v>
      </c>
      <c r="Y40" s="64">
        <v>31.0</v>
      </c>
      <c r="Z40" s="65">
        <f t="shared" si="2"/>
        <v>60.45</v>
      </c>
      <c r="AA40" s="65">
        <f t="shared" si="3"/>
        <v>36390.9</v>
      </c>
      <c r="AB40" s="65">
        <f t="shared" si="4"/>
        <v>879.3407143</v>
      </c>
      <c r="AC40" s="66">
        <v>1.0</v>
      </c>
      <c r="AD40" s="67"/>
      <c r="AE40" s="68">
        <f t="shared" si="5"/>
        <v>6557.377049</v>
      </c>
      <c r="AF40" s="69">
        <v>8000.0</v>
      </c>
      <c r="AG40" s="68">
        <f t="shared" si="6"/>
        <v>26229.5082</v>
      </c>
      <c r="AH40" s="70">
        <f t="shared" si="7"/>
        <v>32000</v>
      </c>
      <c r="AI40" s="71"/>
      <c r="AJ40" s="71"/>
      <c r="AK40" s="71"/>
      <c r="AL40" s="71"/>
    </row>
    <row r="41">
      <c r="A41" s="57" t="s">
        <v>262</v>
      </c>
      <c r="B41" s="58" t="s">
        <v>17</v>
      </c>
      <c r="C41" s="58" t="s">
        <v>19</v>
      </c>
      <c r="D41" s="58" t="s">
        <v>123</v>
      </c>
      <c r="E41" s="58" t="s">
        <v>117</v>
      </c>
      <c r="F41" s="58" t="s">
        <v>103</v>
      </c>
      <c r="G41" s="59">
        <v>45973.0</v>
      </c>
      <c r="H41" s="58" t="s">
        <v>118</v>
      </c>
      <c r="I41" s="60" t="s">
        <v>263</v>
      </c>
      <c r="J41" s="61" t="s">
        <v>264</v>
      </c>
      <c r="K41" s="61" t="s">
        <v>265</v>
      </c>
      <c r="L41" s="61" t="s">
        <v>266</v>
      </c>
      <c r="M41" s="58">
        <v>2022.0</v>
      </c>
      <c r="N41" s="58">
        <v>23.0</v>
      </c>
      <c r="O41" s="62">
        <v>646.0</v>
      </c>
      <c r="P41" s="62">
        <f t="shared" si="1"/>
        <v>1808.8</v>
      </c>
      <c r="Q41" s="63">
        <v>4.0</v>
      </c>
      <c r="R41" s="58">
        <v>2.0</v>
      </c>
      <c r="S41" s="58">
        <v>2.0</v>
      </c>
      <c r="T41" s="58">
        <v>2.0</v>
      </c>
      <c r="U41" s="58">
        <v>7.0</v>
      </c>
      <c r="V41" s="58" t="s">
        <v>75</v>
      </c>
      <c r="W41" s="61" t="s">
        <v>76</v>
      </c>
      <c r="X41" s="28" t="s">
        <v>1033</v>
      </c>
      <c r="Y41" s="64">
        <v>31.0</v>
      </c>
      <c r="Z41" s="65">
        <f t="shared" si="2"/>
        <v>31.66428571</v>
      </c>
      <c r="AA41" s="65">
        <f t="shared" si="3"/>
        <v>57274.36</v>
      </c>
      <c r="AB41" s="65">
        <f t="shared" si="4"/>
        <v>558.7142309</v>
      </c>
      <c r="AC41" s="66">
        <v>1.0</v>
      </c>
      <c r="AD41" s="70"/>
      <c r="AE41" s="68">
        <f t="shared" si="5"/>
        <v>6557.377049</v>
      </c>
      <c r="AF41" s="69">
        <v>8000.0</v>
      </c>
      <c r="AG41" s="68">
        <f t="shared" si="6"/>
        <v>26229.5082</v>
      </c>
      <c r="AH41" s="70">
        <f t="shared" si="7"/>
        <v>32000</v>
      </c>
      <c r="AI41" s="71"/>
      <c r="AJ41" s="71"/>
      <c r="AK41" s="71"/>
      <c r="AL41" s="71"/>
    </row>
    <row r="42">
      <c r="A42" s="57" t="s">
        <v>262</v>
      </c>
      <c r="B42" s="58" t="s">
        <v>17</v>
      </c>
      <c r="C42" s="58" t="s">
        <v>19</v>
      </c>
      <c r="D42" s="58" t="s">
        <v>123</v>
      </c>
      <c r="E42" s="58" t="s">
        <v>117</v>
      </c>
      <c r="F42" s="58" t="s">
        <v>103</v>
      </c>
      <c r="G42" s="59">
        <v>45973.0</v>
      </c>
      <c r="H42" s="58" t="s">
        <v>118</v>
      </c>
      <c r="I42" s="60" t="s">
        <v>263</v>
      </c>
      <c r="J42" s="61" t="s">
        <v>268</v>
      </c>
      <c r="K42" s="61" t="s">
        <v>269</v>
      </c>
      <c r="L42" s="61" t="s">
        <v>270</v>
      </c>
      <c r="M42" s="58">
        <v>2021.0</v>
      </c>
      <c r="N42" s="58">
        <v>26.0</v>
      </c>
      <c r="O42" s="62">
        <v>623.0</v>
      </c>
      <c r="P42" s="62">
        <f t="shared" si="1"/>
        <v>1744.4</v>
      </c>
      <c r="Q42" s="63">
        <v>4.0</v>
      </c>
      <c r="R42" s="58">
        <v>2.0</v>
      </c>
      <c r="S42" s="58">
        <v>2.0</v>
      </c>
      <c r="T42" s="58">
        <v>2.0</v>
      </c>
      <c r="U42" s="58">
        <v>7.0</v>
      </c>
      <c r="V42" s="58" t="s">
        <v>75</v>
      </c>
      <c r="W42" s="61" t="s">
        <v>76</v>
      </c>
      <c r="X42" s="28" t="s">
        <v>1033</v>
      </c>
      <c r="Y42" s="64">
        <v>31.0</v>
      </c>
      <c r="Z42" s="65">
        <f t="shared" si="2"/>
        <v>31.66428571</v>
      </c>
      <c r="AA42" s="65">
        <f t="shared" si="3"/>
        <v>55235.18</v>
      </c>
      <c r="AB42" s="65">
        <f t="shared" si="4"/>
        <v>579.34092</v>
      </c>
      <c r="AC42" s="66">
        <v>1.0</v>
      </c>
      <c r="AD42" s="70"/>
      <c r="AE42" s="68">
        <f t="shared" si="5"/>
        <v>6557.377049</v>
      </c>
      <c r="AF42" s="69">
        <v>8000.0</v>
      </c>
      <c r="AG42" s="68">
        <f t="shared" si="6"/>
        <v>26229.5082</v>
      </c>
      <c r="AH42" s="70">
        <f t="shared" si="7"/>
        <v>32000</v>
      </c>
      <c r="AI42" s="71"/>
      <c r="AJ42" s="71"/>
      <c r="AK42" s="71"/>
      <c r="AL42" s="71"/>
    </row>
    <row r="43">
      <c r="A43" s="57" t="s">
        <v>271</v>
      </c>
      <c r="B43" s="58" t="s">
        <v>17</v>
      </c>
      <c r="C43" s="58" t="s">
        <v>19</v>
      </c>
      <c r="D43" s="58" t="s">
        <v>123</v>
      </c>
      <c r="E43" s="58" t="s">
        <v>117</v>
      </c>
      <c r="F43" s="58" t="s">
        <v>103</v>
      </c>
      <c r="G43" s="59">
        <v>46197.0</v>
      </c>
      <c r="H43" s="58" t="s">
        <v>104</v>
      </c>
      <c r="I43" s="58" t="s">
        <v>272</v>
      </c>
      <c r="J43" s="61" t="s">
        <v>273</v>
      </c>
      <c r="K43" s="61" t="s">
        <v>274</v>
      </c>
      <c r="L43" s="61" t="s">
        <v>275</v>
      </c>
      <c r="M43" s="58">
        <v>2020.0</v>
      </c>
      <c r="N43" s="58">
        <v>20.0</v>
      </c>
      <c r="O43" s="62">
        <v>239.0</v>
      </c>
      <c r="P43" s="62">
        <f t="shared" si="1"/>
        <v>669.2</v>
      </c>
      <c r="Q43" s="63">
        <v>3.0</v>
      </c>
      <c r="R43" s="58">
        <v>0.0</v>
      </c>
      <c r="S43" s="58">
        <v>1.0</v>
      </c>
      <c r="T43" s="58">
        <v>3.0</v>
      </c>
      <c r="U43" s="58">
        <v>3.0</v>
      </c>
      <c r="V43" s="58" t="s">
        <v>130</v>
      </c>
      <c r="W43" s="61" t="s">
        <v>76</v>
      </c>
      <c r="X43" s="28" t="s">
        <v>1033</v>
      </c>
      <c r="Y43" s="64">
        <v>31.0</v>
      </c>
      <c r="Z43" s="65">
        <f t="shared" si="2"/>
        <v>40.3</v>
      </c>
      <c r="AA43" s="65">
        <f t="shared" si="3"/>
        <v>26968.76</v>
      </c>
      <c r="AB43" s="65">
        <f t="shared" si="4"/>
        <v>889.9185576</v>
      </c>
      <c r="AC43" s="66">
        <v>1.0</v>
      </c>
      <c r="AD43" s="70"/>
      <c r="AE43" s="68">
        <f t="shared" si="5"/>
        <v>6557.377049</v>
      </c>
      <c r="AF43" s="69">
        <v>8000.0</v>
      </c>
      <c r="AG43" s="68">
        <f t="shared" si="6"/>
        <v>19672.13115</v>
      </c>
      <c r="AH43" s="70">
        <f t="shared" si="7"/>
        <v>24000</v>
      </c>
      <c r="AI43" s="71"/>
      <c r="AJ43" s="71"/>
      <c r="AK43" s="71"/>
      <c r="AL43" s="71"/>
    </row>
    <row r="44">
      <c r="A44" s="57" t="s">
        <v>276</v>
      </c>
      <c r="B44" s="58" t="s">
        <v>17</v>
      </c>
      <c r="C44" s="58" t="s">
        <v>19</v>
      </c>
      <c r="D44" s="58" t="s">
        <v>116</v>
      </c>
      <c r="E44" s="58" t="s">
        <v>62</v>
      </c>
      <c r="F44" s="58" t="s">
        <v>103</v>
      </c>
      <c r="G44" s="59">
        <v>45988.0</v>
      </c>
      <c r="H44" s="58" t="s">
        <v>118</v>
      </c>
      <c r="I44" s="60" t="s">
        <v>277</v>
      </c>
      <c r="J44" s="61" t="s">
        <v>278</v>
      </c>
      <c r="K44" s="61" t="s">
        <v>279</v>
      </c>
      <c r="L44" s="61" t="s">
        <v>280</v>
      </c>
      <c r="M44" s="58">
        <v>2018.0</v>
      </c>
      <c r="N44" s="58">
        <v>13.0</v>
      </c>
      <c r="O44" s="62">
        <v>205.0</v>
      </c>
      <c r="P44" s="62">
        <f t="shared" si="1"/>
        <v>574</v>
      </c>
      <c r="Q44" s="63">
        <v>4.0</v>
      </c>
      <c r="R44" s="58">
        <v>4.0</v>
      </c>
      <c r="S44" s="58">
        <v>4.0</v>
      </c>
      <c r="T44" s="58">
        <v>0.0</v>
      </c>
      <c r="U44" s="58">
        <v>5.0</v>
      </c>
      <c r="V44" s="58" t="s">
        <v>75</v>
      </c>
      <c r="W44" s="61" t="s">
        <v>76</v>
      </c>
      <c r="X44" s="28" t="s">
        <v>1033</v>
      </c>
      <c r="Y44" s="64">
        <v>31.0</v>
      </c>
      <c r="Z44" s="65">
        <f t="shared" si="2"/>
        <v>20.15</v>
      </c>
      <c r="AA44" s="65">
        <f t="shared" si="3"/>
        <v>11566.1</v>
      </c>
      <c r="AB44" s="65">
        <f t="shared" si="4"/>
        <v>2766.70615</v>
      </c>
      <c r="AC44" s="66">
        <v>1.0</v>
      </c>
      <c r="AD44" s="70"/>
      <c r="AE44" s="68">
        <f t="shared" si="5"/>
        <v>6557.377049</v>
      </c>
      <c r="AF44" s="69">
        <v>8000.0</v>
      </c>
      <c r="AG44" s="68">
        <f t="shared" si="6"/>
        <v>26229.5082</v>
      </c>
      <c r="AH44" s="70">
        <f t="shared" si="7"/>
        <v>32000</v>
      </c>
      <c r="AI44" s="71"/>
      <c r="AJ44" s="71"/>
      <c r="AK44" s="71"/>
      <c r="AL44" s="71"/>
    </row>
    <row r="45">
      <c r="A45" s="57" t="s">
        <v>281</v>
      </c>
      <c r="B45" s="58" t="s">
        <v>17</v>
      </c>
      <c r="C45" s="58" t="s">
        <v>19</v>
      </c>
      <c r="D45" s="58" t="s">
        <v>116</v>
      </c>
      <c r="E45" s="58" t="s">
        <v>62</v>
      </c>
      <c r="F45" s="58" t="s">
        <v>103</v>
      </c>
      <c r="G45" s="59">
        <v>45988.0</v>
      </c>
      <c r="H45" s="58" t="s">
        <v>118</v>
      </c>
      <c r="I45" s="60" t="s">
        <v>282</v>
      </c>
      <c r="J45" s="61" t="s">
        <v>278</v>
      </c>
      <c r="K45" s="61" t="s">
        <v>279</v>
      </c>
      <c r="L45" s="61" t="s">
        <v>280</v>
      </c>
      <c r="M45" s="58">
        <v>2018.0</v>
      </c>
      <c r="N45" s="58">
        <v>13.0</v>
      </c>
      <c r="O45" s="62">
        <v>205.0</v>
      </c>
      <c r="P45" s="62">
        <f t="shared" si="1"/>
        <v>574</v>
      </c>
      <c r="Q45" s="63">
        <v>4.0</v>
      </c>
      <c r="R45" s="58">
        <v>0.0</v>
      </c>
      <c r="S45" s="58">
        <v>4.0</v>
      </c>
      <c r="T45" s="58">
        <v>4.0</v>
      </c>
      <c r="U45" s="58">
        <v>5.0</v>
      </c>
      <c r="V45" s="58" t="s">
        <v>75</v>
      </c>
      <c r="W45" s="61" t="s">
        <v>76</v>
      </c>
      <c r="X45" s="28" t="s">
        <v>1033</v>
      </c>
      <c r="Y45" s="64">
        <v>31.0</v>
      </c>
      <c r="Z45" s="65">
        <f t="shared" si="2"/>
        <v>32.24</v>
      </c>
      <c r="AA45" s="65">
        <f t="shared" si="3"/>
        <v>18505.76</v>
      </c>
      <c r="AB45" s="65">
        <f t="shared" si="4"/>
        <v>1729.191344</v>
      </c>
      <c r="AC45" s="66">
        <v>1.0</v>
      </c>
      <c r="AD45" s="67"/>
      <c r="AE45" s="68">
        <f t="shared" si="5"/>
        <v>6557.377049</v>
      </c>
      <c r="AF45" s="69">
        <v>8000.0</v>
      </c>
      <c r="AG45" s="68">
        <f t="shared" si="6"/>
        <v>26229.5082</v>
      </c>
      <c r="AH45" s="70">
        <f t="shared" si="7"/>
        <v>32000</v>
      </c>
      <c r="AI45" s="71"/>
      <c r="AJ45" s="71"/>
      <c r="AK45" s="71"/>
      <c r="AL45" s="71"/>
    </row>
    <row r="46">
      <c r="A46" s="57" t="s">
        <v>283</v>
      </c>
      <c r="B46" s="58" t="s">
        <v>17</v>
      </c>
      <c r="C46" s="58" t="s">
        <v>19</v>
      </c>
      <c r="D46" s="58" t="s">
        <v>116</v>
      </c>
      <c r="E46" s="58" t="s">
        <v>62</v>
      </c>
      <c r="F46" s="58" t="s">
        <v>103</v>
      </c>
      <c r="G46" s="59">
        <v>45988.0</v>
      </c>
      <c r="H46" s="58" t="s">
        <v>118</v>
      </c>
      <c r="I46" s="60" t="s">
        <v>284</v>
      </c>
      <c r="J46" s="61" t="s">
        <v>285</v>
      </c>
      <c r="K46" s="61" t="s">
        <v>286</v>
      </c>
      <c r="L46" s="61" t="s">
        <v>287</v>
      </c>
      <c r="M46" s="58">
        <v>2021.0</v>
      </c>
      <c r="N46" s="58">
        <v>16.0</v>
      </c>
      <c r="O46" s="62">
        <v>402.0</v>
      </c>
      <c r="P46" s="62">
        <f t="shared" si="1"/>
        <v>1125.6</v>
      </c>
      <c r="Q46" s="63">
        <v>8.0</v>
      </c>
      <c r="R46" s="58">
        <v>8.0</v>
      </c>
      <c r="S46" s="58">
        <v>8.0</v>
      </c>
      <c r="T46" s="58">
        <v>0.0</v>
      </c>
      <c r="U46" s="58">
        <v>16.0</v>
      </c>
      <c r="V46" s="58" t="s">
        <v>75</v>
      </c>
      <c r="W46" s="61" t="s">
        <v>76</v>
      </c>
      <c r="X46" s="28" t="s">
        <v>1033</v>
      </c>
      <c r="Y46" s="64">
        <v>31.0</v>
      </c>
      <c r="Z46" s="65">
        <f t="shared" si="2"/>
        <v>20.15</v>
      </c>
      <c r="AA46" s="65">
        <f t="shared" si="3"/>
        <v>22680.84</v>
      </c>
      <c r="AB46" s="65">
        <f t="shared" si="4"/>
        <v>2821.764979</v>
      </c>
      <c r="AC46" s="66">
        <v>1.0</v>
      </c>
      <c r="AD46" s="67"/>
      <c r="AE46" s="68">
        <f t="shared" si="5"/>
        <v>6557.377049</v>
      </c>
      <c r="AF46" s="69">
        <v>8000.0</v>
      </c>
      <c r="AG46" s="68">
        <f t="shared" si="6"/>
        <v>52459.01639</v>
      </c>
      <c r="AH46" s="70">
        <f t="shared" si="7"/>
        <v>64000</v>
      </c>
      <c r="AI46" s="71"/>
      <c r="AJ46" s="71"/>
      <c r="AK46" s="71"/>
      <c r="AL46" s="71"/>
    </row>
    <row r="47">
      <c r="A47" s="57" t="s">
        <v>288</v>
      </c>
      <c r="B47" s="58" t="s">
        <v>17</v>
      </c>
      <c r="C47" s="58" t="s">
        <v>19</v>
      </c>
      <c r="D47" s="58" t="s">
        <v>116</v>
      </c>
      <c r="E47" s="58" t="s">
        <v>62</v>
      </c>
      <c r="F47" s="58" t="s">
        <v>103</v>
      </c>
      <c r="G47" s="59">
        <v>45988.0</v>
      </c>
      <c r="H47" s="58" t="s">
        <v>118</v>
      </c>
      <c r="I47" s="60" t="s">
        <v>289</v>
      </c>
      <c r="J47" s="61" t="s">
        <v>285</v>
      </c>
      <c r="K47" s="61" t="s">
        <v>286</v>
      </c>
      <c r="L47" s="61" t="s">
        <v>287</v>
      </c>
      <c r="M47" s="58">
        <v>2021.0</v>
      </c>
      <c r="N47" s="58">
        <v>16.0</v>
      </c>
      <c r="O47" s="62">
        <v>402.0</v>
      </c>
      <c r="P47" s="62">
        <f t="shared" si="1"/>
        <v>1125.6</v>
      </c>
      <c r="Q47" s="63">
        <v>8.0</v>
      </c>
      <c r="R47" s="58">
        <v>0.0</v>
      </c>
      <c r="S47" s="58">
        <v>8.0</v>
      </c>
      <c r="T47" s="58">
        <v>8.0</v>
      </c>
      <c r="U47" s="58">
        <v>16.0</v>
      </c>
      <c r="V47" s="58" t="s">
        <v>75</v>
      </c>
      <c r="W47" s="61" t="s">
        <v>76</v>
      </c>
      <c r="X47" s="28" t="s">
        <v>1033</v>
      </c>
      <c r="Y47" s="64">
        <v>31.0</v>
      </c>
      <c r="Z47" s="65">
        <f t="shared" si="2"/>
        <v>20.15</v>
      </c>
      <c r="AA47" s="65">
        <f t="shared" si="3"/>
        <v>22680.84</v>
      </c>
      <c r="AB47" s="65">
        <f t="shared" si="4"/>
        <v>2821.764979</v>
      </c>
      <c r="AC47" s="66">
        <v>1.0</v>
      </c>
      <c r="AD47" s="70"/>
      <c r="AE47" s="68">
        <f t="shared" si="5"/>
        <v>6557.377049</v>
      </c>
      <c r="AF47" s="69">
        <v>8000.0</v>
      </c>
      <c r="AG47" s="68">
        <f t="shared" si="6"/>
        <v>52459.01639</v>
      </c>
      <c r="AH47" s="70">
        <f t="shared" si="7"/>
        <v>64000</v>
      </c>
      <c r="AI47" s="71"/>
      <c r="AJ47" s="71"/>
      <c r="AK47" s="71"/>
      <c r="AL47" s="71"/>
    </row>
    <row r="48">
      <c r="A48" s="57" t="s">
        <v>291</v>
      </c>
      <c r="B48" s="58" t="s">
        <v>17</v>
      </c>
      <c r="C48" s="58" t="s">
        <v>19</v>
      </c>
      <c r="D48" s="58" t="s">
        <v>123</v>
      </c>
      <c r="E48" s="58" t="s">
        <v>62</v>
      </c>
      <c r="F48" s="58" t="s">
        <v>63</v>
      </c>
      <c r="G48" s="59">
        <v>45974.0</v>
      </c>
      <c r="H48" s="58" t="s">
        <v>104</v>
      </c>
      <c r="I48" s="60" t="s">
        <v>292</v>
      </c>
      <c r="J48" s="61" t="s">
        <v>293</v>
      </c>
      <c r="K48" s="61" t="s">
        <v>294</v>
      </c>
      <c r="L48" s="61" t="s">
        <v>295</v>
      </c>
      <c r="M48" s="58">
        <v>2015.0</v>
      </c>
      <c r="N48" s="58">
        <v>25.0</v>
      </c>
      <c r="O48" s="62">
        <v>385.0</v>
      </c>
      <c r="P48" s="62">
        <f t="shared" si="1"/>
        <v>1078</v>
      </c>
      <c r="Q48" s="63">
        <v>3.0</v>
      </c>
      <c r="R48" s="58">
        <v>3.0</v>
      </c>
      <c r="S48" s="58">
        <v>3.0</v>
      </c>
      <c r="T48" s="58">
        <v>0.0</v>
      </c>
      <c r="U48" s="58">
        <v>7.0</v>
      </c>
      <c r="V48" s="58" t="s">
        <v>75</v>
      </c>
      <c r="W48" s="61" t="s">
        <v>76</v>
      </c>
      <c r="X48" s="28" t="s">
        <v>1033</v>
      </c>
      <c r="Y48" s="64">
        <v>31.0</v>
      </c>
      <c r="Z48" s="65">
        <f t="shared" si="2"/>
        <v>20.15</v>
      </c>
      <c r="AA48" s="65">
        <f t="shared" si="3"/>
        <v>21721.7</v>
      </c>
      <c r="AB48" s="65">
        <f t="shared" si="4"/>
        <v>1104.885898</v>
      </c>
      <c r="AC48" s="66">
        <v>1.0</v>
      </c>
      <c r="AD48" s="70"/>
      <c r="AE48" s="68">
        <f t="shared" si="5"/>
        <v>6557.377049</v>
      </c>
      <c r="AF48" s="69">
        <v>8000.0</v>
      </c>
      <c r="AG48" s="68">
        <f t="shared" si="6"/>
        <v>19672.13115</v>
      </c>
      <c r="AH48" s="70">
        <f t="shared" si="7"/>
        <v>24000</v>
      </c>
      <c r="AI48" s="71"/>
      <c r="AJ48" s="71"/>
      <c r="AK48" s="71"/>
      <c r="AL48" s="71"/>
    </row>
    <row r="49">
      <c r="A49" s="57" t="s">
        <v>296</v>
      </c>
      <c r="B49" s="58" t="s">
        <v>17</v>
      </c>
      <c r="C49" s="58" t="s">
        <v>19</v>
      </c>
      <c r="D49" s="58" t="s">
        <v>123</v>
      </c>
      <c r="E49" s="58" t="s">
        <v>62</v>
      </c>
      <c r="F49" s="58" t="s">
        <v>63</v>
      </c>
      <c r="G49" s="59">
        <v>45974.0</v>
      </c>
      <c r="H49" s="58" t="s">
        <v>104</v>
      </c>
      <c r="I49" s="60" t="s">
        <v>297</v>
      </c>
      <c r="J49" s="61" t="s">
        <v>298</v>
      </c>
      <c r="K49" s="61" t="s">
        <v>299</v>
      </c>
      <c r="L49" s="61" t="s">
        <v>300</v>
      </c>
      <c r="M49" s="58">
        <v>2020.0</v>
      </c>
      <c r="N49" s="58">
        <v>25.0</v>
      </c>
      <c r="O49" s="62">
        <v>393.0</v>
      </c>
      <c r="P49" s="62">
        <f t="shared" si="1"/>
        <v>1100.4</v>
      </c>
      <c r="Q49" s="63">
        <v>3.0</v>
      </c>
      <c r="R49" s="58">
        <v>1.0</v>
      </c>
      <c r="S49" s="58">
        <v>1.0</v>
      </c>
      <c r="T49" s="58">
        <v>2.0</v>
      </c>
      <c r="U49" s="58">
        <v>3.0</v>
      </c>
      <c r="V49" s="58" t="s">
        <v>75</v>
      </c>
      <c r="W49" s="61" t="s">
        <v>76</v>
      </c>
      <c r="X49" s="28" t="s">
        <v>1033</v>
      </c>
      <c r="Y49" s="64">
        <v>31.0</v>
      </c>
      <c r="Z49" s="65">
        <f t="shared" si="2"/>
        <v>47.01666667</v>
      </c>
      <c r="AA49" s="65">
        <f t="shared" si="3"/>
        <v>51737.14</v>
      </c>
      <c r="AB49" s="65">
        <f t="shared" si="4"/>
        <v>463.8833921</v>
      </c>
      <c r="AC49" s="66">
        <v>1.0</v>
      </c>
      <c r="AD49" s="70"/>
      <c r="AE49" s="68">
        <f t="shared" si="5"/>
        <v>6557.377049</v>
      </c>
      <c r="AF49" s="69">
        <v>8000.0</v>
      </c>
      <c r="AG49" s="68">
        <f t="shared" si="6"/>
        <v>19672.13115</v>
      </c>
      <c r="AH49" s="70">
        <f t="shared" si="7"/>
        <v>24000</v>
      </c>
      <c r="AI49" s="71"/>
      <c r="AJ49" s="71"/>
      <c r="AK49" s="71"/>
      <c r="AL49" s="71"/>
    </row>
    <row r="50">
      <c r="A50" s="57" t="s">
        <v>296</v>
      </c>
      <c r="B50" s="58" t="s">
        <v>17</v>
      </c>
      <c r="C50" s="58" t="s">
        <v>19</v>
      </c>
      <c r="D50" s="58" t="s">
        <v>123</v>
      </c>
      <c r="E50" s="58" t="s">
        <v>62</v>
      </c>
      <c r="F50" s="58" t="s">
        <v>63</v>
      </c>
      <c r="G50" s="59">
        <v>46160.0</v>
      </c>
      <c r="H50" s="58" t="s">
        <v>104</v>
      </c>
      <c r="I50" s="60" t="s">
        <v>297</v>
      </c>
      <c r="J50" s="61" t="s">
        <v>301</v>
      </c>
      <c r="K50" s="61" t="s">
        <v>302</v>
      </c>
      <c r="L50" s="61" t="s">
        <v>303</v>
      </c>
      <c r="M50" s="58">
        <v>2019.0</v>
      </c>
      <c r="N50" s="58">
        <v>26.0</v>
      </c>
      <c r="O50" s="62">
        <v>364.0</v>
      </c>
      <c r="P50" s="62">
        <f t="shared" si="1"/>
        <v>1019.2</v>
      </c>
      <c r="Q50" s="63">
        <v>1.0</v>
      </c>
      <c r="R50" s="58">
        <v>1.0</v>
      </c>
      <c r="S50" s="58">
        <v>1.0</v>
      </c>
      <c r="T50" s="58">
        <v>0.0</v>
      </c>
      <c r="U50" s="58">
        <v>3.0</v>
      </c>
      <c r="V50" s="58" t="s">
        <v>75</v>
      </c>
      <c r="W50" s="61" t="s">
        <v>76</v>
      </c>
      <c r="X50" s="28" t="s">
        <v>1033</v>
      </c>
      <c r="Y50" s="64">
        <v>31.0</v>
      </c>
      <c r="Z50" s="65">
        <f t="shared" si="2"/>
        <v>20.15</v>
      </c>
      <c r="AA50" s="65">
        <f t="shared" si="3"/>
        <v>20536.88</v>
      </c>
      <c r="AB50" s="65">
        <f t="shared" si="4"/>
        <v>389.5431049</v>
      </c>
      <c r="AC50" s="66">
        <v>1.0</v>
      </c>
      <c r="AD50" s="67"/>
      <c r="AE50" s="68">
        <f t="shared" si="5"/>
        <v>6557.377049</v>
      </c>
      <c r="AF50" s="69">
        <v>8000.0</v>
      </c>
      <c r="AG50" s="68">
        <f t="shared" si="6"/>
        <v>6557.377049</v>
      </c>
      <c r="AH50" s="70">
        <f t="shared" si="7"/>
        <v>8000</v>
      </c>
      <c r="AI50" s="71"/>
      <c r="AJ50" s="71"/>
      <c r="AK50" s="71"/>
      <c r="AL50" s="71"/>
    </row>
    <row r="51">
      <c r="A51" s="57" t="s">
        <v>304</v>
      </c>
      <c r="B51" s="58" t="s">
        <v>17</v>
      </c>
      <c r="C51" s="58" t="s">
        <v>19</v>
      </c>
      <c r="D51" s="58" t="s">
        <v>123</v>
      </c>
      <c r="E51" s="58" t="s">
        <v>62</v>
      </c>
      <c r="F51" s="58" t="s">
        <v>63</v>
      </c>
      <c r="G51" s="59">
        <v>46160.0</v>
      </c>
      <c r="H51" s="58" t="s">
        <v>104</v>
      </c>
      <c r="I51" s="60" t="s">
        <v>305</v>
      </c>
      <c r="J51" s="61" t="s">
        <v>306</v>
      </c>
      <c r="K51" s="61" t="s">
        <v>307</v>
      </c>
      <c r="L51" s="61" t="s">
        <v>308</v>
      </c>
      <c r="M51" s="58">
        <v>2014.0</v>
      </c>
      <c r="N51" s="58">
        <v>17.0</v>
      </c>
      <c r="O51" s="62">
        <v>445.0</v>
      </c>
      <c r="P51" s="62">
        <f t="shared" si="1"/>
        <v>1246</v>
      </c>
      <c r="Q51" s="63">
        <v>8.0</v>
      </c>
      <c r="R51" s="58">
        <v>0.0</v>
      </c>
      <c r="S51" s="58">
        <v>4.0</v>
      </c>
      <c r="T51" s="58">
        <v>8.0</v>
      </c>
      <c r="U51" s="58">
        <v>8.0</v>
      </c>
      <c r="V51" s="58" t="s">
        <v>130</v>
      </c>
      <c r="W51" s="61" t="s">
        <v>76</v>
      </c>
      <c r="X51" s="28" t="s">
        <v>1033</v>
      </c>
      <c r="Y51" s="64">
        <v>31.0</v>
      </c>
      <c r="Z51" s="65">
        <f t="shared" si="2"/>
        <v>40.3</v>
      </c>
      <c r="AA51" s="65">
        <f t="shared" si="3"/>
        <v>50213.8</v>
      </c>
      <c r="AB51" s="65">
        <f t="shared" si="4"/>
        <v>1274.550024</v>
      </c>
      <c r="AC51" s="66">
        <v>1.0</v>
      </c>
      <c r="AD51" s="67"/>
      <c r="AE51" s="68">
        <f t="shared" si="5"/>
        <v>6557.377049</v>
      </c>
      <c r="AF51" s="69">
        <v>8000.0</v>
      </c>
      <c r="AG51" s="68">
        <f t="shared" si="6"/>
        <v>52459.01639</v>
      </c>
      <c r="AH51" s="70">
        <f t="shared" si="7"/>
        <v>64000</v>
      </c>
      <c r="AI51" s="71"/>
      <c r="AJ51" s="71"/>
      <c r="AK51" s="71"/>
      <c r="AL51" s="71"/>
    </row>
    <row r="52">
      <c r="A52" s="57" t="s">
        <v>309</v>
      </c>
      <c r="B52" s="58" t="s">
        <v>17</v>
      </c>
      <c r="C52" s="58" t="s">
        <v>19</v>
      </c>
      <c r="D52" s="58" t="s">
        <v>123</v>
      </c>
      <c r="E52" s="58" t="s">
        <v>62</v>
      </c>
      <c r="F52" s="58" t="s">
        <v>63</v>
      </c>
      <c r="G52" s="59">
        <v>46160.0</v>
      </c>
      <c r="H52" s="58" t="s">
        <v>104</v>
      </c>
      <c r="I52" s="60" t="s">
        <v>310</v>
      </c>
      <c r="J52" s="61" t="s">
        <v>311</v>
      </c>
      <c r="K52" s="61" t="s">
        <v>312</v>
      </c>
      <c r="L52" s="61" t="s">
        <v>313</v>
      </c>
      <c r="M52" s="58">
        <v>2015.0</v>
      </c>
      <c r="N52" s="58">
        <v>18.0</v>
      </c>
      <c r="O52" s="62">
        <v>249.0</v>
      </c>
      <c r="P52" s="62">
        <f t="shared" si="1"/>
        <v>697.2</v>
      </c>
      <c r="Q52" s="63">
        <v>6.0</v>
      </c>
      <c r="R52" s="58">
        <v>0.0</v>
      </c>
      <c r="S52" s="58">
        <v>3.0</v>
      </c>
      <c r="T52" s="58">
        <v>6.0</v>
      </c>
      <c r="U52" s="58">
        <v>6.0</v>
      </c>
      <c r="V52" s="58" t="s">
        <v>130</v>
      </c>
      <c r="W52" s="61" t="s">
        <v>76</v>
      </c>
      <c r="X52" s="28" t="s">
        <v>1033</v>
      </c>
      <c r="Y52" s="64">
        <v>31.0</v>
      </c>
      <c r="Z52" s="65">
        <f t="shared" si="2"/>
        <v>40.3</v>
      </c>
      <c r="AA52" s="65">
        <f t="shared" si="3"/>
        <v>28097.16</v>
      </c>
      <c r="AB52" s="65">
        <f t="shared" si="4"/>
        <v>1708.357713</v>
      </c>
      <c r="AC52" s="66">
        <v>1.0</v>
      </c>
      <c r="AD52" s="70"/>
      <c r="AE52" s="68">
        <f t="shared" si="5"/>
        <v>6557.377049</v>
      </c>
      <c r="AF52" s="69">
        <v>8000.0</v>
      </c>
      <c r="AG52" s="68">
        <f t="shared" si="6"/>
        <v>39344.2623</v>
      </c>
      <c r="AH52" s="70">
        <f t="shared" si="7"/>
        <v>48000</v>
      </c>
      <c r="AI52" s="71"/>
      <c r="AJ52" s="71"/>
      <c r="AK52" s="71"/>
      <c r="AL52" s="71"/>
    </row>
    <row r="53">
      <c r="A53" s="57" t="s">
        <v>315</v>
      </c>
      <c r="B53" s="58" t="s">
        <v>17</v>
      </c>
      <c r="C53" s="58" t="s">
        <v>19</v>
      </c>
      <c r="D53" s="58" t="s">
        <v>61</v>
      </c>
      <c r="E53" s="58" t="s">
        <v>316</v>
      </c>
      <c r="F53" s="58" t="s">
        <v>103</v>
      </c>
      <c r="G53" s="59">
        <v>45971.0</v>
      </c>
      <c r="H53" s="58" t="s">
        <v>118</v>
      </c>
      <c r="I53" s="60" t="s">
        <v>317</v>
      </c>
      <c r="J53" s="61" t="s">
        <v>318</v>
      </c>
      <c r="K53" s="61" t="s">
        <v>319</v>
      </c>
      <c r="L53" s="61" t="s">
        <v>320</v>
      </c>
      <c r="M53" s="58">
        <v>2021.0</v>
      </c>
      <c r="N53" s="58">
        <v>17.0</v>
      </c>
      <c r="O53" s="62">
        <v>431.0</v>
      </c>
      <c r="P53" s="62">
        <f t="shared" si="1"/>
        <v>1206.8</v>
      </c>
      <c r="Q53" s="63">
        <v>2.0</v>
      </c>
      <c r="R53" s="58">
        <v>2.0</v>
      </c>
      <c r="S53" s="58">
        <v>2.0</v>
      </c>
      <c r="T53" s="58">
        <v>0.0</v>
      </c>
      <c r="U53" s="58">
        <v>4.0</v>
      </c>
      <c r="V53" s="58" t="s">
        <v>75</v>
      </c>
      <c r="W53" s="61" t="s">
        <v>76</v>
      </c>
      <c r="X53" s="28" t="s">
        <v>1033</v>
      </c>
      <c r="Y53" s="64">
        <v>31.0</v>
      </c>
      <c r="Z53" s="65">
        <f t="shared" si="2"/>
        <v>20.15</v>
      </c>
      <c r="AA53" s="65">
        <f t="shared" si="3"/>
        <v>24317.02</v>
      </c>
      <c r="AB53" s="65">
        <f t="shared" si="4"/>
        <v>657.9753605</v>
      </c>
      <c r="AC53" s="66">
        <v>1.0</v>
      </c>
      <c r="AD53" s="70"/>
      <c r="AE53" s="68">
        <f t="shared" si="5"/>
        <v>6557.377049</v>
      </c>
      <c r="AF53" s="69">
        <v>8000.0</v>
      </c>
      <c r="AG53" s="68">
        <f t="shared" si="6"/>
        <v>13114.7541</v>
      </c>
      <c r="AH53" s="70">
        <f t="shared" si="7"/>
        <v>16000</v>
      </c>
      <c r="AI53" s="71"/>
      <c r="AJ53" s="71"/>
      <c r="AK53" s="71"/>
      <c r="AL53" s="71"/>
    </row>
    <row r="54">
      <c r="A54" s="57" t="s">
        <v>315</v>
      </c>
      <c r="B54" s="58" t="s">
        <v>17</v>
      </c>
      <c r="C54" s="58" t="s">
        <v>19</v>
      </c>
      <c r="D54" s="58" t="s">
        <v>61</v>
      </c>
      <c r="E54" s="58" t="s">
        <v>316</v>
      </c>
      <c r="F54" s="58" t="s">
        <v>103</v>
      </c>
      <c r="G54" s="59">
        <v>45971.0</v>
      </c>
      <c r="H54" s="58" t="s">
        <v>118</v>
      </c>
      <c r="I54" s="60" t="s">
        <v>317</v>
      </c>
      <c r="J54" s="61" t="s">
        <v>321</v>
      </c>
      <c r="K54" s="61" t="s">
        <v>322</v>
      </c>
      <c r="L54" s="61" t="s">
        <v>323</v>
      </c>
      <c r="M54" s="58">
        <v>2024.0</v>
      </c>
      <c r="N54" s="58">
        <v>17.0</v>
      </c>
      <c r="O54" s="62">
        <v>448.0</v>
      </c>
      <c r="P54" s="62">
        <f t="shared" si="1"/>
        <v>1254.4</v>
      </c>
      <c r="Q54" s="63">
        <v>2.0</v>
      </c>
      <c r="R54" s="58">
        <v>0.0</v>
      </c>
      <c r="S54" s="58">
        <v>2.0</v>
      </c>
      <c r="T54" s="58">
        <v>2.0</v>
      </c>
      <c r="U54" s="58">
        <v>4.0</v>
      </c>
      <c r="V54" s="58" t="s">
        <v>75</v>
      </c>
      <c r="W54" s="61" t="s">
        <v>76</v>
      </c>
      <c r="X54" s="28" t="s">
        <v>1033</v>
      </c>
      <c r="Y54" s="64">
        <v>31.0</v>
      </c>
      <c r="Z54" s="65">
        <f t="shared" si="2"/>
        <v>20.15</v>
      </c>
      <c r="AA54" s="65">
        <f t="shared" si="3"/>
        <v>25276.16</v>
      </c>
      <c r="AB54" s="65">
        <f t="shared" si="4"/>
        <v>633.0075454</v>
      </c>
      <c r="AC54" s="66">
        <v>1.0</v>
      </c>
      <c r="AD54" s="70"/>
      <c r="AE54" s="68">
        <f t="shared" si="5"/>
        <v>6557.377049</v>
      </c>
      <c r="AF54" s="69">
        <v>8000.0</v>
      </c>
      <c r="AG54" s="68">
        <f t="shared" si="6"/>
        <v>13114.7541</v>
      </c>
      <c r="AH54" s="70">
        <f t="shared" si="7"/>
        <v>16000</v>
      </c>
      <c r="AI54" s="71"/>
      <c r="AJ54" s="71"/>
      <c r="AK54" s="71"/>
      <c r="AL54" s="71"/>
    </row>
    <row r="55">
      <c r="A55" s="57" t="s">
        <v>315</v>
      </c>
      <c r="B55" s="58" t="s">
        <v>17</v>
      </c>
      <c r="C55" s="58" t="s">
        <v>19</v>
      </c>
      <c r="D55" s="58" t="s">
        <v>61</v>
      </c>
      <c r="E55" s="58" t="s">
        <v>316</v>
      </c>
      <c r="F55" s="58" t="s">
        <v>103</v>
      </c>
      <c r="G55" s="59">
        <v>45971.0</v>
      </c>
      <c r="H55" s="58" t="s">
        <v>118</v>
      </c>
      <c r="I55" s="60" t="s">
        <v>317</v>
      </c>
      <c r="J55" s="61" t="s">
        <v>324</v>
      </c>
      <c r="K55" s="61" t="s">
        <v>325</v>
      </c>
      <c r="L55" s="61" t="s">
        <v>326</v>
      </c>
      <c r="M55" s="58">
        <v>2025.0</v>
      </c>
      <c r="N55" s="58">
        <v>26.0</v>
      </c>
      <c r="O55" s="62">
        <v>309.0</v>
      </c>
      <c r="P55" s="62">
        <f t="shared" si="1"/>
        <v>865.2</v>
      </c>
      <c r="Q55" s="63">
        <v>2.0</v>
      </c>
      <c r="R55" s="58">
        <v>1.0</v>
      </c>
      <c r="S55" s="58">
        <v>1.0</v>
      </c>
      <c r="T55" s="58">
        <v>1.0</v>
      </c>
      <c r="U55" s="58">
        <v>3.0</v>
      </c>
      <c r="V55" s="58" t="s">
        <v>75</v>
      </c>
      <c r="W55" s="61" t="s">
        <v>76</v>
      </c>
      <c r="X55" s="28" t="s">
        <v>1033</v>
      </c>
      <c r="Y55" s="64">
        <v>31.0</v>
      </c>
      <c r="Z55" s="65">
        <f t="shared" si="2"/>
        <v>33.58333333</v>
      </c>
      <c r="AA55" s="65">
        <f t="shared" si="3"/>
        <v>29056.3</v>
      </c>
      <c r="AB55" s="65">
        <f t="shared" si="4"/>
        <v>550.6551075</v>
      </c>
      <c r="AC55" s="66">
        <v>1.0</v>
      </c>
      <c r="AD55" s="67"/>
      <c r="AE55" s="68">
        <f t="shared" si="5"/>
        <v>6557.377049</v>
      </c>
      <c r="AF55" s="69">
        <v>8000.0</v>
      </c>
      <c r="AG55" s="68">
        <f t="shared" si="6"/>
        <v>13114.7541</v>
      </c>
      <c r="AH55" s="70">
        <f t="shared" si="7"/>
        <v>16000</v>
      </c>
      <c r="AI55" s="71"/>
      <c r="AJ55" s="71"/>
      <c r="AK55" s="71"/>
      <c r="AL55" s="71"/>
    </row>
    <row r="56">
      <c r="A56" s="57" t="s">
        <v>315</v>
      </c>
      <c r="B56" s="58" t="s">
        <v>17</v>
      </c>
      <c r="C56" s="58" t="s">
        <v>19</v>
      </c>
      <c r="D56" s="58" t="s">
        <v>61</v>
      </c>
      <c r="E56" s="58" t="s">
        <v>316</v>
      </c>
      <c r="F56" s="58" t="s">
        <v>103</v>
      </c>
      <c r="G56" s="59">
        <v>45971.0</v>
      </c>
      <c r="H56" s="58" t="s">
        <v>118</v>
      </c>
      <c r="I56" s="60" t="s">
        <v>317</v>
      </c>
      <c r="J56" s="61" t="s">
        <v>327</v>
      </c>
      <c r="K56" s="61" t="s">
        <v>265</v>
      </c>
      <c r="L56" s="61" t="s">
        <v>328</v>
      </c>
      <c r="M56" s="58">
        <v>2025.0</v>
      </c>
      <c r="N56" s="58">
        <v>26.0</v>
      </c>
      <c r="O56" s="62">
        <v>309.0</v>
      </c>
      <c r="P56" s="62">
        <f t="shared" si="1"/>
        <v>865.2</v>
      </c>
      <c r="Q56" s="63">
        <v>2.0</v>
      </c>
      <c r="R56" s="58">
        <v>1.0</v>
      </c>
      <c r="S56" s="58">
        <v>1.0</v>
      </c>
      <c r="T56" s="58">
        <v>1.0</v>
      </c>
      <c r="U56" s="58">
        <v>3.0</v>
      </c>
      <c r="V56" s="58" t="s">
        <v>75</v>
      </c>
      <c r="W56" s="61" t="s">
        <v>76</v>
      </c>
      <c r="X56" s="28" t="s">
        <v>1033</v>
      </c>
      <c r="Y56" s="64">
        <v>31.0</v>
      </c>
      <c r="Z56" s="65">
        <f t="shared" si="2"/>
        <v>33.58333333</v>
      </c>
      <c r="AA56" s="65">
        <f t="shared" si="3"/>
        <v>29056.3</v>
      </c>
      <c r="AB56" s="65">
        <f t="shared" si="4"/>
        <v>550.6551075</v>
      </c>
      <c r="AC56" s="66">
        <v>1.0</v>
      </c>
      <c r="AD56" s="67"/>
      <c r="AE56" s="68">
        <f t="shared" si="5"/>
        <v>6557.377049</v>
      </c>
      <c r="AF56" s="69">
        <v>8000.0</v>
      </c>
      <c r="AG56" s="68">
        <f t="shared" si="6"/>
        <v>13114.7541</v>
      </c>
      <c r="AH56" s="70">
        <f t="shared" si="7"/>
        <v>16000</v>
      </c>
      <c r="AI56" s="71"/>
      <c r="AJ56" s="71"/>
      <c r="AK56" s="71"/>
      <c r="AL56" s="71"/>
    </row>
    <row r="57">
      <c r="A57" s="57" t="s">
        <v>330</v>
      </c>
      <c r="B57" s="58" t="s">
        <v>17</v>
      </c>
      <c r="C57" s="58" t="s">
        <v>19</v>
      </c>
      <c r="D57" s="58" t="s">
        <v>61</v>
      </c>
      <c r="E57" s="58" t="s">
        <v>316</v>
      </c>
      <c r="F57" s="58" t="s">
        <v>103</v>
      </c>
      <c r="G57" s="59">
        <v>45971.0</v>
      </c>
      <c r="H57" s="58" t="s">
        <v>118</v>
      </c>
      <c r="I57" s="60" t="s">
        <v>331</v>
      </c>
      <c r="J57" s="61" t="s">
        <v>332</v>
      </c>
      <c r="K57" s="61" t="s">
        <v>333</v>
      </c>
      <c r="L57" s="61" t="s">
        <v>334</v>
      </c>
      <c r="M57" s="58">
        <v>2021.0</v>
      </c>
      <c r="N57" s="58">
        <v>17.0</v>
      </c>
      <c r="O57" s="62">
        <v>441.0</v>
      </c>
      <c r="P57" s="62">
        <f t="shared" si="1"/>
        <v>1234.8</v>
      </c>
      <c r="Q57" s="63">
        <v>4.0</v>
      </c>
      <c r="R57" s="58">
        <v>2.0</v>
      </c>
      <c r="S57" s="58">
        <v>2.0</v>
      </c>
      <c r="T57" s="58">
        <v>2.0</v>
      </c>
      <c r="U57" s="58">
        <v>4.0</v>
      </c>
      <c r="V57" s="58" t="s">
        <v>75</v>
      </c>
      <c r="W57" s="61" t="s">
        <v>76</v>
      </c>
      <c r="X57" s="28" t="s">
        <v>1033</v>
      </c>
      <c r="Y57" s="64">
        <v>31.0</v>
      </c>
      <c r="Z57" s="65">
        <f t="shared" si="2"/>
        <v>40.3</v>
      </c>
      <c r="AA57" s="65">
        <f t="shared" si="3"/>
        <v>49762.44</v>
      </c>
      <c r="AB57" s="65">
        <f t="shared" si="4"/>
        <v>643.0552843</v>
      </c>
      <c r="AC57" s="66">
        <v>1.0</v>
      </c>
      <c r="AD57" s="70"/>
      <c r="AE57" s="68">
        <f t="shared" si="5"/>
        <v>6557.377049</v>
      </c>
      <c r="AF57" s="69">
        <v>8000.0</v>
      </c>
      <c r="AG57" s="68">
        <f t="shared" si="6"/>
        <v>26229.5082</v>
      </c>
      <c r="AH57" s="70">
        <f t="shared" si="7"/>
        <v>32000</v>
      </c>
      <c r="AI57" s="71"/>
      <c r="AJ57" s="71"/>
      <c r="AK57" s="71"/>
      <c r="AL57" s="71"/>
    </row>
    <row r="58">
      <c r="A58" s="57" t="s">
        <v>330</v>
      </c>
      <c r="B58" s="58" t="s">
        <v>17</v>
      </c>
      <c r="C58" s="58" t="s">
        <v>19</v>
      </c>
      <c r="D58" s="58" t="s">
        <v>61</v>
      </c>
      <c r="E58" s="58" t="s">
        <v>316</v>
      </c>
      <c r="F58" s="58" t="s">
        <v>103</v>
      </c>
      <c r="G58" s="59">
        <v>45971.0</v>
      </c>
      <c r="H58" s="58" t="s">
        <v>118</v>
      </c>
      <c r="I58" s="60" t="s">
        <v>331</v>
      </c>
      <c r="J58" s="61" t="s">
        <v>335</v>
      </c>
      <c r="K58" s="61" t="s">
        <v>336</v>
      </c>
      <c r="L58" s="61" t="s">
        <v>337</v>
      </c>
      <c r="M58" s="58">
        <v>2021.0</v>
      </c>
      <c r="N58" s="58">
        <v>17.0</v>
      </c>
      <c r="O58" s="62">
        <v>441.0</v>
      </c>
      <c r="P58" s="62">
        <f t="shared" si="1"/>
        <v>1234.8</v>
      </c>
      <c r="Q58" s="63">
        <v>2.0</v>
      </c>
      <c r="R58" s="58">
        <v>1.0</v>
      </c>
      <c r="S58" s="58">
        <v>2.0</v>
      </c>
      <c r="T58" s="58">
        <v>1.0</v>
      </c>
      <c r="U58" s="58">
        <v>4.0</v>
      </c>
      <c r="V58" s="58" t="s">
        <v>75</v>
      </c>
      <c r="W58" s="61" t="s">
        <v>76</v>
      </c>
      <c r="X58" s="28" t="s">
        <v>1033</v>
      </c>
      <c r="Y58" s="64">
        <v>31.0</v>
      </c>
      <c r="Z58" s="65">
        <f t="shared" si="2"/>
        <v>20.15</v>
      </c>
      <c r="AA58" s="65">
        <f t="shared" si="3"/>
        <v>24881.22</v>
      </c>
      <c r="AB58" s="65">
        <f t="shared" si="4"/>
        <v>643.0552843</v>
      </c>
      <c r="AC58" s="66">
        <v>1.0</v>
      </c>
      <c r="AD58" s="70"/>
      <c r="AE58" s="68">
        <f t="shared" si="5"/>
        <v>6557.377049</v>
      </c>
      <c r="AF58" s="69">
        <v>8000.0</v>
      </c>
      <c r="AG58" s="68">
        <f t="shared" si="6"/>
        <v>13114.7541</v>
      </c>
      <c r="AH58" s="70">
        <f t="shared" si="7"/>
        <v>16000</v>
      </c>
      <c r="AI58" s="71"/>
      <c r="AJ58" s="71"/>
      <c r="AK58" s="71"/>
      <c r="AL58" s="71"/>
    </row>
    <row r="59">
      <c r="A59" s="57" t="s">
        <v>330</v>
      </c>
      <c r="B59" s="58" t="s">
        <v>17</v>
      </c>
      <c r="C59" s="58" t="s">
        <v>19</v>
      </c>
      <c r="D59" s="58" t="s">
        <v>61</v>
      </c>
      <c r="E59" s="58" t="s">
        <v>316</v>
      </c>
      <c r="F59" s="58" t="s">
        <v>103</v>
      </c>
      <c r="G59" s="59">
        <v>45971.0</v>
      </c>
      <c r="H59" s="58" t="s">
        <v>118</v>
      </c>
      <c r="I59" s="60" t="s">
        <v>331</v>
      </c>
      <c r="J59" s="61" t="s">
        <v>338</v>
      </c>
      <c r="K59" s="61" t="s">
        <v>339</v>
      </c>
      <c r="L59" s="61" t="s">
        <v>340</v>
      </c>
      <c r="M59" s="58">
        <v>2022.0</v>
      </c>
      <c r="N59" s="58">
        <v>17.0</v>
      </c>
      <c r="O59" s="62">
        <v>431.0</v>
      </c>
      <c r="P59" s="62">
        <f t="shared" si="1"/>
        <v>1206.8</v>
      </c>
      <c r="Q59" s="63">
        <v>4.0</v>
      </c>
      <c r="R59" s="58">
        <v>2.0</v>
      </c>
      <c r="S59" s="58">
        <v>2.0</v>
      </c>
      <c r="T59" s="58">
        <v>2.0</v>
      </c>
      <c r="U59" s="58">
        <v>4.0</v>
      </c>
      <c r="V59" s="58" t="s">
        <v>75</v>
      </c>
      <c r="W59" s="61" t="s">
        <v>76</v>
      </c>
      <c r="X59" s="28" t="s">
        <v>1033</v>
      </c>
      <c r="Y59" s="64">
        <v>31.0</v>
      </c>
      <c r="Z59" s="65">
        <f t="shared" si="2"/>
        <v>40.3</v>
      </c>
      <c r="AA59" s="65">
        <f t="shared" si="3"/>
        <v>48634.04</v>
      </c>
      <c r="AB59" s="65">
        <f t="shared" si="4"/>
        <v>657.9753605</v>
      </c>
      <c r="AC59" s="66">
        <v>1.0</v>
      </c>
      <c r="AD59" s="70"/>
      <c r="AE59" s="68">
        <f t="shared" si="5"/>
        <v>6557.377049</v>
      </c>
      <c r="AF59" s="69">
        <v>8000.0</v>
      </c>
      <c r="AG59" s="68">
        <f t="shared" si="6"/>
        <v>26229.5082</v>
      </c>
      <c r="AH59" s="70">
        <f t="shared" si="7"/>
        <v>32000</v>
      </c>
      <c r="AI59" s="71"/>
      <c r="AJ59" s="71"/>
      <c r="AK59" s="71"/>
      <c r="AL59" s="71"/>
    </row>
    <row r="60">
      <c r="A60" s="57" t="s">
        <v>341</v>
      </c>
      <c r="B60" s="58" t="s">
        <v>17</v>
      </c>
      <c r="C60" s="58" t="s">
        <v>19</v>
      </c>
      <c r="D60" s="58" t="s">
        <v>61</v>
      </c>
      <c r="E60" s="58" t="s">
        <v>316</v>
      </c>
      <c r="F60" s="58" t="s">
        <v>103</v>
      </c>
      <c r="G60" s="59">
        <v>45985.0</v>
      </c>
      <c r="H60" s="58" t="s">
        <v>118</v>
      </c>
      <c r="I60" s="60" t="s">
        <v>342</v>
      </c>
      <c r="J60" s="61" t="s">
        <v>343</v>
      </c>
      <c r="K60" s="61" t="s">
        <v>344</v>
      </c>
      <c r="L60" s="61" t="s">
        <v>345</v>
      </c>
      <c r="M60" s="58">
        <v>2021.0</v>
      </c>
      <c r="N60" s="58">
        <v>25.0</v>
      </c>
      <c r="O60" s="62">
        <v>244.0</v>
      </c>
      <c r="P60" s="62">
        <f t="shared" si="1"/>
        <v>683.2</v>
      </c>
      <c r="Q60" s="63">
        <v>2.0</v>
      </c>
      <c r="R60" s="58">
        <v>1.0</v>
      </c>
      <c r="S60" s="58">
        <v>1.0</v>
      </c>
      <c r="T60" s="58">
        <v>1.0</v>
      </c>
      <c r="U60" s="58">
        <v>1.0</v>
      </c>
      <c r="V60" s="58" t="s">
        <v>75</v>
      </c>
      <c r="W60" s="61" t="s">
        <v>76</v>
      </c>
      <c r="X60" s="28" t="s">
        <v>1033</v>
      </c>
      <c r="Y60" s="64">
        <v>31.0</v>
      </c>
      <c r="Z60" s="65">
        <f t="shared" si="2"/>
        <v>60.45</v>
      </c>
      <c r="AA60" s="65">
        <f t="shared" si="3"/>
        <v>41299.44</v>
      </c>
      <c r="AB60" s="65">
        <f t="shared" si="4"/>
        <v>387.414454</v>
      </c>
      <c r="AC60" s="66">
        <v>1.0</v>
      </c>
      <c r="AD60" s="67"/>
      <c r="AE60" s="68">
        <f t="shared" si="5"/>
        <v>6557.377049</v>
      </c>
      <c r="AF60" s="69">
        <v>8000.0</v>
      </c>
      <c r="AG60" s="68">
        <f t="shared" si="6"/>
        <v>13114.7541</v>
      </c>
      <c r="AH60" s="70">
        <f t="shared" si="7"/>
        <v>16000</v>
      </c>
      <c r="AI60" s="71"/>
      <c r="AJ60" s="71"/>
      <c r="AK60" s="71"/>
      <c r="AL60" s="71"/>
    </row>
    <row r="61">
      <c r="A61" s="57" t="s">
        <v>341</v>
      </c>
      <c r="B61" s="58" t="s">
        <v>17</v>
      </c>
      <c r="C61" s="58" t="s">
        <v>19</v>
      </c>
      <c r="D61" s="58" t="s">
        <v>61</v>
      </c>
      <c r="E61" s="58" t="s">
        <v>316</v>
      </c>
      <c r="F61" s="58" t="s">
        <v>103</v>
      </c>
      <c r="G61" s="59">
        <v>45985.0</v>
      </c>
      <c r="H61" s="58" t="s">
        <v>118</v>
      </c>
      <c r="I61" s="60" t="s">
        <v>342</v>
      </c>
      <c r="J61" s="61" t="s">
        <v>346</v>
      </c>
      <c r="K61" s="61" t="s">
        <v>347</v>
      </c>
      <c r="L61" s="61" t="s">
        <v>348</v>
      </c>
      <c r="M61" s="58">
        <v>2021.0</v>
      </c>
      <c r="N61" s="58">
        <v>26.0</v>
      </c>
      <c r="O61" s="62">
        <v>244.0</v>
      </c>
      <c r="P61" s="62">
        <f t="shared" si="1"/>
        <v>683.2</v>
      </c>
      <c r="Q61" s="63">
        <v>2.0</v>
      </c>
      <c r="R61" s="58">
        <v>1.0</v>
      </c>
      <c r="S61" s="58">
        <v>1.0</v>
      </c>
      <c r="T61" s="58">
        <v>1.0</v>
      </c>
      <c r="U61" s="58">
        <v>3.0</v>
      </c>
      <c r="V61" s="58" t="s">
        <v>75</v>
      </c>
      <c r="W61" s="61" t="s">
        <v>76</v>
      </c>
      <c r="X61" s="28" t="s">
        <v>1033</v>
      </c>
      <c r="Y61" s="64">
        <v>31.0</v>
      </c>
      <c r="Z61" s="65">
        <f t="shared" si="2"/>
        <v>33.58333333</v>
      </c>
      <c r="AA61" s="65">
        <f t="shared" si="3"/>
        <v>22944.13333</v>
      </c>
      <c r="AB61" s="65">
        <f t="shared" si="4"/>
        <v>697.3460173</v>
      </c>
      <c r="AC61" s="66">
        <v>1.0</v>
      </c>
      <c r="AD61" s="67"/>
      <c r="AE61" s="68">
        <f t="shared" si="5"/>
        <v>6557.377049</v>
      </c>
      <c r="AF61" s="69">
        <v>8000.0</v>
      </c>
      <c r="AG61" s="68">
        <f t="shared" si="6"/>
        <v>13114.7541</v>
      </c>
      <c r="AH61" s="70">
        <f t="shared" si="7"/>
        <v>16000</v>
      </c>
      <c r="AI61" s="71"/>
      <c r="AJ61" s="71"/>
      <c r="AK61" s="71"/>
      <c r="AL61" s="71"/>
    </row>
    <row r="62">
      <c r="A62" s="57" t="s">
        <v>341</v>
      </c>
      <c r="B62" s="58" t="s">
        <v>17</v>
      </c>
      <c r="C62" s="58" t="s">
        <v>19</v>
      </c>
      <c r="D62" s="58" t="s">
        <v>61</v>
      </c>
      <c r="E62" s="58" t="s">
        <v>316</v>
      </c>
      <c r="F62" s="58" t="s">
        <v>103</v>
      </c>
      <c r="G62" s="59">
        <v>45985.0</v>
      </c>
      <c r="H62" s="58" t="s">
        <v>118</v>
      </c>
      <c r="I62" s="60" t="s">
        <v>342</v>
      </c>
      <c r="J62" s="61" t="s">
        <v>350</v>
      </c>
      <c r="K62" s="61" t="s">
        <v>351</v>
      </c>
      <c r="L62" s="61" t="s">
        <v>352</v>
      </c>
      <c r="M62" s="58">
        <v>2021.0</v>
      </c>
      <c r="N62" s="58">
        <v>26.0</v>
      </c>
      <c r="O62" s="62">
        <v>249.0</v>
      </c>
      <c r="P62" s="62">
        <f t="shared" si="1"/>
        <v>697.2</v>
      </c>
      <c r="Q62" s="63">
        <v>2.0</v>
      </c>
      <c r="R62" s="58">
        <v>1.0</v>
      </c>
      <c r="S62" s="58">
        <v>1.0</v>
      </c>
      <c r="T62" s="58">
        <v>1.0</v>
      </c>
      <c r="U62" s="58">
        <v>3.0</v>
      </c>
      <c r="V62" s="58" t="s">
        <v>75</v>
      </c>
      <c r="W62" s="61" t="s">
        <v>76</v>
      </c>
      <c r="X62" s="28" t="s">
        <v>1033</v>
      </c>
      <c r="Y62" s="64">
        <v>31.0</v>
      </c>
      <c r="Z62" s="65">
        <f t="shared" si="2"/>
        <v>33.58333333</v>
      </c>
      <c r="AA62" s="65">
        <f t="shared" si="3"/>
        <v>23414.3</v>
      </c>
      <c r="AB62" s="65">
        <f t="shared" si="4"/>
        <v>683.3430852</v>
      </c>
      <c r="AC62" s="66">
        <v>1.0</v>
      </c>
      <c r="AD62" s="70"/>
      <c r="AE62" s="68">
        <f t="shared" si="5"/>
        <v>6557.377049</v>
      </c>
      <c r="AF62" s="69">
        <v>8000.0</v>
      </c>
      <c r="AG62" s="68">
        <f t="shared" si="6"/>
        <v>13114.7541</v>
      </c>
      <c r="AH62" s="70">
        <f t="shared" si="7"/>
        <v>16000</v>
      </c>
      <c r="AI62" s="71"/>
      <c r="AJ62" s="71"/>
      <c r="AK62" s="71"/>
      <c r="AL62" s="71"/>
    </row>
    <row r="63">
      <c r="A63" s="57" t="s">
        <v>341</v>
      </c>
      <c r="B63" s="58" t="s">
        <v>17</v>
      </c>
      <c r="C63" s="58" t="s">
        <v>19</v>
      </c>
      <c r="D63" s="58" t="s">
        <v>61</v>
      </c>
      <c r="E63" s="58" t="s">
        <v>316</v>
      </c>
      <c r="F63" s="58" t="s">
        <v>103</v>
      </c>
      <c r="G63" s="59">
        <v>45985.0</v>
      </c>
      <c r="H63" s="58" t="s">
        <v>118</v>
      </c>
      <c r="I63" s="60" t="s">
        <v>342</v>
      </c>
      <c r="J63" s="61" t="s">
        <v>353</v>
      </c>
      <c r="K63" s="61" t="s">
        <v>354</v>
      </c>
      <c r="L63" s="61" t="s">
        <v>355</v>
      </c>
      <c r="M63" s="58">
        <v>2022.0</v>
      </c>
      <c r="N63" s="58">
        <v>26.0</v>
      </c>
      <c r="O63" s="62">
        <v>298.0</v>
      </c>
      <c r="P63" s="62">
        <f t="shared" si="1"/>
        <v>834.4</v>
      </c>
      <c r="Q63" s="63">
        <v>1.0</v>
      </c>
      <c r="R63" s="58">
        <v>1.0</v>
      </c>
      <c r="S63" s="58">
        <v>1.0</v>
      </c>
      <c r="T63" s="58">
        <v>0.0</v>
      </c>
      <c r="U63" s="58">
        <v>3.0</v>
      </c>
      <c r="V63" s="58" t="s">
        <v>75</v>
      </c>
      <c r="W63" s="61" t="s">
        <v>76</v>
      </c>
      <c r="X63" s="28" t="s">
        <v>1033</v>
      </c>
      <c r="Y63" s="64">
        <v>31.0</v>
      </c>
      <c r="Z63" s="65">
        <f t="shared" si="2"/>
        <v>20.15</v>
      </c>
      <c r="AA63" s="65">
        <f t="shared" si="3"/>
        <v>16813.16</v>
      </c>
      <c r="AB63" s="65">
        <f t="shared" si="4"/>
        <v>475.8177523</v>
      </c>
      <c r="AC63" s="66">
        <v>1.0</v>
      </c>
      <c r="AD63" s="70"/>
      <c r="AE63" s="68">
        <f t="shared" si="5"/>
        <v>6557.377049</v>
      </c>
      <c r="AF63" s="69">
        <v>8000.0</v>
      </c>
      <c r="AG63" s="68">
        <f t="shared" si="6"/>
        <v>6557.377049</v>
      </c>
      <c r="AH63" s="70">
        <f t="shared" si="7"/>
        <v>8000</v>
      </c>
      <c r="AI63" s="71"/>
      <c r="AJ63" s="71"/>
      <c r="AK63" s="71"/>
      <c r="AL63" s="71"/>
    </row>
    <row r="64">
      <c r="A64" s="57" t="s">
        <v>341</v>
      </c>
      <c r="B64" s="58" t="s">
        <v>17</v>
      </c>
      <c r="C64" s="58" t="s">
        <v>19</v>
      </c>
      <c r="D64" s="58" t="s">
        <v>61</v>
      </c>
      <c r="E64" s="58" t="s">
        <v>316</v>
      </c>
      <c r="F64" s="58" t="s">
        <v>103</v>
      </c>
      <c r="G64" s="59">
        <v>45985.0</v>
      </c>
      <c r="H64" s="58" t="s">
        <v>118</v>
      </c>
      <c r="I64" s="60" t="s">
        <v>342</v>
      </c>
      <c r="J64" s="61" t="s">
        <v>356</v>
      </c>
      <c r="K64" s="61" t="s">
        <v>357</v>
      </c>
      <c r="L64" s="61" t="s">
        <v>358</v>
      </c>
      <c r="M64" s="58">
        <v>2021.0</v>
      </c>
      <c r="N64" s="58">
        <v>20.0</v>
      </c>
      <c r="O64" s="62">
        <v>456.0</v>
      </c>
      <c r="P64" s="62">
        <f t="shared" si="1"/>
        <v>1276.8</v>
      </c>
      <c r="Q64" s="63">
        <v>4.0</v>
      </c>
      <c r="R64" s="58">
        <v>2.0</v>
      </c>
      <c r="S64" s="58">
        <v>2.0</v>
      </c>
      <c r="T64" s="58">
        <v>2.0</v>
      </c>
      <c r="U64" s="58">
        <v>4.0</v>
      </c>
      <c r="V64" s="58" t="s">
        <v>75</v>
      </c>
      <c r="W64" s="61" t="s">
        <v>76</v>
      </c>
      <c r="X64" s="28" t="s">
        <v>1033</v>
      </c>
      <c r="Y64" s="64">
        <v>31.0</v>
      </c>
      <c r="Z64" s="65">
        <f t="shared" si="2"/>
        <v>40.3</v>
      </c>
      <c r="AA64" s="65">
        <f t="shared" si="3"/>
        <v>51455.04</v>
      </c>
      <c r="AB64" s="65">
        <f t="shared" si="4"/>
        <v>621.9021499</v>
      </c>
      <c r="AC64" s="66">
        <v>1.0</v>
      </c>
      <c r="AD64" s="70"/>
      <c r="AE64" s="68">
        <f t="shared" si="5"/>
        <v>6557.377049</v>
      </c>
      <c r="AF64" s="69">
        <v>8000.0</v>
      </c>
      <c r="AG64" s="68">
        <f t="shared" si="6"/>
        <v>26229.5082</v>
      </c>
      <c r="AH64" s="70">
        <f t="shared" si="7"/>
        <v>32000</v>
      </c>
      <c r="AI64" s="71"/>
      <c r="AJ64" s="71"/>
      <c r="AK64" s="71"/>
      <c r="AL64" s="71"/>
    </row>
    <row r="65">
      <c r="A65" s="57" t="s">
        <v>359</v>
      </c>
      <c r="B65" s="58" t="s">
        <v>17</v>
      </c>
      <c r="C65" s="58" t="s">
        <v>19</v>
      </c>
      <c r="D65" s="58" t="s">
        <v>360</v>
      </c>
      <c r="E65" s="58" t="s">
        <v>361</v>
      </c>
      <c r="F65" s="58" t="s">
        <v>63</v>
      </c>
      <c r="G65" s="59">
        <v>45986.0</v>
      </c>
      <c r="H65" s="58" t="s">
        <v>104</v>
      </c>
      <c r="I65" s="60" t="s">
        <v>362</v>
      </c>
      <c r="J65" s="61" t="s">
        <v>363</v>
      </c>
      <c r="K65" s="61" t="s">
        <v>364</v>
      </c>
      <c r="L65" s="61" t="s">
        <v>365</v>
      </c>
      <c r="M65" s="58">
        <v>2023.0</v>
      </c>
      <c r="N65" s="58">
        <v>28.0</v>
      </c>
      <c r="O65" s="62">
        <v>280.0</v>
      </c>
      <c r="P65" s="62">
        <f t="shared" si="1"/>
        <v>784</v>
      </c>
      <c r="Q65" s="63">
        <v>2.0</v>
      </c>
      <c r="R65" s="58">
        <v>1.0</v>
      </c>
      <c r="S65" s="58">
        <v>1.0</v>
      </c>
      <c r="T65" s="58">
        <v>1.0</v>
      </c>
      <c r="U65" s="58">
        <v>3.0</v>
      </c>
      <c r="V65" s="58" t="s">
        <v>75</v>
      </c>
      <c r="W65" s="61" t="s">
        <v>76</v>
      </c>
      <c r="X65" s="28" t="s">
        <v>1033</v>
      </c>
      <c r="Y65" s="64">
        <v>31.0</v>
      </c>
      <c r="Z65" s="65">
        <f t="shared" si="2"/>
        <v>33.58333333</v>
      </c>
      <c r="AA65" s="65">
        <f t="shared" si="3"/>
        <v>26329.33333</v>
      </c>
      <c r="AB65" s="65">
        <f t="shared" si="4"/>
        <v>607.6872436</v>
      </c>
      <c r="AC65" s="66">
        <v>1.0</v>
      </c>
      <c r="AD65" s="67"/>
      <c r="AE65" s="68">
        <f t="shared" si="5"/>
        <v>6557.377049</v>
      </c>
      <c r="AF65" s="69">
        <v>8000.0</v>
      </c>
      <c r="AG65" s="68">
        <f t="shared" si="6"/>
        <v>13114.7541</v>
      </c>
      <c r="AH65" s="70">
        <f t="shared" si="7"/>
        <v>16000</v>
      </c>
      <c r="AI65" s="71"/>
      <c r="AJ65" s="71"/>
      <c r="AK65" s="71"/>
      <c r="AL65" s="71"/>
    </row>
    <row r="66">
      <c r="A66" s="57" t="s">
        <v>367</v>
      </c>
      <c r="B66" s="58" t="s">
        <v>17</v>
      </c>
      <c r="C66" s="58" t="s">
        <v>19</v>
      </c>
      <c r="D66" s="58" t="s">
        <v>101</v>
      </c>
      <c r="E66" s="58" t="s">
        <v>163</v>
      </c>
      <c r="F66" s="58" t="s">
        <v>103</v>
      </c>
      <c r="G66" s="59">
        <v>45993.0</v>
      </c>
      <c r="H66" s="58" t="s">
        <v>104</v>
      </c>
      <c r="I66" s="60" t="s">
        <v>368</v>
      </c>
      <c r="J66" s="61" t="s">
        <v>369</v>
      </c>
      <c r="K66" s="61" t="s">
        <v>370</v>
      </c>
      <c r="L66" s="61" t="s">
        <v>371</v>
      </c>
      <c r="M66" s="58">
        <v>2020.0</v>
      </c>
      <c r="N66" s="58">
        <v>18.0</v>
      </c>
      <c r="O66" s="62">
        <v>454.0</v>
      </c>
      <c r="P66" s="62">
        <f t="shared" si="1"/>
        <v>1271.2</v>
      </c>
      <c r="Q66" s="63">
        <v>4.0</v>
      </c>
      <c r="R66" s="58">
        <v>0.0</v>
      </c>
      <c r="S66" s="58">
        <v>2.0</v>
      </c>
      <c r="T66" s="58">
        <v>4.0</v>
      </c>
      <c r="U66" s="58">
        <v>4.0</v>
      </c>
      <c r="V66" s="58" t="s">
        <v>75</v>
      </c>
      <c r="W66" s="61" t="s">
        <v>76</v>
      </c>
      <c r="X66" s="28" t="s">
        <v>1033</v>
      </c>
      <c r="Y66" s="64">
        <v>31.0</v>
      </c>
      <c r="Z66" s="65">
        <f t="shared" si="2"/>
        <v>40.3</v>
      </c>
      <c r="AA66" s="65">
        <f t="shared" si="3"/>
        <v>51229.36</v>
      </c>
      <c r="AB66" s="65">
        <f t="shared" si="4"/>
        <v>624.641807</v>
      </c>
      <c r="AC66" s="66">
        <v>1.0</v>
      </c>
      <c r="AD66" s="67"/>
      <c r="AE66" s="68">
        <f t="shared" si="5"/>
        <v>6557.377049</v>
      </c>
      <c r="AF66" s="69">
        <v>8000.0</v>
      </c>
      <c r="AG66" s="68">
        <f t="shared" si="6"/>
        <v>26229.5082</v>
      </c>
      <c r="AH66" s="70">
        <f t="shared" si="7"/>
        <v>32000</v>
      </c>
      <c r="AI66" s="71"/>
      <c r="AJ66" s="71"/>
      <c r="AK66" s="71"/>
      <c r="AL66" s="71"/>
    </row>
    <row r="67">
      <c r="A67" s="57" t="s">
        <v>372</v>
      </c>
      <c r="B67" s="58" t="s">
        <v>17</v>
      </c>
      <c r="C67" s="58" t="s">
        <v>19</v>
      </c>
      <c r="D67" s="58" t="s">
        <v>116</v>
      </c>
      <c r="E67" s="58" t="s">
        <v>117</v>
      </c>
      <c r="F67" s="58" t="s">
        <v>63</v>
      </c>
      <c r="G67" s="59">
        <v>45995.0</v>
      </c>
      <c r="H67" s="58" t="s">
        <v>104</v>
      </c>
      <c r="I67" s="60" t="s">
        <v>373</v>
      </c>
      <c r="J67" s="61" t="s">
        <v>374</v>
      </c>
      <c r="K67" s="61" t="s">
        <v>375</v>
      </c>
      <c r="L67" s="61" t="s">
        <v>376</v>
      </c>
      <c r="M67" s="58">
        <v>2019.0</v>
      </c>
      <c r="N67" s="58">
        <v>27.0</v>
      </c>
      <c r="O67" s="62">
        <v>597.0</v>
      </c>
      <c r="P67" s="62">
        <f t="shared" si="1"/>
        <v>1671.6</v>
      </c>
      <c r="Q67" s="63">
        <v>2.0</v>
      </c>
      <c r="R67" s="58">
        <v>2.0</v>
      </c>
      <c r="S67" s="58">
        <v>1.0</v>
      </c>
      <c r="T67" s="58">
        <v>0.0</v>
      </c>
      <c r="U67" s="58">
        <v>3.0</v>
      </c>
      <c r="V67" s="58" t="s">
        <v>75</v>
      </c>
      <c r="W67" s="61" t="s">
        <v>76</v>
      </c>
      <c r="X67" s="28" t="s">
        <v>1033</v>
      </c>
      <c r="Y67" s="64">
        <v>31.0</v>
      </c>
      <c r="Z67" s="65">
        <f t="shared" si="2"/>
        <v>40.3</v>
      </c>
      <c r="AA67" s="65">
        <f t="shared" si="3"/>
        <v>67365.48</v>
      </c>
      <c r="AB67" s="65">
        <f t="shared" si="4"/>
        <v>237.5103688</v>
      </c>
      <c r="AC67" s="66">
        <v>1.0</v>
      </c>
      <c r="AD67" s="70"/>
      <c r="AE67" s="68">
        <f t="shared" si="5"/>
        <v>6557.377049</v>
      </c>
      <c r="AF67" s="69">
        <v>8000.0</v>
      </c>
      <c r="AG67" s="68">
        <f t="shared" si="6"/>
        <v>13114.7541</v>
      </c>
      <c r="AH67" s="70">
        <f t="shared" si="7"/>
        <v>16000</v>
      </c>
      <c r="AI67" s="71"/>
      <c r="AJ67" s="71"/>
      <c r="AK67" s="71"/>
      <c r="AL67" s="71"/>
    </row>
    <row r="68">
      <c r="A68" s="57" t="s">
        <v>377</v>
      </c>
      <c r="B68" s="58" t="s">
        <v>17</v>
      </c>
      <c r="C68" s="58" t="s">
        <v>19</v>
      </c>
      <c r="D68" s="58" t="s">
        <v>116</v>
      </c>
      <c r="E68" s="58" t="s">
        <v>117</v>
      </c>
      <c r="F68" s="58" t="s">
        <v>63</v>
      </c>
      <c r="G68" s="59">
        <v>46003.0</v>
      </c>
      <c r="H68" s="58" t="s">
        <v>118</v>
      </c>
      <c r="I68" s="60" t="s">
        <v>378</v>
      </c>
      <c r="J68" s="61" t="s">
        <v>379</v>
      </c>
      <c r="K68" s="61" t="s">
        <v>380</v>
      </c>
      <c r="L68" s="61" t="s">
        <v>381</v>
      </c>
      <c r="M68" s="58">
        <v>2012.0</v>
      </c>
      <c r="N68" s="58">
        <v>16.0</v>
      </c>
      <c r="O68" s="62">
        <v>95.0</v>
      </c>
      <c r="P68" s="62">
        <f t="shared" si="1"/>
        <v>266</v>
      </c>
      <c r="Q68" s="63">
        <v>2.0</v>
      </c>
      <c r="R68" s="58">
        <v>0.0</v>
      </c>
      <c r="S68" s="58">
        <v>1.0</v>
      </c>
      <c r="T68" s="58">
        <v>2.0</v>
      </c>
      <c r="U68" s="58">
        <v>2.0</v>
      </c>
      <c r="V68" s="58" t="s">
        <v>75</v>
      </c>
      <c r="W68" s="61" t="s">
        <v>76</v>
      </c>
      <c r="X68" s="28" t="s">
        <v>1033</v>
      </c>
      <c r="Y68" s="64">
        <v>31.0</v>
      </c>
      <c r="Z68" s="65">
        <f t="shared" si="2"/>
        <v>40.3</v>
      </c>
      <c r="AA68" s="65">
        <f t="shared" si="3"/>
        <v>10719.8</v>
      </c>
      <c r="AB68" s="65">
        <f t="shared" si="4"/>
        <v>1492.56516</v>
      </c>
      <c r="AC68" s="66">
        <v>1.0</v>
      </c>
      <c r="AD68" s="70"/>
      <c r="AE68" s="68">
        <f t="shared" si="5"/>
        <v>6557.377049</v>
      </c>
      <c r="AF68" s="69">
        <v>8000.0</v>
      </c>
      <c r="AG68" s="68">
        <f t="shared" si="6"/>
        <v>13114.7541</v>
      </c>
      <c r="AH68" s="70">
        <f t="shared" si="7"/>
        <v>16000</v>
      </c>
      <c r="AI68" s="71"/>
      <c r="AJ68" s="71"/>
      <c r="AK68" s="71"/>
      <c r="AL68" s="71"/>
    </row>
    <row r="69">
      <c r="A69" s="57" t="s">
        <v>377</v>
      </c>
      <c r="B69" s="58" t="s">
        <v>17</v>
      </c>
      <c r="C69" s="58" t="s">
        <v>19</v>
      </c>
      <c r="D69" s="58" t="s">
        <v>116</v>
      </c>
      <c r="E69" s="58" t="s">
        <v>117</v>
      </c>
      <c r="F69" s="58" t="s">
        <v>63</v>
      </c>
      <c r="G69" s="59">
        <v>46003.0</v>
      </c>
      <c r="H69" s="58" t="s">
        <v>118</v>
      </c>
      <c r="I69" s="60" t="s">
        <v>378</v>
      </c>
      <c r="J69" s="61" t="s">
        <v>382</v>
      </c>
      <c r="K69" s="61" t="s">
        <v>383</v>
      </c>
      <c r="L69" s="61" t="s">
        <v>384</v>
      </c>
      <c r="M69" s="58">
        <v>2014.0</v>
      </c>
      <c r="N69" s="58">
        <v>16.0</v>
      </c>
      <c r="O69" s="62">
        <v>356.0</v>
      </c>
      <c r="P69" s="62">
        <f t="shared" si="1"/>
        <v>996.8</v>
      </c>
      <c r="Q69" s="63">
        <v>4.0</v>
      </c>
      <c r="R69" s="58">
        <v>0.0</v>
      </c>
      <c r="S69" s="58">
        <v>5.0</v>
      </c>
      <c r="T69" s="58">
        <v>4.0</v>
      </c>
      <c r="U69" s="58">
        <v>8.0</v>
      </c>
      <c r="V69" s="58" t="s">
        <v>130</v>
      </c>
      <c r="W69" s="61" t="s">
        <v>76</v>
      </c>
      <c r="X69" s="28" t="s">
        <v>1033</v>
      </c>
      <c r="Y69" s="64">
        <v>31.0</v>
      </c>
      <c r="Z69" s="65">
        <f t="shared" si="2"/>
        <v>20.15</v>
      </c>
      <c r="AA69" s="65">
        <f t="shared" si="3"/>
        <v>20085.52</v>
      </c>
      <c r="AB69" s="65">
        <f t="shared" si="4"/>
        <v>1593.18753</v>
      </c>
      <c r="AC69" s="66">
        <v>1.0</v>
      </c>
      <c r="AD69" s="70"/>
      <c r="AE69" s="68">
        <f t="shared" si="5"/>
        <v>6557.377049</v>
      </c>
      <c r="AF69" s="69">
        <v>8000.0</v>
      </c>
      <c r="AG69" s="68">
        <f t="shared" si="6"/>
        <v>26229.5082</v>
      </c>
      <c r="AH69" s="70">
        <f t="shared" si="7"/>
        <v>32000</v>
      </c>
      <c r="AI69" s="71"/>
      <c r="AJ69" s="71"/>
      <c r="AK69" s="71"/>
      <c r="AL69" s="71"/>
    </row>
    <row r="70">
      <c r="A70" s="57" t="s">
        <v>385</v>
      </c>
      <c r="B70" s="58" t="s">
        <v>17</v>
      </c>
      <c r="C70" s="58" t="s">
        <v>19</v>
      </c>
      <c r="D70" s="58" t="s">
        <v>116</v>
      </c>
      <c r="E70" s="58" t="s">
        <v>117</v>
      </c>
      <c r="F70" s="58" t="s">
        <v>63</v>
      </c>
      <c r="G70" s="59">
        <v>46003.0</v>
      </c>
      <c r="H70" s="58" t="s">
        <v>118</v>
      </c>
      <c r="I70" s="60" t="s">
        <v>386</v>
      </c>
      <c r="J70" s="61" t="s">
        <v>387</v>
      </c>
      <c r="K70" s="61" t="s">
        <v>388</v>
      </c>
      <c r="L70" s="61" t="s">
        <v>389</v>
      </c>
      <c r="M70" s="58">
        <v>2015.0</v>
      </c>
      <c r="N70" s="58">
        <v>18.0</v>
      </c>
      <c r="O70" s="62">
        <v>79.0</v>
      </c>
      <c r="P70" s="62">
        <f t="shared" si="1"/>
        <v>221.2</v>
      </c>
      <c r="Q70" s="63">
        <v>2.0</v>
      </c>
      <c r="R70" s="58">
        <v>0.0</v>
      </c>
      <c r="S70" s="58">
        <v>1.0</v>
      </c>
      <c r="T70" s="58">
        <v>2.0</v>
      </c>
      <c r="U70" s="58">
        <v>2.0</v>
      </c>
      <c r="V70" s="58" t="s">
        <v>75</v>
      </c>
      <c r="W70" s="61" t="s">
        <v>76</v>
      </c>
      <c r="X70" s="28" t="s">
        <v>1033</v>
      </c>
      <c r="Y70" s="64">
        <v>31.0</v>
      </c>
      <c r="Z70" s="65">
        <f t="shared" si="2"/>
        <v>40.3</v>
      </c>
      <c r="AA70" s="65">
        <f t="shared" si="3"/>
        <v>8914.36</v>
      </c>
      <c r="AB70" s="65">
        <f t="shared" si="4"/>
        <v>1794.856838</v>
      </c>
      <c r="AC70" s="66">
        <v>1.0</v>
      </c>
      <c r="AD70" s="67"/>
      <c r="AE70" s="68">
        <f t="shared" si="5"/>
        <v>6557.377049</v>
      </c>
      <c r="AF70" s="69">
        <v>8000.0</v>
      </c>
      <c r="AG70" s="68">
        <f t="shared" si="6"/>
        <v>13114.7541</v>
      </c>
      <c r="AH70" s="70">
        <f t="shared" si="7"/>
        <v>16000</v>
      </c>
      <c r="AI70" s="71"/>
      <c r="AJ70" s="71"/>
      <c r="AK70" s="71"/>
      <c r="AL70" s="71"/>
    </row>
    <row r="71">
      <c r="A71" s="57" t="s">
        <v>390</v>
      </c>
      <c r="B71" s="58" t="s">
        <v>17</v>
      </c>
      <c r="C71" s="58" t="s">
        <v>19</v>
      </c>
      <c r="D71" s="58" t="s">
        <v>116</v>
      </c>
      <c r="E71" s="58" t="s">
        <v>117</v>
      </c>
      <c r="F71" s="58" t="s">
        <v>63</v>
      </c>
      <c r="G71" s="59">
        <v>46003.0</v>
      </c>
      <c r="H71" s="58" t="s">
        <v>118</v>
      </c>
      <c r="I71" s="60" t="s">
        <v>391</v>
      </c>
      <c r="J71" s="61" t="s">
        <v>392</v>
      </c>
      <c r="K71" s="61" t="s">
        <v>393</v>
      </c>
      <c r="L71" s="61" t="s">
        <v>395</v>
      </c>
      <c r="M71" s="58">
        <v>2017.0</v>
      </c>
      <c r="N71" s="58">
        <v>18.0</v>
      </c>
      <c r="O71" s="62">
        <v>193.0</v>
      </c>
      <c r="P71" s="62">
        <f t="shared" si="1"/>
        <v>540.4</v>
      </c>
      <c r="Q71" s="63">
        <v>3.0</v>
      </c>
      <c r="R71" s="58">
        <v>0.0</v>
      </c>
      <c r="S71" s="58">
        <v>3.0</v>
      </c>
      <c r="T71" s="58">
        <v>3.0</v>
      </c>
      <c r="U71" s="58">
        <v>6.0</v>
      </c>
      <c r="V71" s="58" t="s">
        <v>130</v>
      </c>
      <c r="W71" s="61" t="s">
        <v>76</v>
      </c>
      <c r="X71" s="28" t="s">
        <v>1033</v>
      </c>
      <c r="Y71" s="64">
        <v>31.0</v>
      </c>
      <c r="Z71" s="65">
        <f t="shared" si="2"/>
        <v>20.15</v>
      </c>
      <c r="AA71" s="65">
        <f t="shared" si="3"/>
        <v>10889.06</v>
      </c>
      <c r="AB71" s="65">
        <f t="shared" si="4"/>
        <v>2204.046998</v>
      </c>
      <c r="AC71" s="66">
        <v>1.0</v>
      </c>
      <c r="AD71" s="67"/>
      <c r="AE71" s="68">
        <f t="shared" si="5"/>
        <v>6557.377049</v>
      </c>
      <c r="AF71" s="69">
        <v>8000.0</v>
      </c>
      <c r="AG71" s="68">
        <f t="shared" si="6"/>
        <v>19672.13115</v>
      </c>
      <c r="AH71" s="70">
        <f t="shared" si="7"/>
        <v>24000</v>
      </c>
      <c r="AI71" s="71"/>
      <c r="AJ71" s="71"/>
      <c r="AK71" s="71"/>
      <c r="AL71" s="71"/>
    </row>
    <row r="72">
      <c r="A72" s="57" t="s">
        <v>396</v>
      </c>
      <c r="B72" s="58" t="s">
        <v>17</v>
      </c>
      <c r="C72" s="58" t="s">
        <v>19</v>
      </c>
      <c r="D72" s="58" t="s">
        <v>162</v>
      </c>
      <c r="E72" s="58" t="s">
        <v>110</v>
      </c>
      <c r="F72" s="58" t="s">
        <v>63</v>
      </c>
      <c r="G72" s="59">
        <v>46006.0</v>
      </c>
      <c r="H72" s="58" t="s">
        <v>104</v>
      </c>
      <c r="I72" s="60" t="s">
        <v>397</v>
      </c>
      <c r="J72" s="61" t="s">
        <v>398</v>
      </c>
      <c r="K72" s="61" t="s">
        <v>399</v>
      </c>
      <c r="L72" s="61" t="s">
        <v>400</v>
      </c>
      <c r="M72" s="58">
        <v>2022.0</v>
      </c>
      <c r="N72" s="58">
        <v>25.0</v>
      </c>
      <c r="O72" s="62">
        <v>890.0</v>
      </c>
      <c r="P72" s="62">
        <f t="shared" si="1"/>
        <v>2492</v>
      </c>
      <c r="Q72" s="63">
        <v>8.0</v>
      </c>
      <c r="R72" s="58">
        <v>4.0</v>
      </c>
      <c r="S72" s="58">
        <v>4.0</v>
      </c>
      <c r="T72" s="58">
        <v>4.0</v>
      </c>
      <c r="U72" s="58">
        <v>4.0</v>
      </c>
      <c r="V72" s="58" t="s">
        <v>75</v>
      </c>
      <c r="W72" s="61" t="s">
        <v>76</v>
      </c>
      <c r="X72" s="28" t="s">
        <v>1033</v>
      </c>
      <c r="Y72" s="64">
        <v>31.0</v>
      </c>
      <c r="Z72" s="65">
        <f t="shared" si="2"/>
        <v>60.45</v>
      </c>
      <c r="AA72" s="65">
        <f t="shared" si="3"/>
        <v>150641.4</v>
      </c>
      <c r="AB72" s="65">
        <f t="shared" si="4"/>
        <v>424.850008</v>
      </c>
      <c r="AC72" s="66">
        <v>1.0</v>
      </c>
      <c r="AD72" s="70"/>
      <c r="AE72" s="68">
        <f t="shared" si="5"/>
        <v>6557.377049</v>
      </c>
      <c r="AF72" s="69">
        <v>8000.0</v>
      </c>
      <c r="AG72" s="68">
        <f t="shared" si="6"/>
        <v>52459.01639</v>
      </c>
      <c r="AH72" s="70">
        <f t="shared" si="7"/>
        <v>64000</v>
      </c>
      <c r="AI72" s="71"/>
      <c r="AJ72" s="71"/>
      <c r="AK72" s="71"/>
      <c r="AL72" s="71"/>
    </row>
    <row r="73">
      <c r="A73" s="57" t="s">
        <v>401</v>
      </c>
      <c r="B73" s="58" t="s">
        <v>17</v>
      </c>
      <c r="C73" s="58" t="s">
        <v>19</v>
      </c>
      <c r="D73" s="58" t="s">
        <v>101</v>
      </c>
      <c r="E73" s="58" t="s">
        <v>163</v>
      </c>
      <c r="F73" s="58" t="s">
        <v>103</v>
      </c>
      <c r="G73" s="59">
        <v>46006.0</v>
      </c>
      <c r="H73" s="58" t="s">
        <v>118</v>
      </c>
      <c r="I73" s="60" t="s">
        <v>402</v>
      </c>
      <c r="J73" s="61" t="s">
        <v>403</v>
      </c>
      <c r="K73" s="61" t="s">
        <v>404</v>
      </c>
      <c r="L73" s="61" t="s">
        <v>405</v>
      </c>
      <c r="M73" s="58">
        <v>2015.0</v>
      </c>
      <c r="N73" s="58">
        <v>25.0</v>
      </c>
      <c r="O73" s="62">
        <v>248.0</v>
      </c>
      <c r="P73" s="62">
        <f t="shared" si="1"/>
        <v>694.4</v>
      </c>
      <c r="Q73" s="63">
        <v>3.0</v>
      </c>
      <c r="R73" s="58">
        <v>1.0</v>
      </c>
      <c r="S73" s="58">
        <v>1.0</v>
      </c>
      <c r="T73" s="58">
        <v>2.0</v>
      </c>
      <c r="U73" s="58">
        <v>4.0</v>
      </c>
      <c r="V73" s="58" t="s">
        <v>75</v>
      </c>
      <c r="W73" s="61" t="s">
        <v>76</v>
      </c>
      <c r="X73" s="28" t="s">
        <v>1033</v>
      </c>
      <c r="Y73" s="64">
        <v>31.0</v>
      </c>
      <c r="Z73" s="65">
        <f t="shared" si="2"/>
        <v>40.3</v>
      </c>
      <c r="AA73" s="65">
        <f t="shared" si="3"/>
        <v>27984.32</v>
      </c>
      <c r="AB73" s="65">
        <f t="shared" si="4"/>
        <v>857.6231261</v>
      </c>
      <c r="AC73" s="66">
        <v>1.0</v>
      </c>
      <c r="AD73" s="70"/>
      <c r="AE73" s="68">
        <f t="shared" si="5"/>
        <v>6557.377049</v>
      </c>
      <c r="AF73" s="69">
        <v>8000.0</v>
      </c>
      <c r="AG73" s="68">
        <f t="shared" si="6"/>
        <v>19672.13115</v>
      </c>
      <c r="AH73" s="70">
        <f t="shared" si="7"/>
        <v>24000</v>
      </c>
      <c r="AI73" s="71"/>
      <c r="AJ73" s="71"/>
      <c r="AK73" s="71"/>
      <c r="AL73" s="71"/>
    </row>
    <row r="74">
      <c r="A74" s="57" t="s">
        <v>401</v>
      </c>
      <c r="B74" s="58" t="s">
        <v>17</v>
      </c>
      <c r="C74" s="58" t="s">
        <v>19</v>
      </c>
      <c r="D74" s="58" t="s">
        <v>101</v>
      </c>
      <c r="E74" s="58" t="s">
        <v>163</v>
      </c>
      <c r="F74" s="58" t="s">
        <v>103</v>
      </c>
      <c r="G74" s="59">
        <v>46006.0</v>
      </c>
      <c r="H74" s="58" t="s">
        <v>118</v>
      </c>
      <c r="I74" s="60" t="s">
        <v>402</v>
      </c>
      <c r="J74" s="61" t="s">
        <v>406</v>
      </c>
      <c r="K74" s="61" t="s">
        <v>407</v>
      </c>
      <c r="L74" s="61" t="s">
        <v>408</v>
      </c>
      <c r="M74" s="58">
        <v>2015.0</v>
      </c>
      <c r="N74" s="58">
        <v>25.0</v>
      </c>
      <c r="O74" s="62">
        <v>254.0</v>
      </c>
      <c r="P74" s="62">
        <f t="shared" si="1"/>
        <v>711.2</v>
      </c>
      <c r="Q74" s="63">
        <v>3.0</v>
      </c>
      <c r="R74" s="58">
        <v>1.0</v>
      </c>
      <c r="S74" s="58">
        <v>1.0</v>
      </c>
      <c r="T74" s="58">
        <v>2.0</v>
      </c>
      <c r="U74" s="58">
        <v>4.0</v>
      </c>
      <c r="V74" s="58" t="s">
        <v>75</v>
      </c>
      <c r="W74" s="61" t="s">
        <v>76</v>
      </c>
      <c r="X74" s="28" t="s">
        <v>1033</v>
      </c>
      <c r="Y74" s="64">
        <v>31.0</v>
      </c>
      <c r="Z74" s="65">
        <f t="shared" si="2"/>
        <v>40.3</v>
      </c>
      <c r="AA74" s="65">
        <f t="shared" si="3"/>
        <v>28661.36</v>
      </c>
      <c r="AB74" s="65">
        <f t="shared" si="4"/>
        <v>837.3643121</v>
      </c>
      <c r="AC74" s="66">
        <v>1.0</v>
      </c>
      <c r="AD74" s="70"/>
      <c r="AE74" s="68">
        <f t="shared" si="5"/>
        <v>6557.377049</v>
      </c>
      <c r="AF74" s="69">
        <v>8000.0</v>
      </c>
      <c r="AG74" s="68">
        <f t="shared" si="6"/>
        <v>19672.13115</v>
      </c>
      <c r="AH74" s="70">
        <f t="shared" si="7"/>
        <v>24000</v>
      </c>
      <c r="AI74" s="71"/>
      <c r="AJ74" s="71"/>
      <c r="AK74" s="71"/>
      <c r="AL74" s="71"/>
    </row>
    <row r="75">
      <c r="A75" s="57" t="s">
        <v>409</v>
      </c>
      <c r="B75" s="58" t="s">
        <v>17</v>
      </c>
      <c r="C75" s="58" t="s">
        <v>19</v>
      </c>
      <c r="D75" s="58" t="s">
        <v>123</v>
      </c>
      <c r="E75" s="58" t="s">
        <v>62</v>
      </c>
      <c r="F75" s="58" t="s">
        <v>63</v>
      </c>
      <c r="G75" s="59">
        <v>46013.0</v>
      </c>
      <c r="H75" s="58" t="s">
        <v>104</v>
      </c>
      <c r="I75" s="60" t="s">
        <v>410</v>
      </c>
      <c r="J75" s="61" t="s">
        <v>411</v>
      </c>
      <c r="K75" s="61" t="s">
        <v>412</v>
      </c>
      <c r="L75" s="61" t="s">
        <v>413</v>
      </c>
      <c r="M75" s="58">
        <v>2023.0</v>
      </c>
      <c r="N75" s="58">
        <v>26.0</v>
      </c>
      <c r="O75" s="62">
        <v>407.0</v>
      </c>
      <c r="P75" s="62">
        <f t="shared" si="1"/>
        <v>1139.6</v>
      </c>
      <c r="Q75" s="63">
        <v>3.0</v>
      </c>
      <c r="R75" s="58">
        <v>0.0</v>
      </c>
      <c r="S75" s="58">
        <v>1.0</v>
      </c>
      <c r="T75" s="58">
        <v>3.0</v>
      </c>
      <c r="U75" s="58">
        <v>3.0</v>
      </c>
      <c r="V75" s="58" t="s">
        <v>75</v>
      </c>
      <c r="W75" s="61" t="s">
        <v>76</v>
      </c>
      <c r="X75" s="28" t="s">
        <v>1033</v>
      </c>
      <c r="Y75" s="64">
        <v>31.0</v>
      </c>
      <c r="Z75" s="65">
        <f t="shared" si="2"/>
        <v>40.3</v>
      </c>
      <c r="AA75" s="65">
        <f t="shared" si="3"/>
        <v>45925.88</v>
      </c>
      <c r="AB75" s="65">
        <f t="shared" si="4"/>
        <v>522.5811677</v>
      </c>
      <c r="AC75" s="66">
        <v>1.0</v>
      </c>
      <c r="AD75" s="67"/>
      <c r="AE75" s="68">
        <f t="shared" si="5"/>
        <v>6557.377049</v>
      </c>
      <c r="AF75" s="69">
        <v>8000.0</v>
      </c>
      <c r="AG75" s="68">
        <f t="shared" si="6"/>
        <v>19672.13115</v>
      </c>
      <c r="AH75" s="70">
        <f t="shared" si="7"/>
        <v>24000</v>
      </c>
      <c r="AI75" s="71"/>
      <c r="AJ75" s="71"/>
      <c r="AK75" s="71"/>
      <c r="AL75" s="71"/>
    </row>
    <row r="76">
      <c r="A76" s="57" t="s">
        <v>409</v>
      </c>
      <c r="B76" s="58" t="s">
        <v>17</v>
      </c>
      <c r="C76" s="58" t="s">
        <v>19</v>
      </c>
      <c r="D76" s="58" t="s">
        <v>123</v>
      </c>
      <c r="E76" s="58" t="s">
        <v>62</v>
      </c>
      <c r="F76" s="58" t="s">
        <v>63</v>
      </c>
      <c r="G76" s="59">
        <v>46013.0</v>
      </c>
      <c r="H76" s="58" t="s">
        <v>104</v>
      </c>
      <c r="I76" s="60" t="s">
        <v>410</v>
      </c>
      <c r="J76" s="61" t="s">
        <v>414</v>
      </c>
      <c r="K76" s="61" t="s">
        <v>415</v>
      </c>
      <c r="L76" s="61" t="s">
        <v>416</v>
      </c>
      <c r="M76" s="58">
        <v>2024.0</v>
      </c>
      <c r="N76" s="58">
        <v>10.0</v>
      </c>
      <c r="O76" s="62">
        <v>81.0</v>
      </c>
      <c r="P76" s="62">
        <f t="shared" si="1"/>
        <v>226.8</v>
      </c>
      <c r="Q76" s="63">
        <v>2.0</v>
      </c>
      <c r="R76" s="58">
        <v>1.0</v>
      </c>
      <c r="S76" s="58">
        <v>1.0</v>
      </c>
      <c r="T76" s="58">
        <v>1.0</v>
      </c>
      <c r="U76" s="58">
        <v>2.0</v>
      </c>
      <c r="V76" s="58" t="s">
        <v>75</v>
      </c>
      <c r="W76" s="61" t="s">
        <v>76</v>
      </c>
      <c r="X76" s="28" t="s">
        <v>1033</v>
      </c>
      <c r="Y76" s="64">
        <v>31.0</v>
      </c>
      <c r="Z76" s="65">
        <f t="shared" si="2"/>
        <v>40.3</v>
      </c>
      <c r="AA76" s="65">
        <f t="shared" si="3"/>
        <v>9140.04</v>
      </c>
      <c r="AB76" s="65">
        <f t="shared" si="4"/>
        <v>1750.539385</v>
      </c>
      <c r="AC76" s="66">
        <v>1.0</v>
      </c>
      <c r="AD76" s="67"/>
      <c r="AE76" s="68">
        <f t="shared" si="5"/>
        <v>6557.377049</v>
      </c>
      <c r="AF76" s="69">
        <v>8000.0</v>
      </c>
      <c r="AG76" s="68">
        <f t="shared" si="6"/>
        <v>13114.7541</v>
      </c>
      <c r="AH76" s="70">
        <f t="shared" si="7"/>
        <v>16000</v>
      </c>
      <c r="AI76" s="71"/>
      <c r="AJ76" s="71"/>
      <c r="AK76" s="71"/>
      <c r="AL76" s="71"/>
    </row>
    <row r="77">
      <c r="A77" s="57" t="s">
        <v>409</v>
      </c>
      <c r="B77" s="58" t="s">
        <v>17</v>
      </c>
      <c r="C77" s="58" t="s">
        <v>19</v>
      </c>
      <c r="D77" s="58" t="s">
        <v>123</v>
      </c>
      <c r="E77" s="58" t="s">
        <v>62</v>
      </c>
      <c r="F77" s="58" t="s">
        <v>63</v>
      </c>
      <c r="G77" s="59">
        <v>46013.0</v>
      </c>
      <c r="H77" s="58" t="s">
        <v>104</v>
      </c>
      <c r="I77" s="60" t="s">
        <v>410</v>
      </c>
      <c r="J77" s="61" t="s">
        <v>417</v>
      </c>
      <c r="K77" s="61" t="s">
        <v>418</v>
      </c>
      <c r="L77" s="61" t="s">
        <v>419</v>
      </c>
      <c r="M77" s="58">
        <v>2023.0</v>
      </c>
      <c r="N77" s="58">
        <v>16.0</v>
      </c>
      <c r="O77" s="62">
        <v>338.0</v>
      </c>
      <c r="P77" s="62">
        <f t="shared" si="1"/>
        <v>946.4</v>
      </c>
      <c r="Q77" s="63">
        <v>4.0</v>
      </c>
      <c r="R77" s="58">
        <v>0.0</v>
      </c>
      <c r="S77" s="58">
        <v>2.0</v>
      </c>
      <c r="T77" s="58">
        <v>4.0</v>
      </c>
      <c r="U77" s="58">
        <v>4.0</v>
      </c>
      <c r="V77" s="58" t="s">
        <v>75</v>
      </c>
      <c r="W77" s="61" t="s">
        <v>76</v>
      </c>
      <c r="X77" s="28" t="s">
        <v>1033</v>
      </c>
      <c r="Y77" s="64">
        <v>31.0</v>
      </c>
      <c r="Z77" s="65">
        <f t="shared" si="2"/>
        <v>40.3</v>
      </c>
      <c r="AA77" s="65">
        <f t="shared" si="3"/>
        <v>38139.92</v>
      </c>
      <c r="AB77" s="65">
        <f t="shared" si="4"/>
        <v>839.0159182</v>
      </c>
      <c r="AC77" s="66">
        <v>1.0</v>
      </c>
      <c r="AD77" s="70"/>
      <c r="AE77" s="68">
        <f t="shared" si="5"/>
        <v>6557.377049</v>
      </c>
      <c r="AF77" s="69">
        <v>8000.0</v>
      </c>
      <c r="AG77" s="68">
        <f t="shared" si="6"/>
        <v>26229.5082</v>
      </c>
      <c r="AH77" s="70">
        <f t="shared" si="7"/>
        <v>32000</v>
      </c>
      <c r="AI77" s="71"/>
      <c r="AJ77" s="71"/>
      <c r="AK77" s="71"/>
      <c r="AL77" s="71"/>
    </row>
    <row r="78">
      <c r="A78" s="57" t="s">
        <v>420</v>
      </c>
      <c r="B78" s="58" t="s">
        <v>17</v>
      </c>
      <c r="C78" s="58" t="s">
        <v>19</v>
      </c>
      <c r="D78" s="58" t="s">
        <v>162</v>
      </c>
      <c r="E78" s="58" t="s">
        <v>110</v>
      </c>
      <c r="F78" s="58" t="s">
        <v>103</v>
      </c>
      <c r="G78" s="59">
        <v>46015.0</v>
      </c>
      <c r="H78" s="58" t="s">
        <v>104</v>
      </c>
      <c r="I78" s="60" t="s">
        <v>421</v>
      </c>
      <c r="J78" s="61" t="s">
        <v>422</v>
      </c>
      <c r="K78" s="61" t="s">
        <v>423</v>
      </c>
      <c r="L78" s="61" t="s">
        <v>424</v>
      </c>
      <c r="M78" s="58">
        <v>2012.0</v>
      </c>
      <c r="N78" s="58">
        <v>20.0</v>
      </c>
      <c r="O78" s="62">
        <v>126.0</v>
      </c>
      <c r="P78" s="62">
        <f t="shared" si="1"/>
        <v>352.8</v>
      </c>
      <c r="Q78" s="63">
        <v>1.0</v>
      </c>
      <c r="R78" s="58">
        <v>1.0</v>
      </c>
      <c r="S78" s="58">
        <v>1.0</v>
      </c>
      <c r="T78" s="58">
        <v>0.0</v>
      </c>
      <c r="U78" s="58">
        <v>2.0</v>
      </c>
      <c r="V78" s="58" t="s">
        <v>75</v>
      </c>
      <c r="W78" s="61" t="s">
        <v>76</v>
      </c>
      <c r="X78" s="28" t="s">
        <v>1033</v>
      </c>
      <c r="Y78" s="64">
        <v>31.0</v>
      </c>
      <c r="Z78" s="65">
        <f t="shared" si="2"/>
        <v>20.15</v>
      </c>
      <c r="AA78" s="65">
        <f t="shared" si="3"/>
        <v>7108.92</v>
      </c>
      <c r="AB78" s="65">
        <f t="shared" si="4"/>
        <v>1125.346747</v>
      </c>
      <c r="AC78" s="66">
        <v>1.0</v>
      </c>
      <c r="AD78" s="70"/>
      <c r="AE78" s="68">
        <f t="shared" si="5"/>
        <v>6557.377049</v>
      </c>
      <c r="AF78" s="69">
        <v>8000.0</v>
      </c>
      <c r="AG78" s="68">
        <f t="shared" si="6"/>
        <v>6557.377049</v>
      </c>
      <c r="AH78" s="70">
        <f t="shared" si="7"/>
        <v>8000</v>
      </c>
      <c r="AI78" s="71"/>
      <c r="AJ78" s="71"/>
      <c r="AK78" s="71"/>
      <c r="AL78" s="71"/>
    </row>
    <row r="79">
      <c r="A79" s="57" t="s">
        <v>420</v>
      </c>
      <c r="B79" s="58" t="s">
        <v>17</v>
      </c>
      <c r="C79" s="58" t="s">
        <v>19</v>
      </c>
      <c r="D79" s="58" t="s">
        <v>162</v>
      </c>
      <c r="E79" s="58" t="s">
        <v>110</v>
      </c>
      <c r="F79" s="58" t="s">
        <v>103</v>
      </c>
      <c r="G79" s="59">
        <v>46015.0</v>
      </c>
      <c r="H79" s="58" t="s">
        <v>104</v>
      </c>
      <c r="I79" s="60" t="s">
        <v>421</v>
      </c>
      <c r="J79" s="61" t="s">
        <v>425</v>
      </c>
      <c r="K79" s="61" t="s">
        <v>426</v>
      </c>
      <c r="L79" s="61" t="s">
        <v>427</v>
      </c>
      <c r="M79" s="58">
        <v>2011.0</v>
      </c>
      <c r="N79" s="58">
        <v>20.0</v>
      </c>
      <c r="O79" s="62">
        <v>132.0</v>
      </c>
      <c r="P79" s="62">
        <f t="shared" si="1"/>
        <v>369.6</v>
      </c>
      <c r="Q79" s="63">
        <v>3.0</v>
      </c>
      <c r="R79" s="58">
        <v>1.0</v>
      </c>
      <c r="S79" s="58">
        <v>1.0</v>
      </c>
      <c r="T79" s="58">
        <v>2.0</v>
      </c>
      <c r="U79" s="58">
        <v>2.0</v>
      </c>
      <c r="V79" s="58" t="s">
        <v>75</v>
      </c>
      <c r="W79" s="61" t="s">
        <v>76</v>
      </c>
      <c r="X79" s="28" t="s">
        <v>1033</v>
      </c>
      <c r="Y79" s="64">
        <v>31.0</v>
      </c>
      <c r="Z79" s="65">
        <f t="shared" si="2"/>
        <v>60.45</v>
      </c>
      <c r="AA79" s="65">
        <f t="shared" si="3"/>
        <v>22342.32</v>
      </c>
      <c r="AB79" s="65">
        <f t="shared" si="4"/>
        <v>1074.194623</v>
      </c>
      <c r="AC79" s="66">
        <v>1.0</v>
      </c>
      <c r="AD79" s="70"/>
      <c r="AE79" s="68">
        <f t="shared" si="5"/>
        <v>6557.377049</v>
      </c>
      <c r="AF79" s="69">
        <v>8000.0</v>
      </c>
      <c r="AG79" s="68">
        <f t="shared" si="6"/>
        <v>19672.13115</v>
      </c>
      <c r="AH79" s="70">
        <f t="shared" si="7"/>
        <v>24000</v>
      </c>
      <c r="AI79" s="71"/>
      <c r="AJ79" s="71"/>
      <c r="AK79" s="71"/>
      <c r="AL79" s="71"/>
    </row>
    <row r="80">
      <c r="A80" s="57" t="s">
        <v>420</v>
      </c>
      <c r="B80" s="58" t="s">
        <v>17</v>
      </c>
      <c r="C80" s="58" t="s">
        <v>19</v>
      </c>
      <c r="D80" s="58" t="s">
        <v>162</v>
      </c>
      <c r="E80" s="58" t="s">
        <v>110</v>
      </c>
      <c r="F80" s="58" t="s">
        <v>103</v>
      </c>
      <c r="G80" s="59">
        <v>46015.0</v>
      </c>
      <c r="H80" s="58" t="s">
        <v>104</v>
      </c>
      <c r="I80" s="60" t="s">
        <v>421</v>
      </c>
      <c r="J80" s="61" t="s">
        <v>428</v>
      </c>
      <c r="K80" s="61" t="s">
        <v>429</v>
      </c>
      <c r="L80" s="61" t="s">
        <v>430</v>
      </c>
      <c r="M80" s="58">
        <v>2004.0</v>
      </c>
      <c r="N80" s="58">
        <v>10.0</v>
      </c>
      <c r="O80" s="62">
        <v>122.0</v>
      </c>
      <c r="P80" s="62">
        <f t="shared" si="1"/>
        <v>341.6</v>
      </c>
      <c r="Q80" s="63">
        <v>2.0</v>
      </c>
      <c r="R80" s="58">
        <v>0.0</v>
      </c>
      <c r="S80" s="58">
        <v>2.0</v>
      </c>
      <c r="T80" s="58">
        <v>2.0</v>
      </c>
      <c r="U80" s="58">
        <v>2.0</v>
      </c>
      <c r="V80" s="58" t="s">
        <v>130</v>
      </c>
      <c r="W80" s="61" t="s">
        <v>76</v>
      </c>
      <c r="X80" s="28" t="s">
        <v>1033</v>
      </c>
      <c r="Y80" s="64">
        <v>31.0</v>
      </c>
      <c r="Z80" s="65">
        <f t="shared" si="2"/>
        <v>40.3</v>
      </c>
      <c r="AA80" s="65">
        <f t="shared" si="3"/>
        <v>13766.48</v>
      </c>
      <c r="AB80" s="65">
        <f t="shared" si="4"/>
        <v>1162.243362</v>
      </c>
      <c r="AC80" s="66">
        <v>1.0</v>
      </c>
      <c r="AD80" s="67"/>
      <c r="AE80" s="68">
        <f t="shared" si="5"/>
        <v>6557.377049</v>
      </c>
      <c r="AF80" s="69">
        <v>8000.0</v>
      </c>
      <c r="AG80" s="68">
        <f t="shared" si="6"/>
        <v>13114.7541</v>
      </c>
      <c r="AH80" s="70">
        <f t="shared" si="7"/>
        <v>16000</v>
      </c>
      <c r="AI80" s="71"/>
      <c r="AJ80" s="71"/>
      <c r="AK80" s="71"/>
      <c r="AL80" s="71"/>
    </row>
    <row r="81">
      <c r="A81" s="57" t="s">
        <v>431</v>
      </c>
      <c r="B81" s="58" t="s">
        <v>17</v>
      </c>
      <c r="C81" s="58" t="s">
        <v>19</v>
      </c>
      <c r="D81" s="58" t="s">
        <v>101</v>
      </c>
      <c r="E81" s="58" t="s">
        <v>361</v>
      </c>
      <c r="F81" s="58" t="s">
        <v>103</v>
      </c>
      <c r="G81" s="59">
        <v>46106.0</v>
      </c>
      <c r="H81" s="58" t="s">
        <v>104</v>
      </c>
      <c r="I81" s="60" t="s">
        <v>432</v>
      </c>
      <c r="J81" s="61" t="s">
        <v>433</v>
      </c>
      <c r="K81" s="61" t="s">
        <v>434</v>
      </c>
      <c r="L81" s="61" t="s">
        <v>435</v>
      </c>
      <c r="M81" s="58">
        <v>2024.0</v>
      </c>
      <c r="N81" s="58">
        <v>7.0</v>
      </c>
      <c r="O81" s="62">
        <v>407.0</v>
      </c>
      <c r="P81" s="62">
        <f t="shared" si="1"/>
        <v>1139.6</v>
      </c>
      <c r="Q81" s="63">
        <v>8.0</v>
      </c>
      <c r="R81" s="58">
        <v>0.0</v>
      </c>
      <c r="S81" s="58">
        <v>8.0</v>
      </c>
      <c r="T81" s="58">
        <v>8.0</v>
      </c>
      <c r="U81" s="58">
        <v>8.0</v>
      </c>
      <c r="V81" s="58" t="s">
        <v>75</v>
      </c>
      <c r="W81" s="61" t="s">
        <v>76</v>
      </c>
      <c r="X81" s="28" t="s">
        <v>1033</v>
      </c>
      <c r="Y81" s="64">
        <v>31.0</v>
      </c>
      <c r="Z81" s="65">
        <f t="shared" si="2"/>
        <v>40.3</v>
      </c>
      <c r="AA81" s="65">
        <f t="shared" si="3"/>
        <v>45925.88</v>
      </c>
      <c r="AB81" s="65">
        <f t="shared" si="4"/>
        <v>1393.549781</v>
      </c>
      <c r="AC81" s="66">
        <v>1.0</v>
      </c>
      <c r="AD81" s="67"/>
      <c r="AE81" s="68">
        <f t="shared" si="5"/>
        <v>6557.377049</v>
      </c>
      <c r="AF81" s="69">
        <v>8000.0</v>
      </c>
      <c r="AG81" s="68">
        <f t="shared" si="6"/>
        <v>52459.01639</v>
      </c>
      <c r="AH81" s="70">
        <f t="shared" si="7"/>
        <v>64000</v>
      </c>
      <c r="AI81" s="71"/>
      <c r="AJ81" s="71"/>
      <c r="AK81" s="71"/>
      <c r="AL81" s="71"/>
    </row>
    <row r="82">
      <c r="A82" s="57" t="s">
        <v>436</v>
      </c>
      <c r="B82" s="58" t="s">
        <v>17</v>
      </c>
      <c r="C82" s="58" t="s">
        <v>19</v>
      </c>
      <c r="D82" s="58" t="s">
        <v>101</v>
      </c>
      <c r="E82" s="58" t="s">
        <v>361</v>
      </c>
      <c r="F82" s="58" t="s">
        <v>103</v>
      </c>
      <c r="G82" s="59">
        <v>46107.0</v>
      </c>
      <c r="H82" s="58" t="s">
        <v>104</v>
      </c>
      <c r="I82" s="60" t="s">
        <v>437</v>
      </c>
      <c r="J82" s="61" t="s">
        <v>438</v>
      </c>
      <c r="K82" s="61" t="s">
        <v>439</v>
      </c>
      <c r="L82" s="61" t="s">
        <v>440</v>
      </c>
      <c r="M82" s="58">
        <v>2025.0</v>
      </c>
      <c r="N82" s="58">
        <v>7.0</v>
      </c>
      <c r="O82" s="62">
        <v>476.0</v>
      </c>
      <c r="P82" s="62">
        <f t="shared" si="1"/>
        <v>1332.8</v>
      </c>
      <c r="Q82" s="63">
        <v>8.0</v>
      </c>
      <c r="R82" s="58">
        <v>0.0</v>
      </c>
      <c r="S82" s="58">
        <v>8.0</v>
      </c>
      <c r="T82" s="58">
        <v>8.0</v>
      </c>
      <c r="U82" s="58">
        <v>8.0</v>
      </c>
      <c r="V82" s="58" t="s">
        <v>75</v>
      </c>
      <c r="W82" s="61" t="s">
        <v>76</v>
      </c>
      <c r="X82" s="28" t="s">
        <v>1033</v>
      </c>
      <c r="Y82" s="64">
        <v>31.0</v>
      </c>
      <c r="Z82" s="65">
        <f t="shared" si="2"/>
        <v>40.3</v>
      </c>
      <c r="AA82" s="65">
        <f t="shared" si="3"/>
        <v>53711.84</v>
      </c>
      <c r="AB82" s="65">
        <f t="shared" si="4"/>
        <v>1191.543615</v>
      </c>
      <c r="AC82" s="66">
        <v>1.0</v>
      </c>
      <c r="AD82" s="70"/>
      <c r="AE82" s="68">
        <f t="shared" si="5"/>
        <v>6557.377049</v>
      </c>
      <c r="AF82" s="69">
        <v>8000.0</v>
      </c>
      <c r="AG82" s="68">
        <f t="shared" si="6"/>
        <v>52459.01639</v>
      </c>
      <c r="AH82" s="70">
        <f t="shared" si="7"/>
        <v>64000</v>
      </c>
      <c r="AI82" s="71"/>
      <c r="AJ82" s="71"/>
      <c r="AK82" s="71"/>
      <c r="AL82" s="71"/>
    </row>
    <row r="83">
      <c r="A83" s="57" t="s">
        <v>441</v>
      </c>
      <c r="B83" s="58" t="s">
        <v>17</v>
      </c>
      <c r="C83" s="58" t="s">
        <v>19</v>
      </c>
      <c r="D83" s="58" t="s">
        <v>101</v>
      </c>
      <c r="E83" s="58" t="s">
        <v>361</v>
      </c>
      <c r="F83" s="58" t="s">
        <v>103</v>
      </c>
      <c r="G83" s="59">
        <v>46020.0</v>
      </c>
      <c r="H83" s="58" t="s">
        <v>104</v>
      </c>
      <c r="I83" s="60" t="s">
        <v>442</v>
      </c>
      <c r="J83" s="61" t="s">
        <v>443</v>
      </c>
      <c r="K83" s="61" t="s">
        <v>444</v>
      </c>
      <c r="L83" s="61" t="s">
        <v>445</v>
      </c>
      <c r="M83" s="58">
        <v>2021.0</v>
      </c>
      <c r="N83" s="58">
        <v>7.0</v>
      </c>
      <c r="O83" s="62">
        <v>395.0</v>
      </c>
      <c r="P83" s="62">
        <f t="shared" si="1"/>
        <v>1106</v>
      </c>
      <c r="Q83" s="63">
        <v>6.0</v>
      </c>
      <c r="R83" s="58">
        <v>0.0</v>
      </c>
      <c r="S83" s="58">
        <v>6.0</v>
      </c>
      <c r="T83" s="58">
        <v>6.0</v>
      </c>
      <c r="U83" s="58">
        <v>6.0</v>
      </c>
      <c r="V83" s="58" t="s">
        <v>75</v>
      </c>
      <c r="W83" s="61" t="s">
        <v>76</v>
      </c>
      <c r="X83" s="28" t="s">
        <v>1033</v>
      </c>
      <c r="Y83" s="64">
        <v>31.0</v>
      </c>
      <c r="Z83" s="65">
        <f t="shared" si="2"/>
        <v>40.3</v>
      </c>
      <c r="AA83" s="65">
        <f t="shared" si="3"/>
        <v>44571.8</v>
      </c>
      <c r="AB83" s="65">
        <f t="shared" si="4"/>
        <v>1076.914103</v>
      </c>
      <c r="AC83" s="66">
        <v>1.0</v>
      </c>
      <c r="AD83" s="70"/>
      <c r="AE83" s="68">
        <f t="shared" si="5"/>
        <v>6557.377049</v>
      </c>
      <c r="AF83" s="69">
        <v>8000.0</v>
      </c>
      <c r="AG83" s="68">
        <f t="shared" si="6"/>
        <v>39344.2623</v>
      </c>
      <c r="AH83" s="70">
        <f t="shared" si="7"/>
        <v>48000</v>
      </c>
      <c r="AI83" s="71"/>
      <c r="AJ83" s="71"/>
      <c r="AK83" s="71"/>
      <c r="AL83" s="71"/>
    </row>
    <row r="84">
      <c r="A84" s="57" t="s">
        <v>446</v>
      </c>
      <c r="B84" s="58" t="s">
        <v>17</v>
      </c>
      <c r="C84" s="58" t="s">
        <v>19</v>
      </c>
      <c r="D84" s="58" t="s">
        <v>247</v>
      </c>
      <c r="E84" s="58" t="s">
        <v>62</v>
      </c>
      <c r="F84" s="58" t="s">
        <v>103</v>
      </c>
      <c r="G84" s="59">
        <v>46021.0</v>
      </c>
      <c r="H84" s="58" t="s">
        <v>65</v>
      </c>
      <c r="I84" s="60" t="s">
        <v>447</v>
      </c>
      <c r="J84" s="61" t="s">
        <v>448</v>
      </c>
      <c r="K84" s="61" t="s">
        <v>449</v>
      </c>
      <c r="L84" s="61" t="s">
        <v>450</v>
      </c>
      <c r="M84" s="58">
        <v>2010.0</v>
      </c>
      <c r="N84" s="58">
        <v>23.0</v>
      </c>
      <c r="O84" s="62">
        <v>160.0</v>
      </c>
      <c r="P84" s="62">
        <f t="shared" si="1"/>
        <v>448</v>
      </c>
      <c r="Q84" s="63">
        <v>3.0</v>
      </c>
      <c r="R84" s="58">
        <v>0.0</v>
      </c>
      <c r="S84" s="58">
        <v>1.0</v>
      </c>
      <c r="T84" s="58">
        <v>3.0</v>
      </c>
      <c r="U84" s="58">
        <v>3.0</v>
      </c>
      <c r="V84" s="58" t="s">
        <v>75</v>
      </c>
      <c r="W84" s="61" t="s">
        <v>76</v>
      </c>
      <c r="X84" s="28" t="s">
        <v>1033</v>
      </c>
      <c r="Y84" s="64">
        <v>31.0</v>
      </c>
      <c r="Z84" s="65">
        <f t="shared" si="2"/>
        <v>40.3</v>
      </c>
      <c r="AA84" s="65">
        <f t="shared" si="3"/>
        <v>18054.4</v>
      </c>
      <c r="AB84" s="65">
        <f t="shared" si="4"/>
        <v>1329.315845</v>
      </c>
      <c r="AC84" s="66">
        <v>1.0</v>
      </c>
      <c r="AD84" s="70"/>
      <c r="AE84" s="68">
        <f t="shared" si="5"/>
        <v>6557.377049</v>
      </c>
      <c r="AF84" s="69">
        <v>8000.0</v>
      </c>
      <c r="AG84" s="68">
        <f t="shared" si="6"/>
        <v>19672.13115</v>
      </c>
      <c r="AH84" s="70">
        <f t="shared" si="7"/>
        <v>24000</v>
      </c>
      <c r="AI84" s="71"/>
      <c r="AJ84" s="71"/>
      <c r="AK84" s="71"/>
      <c r="AL84" s="71"/>
    </row>
    <row r="85">
      <c r="A85" s="57" t="s">
        <v>451</v>
      </c>
      <c r="B85" s="58" t="s">
        <v>17</v>
      </c>
      <c r="C85" s="58" t="s">
        <v>19</v>
      </c>
      <c r="D85" s="58" t="s">
        <v>452</v>
      </c>
      <c r="E85" s="58" t="s">
        <v>117</v>
      </c>
      <c r="F85" s="58" t="s">
        <v>103</v>
      </c>
      <c r="G85" s="59">
        <v>46021.0</v>
      </c>
      <c r="H85" s="58" t="s">
        <v>104</v>
      </c>
      <c r="I85" s="60" t="s">
        <v>453</v>
      </c>
      <c r="J85" s="61" t="s">
        <v>454</v>
      </c>
      <c r="K85" s="61" t="s">
        <v>455</v>
      </c>
      <c r="L85" s="61" t="s">
        <v>456</v>
      </c>
      <c r="M85" s="58">
        <v>2007.0</v>
      </c>
      <c r="N85" s="58">
        <v>15.0</v>
      </c>
      <c r="O85" s="62">
        <v>114.0</v>
      </c>
      <c r="P85" s="62">
        <f t="shared" si="1"/>
        <v>319.2</v>
      </c>
      <c r="Q85" s="63">
        <v>2.0</v>
      </c>
      <c r="R85" s="58">
        <v>1.0</v>
      </c>
      <c r="S85" s="58">
        <v>1.0</v>
      </c>
      <c r="T85" s="58">
        <v>1.0</v>
      </c>
      <c r="U85" s="58">
        <v>2.0</v>
      </c>
      <c r="V85" s="58" t="s">
        <v>75</v>
      </c>
      <c r="W85" s="61" t="s">
        <v>76</v>
      </c>
      <c r="X85" s="28" t="s">
        <v>1033</v>
      </c>
      <c r="Y85" s="64">
        <v>31.0</v>
      </c>
      <c r="Z85" s="65">
        <f t="shared" si="2"/>
        <v>40.3</v>
      </c>
      <c r="AA85" s="65">
        <f t="shared" si="3"/>
        <v>12863.76</v>
      </c>
      <c r="AB85" s="65">
        <f t="shared" si="4"/>
        <v>1243.8043</v>
      </c>
      <c r="AC85" s="66">
        <v>1.0</v>
      </c>
      <c r="AD85" s="67"/>
      <c r="AE85" s="68">
        <f t="shared" si="5"/>
        <v>6557.377049</v>
      </c>
      <c r="AF85" s="69">
        <v>8000.0</v>
      </c>
      <c r="AG85" s="68">
        <f t="shared" si="6"/>
        <v>13114.7541</v>
      </c>
      <c r="AH85" s="70">
        <f t="shared" si="7"/>
        <v>16000</v>
      </c>
      <c r="AI85" s="71"/>
      <c r="AJ85" s="71"/>
      <c r="AK85" s="71"/>
      <c r="AL85" s="71"/>
    </row>
    <row r="86">
      <c r="A86" s="57" t="s">
        <v>451</v>
      </c>
      <c r="B86" s="58" t="s">
        <v>17</v>
      </c>
      <c r="C86" s="58" t="s">
        <v>19</v>
      </c>
      <c r="D86" s="58" t="s">
        <v>452</v>
      </c>
      <c r="E86" s="58" t="s">
        <v>117</v>
      </c>
      <c r="F86" s="58" t="s">
        <v>103</v>
      </c>
      <c r="G86" s="59">
        <v>46021.0</v>
      </c>
      <c r="H86" s="58" t="s">
        <v>104</v>
      </c>
      <c r="I86" s="60" t="s">
        <v>453</v>
      </c>
      <c r="J86" s="61" t="s">
        <v>457</v>
      </c>
      <c r="K86" s="61" t="s">
        <v>458</v>
      </c>
      <c r="L86" s="61" t="s">
        <v>459</v>
      </c>
      <c r="M86" s="58">
        <v>1993.0</v>
      </c>
      <c r="N86" s="58">
        <v>12.0</v>
      </c>
      <c r="O86" s="62">
        <v>48.0</v>
      </c>
      <c r="P86" s="62">
        <f t="shared" si="1"/>
        <v>134.4</v>
      </c>
      <c r="Q86" s="63">
        <v>2.0</v>
      </c>
      <c r="R86" s="58">
        <v>0.0</v>
      </c>
      <c r="S86" s="58">
        <v>1.0</v>
      </c>
      <c r="T86" s="58">
        <v>2.0</v>
      </c>
      <c r="U86" s="58">
        <v>2.0</v>
      </c>
      <c r="V86" s="58" t="s">
        <v>130</v>
      </c>
      <c r="W86" s="61" t="s">
        <v>76</v>
      </c>
      <c r="X86" s="28" t="s">
        <v>1033</v>
      </c>
      <c r="Y86" s="64">
        <v>31.0</v>
      </c>
      <c r="Z86" s="65">
        <f t="shared" si="2"/>
        <v>40.3</v>
      </c>
      <c r="AA86" s="65">
        <f t="shared" si="3"/>
        <v>5416.32</v>
      </c>
      <c r="AB86" s="65">
        <f t="shared" si="4"/>
        <v>2954.035212</v>
      </c>
      <c r="AC86" s="66">
        <v>1.0</v>
      </c>
      <c r="AD86" s="67"/>
      <c r="AE86" s="68">
        <f t="shared" si="5"/>
        <v>6557.377049</v>
      </c>
      <c r="AF86" s="69">
        <v>8000.0</v>
      </c>
      <c r="AG86" s="68">
        <f t="shared" si="6"/>
        <v>13114.7541</v>
      </c>
      <c r="AH86" s="70">
        <f t="shared" si="7"/>
        <v>16000</v>
      </c>
      <c r="AI86" s="71"/>
      <c r="AJ86" s="71"/>
      <c r="AK86" s="71"/>
      <c r="AL86" s="71"/>
    </row>
    <row r="87">
      <c r="A87" s="57" t="s">
        <v>460</v>
      </c>
      <c r="B87" s="58" t="s">
        <v>17</v>
      </c>
      <c r="C87" s="58" t="s">
        <v>19</v>
      </c>
      <c r="D87" s="58" t="s">
        <v>101</v>
      </c>
      <c r="E87" s="58" t="s">
        <v>163</v>
      </c>
      <c r="F87" s="58" t="s">
        <v>103</v>
      </c>
      <c r="G87" s="59">
        <v>46045.0</v>
      </c>
      <c r="H87" s="58" t="s">
        <v>104</v>
      </c>
      <c r="I87" s="60" t="s">
        <v>461</v>
      </c>
      <c r="J87" s="61" t="s">
        <v>462</v>
      </c>
      <c r="K87" s="61" t="s">
        <v>463</v>
      </c>
      <c r="L87" s="61" t="s">
        <v>464</v>
      </c>
      <c r="M87" s="58">
        <v>2019.0</v>
      </c>
      <c r="N87" s="58">
        <v>20.0</v>
      </c>
      <c r="O87" s="62">
        <v>81.0</v>
      </c>
      <c r="P87" s="62">
        <f t="shared" si="1"/>
        <v>226.8</v>
      </c>
      <c r="Q87" s="63">
        <v>4.0</v>
      </c>
      <c r="R87" s="58">
        <v>0.0</v>
      </c>
      <c r="S87" s="58">
        <v>1.0</v>
      </c>
      <c r="T87" s="58">
        <v>4.0</v>
      </c>
      <c r="U87" s="58">
        <v>2.0</v>
      </c>
      <c r="V87" s="58" t="s">
        <v>75</v>
      </c>
      <c r="W87" s="61" t="s">
        <v>76</v>
      </c>
      <c r="X87" s="28" t="s">
        <v>1033</v>
      </c>
      <c r="Y87" s="64">
        <v>31.0</v>
      </c>
      <c r="Z87" s="65">
        <f t="shared" si="2"/>
        <v>80.6</v>
      </c>
      <c r="AA87" s="65">
        <f t="shared" si="3"/>
        <v>18280.08</v>
      </c>
      <c r="AB87" s="65">
        <f t="shared" si="4"/>
        <v>1750.539385</v>
      </c>
      <c r="AC87" s="66">
        <v>1.0</v>
      </c>
      <c r="AD87" s="70"/>
      <c r="AE87" s="68">
        <f t="shared" si="5"/>
        <v>6557.377049</v>
      </c>
      <c r="AF87" s="69">
        <v>8000.0</v>
      </c>
      <c r="AG87" s="68">
        <f t="shared" si="6"/>
        <v>26229.5082</v>
      </c>
      <c r="AH87" s="70">
        <f t="shared" si="7"/>
        <v>32000</v>
      </c>
      <c r="AI87" s="71"/>
      <c r="AJ87" s="71"/>
      <c r="AK87" s="71"/>
      <c r="AL87" s="71"/>
    </row>
    <row r="88">
      <c r="A88" s="57" t="s">
        <v>465</v>
      </c>
      <c r="B88" s="58" t="s">
        <v>17</v>
      </c>
      <c r="C88" s="58" t="s">
        <v>19</v>
      </c>
      <c r="D88" s="58" t="s">
        <v>116</v>
      </c>
      <c r="E88" s="58" t="s">
        <v>117</v>
      </c>
      <c r="F88" s="58" t="s">
        <v>103</v>
      </c>
      <c r="G88" s="59">
        <v>46069.0</v>
      </c>
      <c r="H88" s="58" t="s">
        <v>104</v>
      </c>
      <c r="I88" s="60" t="s">
        <v>466</v>
      </c>
      <c r="J88" s="61" t="s">
        <v>467</v>
      </c>
      <c r="K88" s="61" t="s">
        <v>468</v>
      </c>
      <c r="L88" s="61" t="s">
        <v>469</v>
      </c>
      <c r="M88" s="58">
        <v>2025.0</v>
      </c>
      <c r="N88" s="58">
        <v>16.0</v>
      </c>
      <c r="O88" s="62">
        <v>193.0</v>
      </c>
      <c r="P88" s="62">
        <f t="shared" si="1"/>
        <v>540.4</v>
      </c>
      <c r="Q88" s="63">
        <v>4.0</v>
      </c>
      <c r="R88" s="58">
        <v>0.0</v>
      </c>
      <c r="S88" s="58">
        <v>2.0</v>
      </c>
      <c r="T88" s="58">
        <v>4.0</v>
      </c>
      <c r="U88" s="58">
        <v>4.0</v>
      </c>
      <c r="V88" s="58" t="s">
        <v>75</v>
      </c>
      <c r="W88" s="61" t="s">
        <v>76</v>
      </c>
      <c r="X88" s="28" t="s">
        <v>1033</v>
      </c>
      <c r="Y88" s="64">
        <v>31.0</v>
      </c>
      <c r="Z88" s="65">
        <f t="shared" si="2"/>
        <v>40.3</v>
      </c>
      <c r="AA88" s="65">
        <f t="shared" si="3"/>
        <v>21778.12</v>
      </c>
      <c r="AB88" s="65">
        <f t="shared" si="4"/>
        <v>1469.364665</v>
      </c>
      <c r="AC88" s="66">
        <v>1.0</v>
      </c>
      <c r="AD88" s="70"/>
      <c r="AE88" s="68">
        <f t="shared" si="5"/>
        <v>6557.377049</v>
      </c>
      <c r="AF88" s="69">
        <v>8000.0</v>
      </c>
      <c r="AG88" s="68">
        <f t="shared" si="6"/>
        <v>26229.5082</v>
      </c>
      <c r="AH88" s="70">
        <f t="shared" si="7"/>
        <v>32000</v>
      </c>
      <c r="AI88" s="71"/>
      <c r="AJ88" s="71"/>
      <c r="AK88" s="71"/>
      <c r="AL88" s="71"/>
    </row>
    <row r="89">
      <c r="A89" s="57" t="s">
        <v>465</v>
      </c>
      <c r="B89" s="58" t="s">
        <v>17</v>
      </c>
      <c r="C89" s="58" t="s">
        <v>19</v>
      </c>
      <c r="D89" s="58" t="s">
        <v>116</v>
      </c>
      <c r="E89" s="58" t="s">
        <v>117</v>
      </c>
      <c r="F89" s="58" t="s">
        <v>103</v>
      </c>
      <c r="G89" s="59">
        <v>46069.0</v>
      </c>
      <c r="H89" s="58" t="s">
        <v>104</v>
      </c>
      <c r="I89" s="60" t="s">
        <v>466</v>
      </c>
      <c r="J89" s="61" t="s">
        <v>470</v>
      </c>
      <c r="K89" s="61" t="s">
        <v>471</v>
      </c>
      <c r="L89" s="61" t="s">
        <v>472</v>
      </c>
      <c r="M89" s="58">
        <v>2022.0</v>
      </c>
      <c r="N89" s="58">
        <v>16.0</v>
      </c>
      <c r="O89" s="62">
        <v>220.0</v>
      </c>
      <c r="P89" s="62">
        <f t="shared" si="1"/>
        <v>616</v>
      </c>
      <c r="Q89" s="63">
        <v>3.0</v>
      </c>
      <c r="R89" s="58">
        <v>0.0</v>
      </c>
      <c r="S89" s="58">
        <v>3.0</v>
      </c>
      <c r="T89" s="58">
        <v>3.0</v>
      </c>
      <c r="U89" s="58">
        <v>3.0</v>
      </c>
      <c r="V89" s="58" t="s">
        <v>130</v>
      </c>
      <c r="W89" s="61" t="s">
        <v>76</v>
      </c>
      <c r="X89" s="28" t="s">
        <v>1033</v>
      </c>
      <c r="Y89" s="64">
        <v>31.0</v>
      </c>
      <c r="Z89" s="65">
        <f t="shared" si="2"/>
        <v>40.3</v>
      </c>
      <c r="AA89" s="65">
        <f t="shared" si="3"/>
        <v>24824.8</v>
      </c>
      <c r="AB89" s="65">
        <f t="shared" si="4"/>
        <v>966.7751603</v>
      </c>
      <c r="AC89" s="66">
        <v>1.0</v>
      </c>
      <c r="AD89" s="70"/>
      <c r="AE89" s="68">
        <f t="shared" si="5"/>
        <v>6557.377049</v>
      </c>
      <c r="AF89" s="69">
        <v>8000.0</v>
      </c>
      <c r="AG89" s="68">
        <f t="shared" si="6"/>
        <v>19672.13115</v>
      </c>
      <c r="AH89" s="70">
        <f t="shared" si="7"/>
        <v>24000</v>
      </c>
      <c r="AI89" s="71"/>
      <c r="AJ89" s="71"/>
      <c r="AK89" s="71"/>
      <c r="AL89" s="71"/>
    </row>
    <row r="90">
      <c r="A90" s="57" t="s">
        <v>465</v>
      </c>
      <c r="B90" s="58" t="s">
        <v>17</v>
      </c>
      <c r="C90" s="58" t="s">
        <v>19</v>
      </c>
      <c r="D90" s="58" t="s">
        <v>116</v>
      </c>
      <c r="E90" s="58" t="s">
        <v>117</v>
      </c>
      <c r="F90" s="58" t="s">
        <v>103</v>
      </c>
      <c r="G90" s="59">
        <v>46069.0</v>
      </c>
      <c r="H90" s="58" t="s">
        <v>104</v>
      </c>
      <c r="I90" s="60" t="s">
        <v>466</v>
      </c>
      <c r="J90" s="61" t="s">
        <v>473</v>
      </c>
      <c r="K90" s="61" t="s">
        <v>474</v>
      </c>
      <c r="L90" s="61" t="s">
        <v>475</v>
      </c>
      <c r="M90" s="58">
        <v>2018.0</v>
      </c>
      <c r="N90" s="58">
        <v>16.0</v>
      </c>
      <c r="O90" s="62">
        <v>258.0</v>
      </c>
      <c r="P90" s="62">
        <f t="shared" si="1"/>
        <v>722.4</v>
      </c>
      <c r="Q90" s="63">
        <v>3.0</v>
      </c>
      <c r="R90" s="58">
        <v>0.0</v>
      </c>
      <c r="S90" s="58">
        <v>3.0</v>
      </c>
      <c r="T90" s="58">
        <v>3.0</v>
      </c>
      <c r="U90" s="58">
        <v>3.0</v>
      </c>
      <c r="V90" s="58" t="s">
        <v>130</v>
      </c>
      <c r="W90" s="61" t="s">
        <v>76</v>
      </c>
      <c r="X90" s="28" t="s">
        <v>1033</v>
      </c>
      <c r="Y90" s="64">
        <v>31.0</v>
      </c>
      <c r="Z90" s="65">
        <f t="shared" si="2"/>
        <v>40.3</v>
      </c>
      <c r="AA90" s="65">
        <f t="shared" si="3"/>
        <v>29112.72</v>
      </c>
      <c r="AB90" s="65">
        <f t="shared" si="4"/>
        <v>824.3819197</v>
      </c>
      <c r="AC90" s="66">
        <v>1.0</v>
      </c>
      <c r="AD90" s="67"/>
      <c r="AE90" s="68">
        <f t="shared" si="5"/>
        <v>6557.377049</v>
      </c>
      <c r="AF90" s="69">
        <v>8000.0</v>
      </c>
      <c r="AG90" s="68">
        <f t="shared" si="6"/>
        <v>19672.13115</v>
      </c>
      <c r="AH90" s="70">
        <f t="shared" si="7"/>
        <v>24000</v>
      </c>
      <c r="AI90" s="71"/>
      <c r="AJ90" s="71"/>
      <c r="AK90" s="71"/>
      <c r="AL90" s="71"/>
    </row>
    <row r="91">
      <c r="A91" s="57" t="s">
        <v>476</v>
      </c>
      <c r="B91" s="58" t="s">
        <v>17</v>
      </c>
      <c r="C91" s="58" t="s">
        <v>19</v>
      </c>
      <c r="D91" s="58" t="s">
        <v>61</v>
      </c>
      <c r="E91" s="58" t="s">
        <v>316</v>
      </c>
      <c r="F91" s="58" t="s">
        <v>103</v>
      </c>
      <c r="G91" s="59">
        <v>46073.0</v>
      </c>
      <c r="H91" s="58" t="s">
        <v>104</v>
      </c>
      <c r="I91" s="60" t="s">
        <v>477</v>
      </c>
      <c r="J91" s="61" t="s">
        <v>478</v>
      </c>
      <c r="K91" s="61" t="s">
        <v>479</v>
      </c>
      <c r="L91" s="61" t="s">
        <v>480</v>
      </c>
      <c r="M91" s="58">
        <v>2021.0</v>
      </c>
      <c r="N91" s="58">
        <v>24.0</v>
      </c>
      <c r="O91" s="62">
        <v>479.0</v>
      </c>
      <c r="P91" s="62">
        <f t="shared" si="1"/>
        <v>1341.2</v>
      </c>
      <c r="Q91" s="63">
        <v>10.0</v>
      </c>
      <c r="R91" s="58">
        <v>0.0</v>
      </c>
      <c r="S91" s="58">
        <v>8.0</v>
      </c>
      <c r="T91" s="58">
        <v>10.0</v>
      </c>
      <c r="U91" s="58">
        <v>12.0</v>
      </c>
      <c r="V91" s="58" t="s">
        <v>75</v>
      </c>
      <c r="W91" s="61" t="s">
        <v>76</v>
      </c>
      <c r="X91" s="28" t="s">
        <v>1033</v>
      </c>
      <c r="Y91" s="64">
        <v>31.0</v>
      </c>
      <c r="Z91" s="65">
        <f t="shared" si="2"/>
        <v>33.58333333</v>
      </c>
      <c r="AA91" s="65">
        <f t="shared" si="3"/>
        <v>45041.96667</v>
      </c>
      <c r="AB91" s="65">
        <f t="shared" si="4"/>
        <v>1776.12138</v>
      </c>
      <c r="AC91" s="66">
        <v>1.0</v>
      </c>
      <c r="AD91" s="67"/>
      <c r="AE91" s="68">
        <f t="shared" si="5"/>
        <v>6557.377049</v>
      </c>
      <c r="AF91" s="69">
        <v>8000.0</v>
      </c>
      <c r="AG91" s="68">
        <f t="shared" si="6"/>
        <v>65573.77049</v>
      </c>
      <c r="AH91" s="70">
        <f t="shared" si="7"/>
        <v>80000</v>
      </c>
      <c r="AI91" s="71"/>
      <c r="AJ91" s="71"/>
      <c r="AK91" s="71"/>
      <c r="AL91" s="71"/>
    </row>
    <row r="92">
      <c r="A92" s="57" t="s">
        <v>481</v>
      </c>
      <c r="B92" s="58" t="s">
        <v>17</v>
      </c>
      <c r="C92" s="58" t="s">
        <v>19</v>
      </c>
      <c r="D92" s="58" t="s">
        <v>61</v>
      </c>
      <c r="E92" s="58" t="s">
        <v>316</v>
      </c>
      <c r="F92" s="58" t="s">
        <v>103</v>
      </c>
      <c r="G92" s="59">
        <v>46112.0</v>
      </c>
      <c r="H92" s="58" t="s">
        <v>104</v>
      </c>
      <c r="I92" s="60" t="s">
        <v>482</v>
      </c>
      <c r="J92" s="61" t="s">
        <v>483</v>
      </c>
      <c r="K92" s="61" t="s">
        <v>484</v>
      </c>
      <c r="L92" s="61" t="s">
        <v>485</v>
      </c>
      <c r="M92" s="58">
        <v>2025.0</v>
      </c>
      <c r="N92" s="58">
        <v>25.0</v>
      </c>
      <c r="O92" s="62">
        <v>270.0</v>
      </c>
      <c r="P92" s="62">
        <f t="shared" si="1"/>
        <v>756</v>
      </c>
      <c r="Q92" s="63">
        <v>3.0</v>
      </c>
      <c r="R92" s="58">
        <v>0.0</v>
      </c>
      <c r="S92" s="58">
        <v>1.0</v>
      </c>
      <c r="T92" s="58">
        <v>3.0</v>
      </c>
      <c r="U92" s="58">
        <v>3.0</v>
      </c>
      <c r="V92" s="58" t="s">
        <v>75</v>
      </c>
      <c r="W92" s="61" t="s">
        <v>76</v>
      </c>
      <c r="X92" s="28" t="s">
        <v>1033</v>
      </c>
      <c r="Y92" s="64">
        <v>31.0</v>
      </c>
      <c r="Z92" s="65">
        <f t="shared" si="2"/>
        <v>40.3</v>
      </c>
      <c r="AA92" s="65">
        <f t="shared" si="3"/>
        <v>30466.8</v>
      </c>
      <c r="AB92" s="65">
        <f t="shared" si="4"/>
        <v>787.7427232</v>
      </c>
      <c r="AC92" s="66">
        <v>1.0</v>
      </c>
      <c r="AD92" s="70"/>
      <c r="AE92" s="68">
        <f t="shared" si="5"/>
        <v>6557.377049</v>
      </c>
      <c r="AF92" s="69">
        <v>8000.0</v>
      </c>
      <c r="AG92" s="68">
        <f t="shared" si="6"/>
        <v>19672.13115</v>
      </c>
      <c r="AH92" s="70">
        <f t="shared" si="7"/>
        <v>24000</v>
      </c>
      <c r="AI92" s="71"/>
      <c r="AJ92" s="71"/>
      <c r="AK92" s="71"/>
      <c r="AL92" s="71"/>
    </row>
    <row r="93">
      <c r="A93" s="57" t="s">
        <v>481</v>
      </c>
      <c r="B93" s="58" t="s">
        <v>17</v>
      </c>
      <c r="C93" s="58" t="s">
        <v>19</v>
      </c>
      <c r="D93" s="58" t="s">
        <v>61</v>
      </c>
      <c r="E93" s="58" t="s">
        <v>316</v>
      </c>
      <c r="F93" s="58" t="s">
        <v>103</v>
      </c>
      <c r="G93" s="59">
        <v>46112.0</v>
      </c>
      <c r="H93" s="58" t="s">
        <v>104</v>
      </c>
      <c r="I93" s="60" t="s">
        <v>482</v>
      </c>
      <c r="J93" s="61" t="s">
        <v>486</v>
      </c>
      <c r="K93" s="61" t="s">
        <v>487</v>
      </c>
      <c r="L93" s="61" t="s">
        <v>488</v>
      </c>
      <c r="M93" s="58">
        <v>2025.0</v>
      </c>
      <c r="N93" s="58">
        <v>25.0</v>
      </c>
      <c r="O93" s="62">
        <v>269.0</v>
      </c>
      <c r="P93" s="62">
        <f t="shared" si="1"/>
        <v>753.2</v>
      </c>
      <c r="Q93" s="63">
        <v>3.0</v>
      </c>
      <c r="R93" s="58">
        <v>0.0</v>
      </c>
      <c r="S93" s="58">
        <v>1.0</v>
      </c>
      <c r="T93" s="58">
        <v>3.0</v>
      </c>
      <c r="U93" s="58">
        <v>3.0</v>
      </c>
      <c r="V93" s="58" t="s">
        <v>75</v>
      </c>
      <c r="W93" s="61" t="s">
        <v>76</v>
      </c>
      <c r="X93" s="28" t="s">
        <v>1033</v>
      </c>
      <c r="Y93" s="64">
        <v>31.0</v>
      </c>
      <c r="Z93" s="65">
        <f t="shared" si="2"/>
        <v>40.3</v>
      </c>
      <c r="AA93" s="65">
        <f t="shared" si="3"/>
        <v>30353.96</v>
      </c>
      <c r="AB93" s="65">
        <f t="shared" si="4"/>
        <v>790.6711348</v>
      </c>
      <c r="AC93" s="66">
        <v>1.0</v>
      </c>
      <c r="AD93" s="70"/>
      <c r="AE93" s="68">
        <f t="shared" si="5"/>
        <v>6557.377049</v>
      </c>
      <c r="AF93" s="69">
        <v>8000.0</v>
      </c>
      <c r="AG93" s="68">
        <f t="shared" si="6"/>
        <v>19672.13115</v>
      </c>
      <c r="AH93" s="70">
        <f t="shared" si="7"/>
        <v>24000</v>
      </c>
      <c r="AI93" s="71"/>
      <c r="AJ93" s="71"/>
      <c r="AK93" s="71"/>
      <c r="AL93" s="71"/>
    </row>
    <row r="94">
      <c r="A94" s="57" t="s">
        <v>481</v>
      </c>
      <c r="B94" s="58" t="s">
        <v>17</v>
      </c>
      <c r="C94" s="58" t="s">
        <v>19</v>
      </c>
      <c r="D94" s="58" t="s">
        <v>61</v>
      </c>
      <c r="E94" s="58" t="s">
        <v>316</v>
      </c>
      <c r="F94" s="58" t="s">
        <v>103</v>
      </c>
      <c r="G94" s="59">
        <v>46112.0</v>
      </c>
      <c r="H94" s="58" t="s">
        <v>104</v>
      </c>
      <c r="I94" s="60" t="s">
        <v>482</v>
      </c>
      <c r="J94" s="61" t="s">
        <v>489</v>
      </c>
      <c r="K94" s="61" t="s">
        <v>490</v>
      </c>
      <c r="L94" s="61" t="s">
        <v>491</v>
      </c>
      <c r="M94" s="58">
        <v>2022.0</v>
      </c>
      <c r="N94" s="58">
        <v>25.0</v>
      </c>
      <c r="O94" s="62">
        <v>269.0</v>
      </c>
      <c r="P94" s="62">
        <f t="shared" si="1"/>
        <v>753.2</v>
      </c>
      <c r="Q94" s="63">
        <v>3.0</v>
      </c>
      <c r="R94" s="58">
        <v>0.0</v>
      </c>
      <c r="S94" s="58">
        <v>1.0</v>
      </c>
      <c r="T94" s="58">
        <v>3.0</v>
      </c>
      <c r="U94" s="58">
        <v>3.0</v>
      </c>
      <c r="V94" s="58" t="s">
        <v>75</v>
      </c>
      <c r="W94" s="61" t="s">
        <v>76</v>
      </c>
      <c r="X94" s="28" t="s">
        <v>1033</v>
      </c>
      <c r="Y94" s="64">
        <v>31.0</v>
      </c>
      <c r="Z94" s="65">
        <f t="shared" si="2"/>
        <v>40.3</v>
      </c>
      <c r="AA94" s="65">
        <f t="shared" si="3"/>
        <v>30353.96</v>
      </c>
      <c r="AB94" s="65">
        <f t="shared" si="4"/>
        <v>790.6711348</v>
      </c>
      <c r="AC94" s="66">
        <v>1.0</v>
      </c>
      <c r="AD94" s="70"/>
      <c r="AE94" s="68">
        <f t="shared" si="5"/>
        <v>6557.377049</v>
      </c>
      <c r="AF94" s="69">
        <v>8000.0</v>
      </c>
      <c r="AG94" s="68">
        <f t="shared" si="6"/>
        <v>19672.13115</v>
      </c>
      <c r="AH94" s="70">
        <f t="shared" si="7"/>
        <v>24000</v>
      </c>
      <c r="AI94" s="71"/>
      <c r="AJ94" s="71"/>
      <c r="AK94" s="71"/>
      <c r="AL94" s="71"/>
    </row>
    <row r="95">
      <c r="A95" s="57" t="s">
        <v>492</v>
      </c>
      <c r="B95" s="58" t="s">
        <v>17</v>
      </c>
      <c r="C95" s="58" t="s">
        <v>19</v>
      </c>
      <c r="D95" s="58" t="s">
        <v>61</v>
      </c>
      <c r="E95" s="58" t="s">
        <v>316</v>
      </c>
      <c r="F95" s="58" t="s">
        <v>103</v>
      </c>
      <c r="G95" s="59">
        <v>46167.0</v>
      </c>
      <c r="H95" s="58" t="s">
        <v>104</v>
      </c>
      <c r="I95" s="60" t="s">
        <v>493</v>
      </c>
      <c r="J95" s="61" t="s">
        <v>494</v>
      </c>
      <c r="K95" s="61" t="s">
        <v>495</v>
      </c>
      <c r="L95" s="61" t="s">
        <v>496</v>
      </c>
      <c r="M95" s="58">
        <v>2025.0</v>
      </c>
      <c r="N95" s="58">
        <v>25.0</v>
      </c>
      <c r="O95" s="62">
        <v>270.0</v>
      </c>
      <c r="P95" s="62">
        <f t="shared" si="1"/>
        <v>756</v>
      </c>
      <c r="Q95" s="63">
        <v>3.0</v>
      </c>
      <c r="R95" s="58">
        <v>0.0</v>
      </c>
      <c r="S95" s="58">
        <v>1.0</v>
      </c>
      <c r="T95" s="58">
        <v>3.0</v>
      </c>
      <c r="U95" s="58">
        <v>3.0</v>
      </c>
      <c r="V95" s="58" t="s">
        <v>130</v>
      </c>
      <c r="W95" s="61" t="s">
        <v>76</v>
      </c>
      <c r="X95" s="28" t="s">
        <v>1033</v>
      </c>
      <c r="Y95" s="64">
        <v>31.0</v>
      </c>
      <c r="Z95" s="65">
        <f t="shared" si="2"/>
        <v>40.3</v>
      </c>
      <c r="AA95" s="65">
        <f t="shared" si="3"/>
        <v>30466.8</v>
      </c>
      <c r="AB95" s="65">
        <f t="shared" si="4"/>
        <v>787.7427232</v>
      </c>
      <c r="AC95" s="66">
        <v>1.0</v>
      </c>
      <c r="AD95" s="67"/>
      <c r="AE95" s="68">
        <f t="shared" si="5"/>
        <v>6557.377049</v>
      </c>
      <c r="AF95" s="69">
        <v>8000.0</v>
      </c>
      <c r="AG95" s="68">
        <f t="shared" si="6"/>
        <v>19672.13115</v>
      </c>
      <c r="AH95" s="70">
        <f t="shared" si="7"/>
        <v>24000</v>
      </c>
      <c r="AI95" s="71"/>
      <c r="AJ95" s="71"/>
      <c r="AK95" s="71"/>
      <c r="AL95" s="71"/>
    </row>
    <row r="96">
      <c r="A96" s="57" t="s">
        <v>497</v>
      </c>
      <c r="B96" s="58" t="s">
        <v>17</v>
      </c>
      <c r="C96" s="58" t="s">
        <v>19</v>
      </c>
      <c r="D96" s="58" t="s">
        <v>61</v>
      </c>
      <c r="E96" s="58" t="s">
        <v>316</v>
      </c>
      <c r="F96" s="58" t="s">
        <v>103</v>
      </c>
      <c r="G96" s="59">
        <v>46224.0</v>
      </c>
      <c r="H96" s="58" t="s">
        <v>104</v>
      </c>
      <c r="I96" s="60" t="s">
        <v>498</v>
      </c>
      <c r="J96" s="61" t="s">
        <v>499</v>
      </c>
      <c r="K96" s="61" t="s">
        <v>500</v>
      </c>
      <c r="L96" s="61" t="s">
        <v>501</v>
      </c>
      <c r="M96" s="58">
        <v>2025.0</v>
      </c>
      <c r="N96" s="58">
        <v>25.0</v>
      </c>
      <c r="O96" s="62">
        <v>289.0</v>
      </c>
      <c r="P96" s="62">
        <f t="shared" si="1"/>
        <v>809.2</v>
      </c>
      <c r="Q96" s="63">
        <v>3.0</v>
      </c>
      <c r="R96" s="58">
        <v>0.0</v>
      </c>
      <c r="S96" s="58">
        <v>1.0</v>
      </c>
      <c r="T96" s="58">
        <v>3.0</v>
      </c>
      <c r="U96" s="58">
        <v>3.0</v>
      </c>
      <c r="V96" s="58" t="s">
        <v>130</v>
      </c>
      <c r="W96" s="61" t="s">
        <v>76</v>
      </c>
      <c r="X96" s="28" t="s">
        <v>1033</v>
      </c>
      <c r="Y96" s="64">
        <v>31.0</v>
      </c>
      <c r="Z96" s="65">
        <f t="shared" si="2"/>
        <v>40.3</v>
      </c>
      <c r="AA96" s="65">
        <f t="shared" si="3"/>
        <v>32610.76</v>
      </c>
      <c r="AB96" s="65">
        <f t="shared" si="4"/>
        <v>735.9534092</v>
      </c>
      <c r="AC96" s="66">
        <v>1.0</v>
      </c>
      <c r="AD96" s="67"/>
      <c r="AE96" s="68">
        <f t="shared" si="5"/>
        <v>6557.377049</v>
      </c>
      <c r="AF96" s="69">
        <v>8000.0</v>
      </c>
      <c r="AG96" s="68">
        <f t="shared" si="6"/>
        <v>19672.13115</v>
      </c>
      <c r="AH96" s="70">
        <f t="shared" si="7"/>
        <v>24000</v>
      </c>
      <c r="AI96" s="71"/>
      <c r="AJ96" s="71"/>
      <c r="AK96" s="71"/>
      <c r="AL96" s="71"/>
    </row>
    <row r="97">
      <c r="A97" s="57" t="s">
        <v>497</v>
      </c>
      <c r="B97" s="58" t="s">
        <v>17</v>
      </c>
      <c r="C97" s="58" t="s">
        <v>19</v>
      </c>
      <c r="D97" s="58" t="s">
        <v>61</v>
      </c>
      <c r="E97" s="58" t="s">
        <v>316</v>
      </c>
      <c r="F97" s="58" t="s">
        <v>103</v>
      </c>
      <c r="G97" s="59">
        <v>46224.0</v>
      </c>
      <c r="H97" s="58" t="s">
        <v>104</v>
      </c>
      <c r="I97" s="60" t="s">
        <v>498</v>
      </c>
      <c r="J97" s="61" t="s">
        <v>502</v>
      </c>
      <c r="K97" s="61" t="s">
        <v>503</v>
      </c>
      <c r="L97" s="61" t="s">
        <v>504</v>
      </c>
      <c r="M97" s="58">
        <v>2024.0</v>
      </c>
      <c r="N97" s="58">
        <v>25.0</v>
      </c>
      <c r="O97" s="62">
        <v>289.0</v>
      </c>
      <c r="P97" s="62">
        <f t="shared" si="1"/>
        <v>809.2</v>
      </c>
      <c r="Q97" s="63">
        <v>3.0</v>
      </c>
      <c r="R97" s="58">
        <v>0.0</v>
      </c>
      <c r="S97" s="58">
        <v>1.0</v>
      </c>
      <c r="T97" s="58">
        <v>3.0</v>
      </c>
      <c r="U97" s="58">
        <v>3.0</v>
      </c>
      <c r="V97" s="58" t="s">
        <v>130</v>
      </c>
      <c r="W97" s="61" t="s">
        <v>76</v>
      </c>
      <c r="X97" s="28" t="s">
        <v>1033</v>
      </c>
      <c r="Y97" s="64">
        <v>31.0</v>
      </c>
      <c r="Z97" s="65">
        <f t="shared" si="2"/>
        <v>40.3</v>
      </c>
      <c r="AA97" s="65">
        <f t="shared" si="3"/>
        <v>32610.76</v>
      </c>
      <c r="AB97" s="65">
        <f t="shared" si="4"/>
        <v>735.9534092</v>
      </c>
      <c r="AC97" s="66">
        <v>1.0</v>
      </c>
      <c r="AD97" s="67"/>
      <c r="AE97" s="68">
        <f t="shared" si="5"/>
        <v>6557.377049</v>
      </c>
      <c r="AF97" s="69">
        <v>8000.0</v>
      </c>
      <c r="AG97" s="68">
        <f t="shared" si="6"/>
        <v>19672.13115</v>
      </c>
      <c r="AH97" s="70">
        <f t="shared" si="7"/>
        <v>24000</v>
      </c>
      <c r="AI97" s="71"/>
      <c r="AJ97" s="71"/>
      <c r="AK97" s="71"/>
      <c r="AL97" s="71"/>
    </row>
    <row r="98">
      <c r="A98" s="57" t="s">
        <v>497</v>
      </c>
      <c r="B98" s="58" t="s">
        <v>17</v>
      </c>
      <c r="C98" s="58" t="s">
        <v>19</v>
      </c>
      <c r="D98" s="58" t="s">
        <v>61</v>
      </c>
      <c r="E98" s="58" t="s">
        <v>316</v>
      </c>
      <c r="F98" s="58" t="s">
        <v>103</v>
      </c>
      <c r="G98" s="59">
        <v>46224.0</v>
      </c>
      <c r="H98" s="58" t="s">
        <v>104</v>
      </c>
      <c r="I98" s="60" t="s">
        <v>498</v>
      </c>
      <c r="J98" s="61" t="s">
        <v>505</v>
      </c>
      <c r="K98" s="61" t="s">
        <v>506</v>
      </c>
      <c r="L98" s="61" t="s">
        <v>507</v>
      </c>
      <c r="M98" s="58">
        <v>2024.0</v>
      </c>
      <c r="N98" s="58">
        <v>18.0</v>
      </c>
      <c r="O98" s="62">
        <v>186.0</v>
      </c>
      <c r="P98" s="62">
        <f t="shared" si="1"/>
        <v>520.8</v>
      </c>
      <c r="Q98" s="63">
        <v>2.0</v>
      </c>
      <c r="R98" s="58">
        <v>0.0</v>
      </c>
      <c r="S98" s="58">
        <v>1.0</v>
      </c>
      <c r="T98" s="58">
        <v>2.0</v>
      </c>
      <c r="U98" s="58">
        <v>3.0</v>
      </c>
      <c r="V98" s="58" t="s">
        <v>130</v>
      </c>
      <c r="W98" s="61" t="s">
        <v>76</v>
      </c>
      <c r="X98" s="28" t="s">
        <v>1033</v>
      </c>
      <c r="Y98" s="64">
        <v>31.0</v>
      </c>
      <c r="Z98" s="65">
        <f t="shared" si="2"/>
        <v>26.86666667</v>
      </c>
      <c r="AA98" s="65">
        <f t="shared" si="3"/>
        <v>13992.16</v>
      </c>
      <c r="AB98" s="65">
        <f t="shared" si="4"/>
        <v>1143.497501</v>
      </c>
      <c r="AC98" s="66">
        <v>1.0</v>
      </c>
      <c r="AD98" s="67"/>
      <c r="AE98" s="68">
        <f t="shared" si="5"/>
        <v>6557.377049</v>
      </c>
      <c r="AF98" s="69">
        <v>8000.0</v>
      </c>
      <c r="AG98" s="68">
        <f t="shared" si="6"/>
        <v>13114.7541</v>
      </c>
      <c r="AH98" s="70">
        <f t="shared" si="7"/>
        <v>16000</v>
      </c>
      <c r="AI98" s="71"/>
      <c r="AJ98" s="71"/>
      <c r="AK98" s="71"/>
      <c r="AL98" s="71"/>
    </row>
    <row r="99">
      <c r="A99" s="57" t="s">
        <v>497</v>
      </c>
      <c r="B99" s="58" t="s">
        <v>17</v>
      </c>
      <c r="C99" s="58" t="s">
        <v>19</v>
      </c>
      <c r="D99" s="58" t="s">
        <v>61</v>
      </c>
      <c r="E99" s="58" t="s">
        <v>316</v>
      </c>
      <c r="F99" s="58" t="s">
        <v>103</v>
      </c>
      <c r="G99" s="59">
        <v>46224.0</v>
      </c>
      <c r="H99" s="58" t="s">
        <v>104</v>
      </c>
      <c r="I99" s="58" t="s">
        <v>498</v>
      </c>
      <c r="J99" s="61" t="s">
        <v>508</v>
      </c>
      <c r="K99" s="61" t="s">
        <v>509</v>
      </c>
      <c r="L99" s="61" t="s">
        <v>510</v>
      </c>
      <c r="M99" s="58">
        <v>2024.0</v>
      </c>
      <c r="N99" s="58">
        <v>17.0</v>
      </c>
      <c r="O99" s="62">
        <v>186.0</v>
      </c>
      <c r="P99" s="62">
        <f t="shared" si="1"/>
        <v>520.8</v>
      </c>
      <c r="Q99" s="63">
        <v>2.0</v>
      </c>
      <c r="R99" s="58">
        <v>0.0</v>
      </c>
      <c r="S99" s="58">
        <v>1.0</v>
      </c>
      <c r="T99" s="58">
        <v>2.0</v>
      </c>
      <c r="U99" s="58">
        <v>2.0</v>
      </c>
      <c r="V99" s="58" t="s">
        <v>130</v>
      </c>
      <c r="W99" s="61" t="s">
        <v>76</v>
      </c>
      <c r="X99" s="28" t="s">
        <v>1033</v>
      </c>
      <c r="Y99" s="64">
        <v>31.0</v>
      </c>
      <c r="Z99" s="65">
        <f t="shared" si="2"/>
        <v>40.3</v>
      </c>
      <c r="AA99" s="65">
        <f t="shared" si="3"/>
        <v>20988.24</v>
      </c>
      <c r="AB99" s="65">
        <f t="shared" si="4"/>
        <v>762.3316676</v>
      </c>
      <c r="AC99" s="66">
        <v>1.0</v>
      </c>
      <c r="AD99" s="67"/>
      <c r="AE99" s="68">
        <f t="shared" si="5"/>
        <v>6557.377049</v>
      </c>
      <c r="AF99" s="69">
        <v>8000.0</v>
      </c>
      <c r="AG99" s="68">
        <f t="shared" si="6"/>
        <v>13114.7541</v>
      </c>
      <c r="AH99" s="70">
        <f t="shared" si="7"/>
        <v>16000</v>
      </c>
      <c r="AI99" s="71"/>
      <c r="AJ99" s="71"/>
      <c r="AK99" s="71"/>
      <c r="AL99" s="71"/>
    </row>
    <row r="100">
      <c r="A100" s="57" t="s">
        <v>511</v>
      </c>
      <c r="B100" s="58" t="s">
        <v>17</v>
      </c>
      <c r="C100" s="58" t="s">
        <v>19</v>
      </c>
      <c r="D100" s="58" t="s">
        <v>101</v>
      </c>
      <c r="E100" s="58" t="s">
        <v>102</v>
      </c>
      <c r="F100" s="58" t="s">
        <v>63</v>
      </c>
      <c r="G100" s="59">
        <v>46092.0</v>
      </c>
      <c r="H100" s="58" t="s">
        <v>104</v>
      </c>
      <c r="I100" s="60" t="s">
        <v>512</v>
      </c>
      <c r="J100" s="61" t="s">
        <v>513</v>
      </c>
      <c r="K100" s="61" t="s">
        <v>514</v>
      </c>
      <c r="L100" s="61" t="s">
        <v>515</v>
      </c>
      <c r="M100" s="58">
        <v>2020.0</v>
      </c>
      <c r="N100" s="58">
        <v>25.0</v>
      </c>
      <c r="O100" s="62">
        <v>936.0</v>
      </c>
      <c r="P100" s="62">
        <f t="shared" si="1"/>
        <v>2620.8</v>
      </c>
      <c r="Q100" s="63">
        <v>8.0</v>
      </c>
      <c r="R100" s="58">
        <v>0.0</v>
      </c>
      <c r="S100" s="58">
        <v>4.0</v>
      </c>
      <c r="T100" s="58">
        <v>8.0</v>
      </c>
      <c r="U100" s="58">
        <v>9.0</v>
      </c>
      <c r="V100" s="58" t="s">
        <v>130</v>
      </c>
      <c r="W100" s="61" t="s">
        <v>76</v>
      </c>
      <c r="X100" s="28" t="s">
        <v>1033</v>
      </c>
      <c r="Y100" s="64">
        <v>31.0</v>
      </c>
      <c r="Z100" s="65">
        <f t="shared" si="2"/>
        <v>35.82222222</v>
      </c>
      <c r="AA100" s="65">
        <f t="shared" si="3"/>
        <v>93882.88</v>
      </c>
      <c r="AB100" s="65">
        <f t="shared" si="4"/>
        <v>681.7004336</v>
      </c>
      <c r="AC100" s="66">
        <v>1.0</v>
      </c>
      <c r="AD100" s="67"/>
      <c r="AE100" s="68">
        <f t="shared" si="5"/>
        <v>6557.377049</v>
      </c>
      <c r="AF100" s="69">
        <v>8000.0</v>
      </c>
      <c r="AG100" s="68">
        <f t="shared" si="6"/>
        <v>52459.01639</v>
      </c>
      <c r="AH100" s="70">
        <f t="shared" si="7"/>
        <v>64000</v>
      </c>
      <c r="AI100" s="71"/>
      <c r="AJ100" s="71"/>
      <c r="AK100" s="71"/>
      <c r="AL100" s="71"/>
    </row>
    <row r="101">
      <c r="A101" s="57" t="s">
        <v>516</v>
      </c>
      <c r="B101" s="58" t="s">
        <v>17</v>
      </c>
      <c r="C101" s="58" t="s">
        <v>19</v>
      </c>
      <c r="D101" s="58" t="s">
        <v>162</v>
      </c>
      <c r="E101" s="58" t="s">
        <v>62</v>
      </c>
      <c r="F101" s="58" t="s">
        <v>63</v>
      </c>
      <c r="G101" s="59">
        <v>46098.0</v>
      </c>
      <c r="H101" s="58" t="s">
        <v>104</v>
      </c>
      <c r="I101" s="60" t="s">
        <v>517</v>
      </c>
      <c r="J101" s="61" t="s">
        <v>518</v>
      </c>
      <c r="K101" s="61" t="s">
        <v>519</v>
      </c>
      <c r="L101" s="61" t="s">
        <v>520</v>
      </c>
      <c r="M101" s="58">
        <v>2021.0</v>
      </c>
      <c r="N101" s="58">
        <v>27.0</v>
      </c>
      <c r="O101" s="62">
        <v>456.0</v>
      </c>
      <c r="P101" s="62">
        <f t="shared" si="1"/>
        <v>1276.8</v>
      </c>
      <c r="Q101" s="63">
        <v>2.0</v>
      </c>
      <c r="R101" s="58">
        <v>2.0</v>
      </c>
      <c r="S101" s="58">
        <v>2.0</v>
      </c>
      <c r="T101" s="58">
        <v>0.0</v>
      </c>
      <c r="U101" s="58">
        <v>6.0</v>
      </c>
      <c r="V101" s="58" t="s">
        <v>75</v>
      </c>
      <c r="W101" s="61" t="s">
        <v>76</v>
      </c>
      <c r="X101" s="28" t="s">
        <v>1033</v>
      </c>
      <c r="Y101" s="64">
        <v>31.0</v>
      </c>
      <c r="Z101" s="65">
        <f t="shared" si="2"/>
        <v>20.15</v>
      </c>
      <c r="AA101" s="65">
        <f t="shared" si="3"/>
        <v>25727.52</v>
      </c>
      <c r="AB101" s="65">
        <f t="shared" si="4"/>
        <v>621.9021499</v>
      </c>
      <c r="AC101" s="66">
        <v>1.0</v>
      </c>
      <c r="AD101" s="70"/>
      <c r="AE101" s="68">
        <f t="shared" si="5"/>
        <v>6557.377049</v>
      </c>
      <c r="AF101" s="69">
        <v>8000.0</v>
      </c>
      <c r="AG101" s="68">
        <f t="shared" si="6"/>
        <v>13114.7541</v>
      </c>
      <c r="AH101" s="70">
        <f t="shared" si="7"/>
        <v>16000</v>
      </c>
      <c r="AI101" s="71"/>
      <c r="AJ101" s="71"/>
      <c r="AK101" s="71"/>
      <c r="AL101" s="71"/>
    </row>
    <row r="102">
      <c r="A102" s="57" t="s">
        <v>521</v>
      </c>
      <c r="B102" s="58" t="s">
        <v>17</v>
      </c>
      <c r="C102" s="58" t="s">
        <v>19</v>
      </c>
      <c r="D102" s="58" t="s">
        <v>123</v>
      </c>
      <c r="E102" s="58" t="s">
        <v>62</v>
      </c>
      <c r="F102" s="58" t="s">
        <v>63</v>
      </c>
      <c r="G102" s="59">
        <v>46100.0</v>
      </c>
      <c r="H102" s="58" t="s">
        <v>104</v>
      </c>
      <c r="I102" s="60" t="s">
        <v>522</v>
      </c>
      <c r="J102" s="61" t="s">
        <v>523</v>
      </c>
      <c r="K102" s="61" t="s">
        <v>524</v>
      </c>
      <c r="L102" s="61" t="s">
        <v>525</v>
      </c>
      <c r="M102" s="58">
        <v>2008.0</v>
      </c>
      <c r="N102" s="58">
        <v>16.0</v>
      </c>
      <c r="O102" s="62">
        <v>109.0</v>
      </c>
      <c r="P102" s="62">
        <f t="shared" si="1"/>
        <v>305.2</v>
      </c>
      <c r="Q102" s="63">
        <v>4.0</v>
      </c>
      <c r="R102" s="58">
        <v>0.0</v>
      </c>
      <c r="S102" s="58">
        <v>2.0</v>
      </c>
      <c r="T102" s="58">
        <v>4.0</v>
      </c>
      <c r="U102" s="58">
        <v>4.0</v>
      </c>
      <c r="V102" s="58" t="s">
        <v>75</v>
      </c>
      <c r="W102" s="61" t="s">
        <v>76</v>
      </c>
      <c r="X102" s="28" t="s">
        <v>1033</v>
      </c>
      <c r="Y102" s="64">
        <v>31.0</v>
      </c>
      <c r="Z102" s="65">
        <f t="shared" si="2"/>
        <v>40.3</v>
      </c>
      <c r="AA102" s="65">
        <f t="shared" si="3"/>
        <v>12299.56</v>
      </c>
      <c r="AB102" s="65">
        <f t="shared" si="4"/>
        <v>2601.719086</v>
      </c>
      <c r="AC102" s="66">
        <v>1.0</v>
      </c>
      <c r="AD102" s="70"/>
      <c r="AE102" s="68">
        <f t="shared" si="5"/>
        <v>6557.377049</v>
      </c>
      <c r="AF102" s="69">
        <v>8000.0</v>
      </c>
      <c r="AG102" s="68">
        <f t="shared" si="6"/>
        <v>26229.5082</v>
      </c>
      <c r="AH102" s="70">
        <f t="shared" si="7"/>
        <v>32000</v>
      </c>
      <c r="AI102" s="71"/>
      <c r="AJ102" s="71"/>
      <c r="AK102" s="71"/>
      <c r="AL102" s="71"/>
    </row>
    <row r="103">
      <c r="A103" s="57" t="s">
        <v>526</v>
      </c>
      <c r="B103" s="58" t="s">
        <v>17</v>
      </c>
      <c r="C103" s="58" t="s">
        <v>19</v>
      </c>
      <c r="D103" s="58" t="s">
        <v>101</v>
      </c>
      <c r="E103" s="58" t="s">
        <v>110</v>
      </c>
      <c r="F103" s="58" t="s">
        <v>103</v>
      </c>
      <c r="G103" s="59">
        <v>46104.0</v>
      </c>
      <c r="H103" s="58" t="s">
        <v>104</v>
      </c>
      <c r="I103" s="60" t="s">
        <v>527</v>
      </c>
      <c r="J103" s="61" t="s">
        <v>528</v>
      </c>
      <c r="K103" s="61" t="s">
        <v>529</v>
      </c>
      <c r="L103" s="61" t="s">
        <v>530</v>
      </c>
      <c r="M103" s="58">
        <v>2022.0</v>
      </c>
      <c r="N103" s="58">
        <v>25.0</v>
      </c>
      <c r="O103" s="62">
        <v>720.0</v>
      </c>
      <c r="P103" s="62">
        <f t="shared" si="1"/>
        <v>2016</v>
      </c>
      <c r="Q103" s="63">
        <v>8.0</v>
      </c>
      <c r="R103" s="58">
        <v>2.0</v>
      </c>
      <c r="S103" s="58">
        <v>3.0</v>
      </c>
      <c r="T103" s="58">
        <v>6.0</v>
      </c>
      <c r="U103" s="58">
        <v>6.0</v>
      </c>
      <c r="V103" s="58" t="s">
        <v>75</v>
      </c>
      <c r="W103" s="61" t="s">
        <v>76</v>
      </c>
      <c r="X103" s="28" t="s">
        <v>1033</v>
      </c>
      <c r="Y103" s="64">
        <v>31.0</v>
      </c>
      <c r="Z103" s="65">
        <f t="shared" si="2"/>
        <v>53.73333333</v>
      </c>
      <c r="AA103" s="65">
        <f t="shared" si="3"/>
        <v>108326.4</v>
      </c>
      <c r="AB103" s="65">
        <f t="shared" si="4"/>
        <v>590.8070424</v>
      </c>
      <c r="AC103" s="66">
        <v>1.0</v>
      </c>
      <c r="AD103" s="70"/>
      <c r="AE103" s="68">
        <f t="shared" si="5"/>
        <v>6557.377049</v>
      </c>
      <c r="AF103" s="69">
        <v>8000.0</v>
      </c>
      <c r="AG103" s="68">
        <f t="shared" si="6"/>
        <v>52459.01639</v>
      </c>
      <c r="AH103" s="70">
        <f t="shared" si="7"/>
        <v>64000</v>
      </c>
      <c r="AI103" s="71"/>
      <c r="AJ103" s="71"/>
      <c r="AK103" s="71"/>
      <c r="AL103" s="71"/>
    </row>
    <row r="104">
      <c r="A104" s="57" t="s">
        <v>531</v>
      </c>
      <c r="B104" s="58" t="s">
        <v>17</v>
      </c>
      <c r="C104" s="58" t="s">
        <v>19</v>
      </c>
      <c r="D104" s="58" t="s">
        <v>101</v>
      </c>
      <c r="E104" s="58" t="s">
        <v>102</v>
      </c>
      <c r="F104" s="58" t="s">
        <v>103</v>
      </c>
      <c r="G104" s="59">
        <v>46107.0</v>
      </c>
      <c r="H104" s="58" t="s">
        <v>104</v>
      </c>
      <c r="I104" s="60" t="s">
        <v>532</v>
      </c>
      <c r="J104" s="61" t="s">
        <v>533</v>
      </c>
      <c r="K104" s="61" t="s">
        <v>534</v>
      </c>
      <c r="L104" s="61" t="s">
        <v>535</v>
      </c>
      <c r="M104" s="58">
        <v>2014.0</v>
      </c>
      <c r="N104" s="58">
        <v>17.0</v>
      </c>
      <c r="O104" s="62">
        <v>75.0</v>
      </c>
      <c r="P104" s="62">
        <f t="shared" si="1"/>
        <v>210</v>
      </c>
      <c r="Q104" s="63">
        <v>2.0</v>
      </c>
      <c r="R104" s="58">
        <v>0.0</v>
      </c>
      <c r="S104" s="58">
        <v>1.0</v>
      </c>
      <c r="T104" s="58">
        <v>2.0</v>
      </c>
      <c r="U104" s="58">
        <v>2.0</v>
      </c>
      <c r="V104" s="58" t="s">
        <v>75</v>
      </c>
      <c r="W104" s="61" t="s">
        <v>76</v>
      </c>
      <c r="X104" s="28" t="s">
        <v>1033</v>
      </c>
      <c r="Y104" s="64">
        <v>31.0</v>
      </c>
      <c r="Z104" s="65">
        <f t="shared" si="2"/>
        <v>40.3</v>
      </c>
      <c r="AA104" s="65">
        <f t="shared" si="3"/>
        <v>8463</v>
      </c>
      <c r="AB104" s="65">
        <f t="shared" si="4"/>
        <v>1890.582536</v>
      </c>
      <c r="AC104" s="66">
        <v>1.0</v>
      </c>
      <c r="AD104" s="67"/>
      <c r="AE104" s="68">
        <f t="shared" si="5"/>
        <v>6557.377049</v>
      </c>
      <c r="AF104" s="69">
        <v>8000.0</v>
      </c>
      <c r="AG104" s="68">
        <f t="shared" si="6"/>
        <v>13114.7541</v>
      </c>
      <c r="AH104" s="70">
        <f t="shared" si="7"/>
        <v>16000</v>
      </c>
      <c r="AI104" s="71"/>
      <c r="AJ104" s="71"/>
      <c r="AK104" s="71"/>
      <c r="AL104" s="71"/>
    </row>
    <row r="105">
      <c r="A105" s="57" t="s">
        <v>536</v>
      </c>
      <c r="B105" s="58" t="s">
        <v>17</v>
      </c>
      <c r="C105" s="58" t="s">
        <v>19</v>
      </c>
      <c r="D105" s="58" t="s">
        <v>61</v>
      </c>
      <c r="E105" s="58" t="s">
        <v>110</v>
      </c>
      <c r="F105" s="58" t="s">
        <v>103</v>
      </c>
      <c r="G105" s="59">
        <v>46111.0</v>
      </c>
      <c r="H105" s="58" t="s">
        <v>104</v>
      </c>
      <c r="I105" s="60" t="s">
        <v>537</v>
      </c>
      <c r="J105" s="61" t="s">
        <v>538</v>
      </c>
      <c r="K105" s="61" t="s">
        <v>539</v>
      </c>
      <c r="L105" s="61" t="s">
        <v>540</v>
      </c>
      <c r="M105" s="58">
        <v>2022.0</v>
      </c>
      <c r="N105" s="58">
        <v>19.0</v>
      </c>
      <c r="O105" s="62">
        <v>118.0</v>
      </c>
      <c r="P105" s="62">
        <f t="shared" si="1"/>
        <v>330.4</v>
      </c>
      <c r="Q105" s="63">
        <v>2.0</v>
      </c>
      <c r="R105" s="58">
        <v>0.0</v>
      </c>
      <c r="S105" s="58">
        <v>1.0</v>
      </c>
      <c r="T105" s="58">
        <v>2.0</v>
      </c>
      <c r="U105" s="58">
        <v>2.0</v>
      </c>
      <c r="V105" s="58" t="s">
        <v>75</v>
      </c>
      <c r="W105" s="61" t="s">
        <v>76</v>
      </c>
      <c r="X105" s="28" t="s">
        <v>1033</v>
      </c>
      <c r="Y105" s="64">
        <v>31.0</v>
      </c>
      <c r="Z105" s="65">
        <f t="shared" si="2"/>
        <v>40.3</v>
      </c>
      <c r="AA105" s="65">
        <f t="shared" si="3"/>
        <v>13315.12</v>
      </c>
      <c r="AB105" s="65">
        <f t="shared" si="4"/>
        <v>1201.641442</v>
      </c>
      <c r="AC105" s="66">
        <v>1.0</v>
      </c>
      <c r="AD105" s="67"/>
      <c r="AE105" s="68">
        <f t="shared" si="5"/>
        <v>6557.377049</v>
      </c>
      <c r="AF105" s="69">
        <v>8000.0</v>
      </c>
      <c r="AG105" s="68">
        <f t="shared" si="6"/>
        <v>13114.7541</v>
      </c>
      <c r="AH105" s="70">
        <f t="shared" si="7"/>
        <v>16000</v>
      </c>
      <c r="AI105" s="71"/>
      <c r="AJ105" s="71"/>
      <c r="AK105" s="71"/>
      <c r="AL105" s="71"/>
    </row>
    <row r="106">
      <c r="A106" s="57" t="s">
        <v>536</v>
      </c>
      <c r="B106" s="58" t="s">
        <v>17</v>
      </c>
      <c r="C106" s="58" t="s">
        <v>19</v>
      </c>
      <c r="D106" s="58" t="s">
        <v>61</v>
      </c>
      <c r="E106" s="58" t="s">
        <v>110</v>
      </c>
      <c r="F106" s="58" t="s">
        <v>103</v>
      </c>
      <c r="G106" s="59">
        <v>46111.0</v>
      </c>
      <c r="H106" s="58" t="s">
        <v>104</v>
      </c>
      <c r="I106" s="60" t="s">
        <v>537</v>
      </c>
      <c r="J106" s="61" t="s">
        <v>541</v>
      </c>
      <c r="K106" s="61" t="s">
        <v>542</v>
      </c>
      <c r="L106" s="61" t="s">
        <v>543</v>
      </c>
      <c r="M106" s="58">
        <v>2024.0</v>
      </c>
      <c r="N106" s="58">
        <v>20.0</v>
      </c>
      <c r="O106" s="62">
        <v>139.0</v>
      </c>
      <c r="P106" s="62">
        <f t="shared" si="1"/>
        <v>389.2</v>
      </c>
      <c r="Q106" s="63">
        <v>2.0</v>
      </c>
      <c r="R106" s="58">
        <v>0.0</v>
      </c>
      <c r="S106" s="58">
        <v>1.0</v>
      </c>
      <c r="T106" s="58">
        <v>2.0</v>
      </c>
      <c r="U106" s="58">
        <v>2.0</v>
      </c>
      <c r="V106" s="58" t="s">
        <v>130</v>
      </c>
      <c r="W106" s="61" t="s">
        <v>76</v>
      </c>
      <c r="X106" s="28" t="s">
        <v>1033</v>
      </c>
      <c r="Y106" s="64">
        <v>31.0</v>
      </c>
      <c r="Z106" s="65">
        <f t="shared" si="2"/>
        <v>40.3</v>
      </c>
      <c r="AA106" s="65">
        <f t="shared" si="3"/>
        <v>15684.76</v>
      </c>
      <c r="AB106" s="65">
        <f t="shared" si="4"/>
        <v>1020.098491</v>
      </c>
      <c r="AC106" s="66">
        <v>1.0</v>
      </c>
      <c r="AD106" s="70"/>
      <c r="AE106" s="68">
        <f t="shared" si="5"/>
        <v>6557.377049</v>
      </c>
      <c r="AF106" s="69">
        <v>8000.0</v>
      </c>
      <c r="AG106" s="68">
        <f t="shared" si="6"/>
        <v>13114.7541</v>
      </c>
      <c r="AH106" s="70">
        <f t="shared" si="7"/>
        <v>16000</v>
      </c>
      <c r="AI106" s="71"/>
      <c r="AJ106" s="71"/>
      <c r="AK106" s="71"/>
      <c r="AL106" s="71"/>
    </row>
    <row r="107">
      <c r="A107" s="57" t="s">
        <v>544</v>
      </c>
      <c r="B107" s="58" t="s">
        <v>17</v>
      </c>
      <c r="C107" s="58" t="s">
        <v>19</v>
      </c>
      <c r="D107" s="58" t="s">
        <v>101</v>
      </c>
      <c r="E107" s="58" t="s">
        <v>110</v>
      </c>
      <c r="F107" s="58" t="s">
        <v>103</v>
      </c>
      <c r="G107" s="59">
        <v>46111.0</v>
      </c>
      <c r="H107" s="58" t="s">
        <v>104</v>
      </c>
      <c r="I107" s="60" t="s">
        <v>545</v>
      </c>
      <c r="J107" s="61" t="s">
        <v>546</v>
      </c>
      <c r="K107" s="61" t="s">
        <v>547</v>
      </c>
      <c r="L107" s="61" t="s">
        <v>548</v>
      </c>
      <c r="M107" s="58">
        <v>2012.0</v>
      </c>
      <c r="N107" s="58">
        <v>10.0</v>
      </c>
      <c r="O107" s="62">
        <v>183.0</v>
      </c>
      <c r="P107" s="62">
        <f t="shared" si="1"/>
        <v>512.4</v>
      </c>
      <c r="Q107" s="63">
        <v>4.0</v>
      </c>
      <c r="R107" s="58">
        <v>0.0</v>
      </c>
      <c r="S107" s="58">
        <v>4.0</v>
      </c>
      <c r="T107" s="58">
        <v>4.0</v>
      </c>
      <c r="U107" s="58">
        <v>4.0</v>
      </c>
      <c r="V107" s="58" t="s">
        <v>130</v>
      </c>
      <c r="W107" s="61" t="s">
        <v>76</v>
      </c>
      <c r="X107" s="28" t="s">
        <v>1033</v>
      </c>
      <c r="Y107" s="64">
        <v>31.0</v>
      </c>
      <c r="Z107" s="65">
        <f t="shared" si="2"/>
        <v>40.3</v>
      </c>
      <c r="AA107" s="65">
        <f t="shared" si="3"/>
        <v>20649.72</v>
      </c>
      <c r="AB107" s="65">
        <f t="shared" si="4"/>
        <v>1549.657816</v>
      </c>
      <c r="AC107" s="66">
        <v>1.0</v>
      </c>
      <c r="AD107" s="70"/>
      <c r="AE107" s="68">
        <f t="shared" si="5"/>
        <v>6557.377049</v>
      </c>
      <c r="AF107" s="69">
        <v>8000.0</v>
      </c>
      <c r="AG107" s="68">
        <f t="shared" si="6"/>
        <v>26229.5082</v>
      </c>
      <c r="AH107" s="70">
        <f t="shared" si="7"/>
        <v>32000</v>
      </c>
      <c r="AI107" s="71"/>
      <c r="AJ107" s="71"/>
      <c r="AK107" s="71"/>
      <c r="AL107" s="71"/>
    </row>
    <row r="108">
      <c r="A108" s="57" t="s">
        <v>544</v>
      </c>
      <c r="B108" s="58" t="s">
        <v>17</v>
      </c>
      <c r="C108" s="58" t="s">
        <v>19</v>
      </c>
      <c r="D108" s="58" t="s">
        <v>101</v>
      </c>
      <c r="E108" s="58" t="s">
        <v>110</v>
      </c>
      <c r="F108" s="58" t="s">
        <v>103</v>
      </c>
      <c r="G108" s="59">
        <v>46111.0</v>
      </c>
      <c r="H108" s="58" t="s">
        <v>104</v>
      </c>
      <c r="I108" s="60" t="s">
        <v>545</v>
      </c>
      <c r="J108" s="61" t="s">
        <v>549</v>
      </c>
      <c r="K108" s="61" t="s">
        <v>550</v>
      </c>
      <c r="L108" s="61" t="s">
        <v>551</v>
      </c>
      <c r="M108" s="58">
        <v>2014.0</v>
      </c>
      <c r="N108" s="58">
        <v>10.0</v>
      </c>
      <c r="O108" s="62">
        <v>104.0</v>
      </c>
      <c r="P108" s="62">
        <f t="shared" si="1"/>
        <v>291.2</v>
      </c>
      <c r="Q108" s="63">
        <v>3.0</v>
      </c>
      <c r="R108" s="58">
        <v>0.0</v>
      </c>
      <c r="S108" s="58">
        <v>3.0</v>
      </c>
      <c r="T108" s="58">
        <v>3.0</v>
      </c>
      <c r="U108" s="58">
        <v>3.0</v>
      </c>
      <c r="V108" s="58" t="s">
        <v>130</v>
      </c>
      <c r="W108" s="61" t="s">
        <v>76</v>
      </c>
      <c r="X108" s="28" t="s">
        <v>1033</v>
      </c>
      <c r="Y108" s="64">
        <v>31.0</v>
      </c>
      <c r="Z108" s="65">
        <f t="shared" si="2"/>
        <v>40.3</v>
      </c>
      <c r="AA108" s="65">
        <f t="shared" si="3"/>
        <v>11735.36</v>
      </c>
      <c r="AB108" s="65">
        <f t="shared" si="4"/>
        <v>2045.101301</v>
      </c>
      <c r="AC108" s="66">
        <v>1.0</v>
      </c>
      <c r="AD108" s="70"/>
      <c r="AE108" s="68">
        <f t="shared" si="5"/>
        <v>6557.377049</v>
      </c>
      <c r="AF108" s="69">
        <v>8000.0</v>
      </c>
      <c r="AG108" s="68">
        <f t="shared" si="6"/>
        <v>19672.13115</v>
      </c>
      <c r="AH108" s="70">
        <f t="shared" si="7"/>
        <v>24000</v>
      </c>
      <c r="AI108" s="71"/>
      <c r="AJ108" s="71"/>
      <c r="AK108" s="71"/>
      <c r="AL108" s="71"/>
    </row>
    <row r="109">
      <c r="A109" s="57" t="s">
        <v>552</v>
      </c>
      <c r="B109" s="58" t="s">
        <v>17</v>
      </c>
      <c r="C109" s="58" t="s">
        <v>19</v>
      </c>
      <c r="D109" s="58" t="s">
        <v>123</v>
      </c>
      <c r="E109" s="58" t="s">
        <v>117</v>
      </c>
      <c r="F109" s="58" t="s">
        <v>103</v>
      </c>
      <c r="G109" s="59">
        <v>46132.0</v>
      </c>
      <c r="H109" s="58" t="s">
        <v>104</v>
      </c>
      <c r="I109" s="60" t="s">
        <v>553</v>
      </c>
      <c r="J109" s="61" t="s">
        <v>554</v>
      </c>
      <c r="K109" s="61" t="s">
        <v>555</v>
      </c>
      <c r="L109" s="61" t="s">
        <v>556</v>
      </c>
      <c r="M109" s="58">
        <v>2019.0</v>
      </c>
      <c r="N109" s="58">
        <v>17.0</v>
      </c>
      <c r="O109" s="62">
        <v>136.0</v>
      </c>
      <c r="P109" s="62">
        <f t="shared" si="1"/>
        <v>380.8</v>
      </c>
      <c r="Q109" s="63">
        <v>1.0</v>
      </c>
      <c r="R109" s="58">
        <v>0.0</v>
      </c>
      <c r="S109" s="58">
        <v>1.0</v>
      </c>
      <c r="T109" s="58">
        <v>1.0</v>
      </c>
      <c r="U109" s="58">
        <v>2.0</v>
      </c>
      <c r="V109" s="58" t="s">
        <v>130</v>
      </c>
      <c r="W109" s="61" t="s">
        <v>76</v>
      </c>
      <c r="X109" s="28" t="s">
        <v>1033</v>
      </c>
      <c r="Y109" s="64">
        <v>31.0</v>
      </c>
      <c r="Z109" s="65">
        <f t="shared" si="2"/>
        <v>20.15</v>
      </c>
      <c r="AA109" s="65">
        <f t="shared" si="3"/>
        <v>7673.12</v>
      </c>
      <c r="AB109" s="65">
        <f t="shared" si="4"/>
        <v>1042.600663</v>
      </c>
      <c r="AC109" s="66">
        <v>1.0</v>
      </c>
      <c r="AD109" s="67"/>
      <c r="AE109" s="68">
        <f t="shared" si="5"/>
        <v>6557.377049</v>
      </c>
      <c r="AF109" s="69">
        <v>8000.0</v>
      </c>
      <c r="AG109" s="68">
        <f t="shared" si="6"/>
        <v>6557.377049</v>
      </c>
      <c r="AH109" s="70">
        <f t="shared" si="7"/>
        <v>8000</v>
      </c>
      <c r="AI109" s="71"/>
      <c r="AJ109" s="71"/>
      <c r="AK109" s="71"/>
      <c r="AL109" s="71"/>
    </row>
    <row r="110">
      <c r="A110" s="57" t="s">
        <v>557</v>
      </c>
      <c r="B110" s="58" t="s">
        <v>17</v>
      </c>
      <c r="C110" s="58" t="s">
        <v>19</v>
      </c>
      <c r="D110" s="58" t="s">
        <v>123</v>
      </c>
      <c r="E110" s="58" t="s">
        <v>117</v>
      </c>
      <c r="F110" s="58" t="s">
        <v>103</v>
      </c>
      <c r="G110" s="59">
        <v>46132.0</v>
      </c>
      <c r="H110" s="58" t="s">
        <v>104</v>
      </c>
      <c r="I110" s="60" t="s">
        <v>553</v>
      </c>
      <c r="J110" s="61" t="s">
        <v>558</v>
      </c>
      <c r="K110" s="61" t="s">
        <v>559</v>
      </c>
      <c r="L110" s="61" t="s">
        <v>560</v>
      </c>
      <c r="M110" s="58">
        <v>2021.0</v>
      </c>
      <c r="N110" s="58">
        <v>17.0</v>
      </c>
      <c r="O110" s="62">
        <v>269.0</v>
      </c>
      <c r="P110" s="62">
        <f t="shared" si="1"/>
        <v>753.2</v>
      </c>
      <c r="Q110" s="63">
        <v>3.0</v>
      </c>
      <c r="R110" s="58">
        <v>0.0</v>
      </c>
      <c r="S110" s="58">
        <v>3.0</v>
      </c>
      <c r="T110" s="58">
        <v>3.0</v>
      </c>
      <c r="U110" s="58">
        <v>6.0</v>
      </c>
      <c r="V110" s="58" t="s">
        <v>130</v>
      </c>
      <c r="W110" s="61" t="s">
        <v>76</v>
      </c>
      <c r="X110" s="28" t="s">
        <v>1033</v>
      </c>
      <c r="Y110" s="64">
        <v>31.0</v>
      </c>
      <c r="Z110" s="65">
        <f t="shared" si="2"/>
        <v>20.15</v>
      </c>
      <c r="AA110" s="65">
        <f t="shared" si="3"/>
        <v>15176.98</v>
      </c>
      <c r="AB110" s="65">
        <f t="shared" si="4"/>
        <v>1581.34227</v>
      </c>
      <c r="AC110" s="66">
        <v>1.0</v>
      </c>
      <c r="AD110" s="67"/>
      <c r="AE110" s="68">
        <f t="shared" si="5"/>
        <v>6557.377049</v>
      </c>
      <c r="AF110" s="69">
        <v>8000.0</v>
      </c>
      <c r="AG110" s="68">
        <f t="shared" si="6"/>
        <v>19672.13115</v>
      </c>
      <c r="AH110" s="70">
        <f t="shared" si="7"/>
        <v>24000</v>
      </c>
      <c r="AI110" s="71"/>
      <c r="AJ110" s="71"/>
      <c r="AK110" s="71"/>
      <c r="AL110" s="71"/>
    </row>
    <row r="111">
      <c r="A111" s="57" t="s">
        <v>561</v>
      </c>
      <c r="B111" s="58" t="s">
        <v>17</v>
      </c>
      <c r="C111" s="58" t="s">
        <v>19</v>
      </c>
      <c r="D111" s="58" t="s">
        <v>123</v>
      </c>
      <c r="E111" s="58" t="s">
        <v>117</v>
      </c>
      <c r="F111" s="58" t="s">
        <v>103</v>
      </c>
      <c r="G111" s="59">
        <v>46132.0</v>
      </c>
      <c r="H111" s="58" t="s">
        <v>104</v>
      </c>
      <c r="I111" s="60" t="s">
        <v>562</v>
      </c>
      <c r="J111" s="61" t="s">
        <v>563</v>
      </c>
      <c r="K111" s="61" t="s">
        <v>555</v>
      </c>
      <c r="L111" s="61" t="s">
        <v>564</v>
      </c>
      <c r="M111" s="58">
        <v>2020.0</v>
      </c>
      <c r="N111" s="58">
        <v>17.0</v>
      </c>
      <c r="O111" s="62">
        <v>439.0</v>
      </c>
      <c r="P111" s="62">
        <f t="shared" si="1"/>
        <v>1229.2</v>
      </c>
      <c r="Q111" s="63">
        <v>8.0</v>
      </c>
      <c r="R111" s="58">
        <v>0.0</v>
      </c>
      <c r="S111" s="58">
        <v>8.0</v>
      </c>
      <c r="T111" s="58">
        <v>8.0</v>
      </c>
      <c r="U111" s="58">
        <v>16.0</v>
      </c>
      <c r="V111" s="58" t="s">
        <v>130</v>
      </c>
      <c r="W111" s="61" t="s">
        <v>76</v>
      </c>
      <c r="X111" s="28" t="s">
        <v>1033</v>
      </c>
      <c r="Y111" s="64">
        <v>31.0</v>
      </c>
      <c r="Z111" s="65">
        <f t="shared" si="2"/>
        <v>20.15</v>
      </c>
      <c r="AA111" s="65">
        <f t="shared" si="3"/>
        <v>24768.38</v>
      </c>
      <c r="AB111" s="65">
        <f t="shared" si="4"/>
        <v>2583.939684</v>
      </c>
      <c r="AC111" s="66">
        <v>1.0</v>
      </c>
      <c r="AD111" s="70"/>
      <c r="AE111" s="68">
        <f t="shared" si="5"/>
        <v>6557.377049</v>
      </c>
      <c r="AF111" s="69">
        <v>8000.0</v>
      </c>
      <c r="AG111" s="68">
        <f t="shared" si="6"/>
        <v>52459.01639</v>
      </c>
      <c r="AH111" s="70">
        <f t="shared" si="7"/>
        <v>64000</v>
      </c>
      <c r="AI111" s="71"/>
      <c r="AJ111" s="71"/>
      <c r="AK111" s="71"/>
      <c r="AL111" s="71"/>
    </row>
    <row r="112">
      <c r="A112" s="57" t="s">
        <v>565</v>
      </c>
      <c r="B112" s="58" t="s">
        <v>17</v>
      </c>
      <c r="C112" s="58" t="s">
        <v>19</v>
      </c>
      <c r="D112" s="58" t="s">
        <v>101</v>
      </c>
      <c r="E112" s="58" t="s">
        <v>102</v>
      </c>
      <c r="F112" s="58" t="s">
        <v>103</v>
      </c>
      <c r="G112" s="59">
        <v>46132.0</v>
      </c>
      <c r="H112" s="58" t="s">
        <v>118</v>
      </c>
      <c r="I112" s="60" t="s">
        <v>566</v>
      </c>
      <c r="J112" s="61" t="s">
        <v>567</v>
      </c>
      <c r="K112" s="61" t="s">
        <v>568</v>
      </c>
      <c r="L112" s="61" t="s">
        <v>569</v>
      </c>
      <c r="M112" s="58">
        <v>2011.0</v>
      </c>
      <c r="N112" s="58">
        <v>17.0</v>
      </c>
      <c r="O112" s="62">
        <v>80.0</v>
      </c>
      <c r="P112" s="62">
        <f t="shared" si="1"/>
        <v>224</v>
      </c>
      <c r="Q112" s="63">
        <v>2.0</v>
      </c>
      <c r="R112" s="58">
        <v>0.0</v>
      </c>
      <c r="S112" s="58">
        <v>1.0</v>
      </c>
      <c r="T112" s="58">
        <v>2.0</v>
      </c>
      <c r="U112" s="58">
        <v>2.0</v>
      </c>
      <c r="V112" s="58" t="s">
        <v>130</v>
      </c>
      <c r="W112" s="61" t="s">
        <v>76</v>
      </c>
      <c r="X112" s="28" t="s">
        <v>1033</v>
      </c>
      <c r="Y112" s="64">
        <v>31.0</v>
      </c>
      <c r="Z112" s="65">
        <f t="shared" si="2"/>
        <v>40.3</v>
      </c>
      <c r="AA112" s="65">
        <f t="shared" si="3"/>
        <v>9027.2</v>
      </c>
      <c r="AB112" s="65">
        <f t="shared" si="4"/>
        <v>1772.421127</v>
      </c>
      <c r="AC112" s="66">
        <v>1.0</v>
      </c>
      <c r="AD112" s="70"/>
      <c r="AE112" s="68">
        <f t="shared" si="5"/>
        <v>6557.377049</v>
      </c>
      <c r="AF112" s="69">
        <v>8000.0</v>
      </c>
      <c r="AG112" s="68">
        <f t="shared" si="6"/>
        <v>13114.7541</v>
      </c>
      <c r="AH112" s="70">
        <f t="shared" si="7"/>
        <v>16000</v>
      </c>
      <c r="AI112" s="71"/>
      <c r="AJ112" s="71"/>
      <c r="AK112" s="71"/>
      <c r="AL112" s="71"/>
    </row>
    <row r="113">
      <c r="A113" s="57" t="s">
        <v>570</v>
      </c>
      <c r="B113" s="58" t="s">
        <v>17</v>
      </c>
      <c r="C113" s="58" t="s">
        <v>19</v>
      </c>
      <c r="D113" s="58" t="s">
        <v>123</v>
      </c>
      <c r="E113" s="58" t="s">
        <v>62</v>
      </c>
      <c r="F113" s="58" t="s">
        <v>63</v>
      </c>
      <c r="G113" s="59">
        <v>46136.0</v>
      </c>
      <c r="H113" s="58" t="s">
        <v>65</v>
      </c>
      <c r="I113" s="60" t="s">
        <v>571</v>
      </c>
      <c r="J113" s="61" t="s">
        <v>572</v>
      </c>
      <c r="K113" s="61" t="s">
        <v>573</v>
      </c>
      <c r="L113" s="61" t="s">
        <v>574</v>
      </c>
      <c r="M113" s="58">
        <v>2025.0</v>
      </c>
      <c r="N113" s="58">
        <v>25.0</v>
      </c>
      <c r="O113" s="62">
        <v>828.0</v>
      </c>
      <c r="P113" s="62">
        <f t="shared" si="1"/>
        <v>2318.4</v>
      </c>
      <c r="Q113" s="63">
        <v>8.0</v>
      </c>
      <c r="R113" s="58">
        <v>0.0</v>
      </c>
      <c r="S113" s="58">
        <v>1.0</v>
      </c>
      <c r="T113" s="58">
        <v>8.0</v>
      </c>
      <c r="U113" s="58">
        <v>4.0</v>
      </c>
      <c r="V113" s="58" t="s">
        <v>130</v>
      </c>
      <c r="W113" s="61" t="s">
        <v>76</v>
      </c>
      <c r="X113" s="28" t="s">
        <v>1033</v>
      </c>
      <c r="Y113" s="64">
        <v>31.0</v>
      </c>
      <c r="Z113" s="65">
        <f t="shared" si="2"/>
        <v>80.6</v>
      </c>
      <c r="AA113" s="65">
        <f t="shared" si="3"/>
        <v>186863.04</v>
      </c>
      <c r="AB113" s="65">
        <f t="shared" si="4"/>
        <v>342.4968362</v>
      </c>
      <c r="AC113" s="66">
        <v>1.0</v>
      </c>
      <c r="AD113" s="70"/>
      <c r="AE113" s="68">
        <f t="shared" si="5"/>
        <v>6557.377049</v>
      </c>
      <c r="AF113" s="69">
        <v>8000.0</v>
      </c>
      <c r="AG113" s="68">
        <f t="shared" si="6"/>
        <v>52459.01639</v>
      </c>
      <c r="AH113" s="70">
        <f t="shared" si="7"/>
        <v>64000</v>
      </c>
      <c r="AI113" s="71"/>
      <c r="AJ113" s="71"/>
      <c r="AK113" s="71"/>
      <c r="AL113" s="71"/>
    </row>
    <row r="114">
      <c r="A114" s="57" t="s">
        <v>575</v>
      </c>
      <c r="B114" s="58" t="s">
        <v>17</v>
      </c>
      <c r="C114" s="58" t="s">
        <v>19</v>
      </c>
      <c r="D114" s="58" t="s">
        <v>162</v>
      </c>
      <c r="E114" s="58" t="s">
        <v>110</v>
      </c>
      <c r="F114" s="58" t="s">
        <v>103</v>
      </c>
      <c r="G114" s="59">
        <v>46141.0</v>
      </c>
      <c r="H114" s="58" t="s">
        <v>104</v>
      </c>
      <c r="I114" s="60" t="s">
        <v>576</v>
      </c>
      <c r="J114" s="61" t="s">
        <v>577</v>
      </c>
      <c r="K114" s="61" t="s">
        <v>578</v>
      </c>
      <c r="L114" s="61" t="s">
        <v>579</v>
      </c>
      <c r="M114" s="58">
        <v>2003.0</v>
      </c>
      <c r="N114" s="58">
        <v>9.0</v>
      </c>
      <c r="O114" s="62">
        <v>86.0</v>
      </c>
      <c r="P114" s="62">
        <f t="shared" si="1"/>
        <v>240.8</v>
      </c>
      <c r="Q114" s="63">
        <v>5.0</v>
      </c>
      <c r="R114" s="58">
        <v>0.0</v>
      </c>
      <c r="S114" s="58">
        <v>4.0</v>
      </c>
      <c r="T114" s="58">
        <v>5.0</v>
      </c>
      <c r="U114" s="58">
        <v>5.0</v>
      </c>
      <c r="V114" s="58" t="s">
        <v>130</v>
      </c>
      <c r="W114" s="61" t="s">
        <v>76</v>
      </c>
      <c r="X114" s="28" t="s">
        <v>1033</v>
      </c>
      <c r="Y114" s="64">
        <v>31.0</v>
      </c>
      <c r="Z114" s="65">
        <f t="shared" si="2"/>
        <v>40.3</v>
      </c>
      <c r="AA114" s="65">
        <f t="shared" si="3"/>
        <v>9704.24</v>
      </c>
      <c r="AB114" s="65">
        <f t="shared" si="4"/>
        <v>4121.909598</v>
      </c>
      <c r="AC114" s="66">
        <v>1.0</v>
      </c>
      <c r="AD114" s="67"/>
      <c r="AE114" s="68">
        <f t="shared" si="5"/>
        <v>6557.377049</v>
      </c>
      <c r="AF114" s="69">
        <v>8000.0</v>
      </c>
      <c r="AG114" s="68">
        <f t="shared" si="6"/>
        <v>32786.88525</v>
      </c>
      <c r="AH114" s="70">
        <f t="shared" si="7"/>
        <v>40000</v>
      </c>
      <c r="AI114" s="71"/>
      <c r="AJ114" s="71"/>
      <c r="AK114" s="71"/>
      <c r="AL114" s="71"/>
    </row>
    <row r="115">
      <c r="A115" s="57" t="s">
        <v>575</v>
      </c>
      <c r="B115" s="58" t="s">
        <v>17</v>
      </c>
      <c r="C115" s="58" t="s">
        <v>19</v>
      </c>
      <c r="D115" s="58" t="s">
        <v>162</v>
      </c>
      <c r="E115" s="58" t="s">
        <v>110</v>
      </c>
      <c r="F115" s="58" t="s">
        <v>103</v>
      </c>
      <c r="G115" s="59">
        <v>46141.0</v>
      </c>
      <c r="H115" s="58" t="s">
        <v>104</v>
      </c>
      <c r="I115" s="60" t="s">
        <v>576</v>
      </c>
      <c r="J115" s="61" t="s">
        <v>580</v>
      </c>
      <c r="K115" s="61" t="s">
        <v>581</v>
      </c>
      <c r="L115" s="61" t="s">
        <v>582</v>
      </c>
      <c r="M115" s="58">
        <v>2007.0</v>
      </c>
      <c r="N115" s="58">
        <v>14.0</v>
      </c>
      <c r="O115" s="62">
        <v>136.0</v>
      </c>
      <c r="P115" s="62">
        <f t="shared" si="1"/>
        <v>380.8</v>
      </c>
      <c r="Q115" s="63">
        <v>4.0</v>
      </c>
      <c r="R115" s="58">
        <v>0.0</v>
      </c>
      <c r="S115" s="58">
        <v>4.0</v>
      </c>
      <c r="T115" s="58">
        <v>4.0</v>
      </c>
      <c r="U115" s="58">
        <v>5.0</v>
      </c>
      <c r="V115" s="58" t="s">
        <v>130</v>
      </c>
      <c r="W115" s="61" t="s">
        <v>76</v>
      </c>
      <c r="X115" s="28" t="s">
        <v>1033</v>
      </c>
      <c r="Y115" s="64">
        <v>31.0</v>
      </c>
      <c r="Z115" s="65">
        <f t="shared" si="2"/>
        <v>32.24</v>
      </c>
      <c r="AA115" s="65">
        <f t="shared" si="3"/>
        <v>12276.992</v>
      </c>
      <c r="AB115" s="65">
        <f t="shared" si="4"/>
        <v>2606.501658</v>
      </c>
      <c r="AC115" s="66">
        <v>1.0</v>
      </c>
      <c r="AD115" s="67"/>
      <c r="AE115" s="68">
        <f t="shared" si="5"/>
        <v>6557.377049</v>
      </c>
      <c r="AF115" s="69">
        <v>8000.0</v>
      </c>
      <c r="AG115" s="68">
        <f t="shared" si="6"/>
        <v>26229.5082</v>
      </c>
      <c r="AH115" s="70">
        <f t="shared" si="7"/>
        <v>32000</v>
      </c>
      <c r="AI115" s="71"/>
      <c r="AJ115" s="71"/>
      <c r="AK115" s="71"/>
      <c r="AL115" s="71"/>
    </row>
    <row r="116">
      <c r="A116" s="57" t="s">
        <v>583</v>
      </c>
      <c r="B116" s="58" t="s">
        <v>17</v>
      </c>
      <c r="C116" s="58" t="s">
        <v>19</v>
      </c>
      <c r="D116" s="58" t="s">
        <v>61</v>
      </c>
      <c r="E116" s="58" t="s">
        <v>110</v>
      </c>
      <c r="F116" s="58" t="s">
        <v>103</v>
      </c>
      <c r="G116" s="59">
        <v>46141.0</v>
      </c>
      <c r="H116" s="58" t="s">
        <v>104</v>
      </c>
      <c r="I116" s="60" t="s">
        <v>584</v>
      </c>
      <c r="J116" s="61" t="s">
        <v>585</v>
      </c>
      <c r="K116" s="61" t="s">
        <v>586</v>
      </c>
      <c r="L116" s="61" t="s">
        <v>587</v>
      </c>
      <c r="M116" s="58">
        <v>2002.0</v>
      </c>
      <c r="N116" s="58">
        <v>11.0</v>
      </c>
      <c r="O116" s="62">
        <v>62.0</v>
      </c>
      <c r="P116" s="62">
        <f t="shared" si="1"/>
        <v>173.6</v>
      </c>
      <c r="Q116" s="63">
        <v>2.0</v>
      </c>
      <c r="R116" s="58">
        <v>0.0</v>
      </c>
      <c r="S116" s="58">
        <v>2.0</v>
      </c>
      <c r="T116" s="58">
        <v>2.0</v>
      </c>
      <c r="U116" s="58">
        <v>4.0</v>
      </c>
      <c r="V116" s="58" t="s">
        <v>130</v>
      </c>
      <c r="W116" s="61" t="s">
        <v>76</v>
      </c>
      <c r="X116" s="28" t="s">
        <v>1033</v>
      </c>
      <c r="Y116" s="64">
        <v>31.0</v>
      </c>
      <c r="Z116" s="65">
        <f t="shared" si="2"/>
        <v>20.15</v>
      </c>
      <c r="AA116" s="65">
        <f t="shared" si="3"/>
        <v>3498.04</v>
      </c>
      <c r="AB116" s="65">
        <f t="shared" si="4"/>
        <v>4573.990006</v>
      </c>
      <c r="AC116" s="66">
        <v>1.0</v>
      </c>
      <c r="AD116" s="70"/>
      <c r="AE116" s="68">
        <f t="shared" si="5"/>
        <v>6557.377049</v>
      </c>
      <c r="AF116" s="69">
        <v>8000.0</v>
      </c>
      <c r="AG116" s="68">
        <f t="shared" si="6"/>
        <v>13114.7541</v>
      </c>
      <c r="AH116" s="70">
        <f t="shared" si="7"/>
        <v>16000</v>
      </c>
      <c r="AI116" s="71"/>
      <c r="AJ116" s="71"/>
      <c r="AK116" s="71"/>
      <c r="AL116" s="71"/>
    </row>
    <row r="117">
      <c r="A117" s="57" t="s">
        <v>588</v>
      </c>
      <c r="B117" s="58" t="s">
        <v>17</v>
      </c>
      <c r="C117" s="58" t="s">
        <v>19</v>
      </c>
      <c r="D117" s="58" t="s">
        <v>61</v>
      </c>
      <c r="E117" s="58" t="s">
        <v>110</v>
      </c>
      <c r="F117" s="58" t="s">
        <v>103</v>
      </c>
      <c r="G117" s="59">
        <v>46142.0</v>
      </c>
      <c r="H117" s="58" t="s">
        <v>104</v>
      </c>
      <c r="I117" s="60" t="s">
        <v>589</v>
      </c>
      <c r="J117" s="61" t="s">
        <v>590</v>
      </c>
      <c r="K117" s="61" t="s">
        <v>591</v>
      </c>
      <c r="L117" s="61" t="s">
        <v>592</v>
      </c>
      <c r="M117" s="58">
        <v>2001.0</v>
      </c>
      <c r="N117" s="58">
        <v>15.0</v>
      </c>
      <c r="O117" s="62">
        <v>41.0</v>
      </c>
      <c r="P117" s="62">
        <f t="shared" si="1"/>
        <v>114.8</v>
      </c>
      <c r="Q117" s="63">
        <v>2.0</v>
      </c>
      <c r="R117" s="58">
        <v>0.0</v>
      </c>
      <c r="S117" s="58">
        <v>1.0</v>
      </c>
      <c r="T117" s="58">
        <v>2.0</v>
      </c>
      <c r="U117" s="58">
        <v>2.0</v>
      </c>
      <c r="V117" s="58" t="s">
        <v>130</v>
      </c>
      <c r="W117" s="61" t="s">
        <v>76</v>
      </c>
      <c r="X117" s="28" t="s">
        <v>1033</v>
      </c>
      <c r="Y117" s="64">
        <v>31.0</v>
      </c>
      <c r="Z117" s="65">
        <f t="shared" si="2"/>
        <v>40.3</v>
      </c>
      <c r="AA117" s="65">
        <f t="shared" si="3"/>
        <v>4626.44</v>
      </c>
      <c r="AB117" s="65">
        <f t="shared" si="4"/>
        <v>3458.382687</v>
      </c>
      <c r="AC117" s="66">
        <v>1.0</v>
      </c>
      <c r="AD117" s="70"/>
      <c r="AE117" s="68">
        <f t="shared" si="5"/>
        <v>6557.377049</v>
      </c>
      <c r="AF117" s="69">
        <v>8000.0</v>
      </c>
      <c r="AG117" s="68">
        <f t="shared" si="6"/>
        <v>13114.7541</v>
      </c>
      <c r="AH117" s="70">
        <f t="shared" si="7"/>
        <v>16000</v>
      </c>
      <c r="AI117" s="71"/>
      <c r="AJ117" s="71"/>
      <c r="AK117" s="71"/>
      <c r="AL117" s="71"/>
    </row>
    <row r="118">
      <c r="A118" s="57" t="s">
        <v>588</v>
      </c>
      <c r="B118" s="58" t="s">
        <v>17</v>
      </c>
      <c r="C118" s="58" t="s">
        <v>19</v>
      </c>
      <c r="D118" s="58" t="s">
        <v>61</v>
      </c>
      <c r="E118" s="58" t="s">
        <v>110</v>
      </c>
      <c r="F118" s="58" t="s">
        <v>103</v>
      </c>
      <c r="G118" s="59">
        <v>46142.0</v>
      </c>
      <c r="H118" s="58" t="s">
        <v>104</v>
      </c>
      <c r="I118" s="60" t="s">
        <v>589</v>
      </c>
      <c r="J118" s="61" t="s">
        <v>593</v>
      </c>
      <c r="K118" s="61" t="s">
        <v>594</v>
      </c>
      <c r="L118" s="61" t="s">
        <v>595</v>
      </c>
      <c r="M118" s="58">
        <v>2016.0</v>
      </c>
      <c r="N118" s="58">
        <v>20.0</v>
      </c>
      <c r="O118" s="62">
        <v>114.0</v>
      </c>
      <c r="P118" s="62">
        <f t="shared" si="1"/>
        <v>319.2</v>
      </c>
      <c r="Q118" s="63">
        <v>2.0</v>
      </c>
      <c r="R118" s="58">
        <v>0.0</v>
      </c>
      <c r="S118" s="58">
        <v>1.0</v>
      </c>
      <c r="T118" s="58">
        <v>2.0</v>
      </c>
      <c r="U118" s="58">
        <v>2.0</v>
      </c>
      <c r="V118" s="58" t="s">
        <v>130</v>
      </c>
      <c r="W118" s="61" t="s">
        <v>76</v>
      </c>
      <c r="X118" s="28" t="s">
        <v>1033</v>
      </c>
      <c r="Y118" s="64">
        <v>31.0</v>
      </c>
      <c r="Z118" s="65">
        <f t="shared" si="2"/>
        <v>40.3</v>
      </c>
      <c r="AA118" s="65">
        <f t="shared" si="3"/>
        <v>12863.76</v>
      </c>
      <c r="AB118" s="65">
        <f t="shared" si="4"/>
        <v>1243.8043</v>
      </c>
      <c r="AC118" s="66">
        <v>1.0</v>
      </c>
      <c r="AD118" s="70"/>
      <c r="AE118" s="68">
        <f t="shared" si="5"/>
        <v>6557.377049</v>
      </c>
      <c r="AF118" s="69">
        <v>8000.0</v>
      </c>
      <c r="AG118" s="68">
        <f t="shared" si="6"/>
        <v>13114.7541</v>
      </c>
      <c r="AH118" s="70">
        <f t="shared" si="7"/>
        <v>16000</v>
      </c>
      <c r="AI118" s="71"/>
      <c r="AJ118" s="71"/>
      <c r="AK118" s="71"/>
      <c r="AL118" s="71"/>
    </row>
    <row r="119">
      <c r="A119" s="57" t="s">
        <v>596</v>
      </c>
      <c r="B119" s="58" t="s">
        <v>17</v>
      </c>
      <c r="C119" s="58" t="s">
        <v>19</v>
      </c>
      <c r="D119" s="58" t="s">
        <v>360</v>
      </c>
      <c r="E119" s="58" t="s">
        <v>361</v>
      </c>
      <c r="F119" s="58" t="s">
        <v>63</v>
      </c>
      <c r="G119" s="59">
        <v>46162.0</v>
      </c>
      <c r="H119" s="58" t="s">
        <v>104</v>
      </c>
      <c r="I119" s="60" t="s">
        <v>597</v>
      </c>
      <c r="J119" s="61" t="s">
        <v>598</v>
      </c>
      <c r="K119" s="61" t="s">
        <v>599</v>
      </c>
      <c r="L119" s="61" t="s">
        <v>600</v>
      </c>
      <c r="M119" s="58">
        <v>2022.0</v>
      </c>
      <c r="N119" s="58">
        <v>22.0</v>
      </c>
      <c r="O119" s="62">
        <v>231.0</v>
      </c>
      <c r="P119" s="62">
        <f t="shared" si="1"/>
        <v>646.8</v>
      </c>
      <c r="Q119" s="63">
        <v>3.0</v>
      </c>
      <c r="R119" s="58">
        <v>0.0</v>
      </c>
      <c r="S119" s="58">
        <v>1.0</v>
      </c>
      <c r="T119" s="58">
        <v>3.0</v>
      </c>
      <c r="U119" s="58">
        <v>2.0</v>
      </c>
      <c r="V119" s="58" t="s">
        <v>130</v>
      </c>
      <c r="W119" s="61" t="s">
        <v>76</v>
      </c>
      <c r="X119" s="28" t="s">
        <v>1033</v>
      </c>
      <c r="Y119" s="64">
        <v>31.0</v>
      </c>
      <c r="Z119" s="65">
        <f t="shared" si="2"/>
        <v>60.45</v>
      </c>
      <c r="AA119" s="65">
        <f t="shared" si="3"/>
        <v>39099.06</v>
      </c>
      <c r="AB119" s="65">
        <f t="shared" si="4"/>
        <v>613.8254986</v>
      </c>
      <c r="AC119" s="66">
        <v>1.0</v>
      </c>
      <c r="AD119" s="67"/>
      <c r="AE119" s="68">
        <f t="shared" si="5"/>
        <v>6557.377049</v>
      </c>
      <c r="AF119" s="69">
        <v>8000.0</v>
      </c>
      <c r="AG119" s="68">
        <f t="shared" si="6"/>
        <v>19672.13115</v>
      </c>
      <c r="AH119" s="70">
        <f t="shared" si="7"/>
        <v>24000</v>
      </c>
      <c r="AI119" s="71"/>
      <c r="AJ119" s="71"/>
      <c r="AK119" s="71"/>
      <c r="AL119" s="71"/>
    </row>
    <row r="120">
      <c r="A120" s="57" t="s">
        <v>601</v>
      </c>
      <c r="B120" s="58" t="s">
        <v>17</v>
      </c>
      <c r="C120" s="58" t="s">
        <v>19</v>
      </c>
      <c r="D120" s="58" t="s">
        <v>101</v>
      </c>
      <c r="E120" s="58" t="s">
        <v>110</v>
      </c>
      <c r="F120" s="58" t="s">
        <v>63</v>
      </c>
      <c r="G120" s="59">
        <v>46162.0</v>
      </c>
      <c r="H120" s="58" t="s">
        <v>65</v>
      </c>
      <c r="I120" s="60" t="s">
        <v>602</v>
      </c>
      <c r="J120" s="61" t="s">
        <v>603</v>
      </c>
      <c r="K120" s="61" t="s">
        <v>604</v>
      </c>
      <c r="L120" s="61" t="s">
        <v>605</v>
      </c>
      <c r="M120" s="58">
        <v>2006.0</v>
      </c>
      <c r="N120" s="58">
        <v>9.0</v>
      </c>
      <c r="O120" s="62">
        <v>72.0</v>
      </c>
      <c r="P120" s="62">
        <f t="shared" si="1"/>
        <v>201.6</v>
      </c>
      <c r="Q120" s="63">
        <v>3.0</v>
      </c>
      <c r="R120" s="58">
        <v>0.0</v>
      </c>
      <c r="S120" s="58">
        <v>3.0</v>
      </c>
      <c r="T120" s="58">
        <v>3.0</v>
      </c>
      <c r="U120" s="58">
        <v>3.0</v>
      </c>
      <c r="V120" s="58" t="s">
        <v>130</v>
      </c>
      <c r="W120" s="61" t="s">
        <v>76</v>
      </c>
      <c r="X120" s="28" t="s">
        <v>1033</v>
      </c>
      <c r="Y120" s="64">
        <v>31.0</v>
      </c>
      <c r="Z120" s="65">
        <f t="shared" si="2"/>
        <v>40.3</v>
      </c>
      <c r="AA120" s="65">
        <f t="shared" si="3"/>
        <v>8124.48</v>
      </c>
      <c r="AB120" s="65">
        <f t="shared" si="4"/>
        <v>2954.035212</v>
      </c>
      <c r="AC120" s="66">
        <v>1.0</v>
      </c>
      <c r="AD120" s="67"/>
      <c r="AE120" s="68">
        <f t="shared" si="5"/>
        <v>6557.377049</v>
      </c>
      <c r="AF120" s="69">
        <v>8000.0</v>
      </c>
      <c r="AG120" s="68">
        <f t="shared" si="6"/>
        <v>19672.13115</v>
      </c>
      <c r="AH120" s="70">
        <f t="shared" si="7"/>
        <v>24000</v>
      </c>
      <c r="AI120" s="71"/>
      <c r="AJ120" s="71"/>
      <c r="AK120" s="71"/>
      <c r="AL120" s="71"/>
    </row>
    <row r="121">
      <c r="A121" s="57" t="s">
        <v>606</v>
      </c>
      <c r="B121" s="58" t="s">
        <v>17</v>
      </c>
      <c r="C121" s="58" t="s">
        <v>19</v>
      </c>
      <c r="D121" s="58" t="s">
        <v>101</v>
      </c>
      <c r="E121" s="58" t="s">
        <v>163</v>
      </c>
      <c r="F121" s="58" t="s">
        <v>103</v>
      </c>
      <c r="G121" s="59">
        <v>46164.0</v>
      </c>
      <c r="H121" s="58" t="s">
        <v>104</v>
      </c>
      <c r="I121" s="60" t="s">
        <v>607</v>
      </c>
      <c r="J121" s="61" t="s">
        <v>608</v>
      </c>
      <c r="K121" s="61" t="s">
        <v>609</v>
      </c>
      <c r="L121" s="61" t="s">
        <v>610</v>
      </c>
      <c r="M121" s="58">
        <v>2016.0</v>
      </c>
      <c r="N121" s="58">
        <v>18.0</v>
      </c>
      <c r="O121" s="62">
        <v>183.0</v>
      </c>
      <c r="P121" s="62">
        <f t="shared" si="1"/>
        <v>512.4</v>
      </c>
      <c r="Q121" s="63">
        <v>2.0</v>
      </c>
      <c r="R121" s="58">
        <v>0.0</v>
      </c>
      <c r="S121" s="58">
        <v>2.0</v>
      </c>
      <c r="T121" s="58">
        <v>2.0</v>
      </c>
      <c r="U121" s="58">
        <v>4.0</v>
      </c>
      <c r="V121" s="58" t="s">
        <v>130</v>
      </c>
      <c r="W121" s="61" t="s">
        <v>76</v>
      </c>
      <c r="X121" s="28" t="s">
        <v>1033</v>
      </c>
      <c r="Y121" s="64">
        <v>31.0</v>
      </c>
      <c r="Z121" s="65">
        <f t="shared" si="2"/>
        <v>20.15</v>
      </c>
      <c r="AA121" s="65">
        <f t="shared" si="3"/>
        <v>10324.86</v>
      </c>
      <c r="AB121" s="65">
        <f t="shared" si="4"/>
        <v>1549.657816</v>
      </c>
      <c r="AC121" s="66">
        <v>1.0</v>
      </c>
      <c r="AD121" s="70"/>
      <c r="AE121" s="68">
        <f t="shared" si="5"/>
        <v>6557.377049</v>
      </c>
      <c r="AF121" s="69">
        <v>8000.0</v>
      </c>
      <c r="AG121" s="68">
        <f t="shared" si="6"/>
        <v>13114.7541</v>
      </c>
      <c r="AH121" s="70">
        <f t="shared" si="7"/>
        <v>16000</v>
      </c>
      <c r="AI121" s="71"/>
      <c r="AJ121" s="71"/>
      <c r="AK121" s="71"/>
      <c r="AL121" s="71"/>
    </row>
    <row r="122">
      <c r="A122" s="57" t="s">
        <v>606</v>
      </c>
      <c r="B122" s="58" t="s">
        <v>17</v>
      </c>
      <c r="C122" s="58" t="s">
        <v>19</v>
      </c>
      <c r="D122" s="58" t="s">
        <v>101</v>
      </c>
      <c r="E122" s="58" t="s">
        <v>102</v>
      </c>
      <c r="F122" s="58" t="s">
        <v>103</v>
      </c>
      <c r="G122" s="59">
        <v>46164.0</v>
      </c>
      <c r="H122" s="58" t="s">
        <v>104</v>
      </c>
      <c r="I122" s="60" t="s">
        <v>607</v>
      </c>
      <c r="J122" s="61" t="s">
        <v>611</v>
      </c>
      <c r="K122" s="61" t="s">
        <v>612</v>
      </c>
      <c r="L122" s="61" t="s">
        <v>613</v>
      </c>
      <c r="M122" s="58">
        <v>2017.0</v>
      </c>
      <c r="N122" s="58">
        <v>18.0</v>
      </c>
      <c r="O122" s="62">
        <v>173.0</v>
      </c>
      <c r="P122" s="62">
        <f t="shared" si="1"/>
        <v>484.4</v>
      </c>
      <c r="Q122" s="63">
        <v>2.0</v>
      </c>
      <c r="R122" s="58">
        <v>0.0</v>
      </c>
      <c r="S122" s="58">
        <v>2.0</v>
      </c>
      <c r="T122" s="58">
        <v>2.0</v>
      </c>
      <c r="U122" s="58">
        <v>4.0</v>
      </c>
      <c r="V122" s="58" t="s">
        <v>130</v>
      </c>
      <c r="W122" s="61" t="s">
        <v>76</v>
      </c>
      <c r="X122" s="28" t="s">
        <v>1033</v>
      </c>
      <c r="Y122" s="64">
        <v>31.0</v>
      </c>
      <c r="Z122" s="65">
        <f t="shared" si="2"/>
        <v>20.15</v>
      </c>
      <c r="AA122" s="65">
        <f t="shared" si="3"/>
        <v>9760.66</v>
      </c>
      <c r="AB122" s="65">
        <f t="shared" si="4"/>
        <v>1639.233412</v>
      </c>
      <c r="AC122" s="66">
        <v>1.0</v>
      </c>
      <c r="AD122" s="70"/>
      <c r="AE122" s="68">
        <f t="shared" si="5"/>
        <v>6557.377049</v>
      </c>
      <c r="AF122" s="69">
        <v>8000.0</v>
      </c>
      <c r="AG122" s="68">
        <f t="shared" si="6"/>
        <v>13114.7541</v>
      </c>
      <c r="AH122" s="70">
        <f t="shared" si="7"/>
        <v>16000</v>
      </c>
      <c r="AI122" s="71"/>
      <c r="AJ122" s="71"/>
      <c r="AK122" s="71"/>
      <c r="AL122" s="71"/>
    </row>
    <row r="123">
      <c r="A123" s="57" t="s">
        <v>614</v>
      </c>
      <c r="B123" s="58" t="s">
        <v>17</v>
      </c>
      <c r="C123" s="58" t="s">
        <v>19</v>
      </c>
      <c r="D123" s="58" t="s">
        <v>101</v>
      </c>
      <c r="E123" s="58" t="s">
        <v>175</v>
      </c>
      <c r="F123" s="58" t="s">
        <v>103</v>
      </c>
      <c r="G123" s="59">
        <v>46164.0</v>
      </c>
      <c r="H123" s="58" t="s">
        <v>104</v>
      </c>
      <c r="I123" s="60" t="s">
        <v>615</v>
      </c>
      <c r="J123" s="61" t="s">
        <v>616</v>
      </c>
      <c r="K123" s="61" t="s">
        <v>617</v>
      </c>
      <c r="L123" s="61" t="s">
        <v>618</v>
      </c>
      <c r="M123" s="58">
        <v>2015.0</v>
      </c>
      <c r="N123" s="58">
        <v>12.0</v>
      </c>
      <c r="O123" s="62">
        <v>236.0</v>
      </c>
      <c r="P123" s="62">
        <f t="shared" si="1"/>
        <v>660.8</v>
      </c>
      <c r="Q123" s="63">
        <v>4.0</v>
      </c>
      <c r="R123" s="58">
        <v>0.0</v>
      </c>
      <c r="S123" s="58">
        <v>4.0</v>
      </c>
      <c r="T123" s="58">
        <v>4.0</v>
      </c>
      <c r="U123" s="58">
        <v>8.0</v>
      </c>
      <c r="V123" s="58" t="s">
        <v>130</v>
      </c>
      <c r="W123" s="61" t="s">
        <v>76</v>
      </c>
      <c r="X123" s="28" t="s">
        <v>1033</v>
      </c>
      <c r="Y123" s="64">
        <v>31.0</v>
      </c>
      <c r="Z123" s="65">
        <f t="shared" si="2"/>
        <v>20.15</v>
      </c>
      <c r="AA123" s="65">
        <f t="shared" si="3"/>
        <v>13315.12</v>
      </c>
      <c r="AB123" s="65">
        <f t="shared" si="4"/>
        <v>2403.282884</v>
      </c>
      <c r="AC123" s="66">
        <v>1.0</v>
      </c>
      <c r="AD123" s="70"/>
      <c r="AE123" s="68">
        <f t="shared" si="5"/>
        <v>6557.377049</v>
      </c>
      <c r="AF123" s="69">
        <v>8000.0</v>
      </c>
      <c r="AG123" s="68">
        <f t="shared" si="6"/>
        <v>26229.5082</v>
      </c>
      <c r="AH123" s="70">
        <f t="shared" si="7"/>
        <v>32000</v>
      </c>
      <c r="AI123" s="71"/>
      <c r="AJ123" s="71"/>
      <c r="AK123" s="71"/>
      <c r="AL123" s="71"/>
    </row>
    <row r="124">
      <c r="A124" s="57" t="s">
        <v>619</v>
      </c>
      <c r="B124" s="58" t="s">
        <v>17</v>
      </c>
      <c r="C124" s="58" t="s">
        <v>19</v>
      </c>
      <c r="D124" s="58" t="s">
        <v>123</v>
      </c>
      <c r="E124" s="58" t="s">
        <v>117</v>
      </c>
      <c r="F124" s="58" t="s">
        <v>63</v>
      </c>
      <c r="G124" s="59">
        <v>46164.0</v>
      </c>
      <c r="H124" s="58" t="s">
        <v>104</v>
      </c>
      <c r="I124" s="60" t="s">
        <v>620</v>
      </c>
      <c r="J124" s="61" t="s">
        <v>621</v>
      </c>
      <c r="K124" s="61" t="s">
        <v>622</v>
      </c>
      <c r="L124" s="61" t="s">
        <v>623</v>
      </c>
      <c r="M124" s="58">
        <v>2003.0</v>
      </c>
      <c r="N124" s="58">
        <v>15.0</v>
      </c>
      <c r="O124" s="62">
        <v>66.0</v>
      </c>
      <c r="P124" s="62">
        <f t="shared" si="1"/>
        <v>184.8</v>
      </c>
      <c r="Q124" s="63">
        <v>2.0</v>
      </c>
      <c r="R124" s="58">
        <v>0.0</v>
      </c>
      <c r="S124" s="58">
        <v>1.0</v>
      </c>
      <c r="T124" s="58">
        <v>2.0</v>
      </c>
      <c r="U124" s="58">
        <v>2.0</v>
      </c>
      <c r="V124" s="58" t="s">
        <v>130</v>
      </c>
      <c r="W124" s="61" t="s">
        <v>76</v>
      </c>
      <c r="X124" s="28" t="s">
        <v>1033</v>
      </c>
      <c r="Y124" s="64">
        <v>31.0</v>
      </c>
      <c r="Z124" s="65">
        <f t="shared" si="2"/>
        <v>40.3</v>
      </c>
      <c r="AA124" s="65">
        <f t="shared" si="3"/>
        <v>7447.44</v>
      </c>
      <c r="AB124" s="65">
        <f t="shared" si="4"/>
        <v>2148.389245</v>
      </c>
      <c r="AC124" s="66">
        <v>1.0</v>
      </c>
      <c r="AD124" s="67"/>
      <c r="AE124" s="68">
        <f t="shared" si="5"/>
        <v>6557.377049</v>
      </c>
      <c r="AF124" s="69">
        <v>8000.0</v>
      </c>
      <c r="AG124" s="68">
        <f t="shared" si="6"/>
        <v>13114.7541</v>
      </c>
      <c r="AH124" s="70">
        <f t="shared" si="7"/>
        <v>16000</v>
      </c>
      <c r="AI124" s="71"/>
      <c r="AJ124" s="71"/>
      <c r="AK124" s="71"/>
      <c r="AL124" s="71"/>
    </row>
    <row r="125">
      <c r="A125" s="57" t="s">
        <v>624</v>
      </c>
      <c r="B125" s="58" t="s">
        <v>17</v>
      </c>
      <c r="C125" s="58" t="s">
        <v>19</v>
      </c>
      <c r="D125" s="58" t="s">
        <v>123</v>
      </c>
      <c r="E125" s="58" t="s">
        <v>117</v>
      </c>
      <c r="F125" s="58" t="s">
        <v>63</v>
      </c>
      <c r="G125" s="59">
        <v>46164.0</v>
      </c>
      <c r="H125" s="58" t="s">
        <v>118</v>
      </c>
      <c r="I125" s="60" t="s">
        <v>625</v>
      </c>
      <c r="J125" s="61" t="s">
        <v>626</v>
      </c>
      <c r="K125" s="61" t="s">
        <v>627</v>
      </c>
      <c r="L125" s="61" t="s">
        <v>628</v>
      </c>
      <c r="M125" s="58">
        <v>2008.0</v>
      </c>
      <c r="N125" s="58">
        <v>12.0</v>
      </c>
      <c r="O125" s="62">
        <v>84.0</v>
      </c>
      <c r="P125" s="62">
        <f t="shared" si="1"/>
        <v>235.2</v>
      </c>
      <c r="Q125" s="63">
        <v>2.0</v>
      </c>
      <c r="R125" s="58">
        <v>0.0</v>
      </c>
      <c r="S125" s="58">
        <v>1.0</v>
      </c>
      <c r="T125" s="58">
        <v>2.0</v>
      </c>
      <c r="U125" s="58">
        <v>2.0</v>
      </c>
      <c r="V125" s="58" t="s">
        <v>130</v>
      </c>
      <c r="W125" s="61" t="s">
        <v>76</v>
      </c>
      <c r="X125" s="28" t="s">
        <v>1033</v>
      </c>
      <c r="Y125" s="64">
        <v>31.0</v>
      </c>
      <c r="Z125" s="65">
        <f t="shared" si="2"/>
        <v>40.3</v>
      </c>
      <c r="AA125" s="65">
        <f t="shared" si="3"/>
        <v>9478.56</v>
      </c>
      <c r="AB125" s="65">
        <f t="shared" si="4"/>
        <v>1688.020121</v>
      </c>
      <c r="AC125" s="66">
        <v>1.0</v>
      </c>
      <c r="AD125" s="67"/>
      <c r="AE125" s="68">
        <f t="shared" si="5"/>
        <v>6557.377049</v>
      </c>
      <c r="AF125" s="69">
        <v>8000.0</v>
      </c>
      <c r="AG125" s="68">
        <f t="shared" si="6"/>
        <v>13114.7541</v>
      </c>
      <c r="AH125" s="70">
        <f t="shared" si="7"/>
        <v>16000</v>
      </c>
      <c r="AI125" s="71"/>
      <c r="AJ125" s="71"/>
      <c r="AK125" s="71"/>
      <c r="AL125" s="71"/>
    </row>
    <row r="126">
      <c r="A126" s="57" t="s">
        <v>629</v>
      </c>
      <c r="B126" s="58" t="s">
        <v>17</v>
      </c>
      <c r="C126" s="58" t="s">
        <v>19</v>
      </c>
      <c r="D126" s="58" t="s">
        <v>123</v>
      </c>
      <c r="E126" s="58" t="s">
        <v>117</v>
      </c>
      <c r="F126" s="58" t="s">
        <v>63</v>
      </c>
      <c r="G126" s="59">
        <v>46171.0</v>
      </c>
      <c r="H126" s="58" t="s">
        <v>104</v>
      </c>
      <c r="I126" s="60" t="s">
        <v>630</v>
      </c>
      <c r="J126" s="61" t="s">
        <v>631</v>
      </c>
      <c r="K126" s="61" t="s">
        <v>632</v>
      </c>
      <c r="L126" s="61" t="s">
        <v>633</v>
      </c>
      <c r="M126" s="58">
        <v>2006.0</v>
      </c>
      <c r="N126" s="58">
        <v>19.0</v>
      </c>
      <c r="O126" s="62">
        <v>112.0</v>
      </c>
      <c r="P126" s="62">
        <f t="shared" si="1"/>
        <v>313.6</v>
      </c>
      <c r="Q126" s="63">
        <v>2.0</v>
      </c>
      <c r="R126" s="58">
        <v>0.0</v>
      </c>
      <c r="S126" s="58">
        <v>1.0</v>
      </c>
      <c r="T126" s="58">
        <v>2.0</v>
      </c>
      <c r="U126" s="58">
        <v>2.0</v>
      </c>
      <c r="V126" s="58" t="s">
        <v>130</v>
      </c>
      <c r="W126" s="61" t="s">
        <v>76</v>
      </c>
      <c r="X126" s="28" t="s">
        <v>1033</v>
      </c>
      <c r="Y126" s="64">
        <v>31.0</v>
      </c>
      <c r="Z126" s="65">
        <f t="shared" si="2"/>
        <v>40.3</v>
      </c>
      <c r="AA126" s="65">
        <f t="shared" si="3"/>
        <v>12638.08</v>
      </c>
      <c r="AB126" s="65">
        <f t="shared" si="4"/>
        <v>1266.015091</v>
      </c>
      <c r="AC126" s="66">
        <v>1.0</v>
      </c>
      <c r="AD126" s="70"/>
      <c r="AE126" s="68">
        <f t="shared" si="5"/>
        <v>6557.377049</v>
      </c>
      <c r="AF126" s="69">
        <v>8000.0</v>
      </c>
      <c r="AG126" s="68">
        <f t="shared" si="6"/>
        <v>13114.7541</v>
      </c>
      <c r="AH126" s="70">
        <f t="shared" si="7"/>
        <v>16000</v>
      </c>
      <c r="AI126" s="71"/>
      <c r="AJ126" s="71"/>
      <c r="AK126" s="71"/>
      <c r="AL126" s="71"/>
    </row>
    <row r="127">
      <c r="A127" s="57" t="s">
        <v>629</v>
      </c>
      <c r="B127" s="58" t="s">
        <v>17</v>
      </c>
      <c r="C127" s="58" t="s">
        <v>19</v>
      </c>
      <c r="D127" s="58" t="s">
        <v>123</v>
      </c>
      <c r="E127" s="58" t="s">
        <v>117</v>
      </c>
      <c r="F127" s="58" t="s">
        <v>63</v>
      </c>
      <c r="G127" s="59">
        <v>46171.0</v>
      </c>
      <c r="H127" s="58" t="s">
        <v>104</v>
      </c>
      <c r="I127" s="58" t="s">
        <v>630</v>
      </c>
      <c r="J127" s="61" t="s">
        <v>634</v>
      </c>
      <c r="K127" s="61" t="s">
        <v>635</v>
      </c>
      <c r="L127" s="61" t="s">
        <v>636</v>
      </c>
      <c r="M127" s="58">
        <v>2006.0</v>
      </c>
      <c r="N127" s="58">
        <v>19.0</v>
      </c>
      <c r="O127" s="62">
        <v>112.0</v>
      </c>
      <c r="P127" s="62">
        <f t="shared" si="1"/>
        <v>313.6</v>
      </c>
      <c r="Q127" s="63">
        <v>2.0</v>
      </c>
      <c r="R127" s="58">
        <v>0.0</v>
      </c>
      <c r="S127" s="58">
        <v>1.0</v>
      </c>
      <c r="T127" s="58">
        <v>2.0</v>
      </c>
      <c r="U127" s="58">
        <v>2.0</v>
      </c>
      <c r="V127" s="58" t="s">
        <v>130</v>
      </c>
      <c r="W127" s="61" t="s">
        <v>76</v>
      </c>
      <c r="X127" s="28" t="s">
        <v>1033</v>
      </c>
      <c r="Y127" s="64">
        <v>31.0</v>
      </c>
      <c r="Z127" s="65">
        <f t="shared" si="2"/>
        <v>40.3</v>
      </c>
      <c r="AA127" s="65">
        <f t="shared" si="3"/>
        <v>12638.08</v>
      </c>
      <c r="AB127" s="65">
        <f t="shared" si="4"/>
        <v>1266.015091</v>
      </c>
      <c r="AC127" s="66">
        <v>1.0</v>
      </c>
      <c r="AD127" s="70"/>
      <c r="AE127" s="68">
        <f t="shared" si="5"/>
        <v>6557.377049</v>
      </c>
      <c r="AF127" s="69">
        <v>8000.0</v>
      </c>
      <c r="AG127" s="68">
        <f t="shared" si="6"/>
        <v>13114.7541</v>
      </c>
      <c r="AH127" s="70">
        <f t="shared" si="7"/>
        <v>16000</v>
      </c>
      <c r="AI127" s="71"/>
      <c r="AJ127" s="71"/>
      <c r="AK127" s="71"/>
      <c r="AL127" s="71"/>
    </row>
    <row r="128">
      <c r="A128" s="57" t="s">
        <v>629</v>
      </c>
      <c r="B128" s="58" t="s">
        <v>17</v>
      </c>
      <c r="C128" s="58" t="s">
        <v>19</v>
      </c>
      <c r="D128" s="58" t="s">
        <v>123</v>
      </c>
      <c r="E128" s="58" t="s">
        <v>117</v>
      </c>
      <c r="F128" s="58" t="s">
        <v>63</v>
      </c>
      <c r="G128" s="59">
        <v>46171.0</v>
      </c>
      <c r="H128" s="58" t="s">
        <v>104</v>
      </c>
      <c r="I128" s="58" t="s">
        <v>630</v>
      </c>
      <c r="J128" s="61" t="s">
        <v>637</v>
      </c>
      <c r="K128" s="61" t="s">
        <v>638</v>
      </c>
      <c r="L128" s="61" t="s">
        <v>639</v>
      </c>
      <c r="M128" s="58">
        <v>2001.0</v>
      </c>
      <c r="N128" s="58">
        <v>18.0</v>
      </c>
      <c r="O128" s="62">
        <v>90.0</v>
      </c>
      <c r="P128" s="62">
        <f t="shared" si="1"/>
        <v>252</v>
      </c>
      <c r="Q128" s="63">
        <v>2.0</v>
      </c>
      <c r="R128" s="58">
        <v>0.0</v>
      </c>
      <c r="S128" s="58">
        <v>1.0</v>
      </c>
      <c r="T128" s="58">
        <v>2.0</v>
      </c>
      <c r="U128" s="58">
        <v>2.0</v>
      </c>
      <c r="V128" s="58" t="s">
        <v>130</v>
      </c>
      <c r="W128" s="61" t="s">
        <v>76</v>
      </c>
      <c r="X128" s="28" t="s">
        <v>1033</v>
      </c>
      <c r="Y128" s="64">
        <v>31.0</v>
      </c>
      <c r="Z128" s="65">
        <f t="shared" si="2"/>
        <v>40.3</v>
      </c>
      <c r="AA128" s="65">
        <f t="shared" si="3"/>
        <v>10155.6</v>
      </c>
      <c r="AB128" s="65">
        <f t="shared" si="4"/>
        <v>1575.485446</v>
      </c>
      <c r="AC128" s="66">
        <v>1.0</v>
      </c>
      <c r="AD128" s="70"/>
      <c r="AE128" s="68">
        <f t="shared" si="5"/>
        <v>6557.377049</v>
      </c>
      <c r="AF128" s="69">
        <v>8000.0</v>
      </c>
      <c r="AG128" s="68">
        <f t="shared" si="6"/>
        <v>13114.7541</v>
      </c>
      <c r="AH128" s="70">
        <f t="shared" si="7"/>
        <v>16000</v>
      </c>
      <c r="AI128" s="71"/>
      <c r="AJ128" s="71"/>
      <c r="AK128" s="71"/>
      <c r="AL128" s="71"/>
    </row>
    <row r="129">
      <c r="A129" s="57" t="s">
        <v>640</v>
      </c>
      <c r="B129" s="58" t="s">
        <v>17</v>
      </c>
      <c r="C129" s="58" t="s">
        <v>19</v>
      </c>
      <c r="D129" s="58" t="s">
        <v>101</v>
      </c>
      <c r="E129" s="58" t="s">
        <v>102</v>
      </c>
      <c r="F129" s="58" t="s">
        <v>103</v>
      </c>
      <c r="G129" s="59">
        <v>46167.0</v>
      </c>
      <c r="H129" s="58" t="s">
        <v>104</v>
      </c>
      <c r="I129" s="60" t="s">
        <v>641</v>
      </c>
      <c r="J129" s="61" t="s">
        <v>642</v>
      </c>
      <c r="K129" s="61" t="s">
        <v>643</v>
      </c>
      <c r="L129" s="61" t="s">
        <v>644</v>
      </c>
      <c r="M129" s="58">
        <v>2003.0</v>
      </c>
      <c r="N129" s="58">
        <v>10.0</v>
      </c>
      <c r="O129" s="62">
        <v>167.0</v>
      </c>
      <c r="P129" s="62">
        <f t="shared" si="1"/>
        <v>467.6</v>
      </c>
      <c r="Q129" s="63">
        <v>3.0</v>
      </c>
      <c r="R129" s="58">
        <v>0.0</v>
      </c>
      <c r="S129" s="58">
        <v>3.0</v>
      </c>
      <c r="T129" s="58">
        <v>3.0</v>
      </c>
      <c r="U129" s="58">
        <v>3.0</v>
      </c>
      <c r="V129" s="58" t="s">
        <v>130</v>
      </c>
      <c r="W129" s="61" t="s">
        <v>76</v>
      </c>
      <c r="X129" s="28" t="s">
        <v>1033</v>
      </c>
      <c r="Y129" s="64">
        <v>31.0</v>
      </c>
      <c r="Z129" s="65">
        <f t="shared" si="2"/>
        <v>40.3</v>
      </c>
      <c r="AA129" s="65">
        <f t="shared" si="3"/>
        <v>18844.28</v>
      </c>
      <c r="AB129" s="65">
        <f t="shared" si="4"/>
        <v>1273.59602</v>
      </c>
      <c r="AC129" s="66">
        <v>1.0</v>
      </c>
      <c r="AD129" s="67"/>
      <c r="AE129" s="68">
        <f t="shared" si="5"/>
        <v>6557.377049</v>
      </c>
      <c r="AF129" s="69">
        <v>8000.0</v>
      </c>
      <c r="AG129" s="68">
        <f t="shared" si="6"/>
        <v>19672.13115</v>
      </c>
      <c r="AH129" s="70">
        <f t="shared" si="7"/>
        <v>24000</v>
      </c>
      <c r="AI129" s="71"/>
      <c r="AJ129" s="71"/>
      <c r="AK129" s="71"/>
      <c r="AL129" s="71"/>
    </row>
    <row r="130">
      <c r="A130" s="57" t="s">
        <v>645</v>
      </c>
      <c r="B130" s="58" t="s">
        <v>17</v>
      </c>
      <c r="C130" s="58" t="s">
        <v>19</v>
      </c>
      <c r="D130" s="58" t="s">
        <v>101</v>
      </c>
      <c r="E130" s="58" t="s">
        <v>102</v>
      </c>
      <c r="F130" s="58" t="s">
        <v>63</v>
      </c>
      <c r="G130" s="59">
        <v>46167.0</v>
      </c>
      <c r="H130" s="58" t="s">
        <v>104</v>
      </c>
      <c r="I130" s="60" t="s">
        <v>646</v>
      </c>
      <c r="J130" s="61" t="s">
        <v>647</v>
      </c>
      <c r="K130" s="61" t="s">
        <v>648</v>
      </c>
      <c r="L130" s="61" t="s">
        <v>649</v>
      </c>
      <c r="M130" s="58">
        <v>2022.0</v>
      </c>
      <c r="N130" s="58">
        <v>11.0</v>
      </c>
      <c r="O130" s="62">
        <v>248.0</v>
      </c>
      <c r="P130" s="62">
        <f t="shared" si="1"/>
        <v>694.4</v>
      </c>
      <c r="Q130" s="63">
        <v>2.0</v>
      </c>
      <c r="R130" s="58">
        <v>0.0</v>
      </c>
      <c r="S130" s="58">
        <v>1.0</v>
      </c>
      <c r="T130" s="58">
        <v>2.0</v>
      </c>
      <c r="U130" s="58">
        <v>2.0</v>
      </c>
      <c r="V130" s="58" t="s">
        <v>130</v>
      </c>
      <c r="W130" s="61" t="s">
        <v>76</v>
      </c>
      <c r="X130" s="28" t="s">
        <v>1033</v>
      </c>
      <c r="Y130" s="64">
        <v>31.0</v>
      </c>
      <c r="Z130" s="65">
        <f t="shared" si="2"/>
        <v>40.3</v>
      </c>
      <c r="AA130" s="65">
        <f t="shared" si="3"/>
        <v>27984.32</v>
      </c>
      <c r="AB130" s="65">
        <f t="shared" si="4"/>
        <v>571.7487507</v>
      </c>
      <c r="AC130" s="66">
        <v>1.0</v>
      </c>
      <c r="AD130" s="67"/>
      <c r="AE130" s="68">
        <f t="shared" si="5"/>
        <v>6557.377049</v>
      </c>
      <c r="AF130" s="69">
        <v>8000.0</v>
      </c>
      <c r="AG130" s="68">
        <f t="shared" si="6"/>
        <v>13114.7541</v>
      </c>
      <c r="AH130" s="70">
        <f t="shared" si="7"/>
        <v>16000</v>
      </c>
      <c r="AI130" s="71"/>
      <c r="AJ130" s="71"/>
      <c r="AK130" s="71"/>
      <c r="AL130" s="71"/>
    </row>
    <row r="131">
      <c r="A131" s="57" t="s">
        <v>650</v>
      </c>
      <c r="B131" s="58" t="s">
        <v>17</v>
      </c>
      <c r="C131" s="58" t="s">
        <v>19</v>
      </c>
      <c r="D131" s="58" t="s">
        <v>101</v>
      </c>
      <c r="E131" s="58" t="s">
        <v>102</v>
      </c>
      <c r="F131" s="58" t="s">
        <v>63</v>
      </c>
      <c r="G131" s="59">
        <v>46171.0</v>
      </c>
      <c r="H131" s="58" t="s">
        <v>104</v>
      </c>
      <c r="I131" s="60" t="s">
        <v>651</v>
      </c>
      <c r="J131" s="61" t="s">
        <v>652</v>
      </c>
      <c r="K131" s="61" t="s">
        <v>653</v>
      </c>
      <c r="L131" s="61" t="s">
        <v>654</v>
      </c>
      <c r="M131" s="58">
        <v>2019.0</v>
      </c>
      <c r="N131" s="58">
        <v>11.0</v>
      </c>
      <c r="O131" s="62">
        <v>70.0</v>
      </c>
      <c r="P131" s="62">
        <f t="shared" si="1"/>
        <v>196</v>
      </c>
      <c r="Q131" s="63">
        <v>1.0</v>
      </c>
      <c r="R131" s="58">
        <v>0.0</v>
      </c>
      <c r="S131" s="58">
        <v>1.0</v>
      </c>
      <c r="T131" s="58">
        <v>1.0</v>
      </c>
      <c r="U131" s="58">
        <v>1.0</v>
      </c>
      <c r="V131" s="58" t="s">
        <v>130</v>
      </c>
      <c r="W131" s="61" t="s">
        <v>76</v>
      </c>
      <c r="X131" s="28" t="s">
        <v>1033</v>
      </c>
      <c r="Y131" s="64">
        <v>31.0</v>
      </c>
      <c r="Z131" s="65">
        <f t="shared" si="2"/>
        <v>40.3</v>
      </c>
      <c r="AA131" s="65">
        <f t="shared" si="3"/>
        <v>7898.8</v>
      </c>
      <c r="AB131" s="65">
        <f t="shared" si="4"/>
        <v>1012.812073</v>
      </c>
      <c r="AC131" s="66">
        <v>1.0</v>
      </c>
      <c r="AD131" s="70"/>
      <c r="AE131" s="68">
        <f t="shared" si="5"/>
        <v>6557.377049</v>
      </c>
      <c r="AF131" s="69">
        <v>8000.0</v>
      </c>
      <c r="AG131" s="68">
        <f t="shared" si="6"/>
        <v>6557.377049</v>
      </c>
      <c r="AH131" s="70">
        <f t="shared" si="7"/>
        <v>8000</v>
      </c>
      <c r="AI131" s="71"/>
      <c r="AJ131" s="71"/>
      <c r="AK131" s="71"/>
      <c r="AL131" s="71"/>
    </row>
    <row r="132">
      <c r="A132" s="76" t="s">
        <v>650</v>
      </c>
      <c r="B132" s="74" t="s">
        <v>17</v>
      </c>
      <c r="C132" s="74" t="s">
        <v>19</v>
      </c>
      <c r="D132" s="74" t="s">
        <v>101</v>
      </c>
      <c r="E132" s="74" t="s">
        <v>102</v>
      </c>
      <c r="F132" s="58" t="s">
        <v>63</v>
      </c>
      <c r="G132" s="59">
        <v>46244.0</v>
      </c>
      <c r="H132" s="58" t="s">
        <v>104</v>
      </c>
      <c r="I132" s="77" t="s">
        <v>651</v>
      </c>
      <c r="J132" s="75" t="s">
        <v>655</v>
      </c>
      <c r="K132" s="75" t="s">
        <v>656</v>
      </c>
      <c r="L132" s="78"/>
      <c r="M132" s="74">
        <v>2023.0</v>
      </c>
      <c r="N132" s="74">
        <v>12.0</v>
      </c>
      <c r="O132" s="79">
        <v>158.0</v>
      </c>
      <c r="P132" s="79">
        <f t="shared" si="1"/>
        <v>442.4</v>
      </c>
      <c r="Q132" s="76">
        <v>2.0</v>
      </c>
      <c r="R132" s="74">
        <v>0.0</v>
      </c>
      <c r="S132" s="74">
        <v>1.0</v>
      </c>
      <c r="T132" s="74">
        <v>2.0</v>
      </c>
      <c r="U132" s="74">
        <v>2.0</v>
      </c>
      <c r="V132" s="74" t="s">
        <v>130</v>
      </c>
      <c r="W132" s="75" t="s">
        <v>76</v>
      </c>
      <c r="X132" s="28" t="s">
        <v>1033</v>
      </c>
      <c r="Y132" s="64">
        <v>31.0</v>
      </c>
      <c r="Z132" s="65">
        <f t="shared" si="2"/>
        <v>40.3</v>
      </c>
      <c r="AA132" s="65">
        <f t="shared" si="3"/>
        <v>17828.72</v>
      </c>
      <c r="AB132" s="65">
        <f t="shared" si="4"/>
        <v>897.4284189</v>
      </c>
      <c r="AC132" s="66">
        <v>1.0</v>
      </c>
      <c r="AD132" s="70"/>
      <c r="AE132" s="68">
        <f t="shared" si="5"/>
        <v>6557.377049</v>
      </c>
      <c r="AF132" s="69">
        <v>8000.0</v>
      </c>
      <c r="AG132" s="68">
        <f t="shared" si="6"/>
        <v>13114.7541</v>
      </c>
      <c r="AH132" s="70">
        <f t="shared" si="7"/>
        <v>16000</v>
      </c>
      <c r="AI132" s="71"/>
      <c r="AJ132" s="71"/>
      <c r="AK132" s="71"/>
      <c r="AL132" s="71"/>
    </row>
    <row r="133">
      <c r="A133" s="57" t="s">
        <v>657</v>
      </c>
      <c r="B133" s="58" t="s">
        <v>17</v>
      </c>
      <c r="C133" s="58" t="s">
        <v>19</v>
      </c>
      <c r="D133" s="58" t="s">
        <v>61</v>
      </c>
      <c r="E133" s="58" t="s">
        <v>316</v>
      </c>
      <c r="F133" s="58" t="s">
        <v>63</v>
      </c>
      <c r="G133" s="59">
        <v>46183.0</v>
      </c>
      <c r="H133" s="58" t="s">
        <v>118</v>
      </c>
      <c r="I133" s="60" t="s">
        <v>658</v>
      </c>
      <c r="J133" s="61" t="s">
        <v>659</v>
      </c>
      <c r="K133" s="61" t="s">
        <v>660</v>
      </c>
      <c r="L133" s="61" t="s">
        <v>661</v>
      </c>
      <c r="M133" s="58">
        <v>2014.0</v>
      </c>
      <c r="N133" s="58">
        <v>18.0</v>
      </c>
      <c r="O133" s="62">
        <v>90.0</v>
      </c>
      <c r="P133" s="62">
        <f t="shared" si="1"/>
        <v>252</v>
      </c>
      <c r="Q133" s="63">
        <v>2.0</v>
      </c>
      <c r="R133" s="58">
        <v>0.0</v>
      </c>
      <c r="S133" s="58">
        <v>1.0</v>
      </c>
      <c r="T133" s="58">
        <v>2.0</v>
      </c>
      <c r="U133" s="58">
        <v>2.0</v>
      </c>
      <c r="V133" s="58" t="s">
        <v>130</v>
      </c>
      <c r="W133" s="61" t="s">
        <v>76</v>
      </c>
      <c r="X133" s="28" t="s">
        <v>1033</v>
      </c>
      <c r="Y133" s="64">
        <v>31.0</v>
      </c>
      <c r="Z133" s="65">
        <f t="shared" si="2"/>
        <v>40.3</v>
      </c>
      <c r="AA133" s="65">
        <f t="shared" si="3"/>
        <v>10155.6</v>
      </c>
      <c r="AB133" s="65">
        <f t="shared" si="4"/>
        <v>1575.485446</v>
      </c>
      <c r="AC133" s="66">
        <v>1.0</v>
      </c>
      <c r="AD133" s="70"/>
      <c r="AE133" s="68">
        <f t="shared" si="5"/>
        <v>6557.377049</v>
      </c>
      <c r="AF133" s="69">
        <v>8000.0</v>
      </c>
      <c r="AG133" s="68">
        <f t="shared" si="6"/>
        <v>13114.7541</v>
      </c>
      <c r="AH133" s="70">
        <f t="shared" si="7"/>
        <v>16000</v>
      </c>
      <c r="AI133" s="71"/>
      <c r="AJ133" s="71"/>
      <c r="AK133" s="71"/>
      <c r="AL133" s="71"/>
    </row>
    <row r="134">
      <c r="A134" s="57" t="s">
        <v>657</v>
      </c>
      <c r="B134" s="58" t="s">
        <v>17</v>
      </c>
      <c r="C134" s="58" t="s">
        <v>19</v>
      </c>
      <c r="D134" s="58" t="s">
        <v>61</v>
      </c>
      <c r="E134" s="58" t="s">
        <v>316</v>
      </c>
      <c r="F134" s="58" t="s">
        <v>63</v>
      </c>
      <c r="G134" s="59">
        <v>46183.0</v>
      </c>
      <c r="H134" s="58" t="s">
        <v>118</v>
      </c>
      <c r="I134" s="60" t="s">
        <v>658</v>
      </c>
      <c r="J134" s="61" t="s">
        <v>662</v>
      </c>
      <c r="K134" s="61" t="s">
        <v>663</v>
      </c>
      <c r="L134" s="61" t="s">
        <v>664</v>
      </c>
      <c r="M134" s="58">
        <v>2013.0</v>
      </c>
      <c r="N134" s="58">
        <v>14.0</v>
      </c>
      <c r="O134" s="62">
        <v>154.0</v>
      </c>
      <c r="P134" s="62">
        <f t="shared" si="1"/>
        <v>431.2</v>
      </c>
      <c r="Q134" s="63">
        <v>3.0</v>
      </c>
      <c r="R134" s="58">
        <v>0.0</v>
      </c>
      <c r="S134" s="58">
        <v>3.0</v>
      </c>
      <c r="T134" s="58">
        <v>3.0</v>
      </c>
      <c r="U134" s="58">
        <v>6.0</v>
      </c>
      <c r="V134" s="58" t="s">
        <v>130</v>
      </c>
      <c r="W134" s="61" t="s">
        <v>76</v>
      </c>
      <c r="X134" s="28" t="s">
        <v>1033</v>
      </c>
      <c r="Y134" s="64">
        <v>31.0</v>
      </c>
      <c r="Z134" s="65">
        <f t="shared" si="2"/>
        <v>20.15</v>
      </c>
      <c r="AA134" s="65">
        <f t="shared" si="3"/>
        <v>8688.68</v>
      </c>
      <c r="AB134" s="65">
        <f t="shared" si="4"/>
        <v>2762.214744</v>
      </c>
      <c r="AC134" s="66">
        <v>1.0</v>
      </c>
      <c r="AD134" s="70"/>
      <c r="AE134" s="68">
        <f t="shared" si="5"/>
        <v>6557.377049</v>
      </c>
      <c r="AF134" s="69">
        <v>8000.0</v>
      </c>
      <c r="AG134" s="68">
        <f t="shared" si="6"/>
        <v>19672.13115</v>
      </c>
      <c r="AH134" s="70">
        <f t="shared" si="7"/>
        <v>24000</v>
      </c>
      <c r="AI134" s="71"/>
      <c r="AJ134" s="71"/>
      <c r="AK134" s="71"/>
      <c r="AL134" s="71"/>
    </row>
    <row r="135">
      <c r="A135" s="57" t="s">
        <v>665</v>
      </c>
      <c r="B135" s="58" t="s">
        <v>17</v>
      </c>
      <c r="C135" s="58" t="s">
        <v>19</v>
      </c>
      <c r="D135" s="58" t="s">
        <v>123</v>
      </c>
      <c r="E135" s="58" t="s">
        <v>117</v>
      </c>
      <c r="F135" s="58" t="s">
        <v>63</v>
      </c>
      <c r="G135" s="59">
        <v>46168.0</v>
      </c>
      <c r="H135" s="58" t="s">
        <v>104</v>
      </c>
      <c r="I135" s="60" t="s">
        <v>666</v>
      </c>
      <c r="J135" s="61" t="s">
        <v>667</v>
      </c>
      <c r="K135" s="61" t="s">
        <v>668</v>
      </c>
      <c r="L135" s="61" t="s">
        <v>669</v>
      </c>
      <c r="M135" s="58">
        <v>2002.0</v>
      </c>
      <c r="N135" s="58">
        <v>10.0</v>
      </c>
      <c r="O135" s="62">
        <v>150.0</v>
      </c>
      <c r="P135" s="62">
        <f t="shared" si="1"/>
        <v>420</v>
      </c>
      <c r="Q135" s="63">
        <v>3.0</v>
      </c>
      <c r="R135" s="58">
        <v>0.0</v>
      </c>
      <c r="S135" s="58">
        <v>3.0</v>
      </c>
      <c r="T135" s="58">
        <v>3.0</v>
      </c>
      <c r="U135" s="58">
        <v>3.0</v>
      </c>
      <c r="V135" s="58" t="s">
        <v>130</v>
      </c>
      <c r="W135" s="61" t="s">
        <v>76</v>
      </c>
      <c r="X135" s="28" t="s">
        <v>1033</v>
      </c>
      <c r="Y135" s="64">
        <v>31.0</v>
      </c>
      <c r="Z135" s="65">
        <f t="shared" si="2"/>
        <v>40.3</v>
      </c>
      <c r="AA135" s="65">
        <f t="shared" si="3"/>
        <v>16926</v>
      </c>
      <c r="AB135" s="65">
        <f t="shared" si="4"/>
        <v>1417.936902</v>
      </c>
      <c r="AC135" s="66">
        <v>1.0</v>
      </c>
      <c r="AD135" s="67"/>
      <c r="AE135" s="68">
        <f t="shared" si="5"/>
        <v>6557.377049</v>
      </c>
      <c r="AF135" s="69">
        <v>8000.0</v>
      </c>
      <c r="AG135" s="68">
        <f t="shared" si="6"/>
        <v>19672.13115</v>
      </c>
      <c r="AH135" s="70">
        <f t="shared" si="7"/>
        <v>24000</v>
      </c>
      <c r="AI135" s="71"/>
      <c r="AJ135" s="71"/>
      <c r="AK135" s="71"/>
      <c r="AL135" s="71"/>
    </row>
    <row r="136">
      <c r="A136" s="57" t="s">
        <v>670</v>
      </c>
      <c r="B136" s="58" t="s">
        <v>17</v>
      </c>
      <c r="C136" s="58" t="s">
        <v>19</v>
      </c>
      <c r="D136" s="58" t="s">
        <v>123</v>
      </c>
      <c r="E136" s="58" t="s">
        <v>117</v>
      </c>
      <c r="F136" s="58" t="s">
        <v>63</v>
      </c>
      <c r="G136" s="59">
        <v>46196.0</v>
      </c>
      <c r="H136" s="58" t="s">
        <v>104</v>
      </c>
      <c r="I136" s="60" t="s">
        <v>671</v>
      </c>
      <c r="J136" s="61" t="s">
        <v>672</v>
      </c>
      <c r="K136" s="61" t="s">
        <v>673</v>
      </c>
      <c r="L136" s="61" t="s">
        <v>674</v>
      </c>
      <c r="M136" s="58">
        <v>1995.0</v>
      </c>
      <c r="N136" s="58">
        <v>10.0</v>
      </c>
      <c r="O136" s="62">
        <v>290.0</v>
      </c>
      <c r="P136" s="62">
        <f t="shared" si="1"/>
        <v>812</v>
      </c>
      <c r="Q136" s="63">
        <v>8.0</v>
      </c>
      <c r="R136" s="58">
        <v>0.0</v>
      </c>
      <c r="S136" s="58">
        <v>8.0</v>
      </c>
      <c r="T136" s="58">
        <v>8.0</v>
      </c>
      <c r="U136" s="58">
        <v>8.0</v>
      </c>
      <c r="V136" s="58" t="s">
        <v>130</v>
      </c>
      <c r="W136" s="61" t="s">
        <v>76</v>
      </c>
      <c r="X136" s="28" t="s">
        <v>1033</v>
      </c>
      <c r="Y136" s="64">
        <v>31.0</v>
      </c>
      <c r="Z136" s="65">
        <f t="shared" si="2"/>
        <v>40.3</v>
      </c>
      <c r="AA136" s="65">
        <f t="shared" si="3"/>
        <v>32723.6</v>
      </c>
      <c r="AB136" s="65">
        <f t="shared" si="4"/>
        <v>1955.775037</v>
      </c>
      <c r="AC136" s="66">
        <v>1.0</v>
      </c>
      <c r="AD136" s="67"/>
      <c r="AE136" s="68">
        <f t="shared" si="5"/>
        <v>6557.377049</v>
      </c>
      <c r="AF136" s="69">
        <v>8000.0</v>
      </c>
      <c r="AG136" s="68">
        <f t="shared" si="6"/>
        <v>52459.01639</v>
      </c>
      <c r="AH136" s="70">
        <f t="shared" si="7"/>
        <v>64000</v>
      </c>
      <c r="AI136" s="71"/>
      <c r="AJ136" s="71"/>
      <c r="AK136" s="71"/>
      <c r="AL136" s="71"/>
    </row>
    <row r="137">
      <c r="A137" s="57" t="s">
        <v>675</v>
      </c>
      <c r="B137" s="58" t="s">
        <v>17</v>
      </c>
      <c r="C137" s="58" t="s">
        <v>19</v>
      </c>
      <c r="D137" s="58" t="s">
        <v>123</v>
      </c>
      <c r="E137" s="58" t="s">
        <v>117</v>
      </c>
      <c r="F137" s="58" t="s">
        <v>63</v>
      </c>
      <c r="G137" s="59">
        <v>46186.0</v>
      </c>
      <c r="H137" s="58" t="s">
        <v>104</v>
      </c>
      <c r="I137" s="60" t="s">
        <v>676</v>
      </c>
      <c r="J137" s="61" t="s">
        <v>677</v>
      </c>
      <c r="K137" s="61" t="s">
        <v>678</v>
      </c>
      <c r="L137" s="61" t="s">
        <v>679</v>
      </c>
      <c r="M137" s="58">
        <v>2001.0</v>
      </c>
      <c r="N137" s="58">
        <v>9.0</v>
      </c>
      <c r="O137" s="62">
        <v>207.0</v>
      </c>
      <c r="P137" s="62">
        <f t="shared" si="1"/>
        <v>579.6</v>
      </c>
      <c r="Q137" s="63">
        <v>7.0</v>
      </c>
      <c r="R137" s="58">
        <v>0.0</v>
      </c>
      <c r="S137" s="58">
        <v>7.0</v>
      </c>
      <c r="T137" s="58">
        <v>7.0</v>
      </c>
      <c r="U137" s="58">
        <v>7.0</v>
      </c>
      <c r="V137" s="58" t="s">
        <v>130</v>
      </c>
      <c r="W137" s="61" t="s">
        <v>76</v>
      </c>
      <c r="X137" s="28" t="s">
        <v>1033</v>
      </c>
      <c r="Y137" s="64">
        <v>31.0</v>
      </c>
      <c r="Z137" s="65">
        <f t="shared" si="2"/>
        <v>40.3</v>
      </c>
      <c r="AA137" s="65">
        <f t="shared" si="3"/>
        <v>23357.88</v>
      </c>
      <c r="AB137" s="65">
        <f t="shared" si="4"/>
        <v>2397.477853</v>
      </c>
      <c r="AC137" s="66">
        <v>1.0</v>
      </c>
      <c r="AD137" s="67"/>
      <c r="AE137" s="68">
        <f t="shared" si="5"/>
        <v>6557.377049</v>
      </c>
      <c r="AF137" s="69">
        <v>8000.0</v>
      </c>
      <c r="AG137" s="68">
        <f t="shared" si="6"/>
        <v>45901.63934</v>
      </c>
      <c r="AH137" s="70">
        <f t="shared" si="7"/>
        <v>56000</v>
      </c>
      <c r="AI137" s="71"/>
      <c r="AJ137" s="71"/>
      <c r="AK137" s="71"/>
      <c r="AL137" s="71"/>
    </row>
    <row r="138">
      <c r="A138" s="57" t="s">
        <v>680</v>
      </c>
      <c r="B138" s="58" t="s">
        <v>17</v>
      </c>
      <c r="C138" s="58" t="s">
        <v>19</v>
      </c>
      <c r="D138" s="58" t="s">
        <v>123</v>
      </c>
      <c r="E138" s="58" t="s">
        <v>117</v>
      </c>
      <c r="F138" s="58" t="s">
        <v>103</v>
      </c>
      <c r="G138" s="59">
        <v>46188.0</v>
      </c>
      <c r="H138" s="58" t="s">
        <v>104</v>
      </c>
      <c r="I138" s="60" t="s">
        <v>681</v>
      </c>
      <c r="J138" s="61" t="s">
        <v>682</v>
      </c>
      <c r="K138" s="61" t="s">
        <v>683</v>
      </c>
      <c r="L138" s="61" t="s">
        <v>684</v>
      </c>
      <c r="M138" s="58">
        <v>2007.0</v>
      </c>
      <c r="N138" s="58">
        <v>18.0</v>
      </c>
      <c r="O138" s="62">
        <v>80.0</v>
      </c>
      <c r="P138" s="62">
        <f t="shared" si="1"/>
        <v>224</v>
      </c>
      <c r="Q138" s="63">
        <v>2.0</v>
      </c>
      <c r="R138" s="58">
        <v>0.0</v>
      </c>
      <c r="S138" s="58">
        <v>1.0</v>
      </c>
      <c r="T138" s="58">
        <v>2.0</v>
      </c>
      <c r="U138" s="58">
        <v>2.0</v>
      </c>
      <c r="V138" s="58" t="s">
        <v>130</v>
      </c>
      <c r="W138" s="61" t="s">
        <v>76</v>
      </c>
      <c r="X138" s="28" t="s">
        <v>1033</v>
      </c>
      <c r="Y138" s="64">
        <v>31.0</v>
      </c>
      <c r="Z138" s="65">
        <f t="shared" si="2"/>
        <v>40.3</v>
      </c>
      <c r="AA138" s="65">
        <f t="shared" si="3"/>
        <v>9027.2</v>
      </c>
      <c r="AB138" s="65">
        <f t="shared" si="4"/>
        <v>1772.421127</v>
      </c>
      <c r="AC138" s="66">
        <v>1.0</v>
      </c>
      <c r="AD138" s="70"/>
      <c r="AE138" s="68">
        <f t="shared" si="5"/>
        <v>6557.377049</v>
      </c>
      <c r="AF138" s="69">
        <v>8000.0</v>
      </c>
      <c r="AG138" s="68">
        <f t="shared" si="6"/>
        <v>13114.7541</v>
      </c>
      <c r="AH138" s="70">
        <f t="shared" si="7"/>
        <v>16000</v>
      </c>
      <c r="AI138" s="71"/>
      <c r="AJ138" s="71"/>
      <c r="AK138" s="71"/>
      <c r="AL138" s="71"/>
    </row>
    <row r="139">
      <c r="A139" s="57" t="s">
        <v>685</v>
      </c>
      <c r="B139" s="58" t="s">
        <v>17</v>
      </c>
      <c r="C139" s="58" t="s">
        <v>19</v>
      </c>
      <c r="D139" s="58" t="s">
        <v>101</v>
      </c>
      <c r="E139" s="58" t="s">
        <v>102</v>
      </c>
      <c r="F139" s="58" t="s">
        <v>103</v>
      </c>
      <c r="G139" s="59">
        <v>46191.0</v>
      </c>
      <c r="H139" s="58" t="s">
        <v>104</v>
      </c>
      <c r="I139" s="60" t="s">
        <v>686</v>
      </c>
      <c r="J139" s="61" t="s">
        <v>687</v>
      </c>
      <c r="K139" s="61" t="s">
        <v>688</v>
      </c>
      <c r="L139" s="61" t="s">
        <v>689</v>
      </c>
      <c r="M139" s="58">
        <v>2009.0</v>
      </c>
      <c r="N139" s="58">
        <v>9.0</v>
      </c>
      <c r="O139" s="62">
        <v>71.0</v>
      </c>
      <c r="P139" s="62">
        <f t="shared" si="1"/>
        <v>198.8</v>
      </c>
      <c r="Q139" s="63">
        <v>2.0</v>
      </c>
      <c r="R139" s="58">
        <v>0.0</v>
      </c>
      <c r="S139" s="58">
        <v>2.0</v>
      </c>
      <c r="T139" s="58">
        <v>2.0</v>
      </c>
      <c r="U139" s="58">
        <v>2.0</v>
      </c>
      <c r="V139" s="58" t="s">
        <v>130</v>
      </c>
      <c r="W139" s="61" t="s">
        <v>76</v>
      </c>
      <c r="X139" s="28" t="s">
        <v>1033</v>
      </c>
      <c r="Y139" s="64">
        <v>31.0</v>
      </c>
      <c r="Z139" s="65">
        <f t="shared" si="2"/>
        <v>40.3</v>
      </c>
      <c r="AA139" s="65">
        <f t="shared" si="3"/>
        <v>8011.64</v>
      </c>
      <c r="AB139" s="65">
        <f t="shared" si="4"/>
        <v>1997.094228</v>
      </c>
      <c r="AC139" s="66">
        <v>1.0</v>
      </c>
      <c r="AD139" s="70"/>
      <c r="AE139" s="68">
        <f t="shared" si="5"/>
        <v>6557.377049</v>
      </c>
      <c r="AF139" s="69">
        <v>8000.0</v>
      </c>
      <c r="AG139" s="68">
        <f t="shared" si="6"/>
        <v>13114.7541</v>
      </c>
      <c r="AH139" s="70">
        <f t="shared" si="7"/>
        <v>16000</v>
      </c>
      <c r="AI139" s="71"/>
      <c r="AJ139" s="71"/>
      <c r="AK139" s="71"/>
      <c r="AL139" s="71"/>
    </row>
    <row r="140" ht="20.25" customHeight="1">
      <c r="A140" s="57" t="s">
        <v>685</v>
      </c>
      <c r="B140" s="58" t="s">
        <v>17</v>
      </c>
      <c r="C140" s="58" t="s">
        <v>19</v>
      </c>
      <c r="D140" s="58" t="s">
        <v>101</v>
      </c>
      <c r="E140" s="58" t="s">
        <v>102</v>
      </c>
      <c r="F140" s="58" t="s">
        <v>103</v>
      </c>
      <c r="G140" s="59">
        <v>46191.0</v>
      </c>
      <c r="H140" s="58" t="s">
        <v>104</v>
      </c>
      <c r="I140" s="60" t="s">
        <v>686</v>
      </c>
      <c r="J140" s="61" t="s">
        <v>690</v>
      </c>
      <c r="K140" s="61" t="s">
        <v>691</v>
      </c>
      <c r="L140" s="61" t="s">
        <v>692</v>
      </c>
      <c r="M140" s="58">
        <v>2012.0</v>
      </c>
      <c r="N140" s="58">
        <v>13.0</v>
      </c>
      <c r="O140" s="62">
        <v>148.0</v>
      </c>
      <c r="P140" s="62">
        <f t="shared" si="1"/>
        <v>414.4</v>
      </c>
      <c r="Q140" s="63">
        <v>2.0</v>
      </c>
      <c r="R140" s="58">
        <v>0.0</v>
      </c>
      <c r="S140" s="58">
        <v>2.0</v>
      </c>
      <c r="T140" s="58">
        <v>2.0</v>
      </c>
      <c r="U140" s="58">
        <v>4.0</v>
      </c>
      <c r="V140" s="58" t="s">
        <v>130</v>
      </c>
      <c r="W140" s="61" t="s">
        <v>76</v>
      </c>
      <c r="X140" s="28" t="s">
        <v>1033</v>
      </c>
      <c r="Y140" s="64">
        <v>31.0</v>
      </c>
      <c r="Z140" s="65">
        <f t="shared" si="2"/>
        <v>20.15</v>
      </c>
      <c r="AA140" s="65">
        <f t="shared" si="3"/>
        <v>8350.16</v>
      </c>
      <c r="AB140" s="65">
        <f t="shared" si="4"/>
        <v>1916.130948</v>
      </c>
      <c r="AC140" s="66">
        <v>1.0</v>
      </c>
      <c r="AD140" s="70"/>
      <c r="AE140" s="68">
        <f t="shared" si="5"/>
        <v>6557.377049</v>
      </c>
      <c r="AF140" s="69">
        <v>8000.0</v>
      </c>
      <c r="AG140" s="68">
        <f t="shared" si="6"/>
        <v>13114.7541</v>
      </c>
      <c r="AH140" s="70">
        <f t="shared" si="7"/>
        <v>16000</v>
      </c>
      <c r="AI140" s="71"/>
      <c r="AJ140" s="71"/>
      <c r="AK140" s="71"/>
      <c r="AL140" s="71"/>
    </row>
    <row r="141">
      <c r="A141" s="57" t="s">
        <v>693</v>
      </c>
      <c r="B141" s="58" t="s">
        <v>17</v>
      </c>
      <c r="C141" s="58" t="s">
        <v>19</v>
      </c>
      <c r="D141" s="58" t="s">
        <v>360</v>
      </c>
      <c r="E141" s="58" t="s">
        <v>361</v>
      </c>
      <c r="F141" s="58" t="s">
        <v>63</v>
      </c>
      <c r="G141" s="59">
        <v>46191.0</v>
      </c>
      <c r="H141" s="58" t="s">
        <v>104</v>
      </c>
      <c r="I141" s="58" t="s">
        <v>694</v>
      </c>
      <c r="J141" s="61" t="s">
        <v>695</v>
      </c>
      <c r="K141" s="61" t="s">
        <v>696</v>
      </c>
      <c r="L141" s="61" t="s">
        <v>697</v>
      </c>
      <c r="M141" s="58">
        <v>2022.0</v>
      </c>
      <c r="N141" s="58">
        <v>19.0</v>
      </c>
      <c r="O141" s="62">
        <v>204.0</v>
      </c>
      <c r="P141" s="62">
        <f t="shared" si="1"/>
        <v>571.2</v>
      </c>
      <c r="Q141" s="63">
        <v>3.0</v>
      </c>
      <c r="R141" s="58">
        <v>0.0</v>
      </c>
      <c r="S141" s="58">
        <v>1.0</v>
      </c>
      <c r="T141" s="58">
        <v>3.0</v>
      </c>
      <c r="U141" s="58">
        <v>3.0</v>
      </c>
      <c r="V141" s="58" t="s">
        <v>130</v>
      </c>
      <c r="W141" s="61" t="s">
        <v>76</v>
      </c>
      <c r="X141" s="28" t="s">
        <v>1033</v>
      </c>
      <c r="Y141" s="64">
        <v>31.0</v>
      </c>
      <c r="Z141" s="65">
        <f t="shared" si="2"/>
        <v>40.3</v>
      </c>
      <c r="AA141" s="65">
        <f t="shared" si="3"/>
        <v>23019.36</v>
      </c>
      <c r="AB141" s="65">
        <f t="shared" si="4"/>
        <v>1042.600663</v>
      </c>
      <c r="AC141" s="66">
        <v>1.0</v>
      </c>
      <c r="AD141" s="67"/>
      <c r="AE141" s="68">
        <f t="shared" si="5"/>
        <v>6557.377049</v>
      </c>
      <c r="AF141" s="69">
        <v>8000.0</v>
      </c>
      <c r="AG141" s="68">
        <f t="shared" si="6"/>
        <v>19672.13115</v>
      </c>
      <c r="AH141" s="70">
        <f t="shared" si="7"/>
        <v>24000</v>
      </c>
      <c r="AI141" s="71"/>
      <c r="AJ141" s="71"/>
      <c r="AK141" s="71"/>
      <c r="AL141" s="71"/>
    </row>
    <row r="142">
      <c r="A142" s="57" t="s">
        <v>698</v>
      </c>
      <c r="B142" s="58" t="s">
        <v>17</v>
      </c>
      <c r="C142" s="58" t="s">
        <v>19</v>
      </c>
      <c r="D142" s="58" t="s">
        <v>360</v>
      </c>
      <c r="E142" s="58" t="s">
        <v>361</v>
      </c>
      <c r="F142" s="58" t="s">
        <v>63</v>
      </c>
      <c r="G142" s="59">
        <v>46217.0</v>
      </c>
      <c r="H142" s="58" t="s">
        <v>104</v>
      </c>
      <c r="I142" s="58" t="s">
        <v>699</v>
      </c>
      <c r="J142" s="61" t="s">
        <v>700</v>
      </c>
      <c r="K142" s="61" t="s">
        <v>701</v>
      </c>
      <c r="L142" s="61" t="s">
        <v>702</v>
      </c>
      <c r="M142" s="58">
        <v>2025.0</v>
      </c>
      <c r="N142" s="58">
        <v>26.0</v>
      </c>
      <c r="O142" s="62">
        <v>288.0</v>
      </c>
      <c r="P142" s="62">
        <f t="shared" si="1"/>
        <v>806.4</v>
      </c>
      <c r="Q142" s="63">
        <v>3.0</v>
      </c>
      <c r="R142" s="58">
        <v>0.0</v>
      </c>
      <c r="S142" s="58">
        <v>1.0</v>
      </c>
      <c r="T142" s="58">
        <v>3.0</v>
      </c>
      <c r="U142" s="58">
        <v>4.0</v>
      </c>
      <c r="V142" s="58" t="s">
        <v>130</v>
      </c>
      <c r="W142" s="61" t="s">
        <v>76</v>
      </c>
      <c r="X142" s="28" t="s">
        <v>1033</v>
      </c>
      <c r="Y142" s="64">
        <v>31.0</v>
      </c>
      <c r="Z142" s="65">
        <f t="shared" si="2"/>
        <v>30.225</v>
      </c>
      <c r="AA142" s="65">
        <f t="shared" si="3"/>
        <v>24373.44</v>
      </c>
      <c r="AB142" s="65">
        <f t="shared" si="4"/>
        <v>984.678404</v>
      </c>
      <c r="AC142" s="66">
        <v>1.0</v>
      </c>
      <c r="AD142" s="70"/>
      <c r="AE142" s="68">
        <f t="shared" si="5"/>
        <v>6557.377049</v>
      </c>
      <c r="AF142" s="69">
        <v>8000.0</v>
      </c>
      <c r="AG142" s="68">
        <f t="shared" si="6"/>
        <v>19672.13115</v>
      </c>
      <c r="AH142" s="70">
        <f t="shared" si="7"/>
        <v>24000</v>
      </c>
      <c r="AI142" s="71"/>
      <c r="AJ142" s="71"/>
      <c r="AK142" s="71"/>
      <c r="AL142" s="71"/>
    </row>
    <row r="143">
      <c r="A143" s="57" t="s">
        <v>703</v>
      </c>
      <c r="B143" s="58" t="s">
        <v>17</v>
      </c>
      <c r="C143" s="58" t="s">
        <v>19</v>
      </c>
      <c r="D143" s="58" t="s">
        <v>360</v>
      </c>
      <c r="E143" s="58" t="s">
        <v>361</v>
      </c>
      <c r="F143" s="58" t="s">
        <v>63</v>
      </c>
      <c r="G143" s="59">
        <v>46217.0</v>
      </c>
      <c r="H143" s="58" t="s">
        <v>104</v>
      </c>
      <c r="I143" s="58" t="s">
        <v>704</v>
      </c>
      <c r="J143" s="61" t="s">
        <v>705</v>
      </c>
      <c r="K143" s="61" t="s">
        <v>706</v>
      </c>
      <c r="L143" s="61" t="s">
        <v>707</v>
      </c>
      <c r="M143" s="58">
        <v>2025.0</v>
      </c>
      <c r="N143" s="58">
        <v>26.0</v>
      </c>
      <c r="O143" s="62">
        <v>288.0</v>
      </c>
      <c r="P143" s="62">
        <f t="shared" si="1"/>
        <v>806.4</v>
      </c>
      <c r="Q143" s="63">
        <v>3.0</v>
      </c>
      <c r="R143" s="58">
        <v>0.0</v>
      </c>
      <c r="S143" s="58">
        <v>1.0</v>
      </c>
      <c r="T143" s="58">
        <v>3.0</v>
      </c>
      <c r="U143" s="58">
        <v>4.0</v>
      </c>
      <c r="V143" s="58" t="s">
        <v>130</v>
      </c>
      <c r="W143" s="61" t="s">
        <v>76</v>
      </c>
      <c r="X143" s="28" t="s">
        <v>1033</v>
      </c>
      <c r="Y143" s="64">
        <v>31.0</v>
      </c>
      <c r="Z143" s="65">
        <f t="shared" si="2"/>
        <v>30.225</v>
      </c>
      <c r="AA143" s="65">
        <f t="shared" si="3"/>
        <v>24373.44</v>
      </c>
      <c r="AB143" s="65">
        <f t="shared" si="4"/>
        <v>984.678404</v>
      </c>
      <c r="AC143" s="66">
        <v>1.0</v>
      </c>
      <c r="AD143" s="67"/>
      <c r="AE143" s="68">
        <f t="shared" si="5"/>
        <v>6557.377049</v>
      </c>
      <c r="AF143" s="69">
        <v>8000.0</v>
      </c>
      <c r="AG143" s="68">
        <f t="shared" si="6"/>
        <v>19672.13115</v>
      </c>
      <c r="AH143" s="70">
        <f t="shared" si="7"/>
        <v>24000</v>
      </c>
      <c r="AI143" s="71"/>
      <c r="AJ143" s="71"/>
      <c r="AK143" s="71"/>
      <c r="AL143" s="71"/>
    </row>
    <row r="144">
      <c r="A144" s="57" t="s">
        <v>708</v>
      </c>
      <c r="B144" s="58" t="s">
        <v>17</v>
      </c>
      <c r="C144" s="58" t="s">
        <v>19</v>
      </c>
      <c r="D144" s="58" t="s">
        <v>360</v>
      </c>
      <c r="E144" s="58" t="s">
        <v>361</v>
      </c>
      <c r="F144" s="58" t="s">
        <v>63</v>
      </c>
      <c r="G144" s="59">
        <v>46202.0</v>
      </c>
      <c r="H144" s="58" t="s">
        <v>118</v>
      </c>
      <c r="I144" s="60" t="s">
        <v>709</v>
      </c>
      <c r="J144" s="61" t="s">
        <v>710</v>
      </c>
      <c r="K144" s="61" t="s">
        <v>711</v>
      </c>
      <c r="L144" s="61" t="s">
        <v>712</v>
      </c>
      <c r="M144" s="58">
        <v>2025.0</v>
      </c>
      <c r="N144" s="58">
        <v>19.0</v>
      </c>
      <c r="O144" s="62">
        <v>808.0</v>
      </c>
      <c r="P144" s="62">
        <f t="shared" si="1"/>
        <v>2262.4</v>
      </c>
      <c r="Q144" s="63">
        <v>8.0</v>
      </c>
      <c r="R144" s="58">
        <v>0.0</v>
      </c>
      <c r="S144" s="58">
        <v>8.0</v>
      </c>
      <c r="T144" s="58">
        <v>8.0</v>
      </c>
      <c r="U144" s="58">
        <v>16.0</v>
      </c>
      <c r="V144" s="58" t="s">
        <v>130</v>
      </c>
      <c r="W144" s="61" t="s">
        <v>76</v>
      </c>
      <c r="X144" s="28" t="s">
        <v>1033</v>
      </c>
      <c r="Y144" s="64">
        <v>31.0</v>
      </c>
      <c r="Z144" s="65">
        <f t="shared" si="2"/>
        <v>20.15</v>
      </c>
      <c r="AA144" s="65">
        <f t="shared" si="3"/>
        <v>45587.36</v>
      </c>
      <c r="AB144" s="65">
        <f t="shared" si="4"/>
        <v>1403.897923</v>
      </c>
      <c r="AC144" s="66">
        <v>1.0</v>
      </c>
      <c r="AD144" s="67"/>
      <c r="AE144" s="68">
        <f t="shared" si="5"/>
        <v>6557.377049</v>
      </c>
      <c r="AF144" s="69">
        <v>8000.0</v>
      </c>
      <c r="AG144" s="68">
        <f t="shared" si="6"/>
        <v>52459.01639</v>
      </c>
      <c r="AH144" s="70">
        <f t="shared" si="7"/>
        <v>64000</v>
      </c>
      <c r="AI144" s="71"/>
      <c r="AJ144" s="71"/>
      <c r="AK144" s="71"/>
      <c r="AL144" s="71"/>
    </row>
    <row r="145">
      <c r="A145" s="57" t="s">
        <v>713</v>
      </c>
      <c r="B145" s="58" t="s">
        <v>17</v>
      </c>
      <c r="C145" s="58" t="s">
        <v>19</v>
      </c>
      <c r="D145" s="58" t="s">
        <v>101</v>
      </c>
      <c r="E145" s="58" t="s">
        <v>102</v>
      </c>
      <c r="F145" s="58" t="s">
        <v>103</v>
      </c>
      <c r="G145" s="59">
        <v>46202.0</v>
      </c>
      <c r="H145" s="58" t="s">
        <v>104</v>
      </c>
      <c r="I145" s="60" t="s">
        <v>714</v>
      </c>
      <c r="J145" s="61" t="s">
        <v>715</v>
      </c>
      <c r="K145" s="61" t="s">
        <v>716</v>
      </c>
      <c r="L145" s="61" t="s">
        <v>717</v>
      </c>
      <c r="M145" s="58">
        <v>2002.0</v>
      </c>
      <c r="N145" s="58">
        <v>15.0</v>
      </c>
      <c r="O145" s="62">
        <v>70.0</v>
      </c>
      <c r="P145" s="62">
        <f t="shared" si="1"/>
        <v>196</v>
      </c>
      <c r="Q145" s="63">
        <v>2.0</v>
      </c>
      <c r="R145" s="58">
        <v>0.0</v>
      </c>
      <c r="S145" s="58">
        <v>1.0</v>
      </c>
      <c r="T145" s="58">
        <v>2.0</v>
      </c>
      <c r="U145" s="58">
        <v>2.0</v>
      </c>
      <c r="V145" s="58" t="s">
        <v>130</v>
      </c>
      <c r="W145" s="61" t="s">
        <v>76</v>
      </c>
      <c r="X145" s="28" t="s">
        <v>1033</v>
      </c>
      <c r="Y145" s="64">
        <v>31.0</v>
      </c>
      <c r="Z145" s="65">
        <f t="shared" si="2"/>
        <v>40.3</v>
      </c>
      <c r="AA145" s="65">
        <f t="shared" si="3"/>
        <v>7898.8</v>
      </c>
      <c r="AB145" s="65">
        <f t="shared" si="4"/>
        <v>2025.624145</v>
      </c>
      <c r="AC145" s="66">
        <v>1.0</v>
      </c>
      <c r="AD145" s="70"/>
      <c r="AE145" s="68">
        <f t="shared" si="5"/>
        <v>6557.377049</v>
      </c>
      <c r="AF145" s="69">
        <v>8000.0</v>
      </c>
      <c r="AG145" s="68">
        <f t="shared" si="6"/>
        <v>13114.7541</v>
      </c>
      <c r="AH145" s="70">
        <f t="shared" si="7"/>
        <v>16000</v>
      </c>
      <c r="AI145" s="71"/>
      <c r="AJ145" s="71"/>
      <c r="AK145" s="71"/>
      <c r="AL145" s="71"/>
    </row>
    <row r="146">
      <c r="A146" s="57" t="s">
        <v>713</v>
      </c>
      <c r="B146" s="58" t="s">
        <v>17</v>
      </c>
      <c r="C146" s="58" t="s">
        <v>19</v>
      </c>
      <c r="D146" s="58" t="s">
        <v>101</v>
      </c>
      <c r="E146" s="58" t="s">
        <v>102</v>
      </c>
      <c r="F146" s="58" t="s">
        <v>103</v>
      </c>
      <c r="G146" s="59">
        <v>46202.0</v>
      </c>
      <c r="H146" s="58" t="s">
        <v>104</v>
      </c>
      <c r="I146" s="60" t="s">
        <v>714</v>
      </c>
      <c r="J146" s="61" t="s">
        <v>718</v>
      </c>
      <c r="K146" s="61" t="s">
        <v>719</v>
      </c>
      <c r="L146" s="61" t="s">
        <v>720</v>
      </c>
      <c r="M146" s="58">
        <v>2003.0</v>
      </c>
      <c r="N146" s="58">
        <v>17.0</v>
      </c>
      <c r="O146" s="62">
        <v>71.0</v>
      </c>
      <c r="P146" s="62">
        <f t="shared" si="1"/>
        <v>198.8</v>
      </c>
      <c r="Q146" s="63">
        <v>2.0</v>
      </c>
      <c r="R146" s="58">
        <v>0.0</v>
      </c>
      <c r="S146" s="58">
        <v>1.0</v>
      </c>
      <c r="T146" s="58">
        <v>2.0</v>
      </c>
      <c r="U146" s="58">
        <v>2.0</v>
      </c>
      <c r="V146" s="58" t="s">
        <v>130</v>
      </c>
      <c r="W146" s="61" t="s">
        <v>76</v>
      </c>
      <c r="X146" s="28" t="s">
        <v>1033</v>
      </c>
      <c r="Y146" s="64">
        <v>31.0</v>
      </c>
      <c r="Z146" s="65">
        <f t="shared" si="2"/>
        <v>40.3</v>
      </c>
      <c r="AA146" s="65">
        <f t="shared" si="3"/>
        <v>8011.64</v>
      </c>
      <c r="AB146" s="65">
        <f t="shared" si="4"/>
        <v>1997.094228</v>
      </c>
      <c r="AC146" s="66">
        <v>1.0</v>
      </c>
      <c r="AD146" s="70"/>
      <c r="AE146" s="68">
        <f t="shared" si="5"/>
        <v>6557.377049</v>
      </c>
      <c r="AF146" s="69">
        <v>8000.0</v>
      </c>
      <c r="AG146" s="68">
        <f t="shared" si="6"/>
        <v>13114.7541</v>
      </c>
      <c r="AH146" s="70">
        <f t="shared" si="7"/>
        <v>16000</v>
      </c>
      <c r="AI146" s="71"/>
      <c r="AJ146" s="71"/>
      <c r="AK146" s="71"/>
      <c r="AL146" s="71"/>
    </row>
    <row r="147">
      <c r="A147" s="57" t="s">
        <v>713</v>
      </c>
      <c r="B147" s="58" t="s">
        <v>17</v>
      </c>
      <c r="C147" s="58" t="s">
        <v>19</v>
      </c>
      <c r="D147" s="58" t="s">
        <v>101</v>
      </c>
      <c r="E147" s="58" t="s">
        <v>102</v>
      </c>
      <c r="F147" s="58" t="s">
        <v>103</v>
      </c>
      <c r="G147" s="59">
        <v>46202.0</v>
      </c>
      <c r="H147" s="58" t="s">
        <v>104</v>
      </c>
      <c r="I147" s="60" t="s">
        <v>714</v>
      </c>
      <c r="J147" s="61" t="s">
        <v>721</v>
      </c>
      <c r="K147" s="61" t="s">
        <v>722</v>
      </c>
      <c r="L147" s="61" t="s">
        <v>723</v>
      </c>
      <c r="M147" s="58">
        <v>2003.0</v>
      </c>
      <c r="N147" s="58">
        <v>14.0</v>
      </c>
      <c r="O147" s="62">
        <v>70.0</v>
      </c>
      <c r="P147" s="62">
        <f t="shared" si="1"/>
        <v>196</v>
      </c>
      <c r="Q147" s="63">
        <v>2.0</v>
      </c>
      <c r="R147" s="58">
        <v>0.0</v>
      </c>
      <c r="S147" s="58">
        <v>1.0</v>
      </c>
      <c r="T147" s="58">
        <v>2.0</v>
      </c>
      <c r="U147" s="58">
        <v>2.0</v>
      </c>
      <c r="V147" s="58" t="s">
        <v>130</v>
      </c>
      <c r="W147" s="61" t="s">
        <v>76</v>
      </c>
      <c r="X147" s="28" t="s">
        <v>1033</v>
      </c>
      <c r="Y147" s="64">
        <v>31.0</v>
      </c>
      <c r="Z147" s="65">
        <f t="shared" si="2"/>
        <v>40.3</v>
      </c>
      <c r="AA147" s="65">
        <f t="shared" si="3"/>
        <v>7898.8</v>
      </c>
      <c r="AB147" s="65">
        <f t="shared" si="4"/>
        <v>2025.624145</v>
      </c>
      <c r="AC147" s="66">
        <v>1.0</v>
      </c>
      <c r="AD147" s="70"/>
      <c r="AE147" s="68">
        <f t="shared" si="5"/>
        <v>6557.377049</v>
      </c>
      <c r="AF147" s="69">
        <v>8000.0</v>
      </c>
      <c r="AG147" s="68">
        <f t="shared" si="6"/>
        <v>13114.7541</v>
      </c>
      <c r="AH147" s="70">
        <f t="shared" si="7"/>
        <v>16000</v>
      </c>
      <c r="AI147" s="71"/>
      <c r="AJ147" s="71"/>
      <c r="AK147" s="71"/>
      <c r="AL147" s="71"/>
    </row>
    <row r="148">
      <c r="A148" s="57" t="s">
        <v>724</v>
      </c>
      <c r="B148" s="58" t="s">
        <v>17</v>
      </c>
      <c r="C148" s="58" t="s">
        <v>19</v>
      </c>
      <c r="D148" s="58" t="s">
        <v>61</v>
      </c>
      <c r="E148" s="58" t="s">
        <v>110</v>
      </c>
      <c r="F148" s="58" t="s">
        <v>63</v>
      </c>
      <c r="G148" s="59">
        <v>46202.0</v>
      </c>
      <c r="H148" s="58" t="s">
        <v>104</v>
      </c>
      <c r="I148" s="60" t="s">
        <v>725</v>
      </c>
      <c r="J148" s="61" t="s">
        <v>726</v>
      </c>
      <c r="K148" s="61" t="s">
        <v>727</v>
      </c>
      <c r="L148" s="61" t="s">
        <v>728</v>
      </c>
      <c r="M148" s="58">
        <v>2012.0</v>
      </c>
      <c r="N148" s="58">
        <v>13.0</v>
      </c>
      <c r="O148" s="62">
        <v>133.0</v>
      </c>
      <c r="P148" s="62">
        <f t="shared" si="1"/>
        <v>372.4</v>
      </c>
      <c r="Q148" s="63">
        <v>3.0</v>
      </c>
      <c r="R148" s="58">
        <v>0.0</v>
      </c>
      <c r="S148" s="58">
        <v>3.0</v>
      </c>
      <c r="T148" s="58">
        <v>3.0</v>
      </c>
      <c r="U148" s="58">
        <v>2.0</v>
      </c>
      <c r="V148" s="58" t="s">
        <v>130</v>
      </c>
      <c r="W148" s="61" t="s">
        <v>76</v>
      </c>
      <c r="X148" s="28" t="s">
        <v>1033</v>
      </c>
      <c r="Y148" s="64">
        <v>31.0</v>
      </c>
      <c r="Z148" s="65">
        <f t="shared" si="2"/>
        <v>60.45</v>
      </c>
      <c r="AA148" s="65">
        <f t="shared" si="3"/>
        <v>22511.58</v>
      </c>
      <c r="AB148" s="65">
        <f t="shared" si="4"/>
        <v>1066.117971</v>
      </c>
      <c r="AC148" s="66">
        <v>1.0</v>
      </c>
      <c r="AD148" s="67"/>
      <c r="AE148" s="68">
        <f t="shared" si="5"/>
        <v>6557.377049</v>
      </c>
      <c r="AF148" s="69">
        <v>8000.0</v>
      </c>
      <c r="AG148" s="68">
        <f t="shared" si="6"/>
        <v>19672.13115</v>
      </c>
      <c r="AH148" s="70">
        <f t="shared" si="7"/>
        <v>24000</v>
      </c>
      <c r="AI148" s="71"/>
      <c r="AJ148" s="71"/>
      <c r="AK148" s="71"/>
      <c r="AL148" s="71"/>
    </row>
    <row r="149">
      <c r="A149" s="57" t="s">
        <v>724</v>
      </c>
      <c r="B149" s="58" t="s">
        <v>17</v>
      </c>
      <c r="C149" s="58" t="s">
        <v>19</v>
      </c>
      <c r="D149" s="58" t="s">
        <v>61</v>
      </c>
      <c r="E149" s="58" t="s">
        <v>110</v>
      </c>
      <c r="F149" s="58" t="s">
        <v>63</v>
      </c>
      <c r="G149" s="59">
        <v>46202.0</v>
      </c>
      <c r="H149" s="58" t="s">
        <v>104</v>
      </c>
      <c r="I149" s="60" t="s">
        <v>725</v>
      </c>
      <c r="J149" s="61" t="s">
        <v>729</v>
      </c>
      <c r="K149" s="61" t="s">
        <v>730</v>
      </c>
      <c r="L149" s="61" t="s">
        <v>731</v>
      </c>
      <c r="M149" s="58">
        <v>2011.0</v>
      </c>
      <c r="N149" s="58">
        <v>9.0</v>
      </c>
      <c r="O149" s="62">
        <v>64.0</v>
      </c>
      <c r="P149" s="62">
        <f t="shared" si="1"/>
        <v>179.2</v>
      </c>
      <c r="Q149" s="63">
        <v>2.0</v>
      </c>
      <c r="R149" s="58">
        <v>0.0</v>
      </c>
      <c r="S149" s="58">
        <v>2.0</v>
      </c>
      <c r="T149" s="58">
        <v>2.0</v>
      </c>
      <c r="U149" s="58">
        <v>2.0</v>
      </c>
      <c r="V149" s="58" t="s">
        <v>130</v>
      </c>
      <c r="W149" s="61" t="s">
        <v>76</v>
      </c>
      <c r="X149" s="28" t="s">
        <v>1033</v>
      </c>
      <c r="Y149" s="64">
        <v>31.0</v>
      </c>
      <c r="Z149" s="65">
        <f t="shared" si="2"/>
        <v>40.3</v>
      </c>
      <c r="AA149" s="65">
        <f t="shared" si="3"/>
        <v>7221.76</v>
      </c>
      <c r="AB149" s="65">
        <f t="shared" si="4"/>
        <v>2215.526409</v>
      </c>
      <c r="AC149" s="66">
        <v>1.0</v>
      </c>
      <c r="AD149" s="67"/>
      <c r="AE149" s="68">
        <f t="shared" si="5"/>
        <v>6557.377049</v>
      </c>
      <c r="AF149" s="69">
        <v>8000.0</v>
      </c>
      <c r="AG149" s="68">
        <f t="shared" si="6"/>
        <v>13114.7541</v>
      </c>
      <c r="AH149" s="70">
        <f t="shared" si="7"/>
        <v>16000</v>
      </c>
      <c r="AI149" s="71"/>
      <c r="AJ149" s="71"/>
      <c r="AK149" s="71"/>
      <c r="AL149" s="71"/>
    </row>
    <row r="150">
      <c r="A150" s="57" t="s">
        <v>732</v>
      </c>
      <c r="B150" s="58" t="s">
        <v>17</v>
      </c>
      <c r="C150" s="58" t="s">
        <v>19</v>
      </c>
      <c r="D150" s="58" t="s">
        <v>101</v>
      </c>
      <c r="E150" s="58" t="s">
        <v>102</v>
      </c>
      <c r="F150" s="58" t="s">
        <v>63</v>
      </c>
      <c r="G150" s="59">
        <v>46202.0</v>
      </c>
      <c r="H150" s="58" t="s">
        <v>104</v>
      </c>
      <c r="I150" s="60" t="s">
        <v>733</v>
      </c>
      <c r="J150" s="61" t="s">
        <v>734</v>
      </c>
      <c r="K150" s="61" t="s">
        <v>735</v>
      </c>
      <c r="L150" s="61" t="s">
        <v>736</v>
      </c>
      <c r="M150" s="58">
        <v>2024.0</v>
      </c>
      <c r="N150" s="58">
        <v>26.0</v>
      </c>
      <c r="O150" s="62">
        <v>554.0</v>
      </c>
      <c r="P150" s="62">
        <f t="shared" si="1"/>
        <v>1551.2</v>
      </c>
      <c r="Q150" s="63">
        <v>8.0</v>
      </c>
      <c r="R150" s="58">
        <v>0.0</v>
      </c>
      <c r="S150" s="58">
        <v>3.0</v>
      </c>
      <c r="T150" s="58">
        <v>8.0</v>
      </c>
      <c r="U150" s="58">
        <v>8.0</v>
      </c>
      <c r="V150" s="58" t="s">
        <v>130</v>
      </c>
      <c r="W150" s="61" t="s">
        <v>76</v>
      </c>
      <c r="X150" s="28" t="s">
        <v>1033</v>
      </c>
      <c r="Y150" s="64">
        <v>31.0</v>
      </c>
      <c r="Z150" s="65">
        <f t="shared" si="2"/>
        <v>40.3</v>
      </c>
      <c r="AA150" s="65">
        <f t="shared" si="3"/>
        <v>62513.36</v>
      </c>
      <c r="AB150" s="65">
        <f t="shared" si="4"/>
        <v>1023.781157</v>
      </c>
      <c r="AC150" s="66">
        <v>1.0</v>
      </c>
      <c r="AD150" s="70"/>
      <c r="AE150" s="68">
        <f t="shared" si="5"/>
        <v>6557.377049</v>
      </c>
      <c r="AF150" s="69">
        <v>8000.0</v>
      </c>
      <c r="AG150" s="68">
        <f t="shared" si="6"/>
        <v>52459.01639</v>
      </c>
      <c r="AH150" s="70">
        <f t="shared" si="7"/>
        <v>64000</v>
      </c>
      <c r="AI150" s="71"/>
      <c r="AJ150" s="71"/>
      <c r="AK150" s="71"/>
      <c r="AL150" s="71"/>
    </row>
    <row r="151">
      <c r="A151" s="57" t="s">
        <v>737</v>
      </c>
      <c r="B151" s="58" t="s">
        <v>17</v>
      </c>
      <c r="C151" s="58" t="s">
        <v>19</v>
      </c>
      <c r="D151" s="58" t="s">
        <v>101</v>
      </c>
      <c r="E151" s="58" t="s">
        <v>102</v>
      </c>
      <c r="F151" s="58" t="s">
        <v>63</v>
      </c>
      <c r="G151" s="59">
        <v>46202.0</v>
      </c>
      <c r="H151" s="58" t="s">
        <v>104</v>
      </c>
      <c r="I151" s="60" t="s">
        <v>738</v>
      </c>
      <c r="J151" s="61" t="s">
        <v>739</v>
      </c>
      <c r="K151" s="61" t="s">
        <v>740</v>
      </c>
      <c r="L151" s="61" t="s">
        <v>741</v>
      </c>
      <c r="M151" s="58">
        <v>2024.0</v>
      </c>
      <c r="N151" s="58">
        <v>27.0</v>
      </c>
      <c r="O151" s="62">
        <v>537.0</v>
      </c>
      <c r="P151" s="62">
        <f t="shared" si="1"/>
        <v>1503.6</v>
      </c>
      <c r="Q151" s="63">
        <v>12.0</v>
      </c>
      <c r="R151" s="58">
        <v>0.0</v>
      </c>
      <c r="S151" s="58">
        <v>3.0</v>
      </c>
      <c r="T151" s="58">
        <v>12.0</v>
      </c>
      <c r="U151" s="58">
        <v>8.0</v>
      </c>
      <c r="V151" s="58" t="s">
        <v>130</v>
      </c>
      <c r="W151" s="61" t="s">
        <v>76</v>
      </c>
      <c r="X151" s="28" t="s">
        <v>1033</v>
      </c>
      <c r="Y151" s="64">
        <v>31.0</v>
      </c>
      <c r="Z151" s="65">
        <f t="shared" si="2"/>
        <v>60.45</v>
      </c>
      <c r="AA151" s="65">
        <f t="shared" si="3"/>
        <v>90892.62</v>
      </c>
      <c r="AB151" s="65">
        <f t="shared" si="4"/>
        <v>1056.191361</v>
      </c>
      <c r="AC151" s="66">
        <v>1.0</v>
      </c>
      <c r="AD151" s="70"/>
      <c r="AE151" s="68">
        <f t="shared" si="5"/>
        <v>6557.377049</v>
      </c>
      <c r="AF151" s="69">
        <v>8000.0</v>
      </c>
      <c r="AG151" s="68">
        <f t="shared" si="6"/>
        <v>78688.52459</v>
      </c>
      <c r="AH151" s="70">
        <f t="shared" si="7"/>
        <v>96000</v>
      </c>
      <c r="AI151" s="71"/>
      <c r="AJ151" s="71"/>
      <c r="AK151" s="71"/>
      <c r="AL151" s="71"/>
    </row>
    <row r="152">
      <c r="A152" s="57" t="s">
        <v>742</v>
      </c>
      <c r="B152" s="58" t="s">
        <v>17</v>
      </c>
      <c r="C152" s="58" t="s">
        <v>19</v>
      </c>
      <c r="D152" s="58" t="s">
        <v>61</v>
      </c>
      <c r="E152" s="58" t="s">
        <v>110</v>
      </c>
      <c r="F152" s="58" t="s">
        <v>63</v>
      </c>
      <c r="G152" s="59">
        <v>46202.0</v>
      </c>
      <c r="H152" s="58" t="s">
        <v>104</v>
      </c>
      <c r="I152" s="60" t="s">
        <v>743</v>
      </c>
      <c r="J152" s="61" t="s">
        <v>744</v>
      </c>
      <c r="K152" s="61" t="s">
        <v>745</v>
      </c>
      <c r="L152" s="61" t="s">
        <v>746</v>
      </c>
      <c r="M152" s="58">
        <v>2002.0</v>
      </c>
      <c r="N152" s="58">
        <v>15.0</v>
      </c>
      <c r="O152" s="62">
        <v>76.0</v>
      </c>
      <c r="P152" s="62">
        <f t="shared" si="1"/>
        <v>212.8</v>
      </c>
      <c r="Q152" s="63">
        <v>4.0</v>
      </c>
      <c r="R152" s="58">
        <v>0.0</v>
      </c>
      <c r="S152" s="58">
        <v>2.0</v>
      </c>
      <c r="T152" s="58">
        <v>4.0</v>
      </c>
      <c r="U152" s="58">
        <v>4.0</v>
      </c>
      <c r="V152" s="58" t="s">
        <v>130</v>
      </c>
      <c r="W152" s="61" t="s">
        <v>76</v>
      </c>
      <c r="X152" s="28" t="s">
        <v>1033</v>
      </c>
      <c r="Y152" s="64">
        <v>31.0</v>
      </c>
      <c r="Z152" s="65">
        <f t="shared" si="2"/>
        <v>40.3</v>
      </c>
      <c r="AA152" s="65">
        <f t="shared" si="3"/>
        <v>8575.84</v>
      </c>
      <c r="AB152" s="65">
        <f t="shared" si="4"/>
        <v>3731.412899</v>
      </c>
      <c r="AC152" s="66">
        <v>1.0</v>
      </c>
      <c r="AD152" s="70"/>
      <c r="AE152" s="68">
        <f t="shared" si="5"/>
        <v>6557.377049</v>
      </c>
      <c r="AF152" s="69">
        <v>8000.0</v>
      </c>
      <c r="AG152" s="68">
        <f t="shared" si="6"/>
        <v>26229.5082</v>
      </c>
      <c r="AH152" s="70">
        <f t="shared" si="7"/>
        <v>32000</v>
      </c>
      <c r="AI152" s="71"/>
      <c r="AJ152" s="71"/>
      <c r="AK152" s="71"/>
      <c r="AL152" s="71"/>
    </row>
    <row r="153">
      <c r="A153" s="57" t="s">
        <v>747</v>
      </c>
      <c r="B153" s="58" t="s">
        <v>17</v>
      </c>
      <c r="C153" s="58" t="s">
        <v>19</v>
      </c>
      <c r="D153" s="58" t="s">
        <v>101</v>
      </c>
      <c r="E153" s="58" t="s">
        <v>102</v>
      </c>
      <c r="F153" s="58" t="s">
        <v>103</v>
      </c>
      <c r="G153" s="59">
        <v>46203.0</v>
      </c>
      <c r="H153" s="58" t="s">
        <v>104</v>
      </c>
      <c r="I153" s="60" t="s">
        <v>748</v>
      </c>
      <c r="J153" s="61" t="s">
        <v>749</v>
      </c>
      <c r="K153" s="61" t="s">
        <v>750</v>
      </c>
      <c r="L153" s="61" t="s">
        <v>751</v>
      </c>
      <c r="M153" s="58">
        <v>2009.0</v>
      </c>
      <c r="N153" s="58">
        <v>16.0</v>
      </c>
      <c r="O153" s="62">
        <v>315.0</v>
      </c>
      <c r="P153" s="62">
        <f t="shared" si="1"/>
        <v>882</v>
      </c>
      <c r="Q153" s="63">
        <v>6.0</v>
      </c>
      <c r="R153" s="58">
        <v>0.0</v>
      </c>
      <c r="S153" s="58">
        <v>6.0</v>
      </c>
      <c r="T153" s="58">
        <v>6.0</v>
      </c>
      <c r="U153" s="58">
        <v>9.0</v>
      </c>
      <c r="V153" s="58" t="s">
        <v>130</v>
      </c>
      <c r="W153" s="61" t="s">
        <v>76</v>
      </c>
      <c r="X153" s="28" t="s">
        <v>1033</v>
      </c>
      <c r="Y153" s="64">
        <v>31.0</v>
      </c>
      <c r="Z153" s="65">
        <f t="shared" si="2"/>
        <v>26.86666667</v>
      </c>
      <c r="AA153" s="65">
        <f t="shared" si="3"/>
        <v>23696.4</v>
      </c>
      <c r="AB153" s="65">
        <f t="shared" si="4"/>
        <v>2025.624145</v>
      </c>
      <c r="AC153" s="66">
        <v>1.0</v>
      </c>
      <c r="AD153" s="67"/>
      <c r="AE153" s="68">
        <f t="shared" si="5"/>
        <v>6557.377049</v>
      </c>
      <c r="AF153" s="69">
        <v>8000.0</v>
      </c>
      <c r="AG153" s="68">
        <f t="shared" si="6"/>
        <v>39344.2623</v>
      </c>
      <c r="AH153" s="70">
        <f t="shared" si="7"/>
        <v>48000</v>
      </c>
      <c r="AI153" s="71"/>
      <c r="AJ153" s="71"/>
      <c r="AK153" s="71"/>
      <c r="AL153" s="71"/>
    </row>
    <row r="154">
      <c r="A154" s="57" t="s">
        <v>752</v>
      </c>
      <c r="B154" s="58" t="s">
        <v>17</v>
      </c>
      <c r="C154" s="58" t="s">
        <v>19</v>
      </c>
      <c r="D154" s="58" t="s">
        <v>123</v>
      </c>
      <c r="E154" s="58" t="s">
        <v>117</v>
      </c>
      <c r="F154" s="58" t="s">
        <v>103</v>
      </c>
      <c r="G154" s="59">
        <v>46202.0</v>
      </c>
      <c r="H154" s="58" t="s">
        <v>118</v>
      </c>
      <c r="I154" s="60" t="s">
        <v>753</v>
      </c>
      <c r="J154" s="61" t="s">
        <v>754</v>
      </c>
      <c r="K154" s="61" t="s">
        <v>755</v>
      </c>
      <c r="L154" s="61" t="s">
        <v>756</v>
      </c>
      <c r="M154" s="58">
        <v>2007.0</v>
      </c>
      <c r="N154" s="58">
        <v>18.0</v>
      </c>
      <c r="O154" s="62">
        <v>80.0</v>
      </c>
      <c r="P154" s="62">
        <f t="shared" si="1"/>
        <v>224</v>
      </c>
      <c r="Q154" s="63">
        <v>2.0</v>
      </c>
      <c r="R154" s="58">
        <v>0.0</v>
      </c>
      <c r="S154" s="58">
        <v>1.0</v>
      </c>
      <c r="T154" s="58">
        <v>2.0</v>
      </c>
      <c r="U154" s="58">
        <v>2.0</v>
      </c>
      <c r="V154" s="58" t="s">
        <v>130</v>
      </c>
      <c r="W154" s="61" t="s">
        <v>76</v>
      </c>
      <c r="X154" s="28" t="s">
        <v>1033</v>
      </c>
      <c r="Y154" s="64">
        <v>31.0</v>
      </c>
      <c r="Z154" s="65">
        <f t="shared" si="2"/>
        <v>40.3</v>
      </c>
      <c r="AA154" s="65">
        <f t="shared" si="3"/>
        <v>9027.2</v>
      </c>
      <c r="AB154" s="65">
        <f t="shared" si="4"/>
        <v>1772.421127</v>
      </c>
      <c r="AC154" s="66">
        <v>1.0</v>
      </c>
      <c r="AD154" s="67"/>
      <c r="AE154" s="68">
        <f t="shared" si="5"/>
        <v>6557.377049</v>
      </c>
      <c r="AF154" s="69">
        <v>8000.0</v>
      </c>
      <c r="AG154" s="68">
        <f t="shared" si="6"/>
        <v>13114.7541</v>
      </c>
      <c r="AH154" s="70">
        <f t="shared" si="7"/>
        <v>16000</v>
      </c>
      <c r="AI154" s="71"/>
      <c r="AJ154" s="71"/>
      <c r="AK154" s="71"/>
      <c r="AL154" s="71"/>
    </row>
    <row r="155">
      <c r="A155" s="57" t="s">
        <v>757</v>
      </c>
      <c r="B155" s="58" t="s">
        <v>17</v>
      </c>
      <c r="C155" s="58" t="s">
        <v>19</v>
      </c>
      <c r="D155" s="58" t="s">
        <v>101</v>
      </c>
      <c r="E155" s="58" t="s">
        <v>102</v>
      </c>
      <c r="F155" s="58" t="s">
        <v>63</v>
      </c>
      <c r="G155" s="59">
        <v>46216.0</v>
      </c>
      <c r="H155" s="58" t="s">
        <v>104</v>
      </c>
      <c r="I155" s="58" t="s">
        <v>758</v>
      </c>
      <c r="J155" s="61" t="s">
        <v>759</v>
      </c>
      <c r="K155" s="61" t="s">
        <v>760</v>
      </c>
      <c r="L155" s="61" t="s">
        <v>761</v>
      </c>
      <c r="M155" s="58">
        <v>2005.0</v>
      </c>
      <c r="N155" s="58">
        <v>17.0</v>
      </c>
      <c r="O155" s="62">
        <v>115.0</v>
      </c>
      <c r="P155" s="62">
        <f t="shared" si="1"/>
        <v>322</v>
      </c>
      <c r="Q155" s="63">
        <v>2.0</v>
      </c>
      <c r="R155" s="58">
        <v>0.0</v>
      </c>
      <c r="S155" s="58">
        <v>1.0</v>
      </c>
      <c r="T155" s="58">
        <v>2.0</v>
      </c>
      <c r="U155" s="58">
        <v>2.0</v>
      </c>
      <c r="V155" s="58" t="s">
        <v>130</v>
      </c>
      <c r="W155" s="61" t="s">
        <v>76</v>
      </c>
      <c r="X155" s="28" t="s">
        <v>1033</v>
      </c>
      <c r="Y155" s="64">
        <v>31.0</v>
      </c>
      <c r="Z155" s="65">
        <f t="shared" si="2"/>
        <v>40.3</v>
      </c>
      <c r="AA155" s="65">
        <f t="shared" si="3"/>
        <v>12976.6</v>
      </c>
      <c r="AB155" s="65">
        <f t="shared" si="4"/>
        <v>1232.98861</v>
      </c>
      <c r="AC155" s="66">
        <v>1.0</v>
      </c>
      <c r="AD155" s="67"/>
      <c r="AE155" s="68">
        <f t="shared" si="5"/>
        <v>6557.377049</v>
      </c>
      <c r="AF155" s="69">
        <v>8000.0</v>
      </c>
      <c r="AG155" s="68">
        <f t="shared" si="6"/>
        <v>13114.7541</v>
      </c>
      <c r="AH155" s="70">
        <f t="shared" si="7"/>
        <v>16000</v>
      </c>
      <c r="AI155" s="71"/>
      <c r="AJ155" s="71"/>
      <c r="AK155" s="71"/>
      <c r="AL155" s="71"/>
    </row>
    <row r="156">
      <c r="A156" s="57" t="s">
        <v>762</v>
      </c>
      <c r="B156" s="58" t="s">
        <v>17</v>
      </c>
      <c r="C156" s="58" t="s">
        <v>19</v>
      </c>
      <c r="D156" s="58" t="s">
        <v>101</v>
      </c>
      <c r="E156" s="58" t="s">
        <v>110</v>
      </c>
      <c r="F156" s="58" t="s">
        <v>103</v>
      </c>
      <c r="G156" s="59">
        <v>46216.0</v>
      </c>
      <c r="H156" s="58" t="s">
        <v>104</v>
      </c>
      <c r="I156" s="58" t="s">
        <v>763</v>
      </c>
      <c r="J156" s="61" t="s">
        <v>764</v>
      </c>
      <c r="K156" s="61" t="s">
        <v>765</v>
      </c>
      <c r="L156" s="61" t="s">
        <v>766</v>
      </c>
      <c r="M156" s="58">
        <v>2014.0</v>
      </c>
      <c r="N156" s="58">
        <v>11.0</v>
      </c>
      <c r="O156" s="62">
        <v>122.0</v>
      </c>
      <c r="P156" s="62">
        <f t="shared" si="1"/>
        <v>341.6</v>
      </c>
      <c r="Q156" s="63">
        <v>2.0</v>
      </c>
      <c r="R156" s="58">
        <v>0.0</v>
      </c>
      <c r="S156" s="58">
        <v>2.0</v>
      </c>
      <c r="T156" s="58">
        <v>2.0</v>
      </c>
      <c r="U156" s="58">
        <v>2.0</v>
      </c>
      <c r="V156" s="58" t="s">
        <v>130</v>
      </c>
      <c r="W156" s="61" t="s">
        <v>76</v>
      </c>
      <c r="X156" s="28" t="s">
        <v>1033</v>
      </c>
      <c r="Y156" s="64">
        <v>31.0</v>
      </c>
      <c r="Z156" s="65">
        <f t="shared" si="2"/>
        <v>40.3</v>
      </c>
      <c r="AA156" s="65">
        <f t="shared" si="3"/>
        <v>13766.48</v>
      </c>
      <c r="AB156" s="65">
        <f t="shared" si="4"/>
        <v>1162.243362</v>
      </c>
      <c r="AC156" s="66">
        <v>1.0</v>
      </c>
      <c r="AD156" s="67"/>
      <c r="AE156" s="68">
        <f t="shared" si="5"/>
        <v>6557.377049</v>
      </c>
      <c r="AF156" s="69">
        <v>8000.0</v>
      </c>
      <c r="AG156" s="68">
        <f t="shared" si="6"/>
        <v>13114.7541</v>
      </c>
      <c r="AH156" s="70">
        <f t="shared" si="7"/>
        <v>16000</v>
      </c>
      <c r="AI156" s="71"/>
      <c r="AJ156" s="71"/>
      <c r="AK156" s="71"/>
      <c r="AL156" s="71"/>
    </row>
    <row r="157">
      <c r="A157" s="57" t="s">
        <v>762</v>
      </c>
      <c r="B157" s="58" t="s">
        <v>17</v>
      </c>
      <c r="C157" s="58" t="s">
        <v>19</v>
      </c>
      <c r="D157" s="58" t="s">
        <v>101</v>
      </c>
      <c r="E157" s="58" t="s">
        <v>110</v>
      </c>
      <c r="F157" s="58" t="s">
        <v>103</v>
      </c>
      <c r="G157" s="59">
        <v>46216.0</v>
      </c>
      <c r="H157" s="58" t="s">
        <v>104</v>
      </c>
      <c r="I157" s="58" t="s">
        <v>763</v>
      </c>
      <c r="J157" s="61" t="s">
        <v>767</v>
      </c>
      <c r="K157" s="61" t="s">
        <v>768</v>
      </c>
      <c r="L157" s="61" t="s">
        <v>769</v>
      </c>
      <c r="M157" s="58">
        <v>2023.0</v>
      </c>
      <c r="N157" s="58">
        <v>18.0</v>
      </c>
      <c r="O157" s="62">
        <v>120.0</v>
      </c>
      <c r="P157" s="62">
        <f t="shared" si="1"/>
        <v>336</v>
      </c>
      <c r="Q157" s="63">
        <v>3.0</v>
      </c>
      <c r="R157" s="58">
        <v>0.0</v>
      </c>
      <c r="S157" s="58">
        <v>2.0</v>
      </c>
      <c r="T157" s="58">
        <v>3.0</v>
      </c>
      <c r="U157" s="58">
        <v>4.0</v>
      </c>
      <c r="V157" s="58" t="s">
        <v>130</v>
      </c>
      <c r="W157" s="61" t="s">
        <v>76</v>
      </c>
      <c r="X157" s="28" t="s">
        <v>1033</v>
      </c>
      <c r="Y157" s="64">
        <v>31.0</v>
      </c>
      <c r="Z157" s="65">
        <f t="shared" si="2"/>
        <v>30.225</v>
      </c>
      <c r="AA157" s="65">
        <f t="shared" si="3"/>
        <v>10155.6</v>
      </c>
      <c r="AB157" s="65">
        <f t="shared" si="4"/>
        <v>2363.22817</v>
      </c>
      <c r="AC157" s="66">
        <v>1.0</v>
      </c>
      <c r="AD157" s="67"/>
      <c r="AE157" s="68">
        <f t="shared" si="5"/>
        <v>6557.377049</v>
      </c>
      <c r="AF157" s="69">
        <v>8000.0</v>
      </c>
      <c r="AG157" s="68">
        <f t="shared" si="6"/>
        <v>19672.13115</v>
      </c>
      <c r="AH157" s="70">
        <f t="shared" si="7"/>
        <v>24000</v>
      </c>
      <c r="AI157" s="71"/>
      <c r="AJ157" s="71"/>
      <c r="AK157" s="71"/>
      <c r="AL157" s="71"/>
    </row>
    <row r="158">
      <c r="A158" s="57" t="s">
        <v>770</v>
      </c>
      <c r="B158" s="58" t="s">
        <v>17</v>
      </c>
      <c r="C158" s="58" t="s">
        <v>19</v>
      </c>
      <c r="D158" s="58" t="s">
        <v>61</v>
      </c>
      <c r="E158" s="58" t="s">
        <v>110</v>
      </c>
      <c r="F158" s="58" t="s">
        <v>63</v>
      </c>
      <c r="G158" s="59">
        <v>46216.0</v>
      </c>
      <c r="H158" s="58" t="s">
        <v>104</v>
      </c>
      <c r="I158" s="58" t="s">
        <v>771</v>
      </c>
      <c r="J158" s="61" t="s">
        <v>772</v>
      </c>
      <c r="K158" s="61" t="s">
        <v>773</v>
      </c>
      <c r="L158" s="61" t="s">
        <v>774</v>
      </c>
      <c r="M158" s="58">
        <v>2000.0</v>
      </c>
      <c r="N158" s="58">
        <v>7.0</v>
      </c>
      <c r="O158" s="62">
        <v>41.0</v>
      </c>
      <c r="P158" s="62">
        <f t="shared" si="1"/>
        <v>114.8</v>
      </c>
      <c r="Q158" s="63">
        <v>1.0</v>
      </c>
      <c r="R158" s="58">
        <v>0.0</v>
      </c>
      <c r="S158" s="58">
        <v>2.0</v>
      </c>
      <c r="T158" s="58">
        <v>1.0</v>
      </c>
      <c r="U158" s="58">
        <v>2.0</v>
      </c>
      <c r="V158" s="58" t="s">
        <v>130</v>
      </c>
      <c r="W158" s="61" t="s">
        <v>76</v>
      </c>
      <c r="X158" s="28" t="s">
        <v>1033</v>
      </c>
      <c r="Y158" s="64">
        <v>31.0</v>
      </c>
      <c r="Z158" s="65">
        <f t="shared" si="2"/>
        <v>20.15</v>
      </c>
      <c r="AA158" s="65">
        <f t="shared" si="3"/>
        <v>2313.22</v>
      </c>
      <c r="AB158" s="65">
        <f t="shared" si="4"/>
        <v>3458.382687</v>
      </c>
      <c r="AC158" s="66">
        <v>1.0</v>
      </c>
      <c r="AD158" s="67"/>
      <c r="AE158" s="68">
        <f t="shared" si="5"/>
        <v>6557.377049</v>
      </c>
      <c r="AF158" s="69">
        <v>8000.0</v>
      </c>
      <c r="AG158" s="68">
        <f t="shared" si="6"/>
        <v>6557.377049</v>
      </c>
      <c r="AH158" s="70">
        <f t="shared" si="7"/>
        <v>8000</v>
      </c>
      <c r="AI158" s="71"/>
      <c r="AJ158" s="71"/>
      <c r="AK158" s="71"/>
      <c r="AL158" s="71"/>
    </row>
    <row r="159">
      <c r="A159" s="57" t="s">
        <v>775</v>
      </c>
      <c r="B159" s="58" t="s">
        <v>17</v>
      </c>
      <c r="C159" s="58" t="s">
        <v>19</v>
      </c>
      <c r="D159" s="58" t="s">
        <v>101</v>
      </c>
      <c r="E159" s="58" t="s">
        <v>110</v>
      </c>
      <c r="F159" s="58" t="s">
        <v>63</v>
      </c>
      <c r="G159" s="59">
        <v>46216.0</v>
      </c>
      <c r="H159" s="58" t="s">
        <v>104</v>
      </c>
      <c r="I159" s="58" t="s">
        <v>776</v>
      </c>
      <c r="J159" s="61" t="s">
        <v>777</v>
      </c>
      <c r="K159" s="61" t="s">
        <v>778</v>
      </c>
      <c r="L159" s="61" t="s">
        <v>779</v>
      </c>
      <c r="M159" s="58">
        <v>1970.0</v>
      </c>
      <c r="N159" s="58">
        <v>12.0</v>
      </c>
      <c r="O159" s="62">
        <v>96.0</v>
      </c>
      <c r="P159" s="62">
        <f t="shared" si="1"/>
        <v>268.8</v>
      </c>
      <c r="Q159" s="63">
        <v>2.0</v>
      </c>
      <c r="R159" s="58">
        <v>0.0</v>
      </c>
      <c r="S159" s="58">
        <v>4.0</v>
      </c>
      <c r="T159" s="58">
        <v>2.0</v>
      </c>
      <c r="U159" s="58">
        <v>4.0</v>
      </c>
      <c r="V159" s="58" t="s">
        <v>130</v>
      </c>
      <c r="W159" s="61" t="s">
        <v>76</v>
      </c>
      <c r="X159" s="28" t="s">
        <v>1033</v>
      </c>
      <c r="Y159" s="64">
        <v>31.0</v>
      </c>
      <c r="Z159" s="65">
        <f t="shared" si="2"/>
        <v>20.15</v>
      </c>
      <c r="AA159" s="65">
        <f t="shared" si="3"/>
        <v>5416.32</v>
      </c>
      <c r="AB159" s="65">
        <f t="shared" si="4"/>
        <v>2954.035212</v>
      </c>
      <c r="AC159" s="66">
        <v>1.0</v>
      </c>
      <c r="AD159" s="67"/>
      <c r="AE159" s="68">
        <f t="shared" si="5"/>
        <v>6557.377049</v>
      </c>
      <c r="AF159" s="69">
        <v>8000.0</v>
      </c>
      <c r="AG159" s="68">
        <f t="shared" si="6"/>
        <v>13114.7541</v>
      </c>
      <c r="AH159" s="70">
        <f t="shared" si="7"/>
        <v>16000</v>
      </c>
      <c r="AI159" s="71"/>
      <c r="AJ159" s="71"/>
      <c r="AK159" s="71"/>
      <c r="AL159" s="71"/>
    </row>
    <row r="160">
      <c r="A160" s="57" t="s">
        <v>780</v>
      </c>
      <c r="B160" s="58" t="s">
        <v>17</v>
      </c>
      <c r="C160" s="58" t="s">
        <v>19</v>
      </c>
      <c r="D160" s="58" t="s">
        <v>101</v>
      </c>
      <c r="E160" s="58" t="s">
        <v>102</v>
      </c>
      <c r="F160" s="58" t="s">
        <v>63</v>
      </c>
      <c r="G160" s="59">
        <v>46216.0</v>
      </c>
      <c r="H160" s="58" t="s">
        <v>104</v>
      </c>
      <c r="I160" s="58" t="s">
        <v>781</v>
      </c>
      <c r="J160" s="61" t="s">
        <v>782</v>
      </c>
      <c r="K160" s="61" t="s">
        <v>783</v>
      </c>
      <c r="L160" s="61" t="s">
        <v>784</v>
      </c>
      <c r="M160" s="58">
        <v>2002.0</v>
      </c>
      <c r="N160" s="58">
        <v>12.0</v>
      </c>
      <c r="O160" s="62">
        <v>114.0</v>
      </c>
      <c r="P160" s="62">
        <f t="shared" si="1"/>
        <v>319.2</v>
      </c>
      <c r="Q160" s="63">
        <v>2.0</v>
      </c>
      <c r="R160" s="58">
        <v>0.0</v>
      </c>
      <c r="S160" s="58">
        <v>1.0</v>
      </c>
      <c r="T160" s="58">
        <v>2.0</v>
      </c>
      <c r="U160" s="58">
        <v>2.0</v>
      </c>
      <c r="V160" s="58" t="s">
        <v>130</v>
      </c>
      <c r="W160" s="61" t="s">
        <v>76</v>
      </c>
      <c r="X160" s="28" t="s">
        <v>1033</v>
      </c>
      <c r="Y160" s="64">
        <v>31.0</v>
      </c>
      <c r="Z160" s="65">
        <f t="shared" si="2"/>
        <v>40.3</v>
      </c>
      <c r="AA160" s="65">
        <f t="shared" si="3"/>
        <v>12863.76</v>
      </c>
      <c r="AB160" s="65">
        <f t="shared" si="4"/>
        <v>1243.8043</v>
      </c>
      <c r="AC160" s="66">
        <v>1.0</v>
      </c>
      <c r="AD160" s="67"/>
      <c r="AE160" s="68">
        <f t="shared" si="5"/>
        <v>6557.377049</v>
      </c>
      <c r="AF160" s="69">
        <v>8000.0</v>
      </c>
      <c r="AG160" s="68">
        <f t="shared" si="6"/>
        <v>13114.7541</v>
      </c>
      <c r="AH160" s="70">
        <f t="shared" si="7"/>
        <v>16000</v>
      </c>
      <c r="AI160" s="71"/>
      <c r="AJ160" s="71"/>
      <c r="AK160" s="71"/>
      <c r="AL160" s="71"/>
    </row>
    <row r="161">
      <c r="A161" s="57" t="s">
        <v>785</v>
      </c>
      <c r="B161" s="58" t="s">
        <v>17</v>
      </c>
      <c r="C161" s="58" t="s">
        <v>19</v>
      </c>
      <c r="D161" s="58" t="s">
        <v>123</v>
      </c>
      <c r="E161" s="58" t="s">
        <v>117</v>
      </c>
      <c r="F161" s="58" t="s">
        <v>103</v>
      </c>
      <c r="G161" s="59">
        <v>46216.0</v>
      </c>
      <c r="H161" s="58" t="s">
        <v>104</v>
      </c>
      <c r="I161" s="58" t="s">
        <v>786</v>
      </c>
      <c r="J161" s="61" t="s">
        <v>787</v>
      </c>
      <c r="K161" s="61" t="s">
        <v>788</v>
      </c>
      <c r="L161" s="61" t="s">
        <v>789</v>
      </c>
      <c r="M161" s="58">
        <v>2001.0</v>
      </c>
      <c r="N161" s="58">
        <v>9.0</v>
      </c>
      <c r="O161" s="62">
        <v>161.0</v>
      </c>
      <c r="P161" s="62">
        <f t="shared" si="1"/>
        <v>450.8</v>
      </c>
      <c r="Q161" s="63">
        <v>6.0</v>
      </c>
      <c r="R161" s="58">
        <v>0.0</v>
      </c>
      <c r="S161" s="58">
        <v>6.0</v>
      </c>
      <c r="T161" s="58">
        <v>6.0</v>
      </c>
      <c r="U161" s="58">
        <v>6.0</v>
      </c>
      <c r="V161" s="58" t="s">
        <v>130</v>
      </c>
      <c r="W161" s="61" t="s">
        <v>76</v>
      </c>
      <c r="X161" s="28" t="s">
        <v>1033</v>
      </c>
      <c r="Y161" s="64">
        <v>31.0</v>
      </c>
      <c r="Z161" s="65">
        <f t="shared" si="2"/>
        <v>40.3</v>
      </c>
      <c r="AA161" s="65">
        <f t="shared" si="3"/>
        <v>18167.24</v>
      </c>
      <c r="AB161" s="65">
        <f t="shared" si="4"/>
        <v>2642.118451</v>
      </c>
      <c r="AC161" s="66">
        <v>1.0</v>
      </c>
      <c r="AD161" s="67"/>
      <c r="AE161" s="68">
        <f t="shared" si="5"/>
        <v>6557.377049</v>
      </c>
      <c r="AF161" s="69">
        <v>8000.0</v>
      </c>
      <c r="AG161" s="68">
        <f t="shared" si="6"/>
        <v>39344.2623</v>
      </c>
      <c r="AH161" s="70">
        <f t="shared" si="7"/>
        <v>48000</v>
      </c>
      <c r="AI161" s="71"/>
      <c r="AJ161" s="71"/>
      <c r="AK161" s="71"/>
      <c r="AL161" s="71"/>
    </row>
    <row r="162">
      <c r="A162" s="57" t="s">
        <v>790</v>
      </c>
      <c r="B162" s="58" t="s">
        <v>17</v>
      </c>
      <c r="C162" s="58" t="s">
        <v>19</v>
      </c>
      <c r="D162" s="58" t="s">
        <v>101</v>
      </c>
      <c r="E162" s="58" t="s">
        <v>102</v>
      </c>
      <c r="F162" s="58" t="s">
        <v>103</v>
      </c>
      <c r="G162" s="59">
        <v>46219.0</v>
      </c>
      <c r="H162" s="58" t="s">
        <v>104</v>
      </c>
      <c r="I162" s="58" t="s">
        <v>791</v>
      </c>
      <c r="J162" s="61" t="s">
        <v>792</v>
      </c>
      <c r="K162" s="61" t="s">
        <v>793</v>
      </c>
      <c r="L162" s="61" t="s">
        <v>794</v>
      </c>
      <c r="M162" s="58">
        <v>2001.0</v>
      </c>
      <c r="N162" s="58">
        <v>12.0</v>
      </c>
      <c r="O162" s="62">
        <v>108.0</v>
      </c>
      <c r="P162" s="62">
        <f t="shared" si="1"/>
        <v>302.4</v>
      </c>
      <c r="Q162" s="63">
        <v>4.0</v>
      </c>
      <c r="R162" s="58">
        <v>0.0</v>
      </c>
      <c r="S162" s="58">
        <v>2.0</v>
      </c>
      <c r="T162" s="58">
        <v>4.0</v>
      </c>
      <c r="U162" s="58">
        <v>2.0</v>
      </c>
      <c r="V162" s="58" t="s">
        <v>130</v>
      </c>
      <c r="W162" s="61" t="s">
        <v>76</v>
      </c>
      <c r="X162" s="28" t="s">
        <v>1033</v>
      </c>
      <c r="Y162" s="64">
        <v>31.0</v>
      </c>
      <c r="Z162" s="65">
        <f t="shared" si="2"/>
        <v>80.6</v>
      </c>
      <c r="AA162" s="65">
        <f t="shared" si="3"/>
        <v>24373.44</v>
      </c>
      <c r="AB162" s="65">
        <f t="shared" si="4"/>
        <v>1312.904539</v>
      </c>
      <c r="AC162" s="66">
        <v>1.0</v>
      </c>
      <c r="AD162" s="67"/>
      <c r="AE162" s="68">
        <f t="shared" si="5"/>
        <v>6557.377049</v>
      </c>
      <c r="AF162" s="69">
        <v>8000.0</v>
      </c>
      <c r="AG162" s="68">
        <f t="shared" si="6"/>
        <v>26229.5082</v>
      </c>
      <c r="AH162" s="70">
        <f t="shared" si="7"/>
        <v>32000</v>
      </c>
      <c r="AI162" s="71"/>
      <c r="AJ162" s="71"/>
      <c r="AK162" s="71"/>
      <c r="AL162" s="71"/>
    </row>
    <row r="163">
      <c r="A163" s="76" t="s">
        <v>790</v>
      </c>
      <c r="B163" s="74" t="s">
        <v>17</v>
      </c>
      <c r="C163" s="74" t="s">
        <v>19</v>
      </c>
      <c r="D163" s="74" t="s">
        <v>101</v>
      </c>
      <c r="E163" s="74" t="s">
        <v>102</v>
      </c>
      <c r="F163" s="58" t="s">
        <v>103</v>
      </c>
      <c r="G163" s="59">
        <v>46219.0</v>
      </c>
      <c r="H163" s="58" t="s">
        <v>104</v>
      </c>
      <c r="I163" s="74" t="s">
        <v>791</v>
      </c>
      <c r="J163" s="75" t="s">
        <v>795</v>
      </c>
      <c r="K163" s="75" t="s">
        <v>796</v>
      </c>
      <c r="L163" s="75" t="s">
        <v>797</v>
      </c>
      <c r="M163" s="74">
        <v>2002.0</v>
      </c>
      <c r="N163" s="74">
        <v>16.0</v>
      </c>
      <c r="O163" s="79">
        <v>57.0</v>
      </c>
      <c r="P163" s="79">
        <f t="shared" si="1"/>
        <v>159.6</v>
      </c>
      <c r="Q163" s="76">
        <v>2.0</v>
      </c>
      <c r="R163" s="74">
        <v>0.0</v>
      </c>
      <c r="S163" s="74">
        <v>1.0</v>
      </c>
      <c r="T163" s="74">
        <v>2.0</v>
      </c>
      <c r="U163" s="74">
        <v>1.0</v>
      </c>
      <c r="V163" s="74" t="s">
        <v>130</v>
      </c>
      <c r="W163" s="75" t="s">
        <v>76</v>
      </c>
      <c r="X163" s="28" t="s">
        <v>1033</v>
      </c>
      <c r="Y163" s="64">
        <v>31.0</v>
      </c>
      <c r="Z163" s="65">
        <f t="shared" si="2"/>
        <v>80.6</v>
      </c>
      <c r="AA163" s="65">
        <f t="shared" si="3"/>
        <v>12863.76</v>
      </c>
      <c r="AB163" s="65">
        <f t="shared" si="4"/>
        <v>1243.8043</v>
      </c>
      <c r="AC163" s="66">
        <v>1.0</v>
      </c>
      <c r="AD163" s="67"/>
      <c r="AE163" s="68">
        <f t="shared" si="5"/>
        <v>6557.377049</v>
      </c>
      <c r="AF163" s="69">
        <v>8000.0</v>
      </c>
      <c r="AG163" s="68">
        <f t="shared" si="6"/>
        <v>13114.7541</v>
      </c>
      <c r="AH163" s="70">
        <f t="shared" si="7"/>
        <v>16000</v>
      </c>
      <c r="AI163" s="71"/>
      <c r="AJ163" s="71"/>
      <c r="AK163" s="71"/>
      <c r="AL163" s="71"/>
    </row>
    <row r="164">
      <c r="A164" s="57" t="s">
        <v>798</v>
      </c>
      <c r="B164" s="58" t="s">
        <v>17</v>
      </c>
      <c r="C164" s="58" t="s">
        <v>19</v>
      </c>
      <c r="D164" s="58" t="s">
        <v>101</v>
      </c>
      <c r="E164" s="58" t="s">
        <v>110</v>
      </c>
      <c r="F164" s="58" t="s">
        <v>63</v>
      </c>
      <c r="G164" s="59">
        <v>46224.0</v>
      </c>
      <c r="H164" s="58" t="s">
        <v>104</v>
      </c>
      <c r="I164" s="58" t="s">
        <v>799</v>
      </c>
      <c r="J164" s="61" t="s">
        <v>800</v>
      </c>
      <c r="K164" s="61" t="s">
        <v>801</v>
      </c>
      <c r="L164" s="61" t="s">
        <v>802</v>
      </c>
      <c r="M164" s="58">
        <v>2016.0</v>
      </c>
      <c r="N164" s="58">
        <v>13.0</v>
      </c>
      <c r="O164" s="62">
        <v>160.0</v>
      </c>
      <c r="P164" s="62">
        <f t="shared" si="1"/>
        <v>448</v>
      </c>
      <c r="Q164" s="63">
        <v>6.0</v>
      </c>
      <c r="R164" s="58">
        <v>0.0</v>
      </c>
      <c r="S164" s="58">
        <v>3.0</v>
      </c>
      <c r="T164" s="58">
        <v>6.0</v>
      </c>
      <c r="U164" s="58">
        <v>6.0</v>
      </c>
      <c r="V164" s="58" t="s">
        <v>130</v>
      </c>
      <c r="W164" s="61" t="s">
        <v>76</v>
      </c>
      <c r="X164" s="28" t="s">
        <v>1033</v>
      </c>
      <c r="Y164" s="64">
        <v>31.0</v>
      </c>
      <c r="Z164" s="65">
        <f t="shared" si="2"/>
        <v>40.3</v>
      </c>
      <c r="AA164" s="65">
        <f t="shared" si="3"/>
        <v>18054.4</v>
      </c>
      <c r="AB164" s="65">
        <f t="shared" si="4"/>
        <v>2658.631691</v>
      </c>
      <c r="AC164" s="66">
        <v>1.0</v>
      </c>
      <c r="AD164" s="67"/>
      <c r="AE164" s="68">
        <f t="shared" si="5"/>
        <v>6557.377049</v>
      </c>
      <c r="AF164" s="69">
        <v>8000.0</v>
      </c>
      <c r="AG164" s="68">
        <f t="shared" si="6"/>
        <v>39344.2623</v>
      </c>
      <c r="AH164" s="70">
        <f t="shared" si="7"/>
        <v>48000</v>
      </c>
      <c r="AI164" s="71"/>
      <c r="AJ164" s="71"/>
      <c r="AK164" s="71"/>
      <c r="AL164" s="71"/>
    </row>
    <row r="165">
      <c r="A165" s="57" t="s">
        <v>803</v>
      </c>
      <c r="B165" s="58" t="s">
        <v>17</v>
      </c>
      <c r="C165" s="58" t="s">
        <v>19</v>
      </c>
      <c r="D165" s="58" t="s">
        <v>804</v>
      </c>
      <c r="E165" s="58" t="s">
        <v>110</v>
      </c>
      <c r="F165" s="58" t="s">
        <v>103</v>
      </c>
      <c r="G165" s="59">
        <v>46216.0</v>
      </c>
      <c r="H165" s="58" t="s">
        <v>104</v>
      </c>
      <c r="I165" s="58" t="s">
        <v>805</v>
      </c>
      <c r="J165" s="61" t="s">
        <v>806</v>
      </c>
      <c r="K165" s="61" t="s">
        <v>807</v>
      </c>
      <c r="L165" s="61" t="s">
        <v>808</v>
      </c>
      <c r="M165" s="58">
        <v>2004.0</v>
      </c>
      <c r="N165" s="58">
        <v>12.0</v>
      </c>
      <c r="O165" s="62">
        <v>42.0</v>
      </c>
      <c r="P165" s="62">
        <f t="shared" si="1"/>
        <v>117.6</v>
      </c>
      <c r="Q165" s="63">
        <v>2.0</v>
      </c>
      <c r="R165" s="58">
        <v>0.0</v>
      </c>
      <c r="S165" s="58">
        <v>1.0</v>
      </c>
      <c r="T165" s="58">
        <v>2.0</v>
      </c>
      <c r="U165" s="58">
        <v>2.0</v>
      </c>
      <c r="V165" s="58" t="s">
        <v>130</v>
      </c>
      <c r="W165" s="61" t="s">
        <v>76</v>
      </c>
      <c r="X165" s="28" t="s">
        <v>1033</v>
      </c>
      <c r="Y165" s="64">
        <v>31.0</v>
      </c>
      <c r="Z165" s="65">
        <f t="shared" si="2"/>
        <v>40.3</v>
      </c>
      <c r="AA165" s="65">
        <f t="shared" si="3"/>
        <v>4739.28</v>
      </c>
      <c r="AB165" s="65">
        <f t="shared" si="4"/>
        <v>3376.040242</v>
      </c>
      <c r="AC165" s="66">
        <v>1.0</v>
      </c>
      <c r="AD165" s="67"/>
      <c r="AE165" s="68">
        <f t="shared" si="5"/>
        <v>6557.377049</v>
      </c>
      <c r="AF165" s="69">
        <v>8000.0</v>
      </c>
      <c r="AG165" s="68">
        <f t="shared" si="6"/>
        <v>13114.7541</v>
      </c>
      <c r="AH165" s="70">
        <f t="shared" si="7"/>
        <v>16000</v>
      </c>
      <c r="AI165" s="71"/>
      <c r="AJ165" s="71"/>
      <c r="AK165" s="71"/>
      <c r="AL165" s="71"/>
    </row>
    <row r="166">
      <c r="A166" s="57" t="s">
        <v>809</v>
      </c>
      <c r="B166" s="58" t="s">
        <v>17</v>
      </c>
      <c r="C166" s="58" t="s">
        <v>19</v>
      </c>
      <c r="D166" s="58" t="s">
        <v>810</v>
      </c>
      <c r="E166" s="58" t="s">
        <v>361</v>
      </c>
      <c r="F166" s="58" t="s">
        <v>103</v>
      </c>
      <c r="G166" s="59">
        <v>46230.0</v>
      </c>
      <c r="H166" s="58" t="s">
        <v>118</v>
      </c>
      <c r="I166" s="58" t="s">
        <v>811</v>
      </c>
      <c r="J166" s="61" t="s">
        <v>812</v>
      </c>
      <c r="K166" s="61" t="s">
        <v>813</v>
      </c>
      <c r="L166" s="61" t="s">
        <v>814</v>
      </c>
      <c r="M166" s="58">
        <v>2019.0</v>
      </c>
      <c r="N166" s="58">
        <v>16.0</v>
      </c>
      <c r="O166" s="62">
        <v>250.0</v>
      </c>
      <c r="P166" s="62">
        <f t="shared" si="1"/>
        <v>700</v>
      </c>
      <c r="Q166" s="63">
        <v>4.0</v>
      </c>
      <c r="R166" s="58">
        <v>0.0</v>
      </c>
      <c r="S166" s="58">
        <v>2.0</v>
      </c>
      <c r="T166" s="58">
        <v>4.0</v>
      </c>
      <c r="U166" s="58">
        <v>4.0</v>
      </c>
      <c r="V166" s="58" t="s">
        <v>130</v>
      </c>
      <c r="W166" s="61" t="s">
        <v>76</v>
      </c>
      <c r="X166" s="28" t="s">
        <v>1033</v>
      </c>
      <c r="Y166" s="64">
        <v>31.0</v>
      </c>
      <c r="Z166" s="65">
        <f t="shared" si="2"/>
        <v>40.3</v>
      </c>
      <c r="AA166" s="65">
        <f t="shared" si="3"/>
        <v>28210</v>
      </c>
      <c r="AB166" s="65">
        <f t="shared" si="4"/>
        <v>1134.349521</v>
      </c>
      <c r="AC166" s="66">
        <v>1.0</v>
      </c>
      <c r="AD166" s="67"/>
      <c r="AE166" s="68">
        <f t="shared" si="5"/>
        <v>6557.377049</v>
      </c>
      <c r="AF166" s="69">
        <v>8000.0</v>
      </c>
      <c r="AG166" s="68">
        <f t="shared" si="6"/>
        <v>26229.5082</v>
      </c>
      <c r="AH166" s="70">
        <f t="shared" si="7"/>
        <v>32000</v>
      </c>
      <c r="AI166" s="71"/>
      <c r="AJ166" s="71"/>
      <c r="AK166" s="71"/>
      <c r="AL166" s="71"/>
    </row>
    <row r="167">
      <c r="A167" s="57" t="s">
        <v>815</v>
      </c>
      <c r="B167" s="58" t="s">
        <v>17</v>
      </c>
      <c r="C167" s="58" t="s">
        <v>19</v>
      </c>
      <c r="D167" s="58" t="s">
        <v>123</v>
      </c>
      <c r="E167" s="58" t="s">
        <v>117</v>
      </c>
      <c r="F167" s="58" t="s">
        <v>103</v>
      </c>
      <c r="G167" s="59">
        <v>46229.0</v>
      </c>
      <c r="H167" s="58" t="s">
        <v>104</v>
      </c>
      <c r="I167" s="58" t="s">
        <v>816</v>
      </c>
      <c r="J167" s="61" t="s">
        <v>817</v>
      </c>
      <c r="K167" s="61" t="s">
        <v>818</v>
      </c>
      <c r="L167" s="61" t="s">
        <v>819</v>
      </c>
      <c r="M167" s="58">
        <v>2003.0</v>
      </c>
      <c r="N167" s="58">
        <v>10.0</v>
      </c>
      <c r="O167" s="62">
        <v>329.0</v>
      </c>
      <c r="P167" s="62">
        <f t="shared" si="1"/>
        <v>921.2</v>
      </c>
      <c r="Q167" s="63">
        <v>7.0</v>
      </c>
      <c r="R167" s="58">
        <v>0.0</v>
      </c>
      <c r="S167" s="58">
        <v>7.0</v>
      </c>
      <c r="T167" s="58">
        <v>7.0</v>
      </c>
      <c r="U167" s="58">
        <v>7.0</v>
      </c>
      <c r="V167" s="58" t="s">
        <v>130</v>
      </c>
      <c r="W167" s="61" t="s">
        <v>76</v>
      </c>
      <c r="X167" s="28" t="s">
        <v>1033</v>
      </c>
      <c r="Y167" s="64">
        <v>31.0</v>
      </c>
      <c r="Z167" s="65">
        <f t="shared" si="2"/>
        <v>40.3</v>
      </c>
      <c r="AA167" s="65">
        <f t="shared" si="3"/>
        <v>37124.36</v>
      </c>
      <c r="AB167" s="65">
        <f t="shared" si="4"/>
        <v>1508.443513</v>
      </c>
      <c r="AC167" s="66">
        <v>1.0</v>
      </c>
      <c r="AD167" s="67"/>
      <c r="AE167" s="68">
        <f t="shared" si="5"/>
        <v>6557.377049</v>
      </c>
      <c r="AF167" s="69">
        <v>8000.0</v>
      </c>
      <c r="AG167" s="68">
        <f t="shared" si="6"/>
        <v>45901.63934</v>
      </c>
      <c r="AH167" s="70">
        <f t="shared" si="7"/>
        <v>56000</v>
      </c>
      <c r="AI167" s="71"/>
      <c r="AJ167" s="71"/>
      <c r="AK167" s="71"/>
      <c r="AL167" s="71"/>
    </row>
    <row r="168">
      <c r="A168" s="57" t="s">
        <v>820</v>
      </c>
      <c r="B168" s="58" t="s">
        <v>17</v>
      </c>
      <c r="C168" s="58" t="s">
        <v>19</v>
      </c>
      <c r="D168" s="58" t="s">
        <v>101</v>
      </c>
      <c r="E168" s="58" t="s">
        <v>102</v>
      </c>
      <c r="F168" s="58" t="s">
        <v>103</v>
      </c>
      <c r="G168" s="59">
        <v>46227.0</v>
      </c>
      <c r="H168" s="58" t="s">
        <v>104</v>
      </c>
      <c r="I168" s="58" t="s">
        <v>821</v>
      </c>
      <c r="J168" s="61" t="s">
        <v>822</v>
      </c>
      <c r="K168" s="61" t="s">
        <v>823</v>
      </c>
      <c r="L168" s="61" t="s">
        <v>824</v>
      </c>
      <c r="M168" s="58">
        <v>2012.0</v>
      </c>
      <c r="N168" s="58">
        <v>14.0</v>
      </c>
      <c r="O168" s="62">
        <v>141.0</v>
      </c>
      <c r="P168" s="62">
        <f t="shared" si="1"/>
        <v>394.8</v>
      </c>
      <c r="Q168" s="63">
        <v>2.0</v>
      </c>
      <c r="R168" s="58">
        <v>0.0</v>
      </c>
      <c r="S168" s="58">
        <v>2.0</v>
      </c>
      <c r="T168" s="58">
        <v>2.0</v>
      </c>
      <c r="U168" s="58">
        <v>4.0</v>
      </c>
      <c r="V168" s="58" t="s">
        <v>130</v>
      </c>
      <c r="W168" s="61" t="s">
        <v>76</v>
      </c>
      <c r="X168" s="28" t="s">
        <v>1033</v>
      </c>
      <c r="Y168" s="64">
        <v>31.0</v>
      </c>
      <c r="Z168" s="65">
        <f t="shared" si="2"/>
        <v>20.15</v>
      </c>
      <c r="AA168" s="65">
        <f t="shared" si="3"/>
        <v>7955.22</v>
      </c>
      <c r="AB168" s="65">
        <f t="shared" si="4"/>
        <v>2011.258017</v>
      </c>
      <c r="AC168" s="66">
        <v>1.0</v>
      </c>
      <c r="AD168" s="67"/>
      <c r="AE168" s="68">
        <f t="shared" si="5"/>
        <v>6557.377049</v>
      </c>
      <c r="AF168" s="69">
        <v>8000.0</v>
      </c>
      <c r="AG168" s="68">
        <f t="shared" si="6"/>
        <v>13114.7541</v>
      </c>
      <c r="AH168" s="70">
        <f t="shared" si="7"/>
        <v>16000</v>
      </c>
      <c r="AI168" s="71"/>
      <c r="AJ168" s="71"/>
      <c r="AK168" s="71"/>
      <c r="AL168" s="71"/>
    </row>
    <row r="169">
      <c r="A169" s="57" t="s">
        <v>820</v>
      </c>
      <c r="B169" s="58" t="s">
        <v>17</v>
      </c>
      <c r="C169" s="58" t="s">
        <v>19</v>
      </c>
      <c r="D169" s="58" t="s">
        <v>101</v>
      </c>
      <c r="E169" s="58" t="s">
        <v>102</v>
      </c>
      <c r="F169" s="58" t="s">
        <v>103</v>
      </c>
      <c r="G169" s="59">
        <v>46227.0</v>
      </c>
      <c r="H169" s="58" t="s">
        <v>104</v>
      </c>
      <c r="I169" s="58" t="s">
        <v>821</v>
      </c>
      <c r="J169" s="61" t="s">
        <v>825</v>
      </c>
      <c r="K169" s="61" t="s">
        <v>826</v>
      </c>
      <c r="L169" s="61" t="s">
        <v>827</v>
      </c>
      <c r="M169" s="58">
        <v>2013.0</v>
      </c>
      <c r="N169" s="58">
        <v>15.0</v>
      </c>
      <c r="O169" s="62">
        <v>203.0</v>
      </c>
      <c r="P169" s="62">
        <f t="shared" si="1"/>
        <v>568.4</v>
      </c>
      <c r="Q169" s="63">
        <v>4.0</v>
      </c>
      <c r="R169" s="58">
        <v>0.0</v>
      </c>
      <c r="S169" s="58">
        <v>4.0</v>
      </c>
      <c r="T169" s="58">
        <v>4.0</v>
      </c>
      <c r="U169" s="58">
        <v>6.0</v>
      </c>
      <c r="V169" s="58" t="s">
        <v>130</v>
      </c>
      <c r="W169" s="61" t="s">
        <v>76</v>
      </c>
      <c r="X169" s="28" t="s">
        <v>1033</v>
      </c>
      <c r="Y169" s="64">
        <v>31.0</v>
      </c>
      <c r="Z169" s="65">
        <f t="shared" si="2"/>
        <v>26.86666667</v>
      </c>
      <c r="AA169" s="65">
        <f t="shared" si="3"/>
        <v>15271.01333</v>
      </c>
      <c r="AB169" s="65">
        <f t="shared" si="4"/>
        <v>2095.473254</v>
      </c>
      <c r="AC169" s="66">
        <v>1.0</v>
      </c>
      <c r="AD169" s="67"/>
      <c r="AE169" s="68">
        <f t="shared" si="5"/>
        <v>6557.377049</v>
      </c>
      <c r="AF169" s="69">
        <v>8000.0</v>
      </c>
      <c r="AG169" s="68">
        <f t="shared" si="6"/>
        <v>26229.5082</v>
      </c>
      <c r="AH169" s="70">
        <f t="shared" si="7"/>
        <v>32000</v>
      </c>
      <c r="AI169" s="71"/>
      <c r="AJ169" s="71"/>
      <c r="AK169" s="71"/>
      <c r="AL169" s="71"/>
    </row>
    <row r="170">
      <c r="A170" s="57" t="s">
        <v>828</v>
      </c>
      <c r="B170" s="58" t="s">
        <v>17</v>
      </c>
      <c r="C170" s="58" t="s">
        <v>19</v>
      </c>
      <c r="D170" s="58" t="s">
        <v>61</v>
      </c>
      <c r="E170" s="58" t="s">
        <v>316</v>
      </c>
      <c r="F170" s="58" t="s">
        <v>103</v>
      </c>
      <c r="G170" s="59">
        <v>46234.0</v>
      </c>
      <c r="H170" s="58" t="s">
        <v>104</v>
      </c>
      <c r="I170" s="58" t="s">
        <v>829</v>
      </c>
      <c r="J170" s="61" t="s">
        <v>830</v>
      </c>
      <c r="K170" s="61" t="s">
        <v>831</v>
      </c>
      <c r="L170" s="61" t="s">
        <v>832</v>
      </c>
      <c r="M170" s="58">
        <v>2025.0</v>
      </c>
      <c r="N170" s="58">
        <v>25.0</v>
      </c>
      <c r="O170" s="62">
        <v>612.0</v>
      </c>
      <c r="P170" s="62">
        <f t="shared" si="1"/>
        <v>1713.6</v>
      </c>
      <c r="Q170" s="63">
        <v>7.0</v>
      </c>
      <c r="R170" s="58">
        <v>0.0</v>
      </c>
      <c r="S170" s="58">
        <v>1.0</v>
      </c>
      <c r="T170" s="58">
        <v>7.0</v>
      </c>
      <c r="U170" s="58">
        <v>2.0</v>
      </c>
      <c r="V170" s="58" t="s">
        <v>130</v>
      </c>
      <c r="W170" s="61" t="s">
        <v>76</v>
      </c>
      <c r="X170" s="28" t="s">
        <v>1033</v>
      </c>
      <c r="Y170" s="64">
        <v>31.0</v>
      </c>
      <c r="Z170" s="65">
        <f t="shared" si="2"/>
        <v>141.05</v>
      </c>
      <c r="AA170" s="65">
        <f t="shared" si="3"/>
        <v>241703.28</v>
      </c>
      <c r="AB170" s="65">
        <f t="shared" si="4"/>
        <v>231.6890362</v>
      </c>
      <c r="AC170" s="66">
        <v>1.0</v>
      </c>
      <c r="AD170" s="67"/>
      <c r="AE170" s="68">
        <f t="shared" si="5"/>
        <v>6557.377049</v>
      </c>
      <c r="AF170" s="69">
        <v>8000.0</v>
      </c>
      <c r="AG170" s="68">
        <f t="shared" si="6"/>
        <v>45901.63934</v>
      </c>
      <c r="AH170" s="70">
        <f t="shared" si="7"/>
        <v>56000</v>
      </c>
      <c r="AI170" s="71"/>
      <c r="AJ170" s="71"/>
      <c r="AK170" s="71"/>
      <c r="AL170" s="71"/>
    </row>
    <row r="171">
      <c r="A171" s="57" t="s">
        <v>833</v>
      </c>
      <c r="B171" s="58" t="s">
        <v>17</v>
      </c>
      <c r="C171" s="58" t="s">
        <v>19</v>
      </c>
      <c r="D171" s="58" t="s">
        <v>61</v>
      </c>
      <c r="E171" s="58" t="s">
        <v>110</v>
      </c>
      <c r="F171" s="58" t="s">
        <v>103</v>
      </c>
      <c r="G171" s="59">
        <v>46234.0</v>
      </c>
      <c r="H171" s="58" t="s">
        <v>104</v>
      </c>
      <c r="I171" s="58" t="s">
        <v>834</v>
      </c>
      <c r="J171" s="61" t="s">
        <v>835</v>
      </c>
      <c r="K171" s="61" t="s">
        <v>836</v>
      </c>
      <c r="L171" s="61" t="s">
        <v>837</v>
      </c>
      <c r="M171" s="58">
        <v>1999.0</v>
      </c>
      <c r="N171" s="58">
        <v>16.0</v>
      </c>
      <c r="O171" s="62">
        <v>201.0</v>
      </c>
      <c r="P171" s="62">
        <f t="shared" si="1"/>
        <v>562.8</v>
      </c>
      <c r="Q171" s="63">
        <v>9.0</v>
      </c>
      <c r="R171" s="58">
        <v>0.0</v>
      </c>
      <c r="S171" s="58">
        <v>6.0</v>
      </c>
      <c r="T171" s="58">
        <v>9.0</v>
      </c>
      <c r="U171" s="58">
        <v>7.0</v>
      </c>
      <c r="V171" s="58" t="s">
        <v>130</v>
      </c>
      <c r="W171" s="61" t="s">
        <v>76</v>
      </c>
      <c r="X171" s="28" t="s">
        <v>1033</v>
      </c>
      <c r="Y171" s="64">
        <v>31.0</v>
      </c>
      <c r="Z171" s="65">
        <f t="shared" si="2"/>
        <v>51.81428571</v>
      </c>
      <c r="AA171" s="65">
        <f t="shared" si="3"/>
        <v>29161.08</v>
      </c>
      <c r="AB171" s="65">
        <f t="shared" si="4"/>
        <v>2469.044356</v>
      </c>
      <c r="AC171" s="66">
        <v>1.0</v>
      </c>
      <c r="AD171" s="67"/>
      <c r="AE171" s="68">
        <f t="shared" si="5"/>
        <v>6557.377049</v>
      </c>
      <c r="AF171" s="69">
        <v>8000.0</v>
      </c>
      <c r="AG171" s="68">
        <f t="shared" si="6"/>
        <v>59016.39344</v>
      </c>
      <c r="AH171" s="70">
        <f t="shared" si="7"/>
        <v>72000</v>
      </c>
      <c r="AI171" s="71"/>
      <c r="AJ171" s="71"/>
      <c r="AK171" s="71"/>
      <c r="AL171" s="71"/>
    </row>
    <row r="172">
      <c r="A172" s="76" t="s">
        <v>838</v>
      </c>
      <c r="B172" s="74" t="s">
        <v>17</v>
      </c>
      <c r="C172" s="74" t="s">
        <v>19</v>
      </c>
      <c r="D172" s="74" t="s">
        <v>162</v>
      </c>
      <c r="E172" s="74" t="s">
        <v>110</v>
      </c>
      <c r="F172" s="58" t="s">
        <v>103</v>
      </c>
      <c r="G172" s="59">
        <v>46234.0</v>
      </c>
      <c r="H172" s="58" t="s">
        <v>104</v>
      </c>
      <c r="I172" s="74" t="s">
        <v>839</v>
      </c>
      <c r="J172" s="75" t="s">
        <v>840</v>
      </c>
      <c r="K172" s="75" t="s">
        <v>841</v>
      </c>
      <c r="L172" s="75" t="s">
        <v>842</v>
      </c>
      <c r="M172" s="74">
        <v>2000.0</v>
      </c>
      <c r="N172" s="74">
        <v>16.0</v>
      </c>
      <c r="O172" s="79">
        <v>279.0</v>
      </c>
      <c r="P172" s="79">
        <f t="shared" si="1"/>
        <v>781.2</v>
      </c>
      <c r="Q172" s="76">
        <v>2.0</v>
      </c>
      <c r="R172" s="74">
        <v>0.0</v>
      </c>
      <c r="S172" s="74">
        <v>2.0</v>
      </c>
      <c r="T172" s="74">
        <v>2.0</v>
      </c>
      <c r="U172" s="74">
        <v>2.0</v>
      </c>
      <c r="V172" s="74" t="s">
        <v>130</v>
      </c>
      <c r="W172" s="75" t="s">
        <v>76</v>
      </c>
      <c r="X172" s="28" t="s">
        <v>1033</v>
      </c>
      <c r="Y172" s="64">
        <v>31.0</v>
      </c>
      <c r="Z172" s="65">
        <f t="shared" si="2"/>
        <v>40.3</v>
      </c>
      <c r="AA172" s="65">
        <f t="shared" si="3"/>
        <v>31482.36</v>
      </c>
      <c r="AB172" s="65">
        <f t="shared" si="4"/>
        <v>508.2211118</v>
      </c>
      <c r="AC172" s="66">
        <v>1.0</v>
      </c>
      <c r="AD172" s="67"/>
      <c r="AE172" s="68">
        <f t="shared" si="5"/>
        <v>6557.377049</v>
      </c>
      <c r="AF172" s="69">
        <v>8000.0</v>
      </c>
      <c r="AG172" s="68">
        <f t="shared" si="6"/>
        <v>13114.7541</v>
      </c>
      <c r="AH172" s="70">
        <f t="shared" si="7"/>
        <v>16000</v>
      </c>
      <c r="AI172" s="71"/>
      <c r="AJ172" s="71"/>
      <c r="AK172" s="71"/>
      <c r="AL172" s="71"/>
    </row>
    <row r="173">
      <c r="A173" s="76" t="s">
        <v>843</v>
      </c>
      <c r="B173" s="74" t="s">
        <v>17</v>
      </c>
      <c r="C173" s="74" t="s">
        <v>19</v>
      </c>
      <c r="D173" s="74" t="s">
        <v>162</v>
      </c>
      <c r="E173" s="74" t="s">
        <v>110</v>
      </c>
      <c r="F173" s="58" t="s">
        <v>103</v>
      </c>
      <c r="G173" s="59">
        <v>46234.0</v>
      </c>
      <c r="H173" s="58" t="s">
        <v>104</v>
      </c>
      <c r="I173" s="74" t="s">
        <v>844</v>
      </c>
      <c r="J173" s="75" t="s">
        <v>845</v>
      </c>
      <c r="K173" s="75" t="s">
        <v>846</v>
      </c>
      <c r="L173" s="75" t="s">
        <v>847</v>
      </c>
      <c r="M173" s="74">
        <v>2024.0</v>
      </c>
      <c r="N173" s="74">
        <v>10.0</v>
      </c>
      <c r="O173" s="79">
        <v>519.0</v>
      </c>
      <c r="P173" s="79">
        <f t="shared" si="1"/>
        <v>1453.2</v>
      </c>
      <c r="Q173" s="76">
        <v>7.0</v>
      </c>
      <c r="R173" s="74">
        <v>0.0</v>
      </c>
      <c r="S173" s="74">
        <v>1.0</v>
      </c>
      <c r="T173" s="74">
        <v>7.0</v>
      </c>
      <c r="U173" s="74">
        <v>7.0</v>
      </c>
      <c r="V173" s="74" t="s">
        <v>75</v>
      </c>
      <c r="W173" s="75" t="s">
        <v>76</v>
      </c>
      <c r="X173" s="28" t="s">
        <v>1033</v>
      </c>
      <c r="Y173" s="64">
        <v>31.0</v>
      </c>
      <c r="Z173" s="65">
        <f t="shared" si="2"/>
        <v>40.3</v>
      </c>
      <c r="AA173" s="65">
        <f t="shared" si="3"/>
        <v>58563.96</v>
      </c>
      <c r="AB173" s="65">
        <f t="shared" si="4"/>
        <v>956.2194906</v>
      </c>
      <c r="AC173" s="66">
        <v>1.0</v>
      </c>
      <c r="AD173" s="67"/>
      <c r="AE173" s="68">
        <f t="shared" si="5"/>
        <v>6557.377049</v>
      </c>
      <c r="AF173" s="69">
        <v>8000.0</v>
      </c>
      <c r="AG173" s="68">
        <f t="shared" si="6"/>
        <v>45901.63934</v>
      </c>
      <c r="AH173" s="70">
        <f t="shared" si="7"/>
        <v>56000</v>
      </c>
      <c r="AI173" s="71"/>
      <c r="AJ173" s="71"/>
      <c r="AK173" s="71"/>
      <c r="AL173" s="71"/>
    </row>
    <row r="174">
      <c r="A174" s="76" t="s">
        <v>848</v>
      </c>
      <c r="B174" s="74" t="s">
        <v>17</v>
      </c>
      <c r="C174" s="74" t="s">
        <v>19</v>
      </c>
      <c r="D174" s="74" t="s">
        <v>101</v>
      </c>
      <c r="E174" s="74" t="s">
        <v>102</v>
      </c>
      <c r="F174" s="58" t="s">
        <v>103</v>
      </c>
      <c r="G174" s="59">
        <v>46240.0</v>
      </c>
      <c r="H174" s="58" t="s">
        <v>104</v>
      </c>
      <c r="I174" s="74" t="s">
        <v>849</v>
      </c>
      <c r="J174" s="75" t="s">
        <v>850</v>
      </c>
      <c r="K174" s="75" t="s">
        <v>851</v>
      </c>
      <c r="L174" s="75" t="s">
        <v>852</v>
      </c>
      <c r="M174" s="74">
        <v>2001.0</v>
      </c>
      <c r="N174" s="74">
        <v>14.0</v>
      </c>
      <c r="O174" s="79">
        <v>39.0</v>
      </c>
      <c r="P174" s="79">
        <f t="shared" si="1"/>
        <v>109.2</v>
      </c>
      <c r="Q174" s="76">
        <v>2.0</v>
      </c>
      <c r="R174" s="74">
        <v>0.0</v>
      </c>
      <c r="S174" s="74">
        <v>1.0</v>
      </c>
      <c r="T174" s="74">
        <v>2.0</v>
      </c>
      <c r="U174" s="74">
        <v>2.0</v>
      </c>
      <c r="V174" s="74" t="s">
        <v>130</v>
      </c>
      <c r="W174" s="75" t="s">
        <v>76</v>
      </c>
      <c r="X174" s="28" t="s">
        <v>1033</v>
      </c>
      <c r="Y174" s="64">
        <v>31.0</v>
      </c>
      <c r="Z174" s="65">
        <f t="shared" si="2"/>
        <v>40.3</v>
      </c>
      <c r="AA174" s="65">
        <f t="shared" si="3"/>
        <v>4400.76</v>
      </c>
      <c r="AB174" s="65">
        <f t="shared" si="4"/>
        <v>3635.735646</v>
      </c>
      <c r="AC174" s="66">
        <v>1.0</v>
      </c>
      <c r="AD174" s="67"/>
      <c r="AE174" s="68">
        <f t="shared" si="5"/>
        <v>6557.377049</v>
      </c>
      <c r="AF174" s="69">
        <v>8000.0</v>
      </c>
      <c r="AG174" s="68">
        <f t="shared" si="6"/>
        <v>13114.7541</v>
      </c>
      <c r="AH174" s="70">
        <f t="shared" si="7"/>
        <v>16000</v>
      </c>
      <c r="AI174" s="71"/>
      <c r="AJ174" s="71"/>
      <c r="AK174" s="71"/>
      <c r="AL174" s="71"/>
    </row>
    <row r="175">
      <c r="A175" s="76" t="s">
        <v>853</v>
      </c>
      <c r="B175" s="74" t="s">
        <v>17</v>
      </c>
      <c r="C175" s="74" t="s">
        <v>19</v>
      </c>
      <c r="D175" s="74" t="s">
        <v>101</v>
      </c>
      <c r="E175" s="74" t="s">
        <v>110</v>
      </c>
      <c r="F175" s="58" t="s">
        <v>103</v>
      </c>
      <c r="G175" s="59">
        <v>46246.0</v>
      </c>
      <c r="H175" s="58" t="s">
        <v>104</v>
      </c>
      <c r="I175" s="74" t="s">
        <v>854</v>
      </c>
      <c r="J175" s="75" t="s">
        <v>855</v>
      </c>
      <c r="K175" s="75" t="s">
        <v>856</v>
      </c>
      <c r="L175" s="75" t="s">
        <v>857</v>
      </c>
      <c r="M175" s="74">
        <v>1998.0</v>
      </c>
      <c r="N175" s="74">
        <v>12.0</v>
      </c>
      <c r="O175" s="79">
        <v>48.0</v>
      </c>
      <c r="P175" s="79">
        <f t="shared" si="1"/>
        <v>134.4</v>
      </c>
      <c r="Q175" s="76">
        <v>2.0</v>
      </c>
      <c r="R175" s="74">
        <v>0.0</v>
      </c>
      <c r="S175" s="74">
        <v>1.0</v>
      </c>
      <c r="T175" s="74">
        <v>2.0</v>
      </c>
      <c r="U175" s="74">
        <v>2.0</v>
      </c>
      <c r="V175" s="74" t="s">
        <v>130</v>
      </c>
      <c r="W175" s="75" t="s">
        <v>76</v>
      </c>
      <c r="X175" s="28" t="s">
        <v>1033</v>
      </c>
      <c r="Y175" s="64">
        <v>31.0</v>
      </c>
      <c r="Z175" s="65">
        <f t="shared" si="2"/>
        <v>40.3</v>
      </c>
      <c r="AA175" s="65">
        <f t="shared" si="3"/>
        <v>5416.32</v>
      </c>
      <c r="AB175" s="65">
        <f t="shared" si="4"/>
        <v>2954.035212</v>
      </c>
      <c r="AC175" s="66">
        <v>1.0</v>
      </c>
      <c r="AD175" s="67"/>
      <c r="AE175" s="68">
        <f t="shared" si="5"/>
        <v>6557.377049</v>
      </c>
      <c r="AF175" s="69">
        <v>8000.0</v>
      </c>
      <c r="AG175" s="68">
        <f t="shared" si="6"/>
        <v>13114.7541</v>
      </c>
      <c r="AH175" s="70">
        <f t="shared" si="7"/>
        <v>16000</v>
      </c>
      <c r="AI175" s="71"/>
      <c r="AJ175" s="71"/>
      <c r="AK175" s="71"/>
      <c r="AL175" s="71"/>
    </row>
    <row r="176">
      <c r="A176" s="76" t="s">
        <v>858</v>
      </c>
      <c r="B176" s="74" t="s">
        <v>17</v>
      </c>
      <c r="C176" s="74" t="s">
        <v>19</v>
      </c>
      <c r="D176" s="74" t="s">
        <v>101</v>
      </c>
      <c r="E176" s="74" t="s">
        <v>110</v>
      </c>
      <c r="F176" s="58" t="s">
        <v>103</v>
      </c>
      <c r="G176" s="59">
        <v>46240.0</v>
      </c>
      <c r="H176" s="58" t="s">
        <v>104</v>
      </c>
      <c r="I176" s="74" t="s">
        <v>859</v>
      </c>
      <c r="J176" s="75" t="s">
        <v>860</v>
      </c>
      <c r="K176" s="75" t="s">
        <v>861</v>
      </c>
      <c r="L176" s="75" t="s">
        <v>862</v>
      </c>
      <c r="M176" s="74">
        <v>2011.0</v>
      </c>
      <c r="N176" s="74">
        <v>13.0</v>
      </c>
      <c r="O176" s="79">
        <v>97.0</v>
      </c>
      <c r="P176" s="79">
        <f t="shared" si="1"/>
        <v>271.6</v>
      </c>
      <c r="Q176" s="76">
        <v>5.0</v>
      </c>
      <c r="R176" s="74">
        <v>0.0</v>
      </c>
      <c r="S176" s="74">
        <v>3.0</v>
      </c>
      <c r="T176" s="74">
        <v>5.0</v>
      </c>
      <c r="U176" s="74">
        <v>5.0</v>
      </c>
      <c r="V176" s="74" t="s">
        <v>130</v>
      </c>
      <c r="W176" s="75" t="s">
        <v>76</v>
      </c>
      <c r="X176" s="28" t="s">
        <v>1033</v>
      </c>
      <c r="Y176" s="64">
        <v>31.0</v>
      </c>
      <c r="Z176" s="65">
        <f t="shared" si="2"/>
        <v>40.3</v>
      </c>
      <c r="AA176" s="65">
        <f t="shared" si="3"/>
        <v>10945.48</v>
      </c>
      <c r="AB176" s="65">
        <f t="shared" si="4"/>
        <v>3654.476551</v>
      </c>
      <c r="AC176" s="66">
        <v>1.0</v>
      </c>
      <c r="AD176" s="67"/>
      <c r="AE176" s="68">
        <f t="shared" si="5"/>
        <v>6557.377049</v>
      </c>
      <c r="AF176" s="69">
        <v>8000.0</v>
      </c>
      <c r="AG176" s="68">
        <f t="shared" si="6"/>
        <v>32786.88525</v>
      </c>
      <c r="AH176" s="70">
        <f t="shared" si="7"/>
        <v>40000</v>
      </c>
      <c r="AI176" s="71"/>
      <c r="AJ176" s="71"/>
      <c r="AK176" s="71"/>
      <c r="AL176" s="71"/>
    </row>
    <row r="177">
      <c r="A177" s="76" t="s">
        <v>863</v>
      </c>
      <c r="B177" s="74" t="s">
        <v>17</v>
      </c>
      <c r="C177" s="74" t="s">
        <v>19</v>
      </c>
      <c r="D177" s="74" t="s">
        <v>804</v>
      </c>
      <c r="E177" s="74" t="s">
        <v>62</v>
      </c>
      <c r="F177" s="58" t="s">
        <v>103</v>
      </c>
      <c r="G177" s="59">
        <v>46240.0</v>
      </c>
      <c r="H177" s="58" t="s">
        <v>104</v>
      </c>
      <c r="I177" s="74" t="s">
        <v>864</v>
      </c>
      <c r="J177" s="75" t="s">
        <v>865</v>
      </c>
      <c r="K177" s="75" t="s">
        <v>866</v>
      </c>
      <c r="L177" s="75" t="s">
        <v>867</v>
      </c>
      <c r="M177" s="74">
        <v>2025.0</v>
      </c>
      <c r="N177" s="74">
        <v>27.0</v>
      </c>
      <c r="O177" s="79">
        <v>587.0</v>
      </c>
      <c r="P177" s="79">
        <f t="shared" si="1"/>
        <v>1643.6</v>
      </c>
      <c r="Q177" s="76">
        <v>6.0</v>
      </c>
      <c r="R177" s="74">
        <v>0.0</v>
      </c>
      <c r="S177" s="74">
        <v>2.0</v>
      </c>
      <c r="T177" s="74">
        <v>6.0</v>
      </c>
      <c r="U177" s="74">
        <v>4.0</v>
      </c>
      <c r="V177" s="74" t="s">
        <v>130</v>
      </c>
      <c r="W177" s="75" t="s">
        <v>76</v>
      </c>
      <c r="X177" s="28" t="s">
        <v>1033</v>
      </c>
      <c r="Y177" s="64">
        <v>31.0</v>
      </c>
      <c r="Z177" s="65">
        <f t="shared" si="2"/>
        <v>60.45</v>
      </c>
      <c r="AA177" s="65">
        <f t="shared" si="3"/>
        <v>99355.62</v>
      </c>
      <c r="AB177" s="65">
        <f t="shared" si="4"/>
        <v>483.1130841</v>
      </c>
      <c r="AC177" s="66">
        <v>1.0</v>
      </c>
      <c r="AD177" s="67"/>
      <c r="AE177" s="68">
        <f t="shared" si="5"/>
        <v>6557.377049</v>
      </c>
      <c r="AF177" s="69">
        <v>8000.0</v>
      </c>
      <c r="AG177" s="68">
        <f t="shared" si="6"/>
        <v>39344.2623</v>
      </c>
      <c r="AH177" s="70">
        <f t="shared" si="7"/>
        <v>48000</v>
      </c>
      <c r="AI177" s="71"/>
      <c r="AJ177" s="71"/>
      <c r="AK177" s="71"/>
      <c r="AL177" s="71"/>
    </row>
    <row r="178">
      <c r="A178" s="76" t="s">
        <v>868</v>
      </c>
      <c r="B178" s="74" t="s">
        <v>17</v>
      </c>
      <c r="C178" s="74" t="s">
        <v>19</v>
      </c>
      <c r="D178" s="74" t="s">
        <v>101</v>
      </c>
      <c r="E178" s="74" t="s">
        <v>102</v>
      </c>
      <c r="F178" s="58" t="s">
        <v>103</v>
      </c>
      <c r="G178" s="59">
        <v>46248.0</v>
      </c>
      <c r="H178" s="58" t="s">
        <v>104</v>
      </c>
      <c r="I178" s="74" t="s">
        <v>869</v>
      </c>
      <c r="J178" s="75" t="s">
        <v>870</v>
      </c>
      <c r="K178" s="75" t="s">
        <v>871</v>
      </c>
      <c r="L178" s="75" t="s">
        <v>872</v>
      </c>
      <c r="M178" s="74">
        <v>2010.0</v>
      </c>
      <c r="N178" s="74">
        <v>18.0</v>
      </c>
      <c r="O178" s="79">
        <v>321.0</v>
      </c>
      <c r="P178" s="79">
        <f t="shared" si="1"/>
        <v>898.8</v>
      </c>
      <c r="Q178" s="76">
        <v>5.0</v>
      </c>
      <c r="R178" s="74">
        <v>0.0</v>
      </c>
      <c r="S178" s="74">
        <v>5.0</v>
      </c>
      <c r="T178" s="74">
        <v>5.0</v>
      </c>
      <c r="U178" s="74">
        <v>10.0</v>
      </c>
      <c r="V178" s="74" t="s">
        <v>130</v>
      </c>
      <c r="W178" s="75" t="s">
        <v>76</v>
      </c>
      <c r="X178" s="28" t="s">
        <v>1033</v>
      </c>
      <c r="Y178" s="64">
        <v>31.0</v>
      </c>
      <c r="Z178" s="65">
        <f t="shared" si="2"/>
        <v>20.15</v>
      </c>
      <c r="AA178" s="65">
        <f t="shared" si="3"/>
        <v>18110.82</v>
      </c>
      <c r="AB178" s="65">
        <f t="shared" si="4"/>
        <v>2208.624458</v>
      </c>
      <c r="AC178" s="66">
        <v>1.0</v>
      </c>
      <c r="AD178" s="67"/>
      <c r="AE178" s="68">
        <f t="shared" si="5"/>
        <v>6557.377049</v>
      </c>
      <c r="AF178" s="69">
        <v>8000.0</v>
      </c>
      <c r="AG178" s="68">
        <f t="shared" si="6"/>
        <v>32786.88525</v>
      </c>
      <c r="AH178" s="70">
        <f t="shared" si="7"/>
        <v>40000</v>
      </c>
      <c r="AI178" s="71"/>
      <c r="AJ178" s="71"/>
      <c r="AK178" s="71"/>
      <c r="AL178" s="71"/>
    </row>
    <row r="179">
      <c r="A179" s="76" t="s">
        <v>873</v>
      </c>
      <c r="B179" s="74" t="s">
        <v>17</v>
      </c>
      <c r="C179" s="74" t="s">
        <v>19</v>
      </c>
      <c r="D179" s="74" t="s">
        <v>101</v>
      </c>
      <c r="E179" s="74" t="s">
        <v>102</v>
      </c>
      <c r="F179" s="58" t="s">
        <v>103</v>
      </c>
      <c r="G179" s="59">
        <v>46244.0</v>
      </c>
      <c r="H179" s="58" t="s">
        <v>104</v>
      </c>
      <c r="I179" s="74" t="s">
        <v>874</v>
      </c>
      <c r="J179" s="75" t="s">
        <v>875</v>
      </c>
      <c r="K179" s="75" t="s">
        <v>876</v>
      </c>
      <c r="L179" s="75" t="s">
        <v>877</v>
      </c>
      <c r="M179" s="74">
        <v>2011.0</v>
      </c>
      <c r="N179" s="74">
        <v>14.0</v>
      </c>
      <c r="O179" s="79">
        <v>158.0</v>
      </c>
      <c r="P179" s="79">
        <f t="shared" si="1"/>
        <v>442.4</v>
      </c>
      <c r="Q179" s="76">
        <v>5.0</v>
      </c>
      <c r="R179" s="74">
        <v>0.0</v>
      </c>
      <c r="S179" s="74">
        <v>3.0</v>
      </c>
      <c r="T179" s="74">
        <v>5.0</v>
      </c>
      <c r="U179" s="74">
        <v>5.0</v>
      </c>
      <c r="V179" s="74" t="s">
        <v>130</v>
      </c>
      <c r="W179" s="75" t="s">
        <v>76</v>
      </c>
      <c r="X179" s="28" t="s">
        <v>1033</v>
      </c>
      <c r="Y179" s="64">
        <v>31.0</v>
      </c>
      <c r="Z179" s="65">
        <f t="shared" si="2"/>
        <v>40.3</v>
      </c>
      <c r="AA179" s="65">
        <f t="shared" si="3"/>
        <v>17828.72</v>
      </c>
      <c r="AB179" s="65">
        <f t="shared" si="4"/>
        <v>2243.571047</v>
      </c>
      <c r="AC179" s="66">
        <v>1.0</v>
      </c>
      <c r="AD179" s="67"/>
      <c r="AE179" s="68">
        <f t="shared" si="5"/>
        <v>6557.377049</v>
      </c>
      <c r="AF179" s="69">
        <v>8000.0</v>
      </c>
      <c r="AG179" s="68">
        <f t="shared" si="6"/>
        <v>32786.88525</v>
      </c>
      <c r="AH179" s="70">
        <f t="shared" si="7"/>
        <v>40000</v>
      </c>
      <c r="AI179" s="71"/>
      <c r="AJ179" s="71"/>
      <c r="AK179" s="71"/>
      <c r="AL179" s="71"/>
    </row>
    <row r="180">
      <c r="A180" s="76" t="s">
        <v>878</v>
      </c>
      <c r="B180" s="74" t="s">
        <v>17</v>
      </c>
      <c r="C180" s="74" t="s">
        <v>19</v>
      </c>
      <c r="D180" s="74" t="s">
        <v>452</v>
      </c>
      <c r="E180" s="74" t="s">
        <v>102</v>
      </c>
      <c r="F180" s="58" t="s">
        <v>103</v>
      </c>
      <c r="G180" s="59">
        <v>46251.0</v>
      </c>
      <c r="H180" s="58" t="s">
        <v>104</v>
      </c>
      <c r="I180" s="74" t="s">
        <v>879</v>
      </c>
      <c r="J180" s="75" t="s">
        <v>880</v>
      </c>
      <c r="K180" s="75" t="s">
        <v>881</v>
      </c>
      <c r="L180" s="75" t="s">
        <v>882</v>
      </c>
      <c r="M180" s="74">
        <v>2002.0</v>
      </c>
      <c r="N180" s="74">
        <v>13.0</v>
      </c>
      <c r="O180" s="79">
        <v>52.0</v>
      </c>
      <c r="P180" s="79">
        <f t="shared" si="1"/>
        <v>145.6</v>
      </c>
      <c r="Q180" s="76">
        <v>2.0</v>
      </c>
      <c r="R180" s="74">
        <v>0.0</v>
      </c>
      <c r="S180" s="74">
        <v>1.0</v>
      </c>
      <c r="T180" s="74">
        <v>2.0</v>
      </c>
      <c r="U180" s="74">
        <v>2.0</v>
      </c>
      <c r="V180" s="74" t="s">
        <v>130</v>
      </c>
      <c r="W180" s="75" t="s">
        <v>76</v>
      </c>
      <c r="X180" s="28" t="s">
        <v>1033</v>
      </c>
      <c r="Y180" s="64">
        <v>31.0</v>
      </c>
      <c r="Z180" s="65">
        <f t="shared" si="2"/>
        <v>40.3</v>
      </c>
      <c r="AA180" s="65">
        <f t="shared" si="3"/>
        <v>5867.68</v>
      </c>
      <c r="AB180" s="65">
        <f t="shared" si="4"/>
        <v>2726.801734</v>
      </c>
      <c r="AC180" s="66">
        <v>1.0</v>
      </c>
      <c r="AD180" s="67"/>
      <c r="AE180" s="68">
        <f t="shared" si="5"/>
        <v>6557.377049</v>
      </c>
      <c r="AF180" s="69">
        <v>8000.0</v>
      </c>
      <c r="AG180" s="68">
        <f t="shared" si="6"/>
        <v>13114.7541</v>
      </c>
      <c r="AH180" s="70">
        <f t="shared" si="7"/>
        <v>16000</v>
      </c>
      <c r="AI180" s="71"/>
      <c r="AJ180" s="71"/>
      <c r="AK180" s="71"/>
      <c r="AL180" s="71"/>
    </row>
    <row r="181">
      <c r="A181" s="76" t="s">
        <v>883</v>
      </c>
      <c r="B181" s="74" t="s">
        <v>17</v>
      </c>
      <c r="C181" s="74" t="s">
        <v>19</v>
      </c>
      <c r="D181" s="74" t="s">
        <v>101</v>
      </c>
      <c r="E181" s="74" t="s">
        <v>102</v>
      </c>
      <c r="F181" s="58" t="s">
        <v>103</v>
      </c>
      <c r="G181" s="59">
        <v>46248.0</v>
      </c>
      <c r="H181" s="58" t="s">
        <v>104</v>
      </c>
      <c r="I181" s="74" t="s">
        <v>869</v>
      </c>
      <c r="J181" s="75" t="s">
        <v>870</v>
      </c>
      <c r="K181" s="75" t="s">
        <v>871</v>
      </c>
      <c r="L181" s="75" t="s">
        <v>872</v>
      </c>
      <c r="M181" s="74">
        <v>2010.0</v>
      </c>
      <c r="N181" s="74">
        <v>18.0</v>
      </c>
      <c r="O181" s="79">
        <v>321.0</v>
      </c>
      <c r="P181" s="79">
        <f t="shared" si="1"/>
        <v>898.8</v>
      </c>
      <c r="Q181" s="76">
        <v>5.0</v>
      </c>
      <c r="R181" s="74">
        <v>0.0</v>
      </c>
      <c r="S181" s="74">
        <v>5.0</v>
      </c>
      <c r="T181" s="74">
        <v>5.0</v>
      </c>
      <c r="U181" s="74">
        <v>10.0</v>
      </c>
      <c r="V181" s="74" t="s">
        <v>130</v>
      </c>
      <c r="W181" s="75" t="s">
        <v>76</v>
      </c>
      <c r="X181" s="28" t="s">
        <v>1033</v>
      </c>
      <c r="Y181" s="64">
        <v>31.0</v>
      </c>
      <c r="Z181" s="65">
        <f t="shared" si="2"/>
        <v>20.15</v>
      </c>
      <c r="AA181" s="65">
        <f t="shared" si="3"/>
        <v>18110.82</v>
      </c>
      <c r="AB181" s="65">
        <f t="shared" si="4"/>
        <v>2208.624458</v>
      </c>
      <c r="AC181" s="66">
        <v>1.0</v>
      </c>
      <c r="AD181" s="67"/>
      <c r="AE181" s="68">
        <f t="shared" si="5"/>
        <v>6557.377049</v>
      </c>
      <c r="AF181" s="69">
        <v>8000.0</v>
      </c>
      <c r="AG181" s="68">
        <f t="shared" si="6"/>
        <v>32786.88525</v>
      </c>
      <c r="AH181" s="70">
        <f t="shared" si="7"/>
        <v>40000</v>
      </c>
      <c r="AI181" s="71"/>
      <c r="AJ181" s="71"/>
      <c r="AK181" s="71"/>
      <c r="AL181" s="71"/>
    </row>
    <row r="182">
      <c r="A182" s="76" t="s">
        <v>884</v>
      </c>
      <c r="B182" s="74" t="s">
        <v>17</v>
      </c>
      <c r="C182" s="74" t="s">
        <v>19</v>
      </c>
      <c r="D182" s="74" t="s">
        <v>123</v>
      </c>
      <c r="E182" s="78"/>
      <c r="F182" s="58" t="s">
        <v>103</v>
      </c>
      <c r="G182" s="59">
        <v>46254.0</v>
      </c>
      <c r="H182" s="58" t="s">
        <v>104</v>
      </c>
      <c r="I182" s="74" t="s">
        <v>885</v>
      </c>
      <c r="J182" s="75" t="s">
        <v>886</v>
      </c>
      <c r="K182" s="75" t="s">
        <v>887</v>
      </c>
      <c r="L182" s="75" t="s">
        <v>888</v>
      </c>
      <c r="M182" s="74">
        <v>2000.0</v>
      </c>
      <c r="N182" s="74">
        <v>10.0</v>
      </c>
      <c r="O182" s="79">
        <v>86.0</v>
      </c>
      <c r="P182" s="79">
        <f t="shared" si="1"/>
        <v>240.8</v>
      </c>
      <c r="Q182" s="76">
        <v>2.0</v>
      </c>
      <c r="R182" s="74">
        <v>0.0</v>
      </c>
      <c r="S182" s="74">
        <v>2.0</v>
      </c>
      <c r="T182" s="74">
        <v>2.0</v>
      </c>
      <c r="U182" s="74">
        <v>2.0</v>
      </c>
      <c r="V182" s="74" t="s">
        <v>130</v>
      </c>
      <c r="W182" s="75" t="s">
        <v>76</v>
      </c>
      <c r="X182" s="28" t="s">
        <v>1033</v>
      </c>
      <c r="Y182" s="64">
        <v>31.0</v>
      </c>
      <c r="Z182" s="65">
        <f t="shared" si="2"/>
        <v>40.3</v>
      </c>
      <c r="AA182" s="65">
        <f t="shared" si="3"/>
        <v>9704.24</v>
      </c>
      <c r="AB182" s="65">
        <f t="shared" si="4"/>
        <v>1648.763839</v>
      </c>
      <c r="AC182" s="66">
        <v>1.0</v>
      </c>
      <c r="AD182" s="67"/>
      <c r="AE182" s="68">
        <f t="shared" si="5"/>
        <v>6557.377049</v>
      </c>
      <c r="AF182" s="69">
        <v>8000.0</v>
      </c>
      <c r="AG182" s="68">
        <f t="shared" si="6"/>
        <v>13114.7541</v>
      </c>
      <c r="AH182" s="70">
        <f t="shared" si="7"/>
        <v>16000</v>
      </c>
      <c r="AI182" s="71"/>
      <c r="AJ182" s="71"/>
      <c r="AK182" s="71"/>
      <c r="AL182" s="71"/>
    </row>
    <row r="183">
      <c r="A183" s="76" t="s">
        <v>889</v>
      </c>
      <c r="B183" s="74" t="s">
        <v>17</v>
      </c>
      <c r="C183" s="74" t="s">
        <v>19</v>
      </c>
      <c r="D183" s="74" t="s">
        <v>890</v>
      </c>
      <c r="E183" s="78"/>
      <c r="F183" s="58" t="s">
        <v>103</v>
      </c>
      <c r="G183" s="59">
        <v>46254.0</v>
      </c>
      <c r="H183" s="58" t="s">
        <v>118</v>
      </c>
      <c r="I183" s="74" t="s">
        <v>891</v>
      </c>
      <c r="J183" s="75" t="s">
        <v>892</v>
      </c>
      <c r="K183" s="94" t="s">
        <v>893</v>
      </c>
      <c r="L183" s="75" t="s">
        <v>894</v>
      </c>
      <c r="M183" s="74">
        <v>2025.0</v>
      </c>
      <c r="N183" s="74">
        <v>12.0</v>
      </c>
      <c r="O183" s="79">
        <v>289.0</v>
      </c>
      <c r="P183" s="79">
        <f t="shared" si="1"/>
        <v>809.2</v>
      </c>
      <c r="Q183" s="76">
        <v>5.0</v>
      </c>
      <c r="R183" s="74">
        <v>0.0</v>
      </c>
      <c r="S183" s="74">
        <v>5.0</v>
      </c>
      <c r="T183" s="74">
        <v>5.0</v>
      </c>
      <c r="U183" s="74">
        <v>4.0</v>
      </c>
      <c r="V183" s="74" t="s">
        <v>130</v>
      </c>
      <c r="W183" s="75" t="s">
        <v>76</v>
      </c>
      <c r="X183" s="28" t="s">
        <v>1033</v>
      </c>
      <c r="Y183" s="64">
        <v>31.0</v>
      </c>
      <c r="Z183" s="65">
        <f t="shared" si="2"/>
        <v>50.375</v>
      </c>
      <c r="AA183" s="65">
        <f t="shared" si="3"/>
        <v>40763.45</v>
      </c>
      <c r="AB183" s="65">
        <f t="shared" si="4"/>
        <v>981.2712123</v>
      </c>
      <c r="AC183" s="66">
        <v>1.0</v>
      </c>
      <c r="AD183" s="67"/>
      <c r="AE183" s="68">
        <f t="shared" si="5"/>
        <v>6557.377049</v>
      </c>
      <c r="AF183" s="69">
        <v>8000.0</v>
      </c>
      <c r="AG183" s="68">
        <f t="shared" si="6"/>
        <v>32786.88525</v>
      </c>
      <c r="AH183" s="70">
        <f t="shared" si="7"/>
        <v>40000</v>
      </c>
      <c r="AI183" s="71"/>
      <c r="AJ183" s="71"/>
      <c r="AK183" s="71"/>
      <c r="AL183" s="71"/>
    </row>
    <row r="184">
      <c r="A184" s="57" t="s">
        <v>895</v>
      </c>
      <c r="B184" s="58" t="s">
        <v>17</v>
      </c>
      <c r="C184" s="58" t="s">
        <v>82</v>
      </c>
      <c r="D184" s="58" t="s">
        <v>896</v>
      </c>
      <c r="E184" s="58" t="s">
        <v>897</v>
      </c>
      <c r="F184" s="58" t="s">
        <v>63</v>
      </c>
      <c r="G184" s="59">
        <v>45972.0</v>
      </c>
      <c r="H184" s="58" t="s">
        <v>104</v>
      </c>
      <c r="I184" s="60" t="s">
        <v>898</v>
      </c>
      <c r="J184" s="61" t="s">
        <v>899</v>
      </c>
      <c r="K184" s="61" t="s">
        <v>900</v>
      </c>
      <c r="L184" s="61" t="s">
        <v>901</v>
      </c>
      <c r="M184" s="58">
        <v>2024.0</v>
      </c>
      <c r="N184" s="58">
        <v>10.0</v>
      </c>
      <c r="O184" s="62">
        <v>519.0</v>
      </c>
      <c r="P184" s="62">
        <f t="shared" si="1"/>
        <v>1453.2</v>
      </c>
      <c r="Q184" s="63">
        <v>10.0</v>
      </c>
      <c r="R184" s="58">
        <v>5.0</v>
      </c>
      <c r="S184" s="58">
        <v>1.0</v>
      </c>
      <c r="T184" s="58">
        <v>5.0</v>
      </c>
      <c r="U184" s="58">
        <v>7.0</v>
      </c>
      <c r="V184" s="58" t="s">
        <v>75</v>
      </c>
      <c r="W184" s="61" t="s">
        <v>76</v>
      </c>
      <c r="X184" s="28" t="s">
        <v>1033</v>
      </c>
      <c r="Y184" s="64">
        <v>31.0</v>
      </c>
      <c r="Z184" s="65">
        <f t="shared" si="2"/>
        <v>129.5357143</v>
      </c>
      <c r="AA184" s="65">
        <f t="shared" si="3"/>
        <v>188241.3</v>
      </c>
      <c r="AB184" s="65">
        <f t="shared" si="4"/>
        <v>424.9864403</v>
      </c>
      <c r="AC184" s="66">
        <v>1.0</v>
      </c>
      <c r="AD184" s="70"/>
      <c r="AE184" s="68">
        <f t="shared" si="5"/>
        <v>6557.377049</v>
      </c>
      <c r="AF184" s="69">
        <v>8000.0</v>
      </c>
      <c r="AG184" s="68">
        <f t="shared" si="6"/>
        <v>65573.77049</v>
      </c>
      <c r="AH184" s="70">
        <f t="shared" si="7"/>
        <v>80000</v>
      </c>
      <c r="AI184" s="71"/>
      <c r="AJ184" s="71"/>
      <c r="AK184" s="71"/>
      <c r="AL184" s="71"/>
    </row>
    <row r="185">
      <c r="A185" s="57" t="s">
        <v>902</v>
      </c>
      <c r="B185" s="58" t="s">
        <v>17</v>
      </c>
      <c r="C185" s="58" t="s">
        <v>82</v>
      </c>
      <c r="D185" s="58" t="s">
        <v>896</v>
      </c>
      <c r="E185" s="58" t="s">
        <v>897</v>
      </c>
      <c r="F185" s="58" t="s">
        <v>63</v>
      </c>
      <c r="G185" s="59">
        <v>46219.0</v>
      </c>
      <c r="H185" s="58" t="s">
        <v>104</v>
      </c>
      <c r="I185" s="58" t="s">
        <v>903</v>
      </c>
      <c r="J185" s="61" t="s">
        <v>904</v>
      </c>
      <c r="K185" s="61" t="s">
        <v>905</v>
      </c>
      <c r="L185" s="61" t="s">
        <v>906</v>
      </c>
      <c r="M185" s="58">
        <v>2025.0</v>
      </c>
      <c r="N185" s="58">
        <v>17.0</v>
      </c>
      <c r="O185" s="62">
        <v>363.0</v>
      </c>
      <c r="P185" s="62">
        <f>363*2.8</f>
        <v>1016.4</v>
      </c>
      <c r="Q185" s="63">
        <v>10.0</v>
      </c>
      <c r="R185" s="58">
        <v>5.0</v>
      </c>
      <c r="S185" s="58">
        <v>5.0</v>
      </c>
      <c r="T185" s="58">
        <v>5.0</v>
      </c>
      <c r="U185" s="58">
        <v>10.0</v>
      </c>
      <c r="V185" s="58" t="s">
        <v>75</v>
      </c>
      <c r="W185" s="61" t="s">
        <v>76</v>
      </c>
      <c r="X185" s="28" t="s">
        <v>1033</v>
      </c>
      <c r="Y185" s="64">
        <v>31.0</v>
      </c>
      <c r="Z185" s="65">
        <f t="shared" si="2"/>
        <v>40.3</v>
      </c>
      <c r="AA185" s="65">
        <f t="shared" si="3"/>
        <v>40960.92</v>
      </c>
      <c r="AB185" s="65">
        <f t="shared" si="4"/>
        <v>1953.081132</v>
      </c>
      <c r="AC185" s="66">
        <v>1.0</v>
      </c>
      <c r="AD185" s="70"/>
      <c r="AE185" s="68">
        <f t="shared" si="5"/>
        <v>6557.377049</v>
      </c>
      <c r="AF185" s="69">
        <v>8000.0</v>
      </c>
      <c r="AG185" s="68">
        <f t="shared" si="6"/>
        <v>65573.77049</v>
      </c>
      <c r="AH185" s="70">
        <f t="shared" si="7"/>
        <v>80000</v>
      </c>
      <c r="AI185" s="71"/>
      <c r="AJ185" s="71"/>
      <c r="AK185" s="71"/>
      <c r="AL185" s="71"/>
    </row>
    <row r="186">
      <c r="A186" s="57" t="s">
        <v>907</v>
      </c>
      <c r="B186" s="58" t="s">
        <v>17</v>
      </c>
      <c r="C186" s="58" t="s">
        <v>82</v>
      </c>
      <c r="D186" s="58" t="s">
        <v>908</v>
      </c>
      <c r="E186" s="58" t="s">
        <v>897</v>
      </c>
      <c r="F186" s="58" t="s">
        <v>63</v>
      </c>
      <c r="G186" s="59">
        <v>45951.0</v>
      </c>
      <c r="H186" s="58" t="s">
        <v>104</v>
      </c>
      <c r="I186" s="60" t="s">
        <v>909</v>
      </c>
      <c r="J186" s="61" t="s">
        <v>910</v>
      </c>
      <c r="K186" s="61" t="s">
        <v>911</v>
      </c>
      <c r="L186" s="61" t="s">
        <v>912</v>
      </c>
      <c r="M186" s="58">
        <v>2023.0</v>
      </c>
      <c r="N186" s="58">
        <v>20.0</v>
      </c>
      <c r="O186" s="62">
        <v>439.0</v>
      </c>
      <c r="P186" s="62">
        <f t="shared" ref="P186:P363" si="8">O186*2.8</f>
        <v>1229.2</v>
      </c>
      <c r="Q186" s="63">
        <v>6.0</v>
      </c>
      <c r="R186" s="58">
        <v>3.0</v>
      </c>
      <c r="S186" s="58">
        <v>1.0</v>
      </c>
      <c r="T186" s="58">
        <v>3.0</v>
      </c>
      <c r="U186" s="58">
        <v>6.0</v>
      </c>
      <c r="V186" s="58" t="s">
        <v>75</v>
      </c>
      <c r="W186" s="61" t="s">
        <v>76</v>
      </c>
      <c r="X186" s="28" t="s">
        <v>1033</v>
      </c>
      <c r="Y186" s="64">
        <v>31.0</v>
      </c>
      <c r="Z186" s="65">
        <f t="shared" si="2"/>
        <v>80.6</v>
      </c>
      <c r="AA186" s="65">
        <f t="shared" si="3"/>
        <v>99073.52</v>
      </c>
      <c r="AB186" s="65">
        <f t="shared" si="4"/>
        <v>484.4886908</v>
      </c>
      <c r="AC186" s="66">
        <v>1.0</v>
      </c>
      <c r="AD186" s="70"/>
      <c r="AE186" s="68">
        <f t="shared" si="5"/>
        <v>6557.377049</v>
      </c>
      <c r="AF186" s="69">
        <v>8000.0</v>
      </c>
      <c r="AG186" s="68">
        <f t="shared" si="6"/>
        <v>39344.2623</v>
      </c>
      <c r="AH186" s="70">
        <f t="shared" si="7"/>
        <v>48000</v>
      </c>
      <c r="AI186" s="71"/>
      <c r="AJ186" s="71"/>
      <c r="AK186" s="71"/>
      <c r="AL186" s="71"/>
    </row>
    <row r="187">
      <c r="A187" s="57" t="s">
        <v>913</v>
      </c>
      <c r="B187" s="58" t="s">
        <v>17</v>
      </c>
      <c r="C187" s="58" t="s">
        <v>82</v>
      </c>
      <c r="D187" s="58" t="s">
        <v>914</v>
      </c>
      <c r="E187" s="58" t="s">
        <v>897</v>
      </c>
      <c r="F187" s="58" t="s">
        <v>63</v>
      </c>
      <c r="G187" s="59">
        <v>46122.0</v>
      </c>
      <c r="H187" s="58" t="s">
        <v>104</v>
      </c>
      <c r="I187" s="60" t="s">
        <v>915</v>
      </c>
      <c r="J187" s="61" t="s">
        <v>916</v>
      </c>
      <c r="K187" s="61" t="s">
        <v>917</v>
      </c>
      <c r="L187" s="61" t="s">
        <v>918</v>
      </c>
      <c r="M187" s="58">
        <v>2024.0</v>
      </c>
      <c r="N187" s="58">
        <v>11.0</v>
      </c>
      <c r="O187" s="62">
        <v>124.0</v>
      </c>
      <c r="P187" s="62">
        <f t="shared" si="8"/>
        <v>347.2</v>
      </c>
      <c r="Q187" s="63">
        <v>4.0</v>
      </c>
      <c r="R187" s="58">
        <v>2.0</v>
      </c>
      <c r="S187" s="58">
        <v>1.0</v>
      </c>
      <c r="T187" s="58">
        <v>2.0</v>
      </c>
      <c r="U187" s="58">
        <v>3.0</v>
      </c>
      <c r="V187" s="58" t="s">
        <v>75</v>
      </c>
      <c r="W187" s="61" t="s">
        <v>76</v>
      </c>
      <c r="X187" s="28" t="s">
        <v>1033</v>
      </c>
      <c r="Y187" s="64">
        <v>31.0</v>
      </c>
      <c r="Z187" s="65">
        <f t="shared" si="2"/>
        <v>67.16666667</v>
      </c>
      <c r="AA187" s="65">
        <f t="shared" si="3"/>
        <v>23320.26667</v>
      </c>
      <c r="AB187" s="65">
        <f t="shared" si="4"/>
        <v>1372.197002</v>
      </c>
      <c r="AC187" s="66">
        <v>1.0</v>
      </c>
      <c r="AD187" s="70"/>
      <c r="AE187" s="68">
        <f t="shared" si="5"/>
        <v>6557.377049</v>
      </c>
      <c r="AF187" s="69">
        <v>8000.0</v>
      </c>
      <c r="AG187" s="68">
        <f t="shared" si="6"/>
        <v>26229.5082</v>
      </c>
      <c r="AH187" s="70">
        <f t="shared" si="7"/>
        <v>32000</v>
      </c>
      <c r="AI187" s="71"/>
      <c r="AJ187" s="71"/>
      <c r="AK187" s="71"/>
      <c r="AL187" s="71"/>
    </row>
    <row r="188">
      <c r="A188" s="57" t="s">
        <v>919</v>
      </c>
      <c r="B188" s="58" t="s">
        <v>17</v>
      </c>
      <c r="C188" s="58" t="s">
        <v>82</v>
      </c>
      <c r="D188" s="58" t="s">
        <v>896</v>
      </c>
      <c r="E188" s="58" t="s">
        <v>897</v>
      </c>
      <c r="F188" s="58" t="s">
        <v>63</v>
      </c>
      <c r="G188" s="59">
        <v>46010.0</v>
      </c>
      <c r="H188" s="58" t="s">
        <v>104</v>
      </c>
      <c r="I188" s="60" t="s">
        <v>920</v>
      </c>
      <c r="J188" s="61" t="s">
        <v>921</v>
      </c>
      <c r="K188" s="61" t="s">
        <v>922</v>
      </c>
      <c r="L188" s="61" t="s">
        <v>923</v>
      </c>
      <c r="M188" s="58">
        <v>2019.0</v>
      </c>
      <c r="N188" s="58">
        <v>18.0</v>
      </c>
      <c r="O188" s="62">
        <v>230.0</v>
      </c>
      <c r="P188" s="62">
        <f t="shared" si="8"/>
        <v>644</v>
      </c>
      <c r="Q188" s="63">
        <v>4.0</v>
      </c>
      <c r="R188" s="58">
        <v>2.0</v>
      </c>
      <c r="S188" s="58">
        <v>2.0</v>
      </c>
      <c r="T188" s="58">
        <v>2.0</v>
      </c>
      <c r="U188" s="58">
        <v>4.0</v>
      </c>
      <c r="V188" s="58" t="s">
        <v>75</v>
      </c>
      <c r="W188" s="61" t="s">
        <v>76</v>
      </c>
      <c r="X188" s="28" t="s">
        <v>1033</v>
      </c>
      <c r="Y188" s="64">
        <v>31.0</v>
      </c>
      <c r="Z188" s="65">
        <f t="shared" si="2"/>
        <v>40.3</v>
      </c>
      <c r="AA188" s="65">
        <f t="shared" si="3"/>
        <v>25953.2</v>
      </c>
      <c r="AB188" s="65">
        <f t="shared" si="4"/>
        <v>1232.98861</v>
      </c>
      <c r="AC188" s="66">
        <v>1.0</v>
      </c>
      <c r="AD188" s="67"/>
      <c r="AE188" s="68">
        <f t="shared" si="5"/>
        <v>6557.377049</v>
      </c>
      <c r="AF188" s="69">
        <v>8000.0</v>
      </c>
      <c r="AG188" s="68">
        <f t="shared" si="6"/>
        <v>26229.5082</v>
      </c>
      <c r="AH188" s="70">
        <f t="shared" si="7"/>
        <v>32000</v>
      </c>
      <c r="AI188" s="71"/>
      <c r="AJ188" s="71"/>
      <c r="AK188" s="71"/>
      <c r="AL188" s="71"/>
    </row>
    <row r="189">
      <c r="A189" s="57" t="s">
        <v>924</v>
      </c>
      <c r="B189" s="58" t="s">
        <v>17</v>
      </c>
      <c r="C189" s="58" t="s">
        <v>93</v>
      </c>
      <c r="D189" s="58" t="s">
        <v>925</v>
      </c>
      <c r="E189" s="58" t="s">
        <v>897</v>
      </c>
      <c r="F189" s="58" t="s">
        <v>103</v>
      </c>
      <c r="G189" s="59">
        <v>46230.0</v>
      </c>
      <c r="H189" s="58" t="s">
        <v>104</v>
      </c>
      <c r="I189" s="58" t="s">
        <v>926</v>
      </c>
      <c r="J189" s="61" t="s">
        <v>927</v>
      </c>
      <c r="K189" s="61" t="s">
        <v>928</v>
      </c>
      <c r="L189" s="61" t="s">
        <v>929</v>
      </c>
      <c r="M189" s="58">
        <v>2024.0</v>
      </c>
      <c r="N189" s="58">
        <v>16.0</v>
      </c>
      <c r="O189" s="62">
        <v>283.0</v>
      </c>
      <c r="P189" s="62">
        <f t="shared" si="8"/>
        <v>792.4</v>
      </c>
      <c r="Q189" s="63">
        <v>4.0</v>
      </c>
      <c r="R189" s="58">
        <v>0.0</v>
      </c>
      <c r="S189" s="58">
        <v>2.0</v>
      </c>
      <c r="T189" s="58">
        <v>4.0</v>
      </c>
      <c r="U189" s="58">
        <v>4.0</v>
      </c>
      <c r="V189" s="58" t="s">
        <v>130</v>
      </c>
      <c r="W189" s="61" t="s">
        <v>76</v>
      </c>
      <c r="X189" s="28" t="s">
        <v>1033</v>
      </c>
      <c r="Y189" s="64">
        <v>31.0</v>
      </c>
      <c r="Z189" s="65">
        <f t="shared" si="2"/>
        <v>40.3</v>
      </c>
      <c r="AA189" s="65">
        <f t="shared" si="3"/>
        <v>31933.72</v>
      </c>
      <c r="AB189" s="65">
        <f t="shared" si="4"/>
        <v>1002.075549</v>
      </c>
      <c r="AC189" s="66">
        <v>1.0</v>
      </c>
      <c r="AD189" s="67"/>
      <c r="AE189" s="68">
        <f t="shared" si="5"/>
        <v>6557.377049</v>
      </c>
      <c r="AF189" s="69">
        <v>8000.0</v>
      </c>
      <c r="AG189" s="68">
        <f t="shared" si="6"/>
        <v>26229.5082</v>
      </c>
      <c r="AH189" s="70">
        <f t="shared" si="7"/>
        <v>32000</v>
      </c>
      <c r="AI189" s="71"/>
      <c r="AJ189" s="71"/>
      <c r="AK189" s="71"/>
      <c r="AL189" s="71"/>
    </row>
    <row r="190">
      <c r="A190" s="57" t="s">
        <v>930</v>
      </c>
      <c r="B190" s="58" t="s">
        <v>17</v>
      </c>
      <c r="C190" s="58" t="s">
        <v>93</v>
      </c>
      <c r="D190" s="58" t="s">
        <v>931</v>
      </c>
      <c r="E190" s="58" t="s">
        <v>897</v>
      </c>
      <c r="F190" s="58" t="s">
        <v>103</v>
      </c>
      <c r="G190" s="59">
        <v>46237.0</v>
      </c>
      <c r="H190" s="58" t="s">
        <v>104</v>
      </c>
      <c r="I190" s="58" t="s">
        <v>932</v>
      </c>
      <c r="J190" s="61" t="s">
        <v>933</v>
      </c>
      <c r="K190" s="61" t="s">
        <v>934</v>
      </c>
      <c r="L190" s="61" t="s">
        <v>935</v>
      </c>
      <c r="M190" s="58">
        <v>2025.0</v>
      </c>
      <c r="N190" s="58">
        <v>10.0</v>
      </c>
      <c r="O190" s="62">
        <v>210.0</v>
      </c>
      <c r="P190" s="62">
        <f t="shared" si="8"/>
        <v>588</v>
      </c>
      <c r="Q190" s="63">
        <v>2.0</v>
      </c>
      <c r="R190" s="58">
        <v>0.0</v>
      </c>
      <c r="S190" s="58">
        <v>2.0</v>
      </c>
      <c r="T190" s="58">
        <v>2.0</v>
      </c>
      <c r="U190" s="58">
        <v>2.0</v>
      </c>
      <c r="V190" s="58" t="s">
        <v>130</v>
      </c>
      <c r="W190" s="61" t="s">
        <v>76</v>
      </c>
      <c r="X190" s="28" t="s">
        <v>1033</v>
      </c>
      <c r="Y190" s="64">
        <v>31.0</v>
      </c>
      <c r="Z190" s="65">
        <f t="shared" si="2"/>
        <v>40.3</v>
      </c>
      <c r="AA190" s="65">
        <f t="shared" si="3"/>
        <v>23696.4</v>
      </c>
      <c r="AB190" s="65">
        <f t="shared" si="4"/>
        <v>675.2080485</v>
      </c>
      <c r="AC190" s="66">
        <v>1.0</v>
      </c>
      <c r="AD190" s="67"/>
      <c r="AE190" s="68">
        <f t="shared" si="5"/>
        <v>6557.377049</v>
      </c>
      <c r="AF190" s="69">
        <v>8000.0</v>
      </c>
      <c r="AG190" s="68">
        <f t="shared" si="6"/>
        <v>13114.7541</v>
      </c>
      <c r="AH190" s="70">
        <f t="shared" si="7"/>
        <v>16000</v>
      </c>
      <c r="AI190" s="71"/>
      <c r="AJ190" s="71"/>
      <c r="AK190" s="71"/>
      <c r="AL190" s="71"/>
    </row>
    <row r="191">
      <c r="A191" s="57" t="s">
        <v>930</v>
      </c>
      <c r="B191" s="58" t="s">
        <v>17</v>
      </c>
      <c r="C191" s="58" t="s">
        <v>93</v>
      </c>
      <c r="D191" s="58" t="s">
        <v>931</v>
      </c>
      <c r="E191" s="58" t="s">
        <v>897</v>
      </c>
      <c r="F191" s="58" t="s">
        <v>103</v>
      </c>
      <c r="G191" s="59">
        <v>46237.0</v>
      </c>
      <c r="H191" s="58" t="s">
        <v>104</v>
      </c>
      <c r="I191" s="58" t="s">
        <v>932</v>
      </c>
      <c r="J191" s="61" t="s">
        <v>936</v>
      </c>
      <c r="K191" s="61" t="s">
        <v>937</v>
      </c>
      <c r="L191" s="61" t="s">
        <v>938</v>
      </c>
      <c r="M191" s="58">
        <v>2025.0</v>
      </c>
      <c r="N191" s="58">
        <v>10.0</v>
      </c>
      <c r="O191" s="62">
        <v>210.0</v>
      </c>
      <c r="P191" s="62">
        <f t="shared" si="8"/>
        <v>588</v>
      </c>
      <c r="Q191" s="63">
        <v>4.0</v>
      </c>
      <c r="R191" s="58">
        <v>0.0</v>
      </c>
      <c r="S191" s="58">
        <v>4.0</v>
      </c>
      <c r="T191" s="58">
        <v>4.0</v>
      </c>
      <c r="U191" s="58">
        <v>4.0</v>
      </c>
      <c r="V191" s="58" t="s">
        <v>130</v>
      </c>
      <c r="W191" s="61" t="s">
        <v>76</v>
      </c>
      <c r="X191" s="28" t="s">
        <v>1033</v>
      </c>
      <c r="Y191" s="64">
        <v>31.0</v>
      </c>
      <c r="Z191" s="65">
        <f t="shared" si="2"/>
        <v>40.3</v>
      </c>
      <c r="AA191" s="65">
        <f t="shared" si="3"/>
        <v>23696.4</v>
      </c>
      <c r="AB191" s="65">
        <f t="shared" si="4"/>
        <v>1350.416097</v>
      </c>
      <c r="AC191" s="66">
        <v>1.0</v>
      </c>
      <c r="AD191" s="67"/>
      <c r="AE191" s="68">
        <f t="shared" si="5"/>
        <v>6557.377049</v>
      </c>
      <c r="AF191" s="69">
        <v>8000.0</v>
      </c>
      <c r="AG191" s="68">
        <f t="shared" si="6"/>
        <v>26229.5082</v>
      </c>
      <c r="AH191" s="70">
        <f t="shared" si="7"/>
        <v>32000</v>
      </c>
      <c r="AI191" s="71"/>
      <c r="AJ191" s="71"/>
      <c r="AK191" s="71"/>
      <c r="AL191" s="71"/>
    </row>
    <row r="192">
      <c r="A192" s="76" t="s">
        <v>939</v>
      </c>
      <c r="B192" s="74" t="s">
        <v>17</v>
      </c>
      <c r="C192" s="74" t="s">
        <v>123</v>
      </c>
      <c r="D192" s="74" t="s">
        <v>940</v>
      </c>
      <c r="E192" s="74" t="s">
        <v>897</v>
      </c>
      <c r="F192" s="58" t="s">
        <v>103</v>
      </c>
      <c r="G192" s="59">
        <v>46247.0</v>
      </c>
      <c r="H192" s="58" t="s">
        <v>104</v>
      </c>
      <c r="I192" s="74" t="s">
        <v>941</v>
      </c>
      <c r="J192" s="75" t="s">
        <v>942</v>
      </c>
      <c r="K192" s="75" t="s">
        <v>943</v>
      </c>
      <c r="L192" s="75" t="s">
        <v>944</v>
      </c>
      <c r="M192" s="74">
        <v>2024.0</v>
      </c>
      <c r="N192" s="74">
        <v>10.0</v>
      </c>
      <c r="O192" s="79">
        <v>235.0</v>
      </c>
      <c r="P192" s="79">
        <f t="shared" si="8"/>
        <v>658</v>
      </c>
      <c r="Q192" s="76">
        <v>5.0</v>
      </c>
      <c r="R192" s="74">
        <v>5.0</v>
      </c>
      <c r="S192" s="74">
        <v>5.0</v>
      </c>
      <c r="T192" s="74">
        <v>0.0</v>
      </c>
      <c r="U192" s="74">
        <v>5.0</v>
      </c>
      <c r="V192" s="74" t="s">
        <v>130</v>
      </c>
      <c r="W192" s="75" t="s">
        <v>76</v>
      </c>
      <c r="X192" s="28" t="s">
        <v>1033</v>
      </c>
      <c r="Y192" s="64">
        <v>31.0</v>
      </c>
      <c r="Z192" s="65">
        <f t="shared" si="2"/>
        <v>20.15</v>
      </c>
      <c r="AA192" s="65">
        <f t="shared" si="3"/>
        <v>13258.7</v>
      </c>
      <c r="AB192" s="65">
        <f t="shared" si="4"/>
        <v>3016.887025</v>
      </c>
      <c r="AC192" s="66">
        <v>1.0</v>
      </c>
      <c r="AD192" s="67"/>
      <c r="AE192" s="68">
        <f t="shared" si="5"/>
        <v>6557.377049</v>
      </c>
      <c r="AF192" s="69">
        <v>8000.0</v>
      </c>
      <c r="AG192" s="68">
        <f t="shared" si="6"/>
        <v>32786.88525</v>
      </c>
      <c r="AH192" s="70">
        <f t="shared" si="7"/>
        <v>40000</v>
      </c>
      <c r="AI192" s="71"/>
      <c r="AJ192" s="71"/>
      <c r="AK192" s="71"/>
      <c r="AL192" s="71"/>
    </row>
    <row r="193">
      <c r="A193" s="57" t="s">
        <v>945</v>
      </c>
      <c r="B193" s="58" t="s">
        <v>142</v>
      </c>
      <c r="C193" s="58" t="s">
        <v>143</v>
      </c>
      <c r="D193" s="58" t="s">
        <v>946</v>
      </c>
      <c r="E193" s="58" t="s">
        <v>947</v>
      </c>
      <c r="F193" s="17" t="s">
        <v>63</v>
      </c>
      <c r="G193" s="19">
        <v>45952.0</v>
      </c>
      <c r="H193" s="17" t="s">
        <v>104</v>
      </c>
      <c r="I193" s="60" t="s">
        <v>948</v>
      </c>
      <c r="J193" s="61" t="s">
        <v>949</v>
      </c>
      <c r="K193" s="61" t="s">
        <v>950</v>
      </c>
      <c r="L193" s="61" t="s">
        <v>951</v>
      </c>
      <c r="M193" s="58">
        <v>2023.0</v>
      </c>
      <c r="N193" s="58">
        <v>19.0</v>
      </c>
      <c r="O193" s="62">
        <v>762.0</v>
      </c>
      <c r="P193" s="62">
        <f t="shared" si="8"/>
        <v>2133.6</v>
      </c>
      <c r="Q193" s="63">
        <v>5.0</v>
      </c>
      <c r="R193" s="58">
        <v>5.0</v>
      </c>
      <c r="S193" s="58">
        <v>6.0</v>
      </c>
      <c r="T193" s="58">
        <v>0.0</v>
      </c>
      <c r="U193" s="58">
        <v>12.0</v>
      </c>
      <c r="V193" s="58" t="s">
        <v>75</v>
      </c>
      <c r="W193" s="61" t="s">
        <v>76</v>
      </c>
      <c r="X193" s="28" t="s">
        <v>1033</v>
      </c>
      <c r="Y193" s="64">
        <v>31.0</v>
      </c>
      <c r="Z193" s="65">
        <f t="shared" si="2"/>
        <v>16.79166667</v>
      </c>
      <c r="AA193" s="65">
        <f t="shared" si="3"/>
        <v>35826.7</v>
      </c>
      <c r="AB193" s="65">
        <f t="shared" si="4"/>
        <v>1116.485749</v>
      </c>
      <c r="AC193" s="66">
        <v>1.0</v>
      </c>
      <c r="AD193" s="67"/>
      <c r="AE193" s="68">
        <f t="shared" si="5"/>
        <v>6557.377049</v>
      </c>
      <c r="AF193" s="69">
        <v>8000.0</v>
      </c>
      <c r="AG193" s="68">
        <f t="shared" si="6"/>
        <v>32786.88525</v>
      </c>
      <c r="AH193" s="70">
        <f t="shared" si="7"/>
        <v>40000</v>
      </c>
      <c r="AI193" s="71"/>
      <c r="AJ193" s="71"/>
      <c r="AK193" s="71"/>
      <c r="AL193" s="71"/>
    </row>
    <row r="194">
      <c r="A194" s="57" t="s">
        <v>945</v>
      </c>
      <c r="B194" s="58" t="s">
        <v>142</v>
      </c>
      <c r="C194" s="58" t="s">
        <v>143</v>
      </c>
      <c r="D194" s="58" t="s">
        <v>946</v>
      </c>
      <c r="E194" s="58" t="s">
        <v>947</v>
      </c>
      <c r="F194" s="17" t="s">
        <v>63</v>
      </c>
      <c r="G194" s="19">
        <v>45952.0</v>
      </c>
      <c r="H194" s="17" t="s">
        <v>104</v>
      </c>
      <c r="I194" s="60" t="s">
        <v>948</v>
      </c>
      <c r="J194" s="61" t="s">
        <v>949</v>
      </c>
      <c r="K194" s="61" t="s">
        <v>950</v>
      </c>
      <c r="L194" s="61" t="s">
        <v>951</v>
      </c>
      <c r="M194" s="58">
        <v>2023.0</v>
      </c>
      <c r="N194" s="58">
        <v>19.0</v>
      </c>
      <c r="O194" s="62">
        <v>762.0</v>
      </c>
      <c r="P194" s="62">
        <f t="shared" si="8"/>
        <v>2133.6</v>
      </c>
      <c r="Q194" s="63">
        <v>5.0</v>
      </c>
      <c r="R194" s="58">
        <v>0.0</v>
      </c>
      <c r="S194" s="58">
        <v>6.0</v>
      </c>
      <c r="T194" s="58">
        <v>5.0</v>
      </c>
      <c r="U194" s="58">
        <v>12.0</v>
      </c>
      <c r="V194" s="58" t="s">
        <v>952</v>
      </c>
      <c r="W194" s="61" t="s">
        <v>76</v>
      </c>
      <c r="X194" s="28" t="s">
        <v>1033</v>
      </c>
      <c r="Y194" s="64">
        <v>31.0</v>
      </c>
      <c r="Z194" s="65">
        <f t="shared" si="2"/>
        <v>16.79166667</v>
      </c>
      <c r="AA194" s="65">
        <f t="shared" si="3"/>
        <v>35826.7</v>
      </c>
      <c r="AB194" s="65">
        <f t="shared" si="4"/>
        <v>1116.485749</v>
      </c>
      <c r="AC194" s="66">
        <v>1.0</v>
      </c>
      <c r="AD194" s="70"/>
      <c r="AE194" s="68">
        <f t="shared" si="5"/>
        <v>6557.377049</v>
      </c>
      <c r="AF194" s="69">
        <v>8000.0</v>
      </c>
      <c r="AG194" s="68">
        <f t="shared" si="6"/>
        <v>32786.88525</v>
      </c>
      <c r="AH194" s="70">
        <f t="shared" si="7"/>
        <v>40000</v>
      </c>
      <c r="AI194" s="71"/>
      <c r="AJ194" s="71"/>
      <c r="AK194" s="71"/>
      <c r="AL194" s="71"/>
    </row>
    <row r="195">
      <c r="A195" s="57" t="s">
        <v>945</v>
      </c>
      <c r="B195" s="58" t="s">
        <v>142</v>
      </c>
      <c r="C195" s="58" t="s">
        <v>143</v>
      </c>
      <c r="D195" s="58" t="s">
        <v>946</v>
      </c>
      <c r="E195" s="58" t="s">
        <v>947</v>
      </c>
      <c r="F195" s="17" t="s">
        <v>63</v>
      </c>
      <c r="G195" s="19">
        <v>45952.0</v>
      </c>
      <c r="H195" s="17" t="s">
        <v>104</v>
      </c>
      <c r="I195" s="60" t="s">
        <v>948</v>
      </c>
      <c r="J195" s="61" t="s">
        <v>953</v>
      </c>
      <c r="K195" s="61" t="s">
        <v>954</v>
      </c>
      <c r="L195" s="61" t="s">
        <v>955</v>
      </c>
      <c r="M195" s="58">
        <v>2024.0</v>
      </c>
      <c r="N195" s="58">
        <v>17.0</v>
      </c>
      <c r="O195" s="62">
        <v>162.0</v>
      </c>
      <c r="P195" s="62">
        <f t="shared" si="8"/>
        <v>453.6</v>
      </c>
      <c r="Q195" s="63">
        <v>6.0</v>
      </c>
      <c r="R195" s="58">
        <v>3.0</v>
      </c>
      <c r="S195" s="58">
        <v>3.0</v>
      </c>
      <c r="T195" s="58">
        <v>3.0</v>
      </c>
      <c r="U195" s="58">
        <v>4.0</v>
      </c>
      <c r="V195" s="58" t="s">
        <v>75</v>
      </c>
      <c r="W195" s="61" t="s">
        <v>76</v>
      </c>
      <c r="X195" s="28" t="s">
        <v>1033</v>
      </c>
      <c r="Y195" s="64">
        <v>31.0</v>
      </c>
      <c r="Z195" s="65">
        <f t="shared" si="2"/>
        <v>50.375</v>
      </c>
      <c r="AA195" s="65">
        <f t="shared" si="3"/>
        <v>22850.1</v>
      </c>
      <c r="AB195" s="65">
        <f t="shared" si="4"/>
        <v>2100.647262</v>
      </c>
      <c r="AC195" s="66">
        <v>1.0</v>
      </c>
      <c r="AD195" s="70"/>
      <c r="AE195" s="68">
        <f t="shared" si="5"/>
        <v>6557.377049</v>
      </c>
      <c r="AF195" s="69">
        <v>8000.0</v>
      </c>
      <c r="AG195" s="68">
        <f t="shared" si="6"/>
        <v>39344.2623</v>
      </c>
      <c r="AH195" s="70">
        <f t="shared" si="7"/>
        <v>48000</v>
      </c>
      <c r="AI195" s="71"/>
      <c r="AJ195" s="71"/>
      <c r="AK195" s="71"/>
      <c r="AL195" s="71"/>
    </row>
    <row r="196">
      <c r="A196" s="57" t="s">
        <v>956</v>
      </c>
      <c r="B196" s="58" t="s">
        <v>142</v>
      </c>
      <c r="C196" s="58" t="s">
        <v>143</v>
      </c>
      <c r="D196" s="58" t="s">
        <v>61</v>
      </c>
      <c r="E196" s="58" t="s">
        <v>957</v>
      </c>
      <c r="F196" s="17" t="s">
        <v>63</v>
      </c>
      <c r="G196" s="19">
        <v>45952.0</v>
      </c>
      <c r="H196" s="17" t="s">
        <v>104</v>
      </c>
      <c r="I196" s="60" t="s">
        <v>958</v>
      </c>
      <c r="J196" s="61" t="s">
        <v>959</v>
      </c>
      <c r="K196" s="61" t="s">
        <v>960</v>
      </c>
      <c r="L196" s="61" t="s">
        <v>961</v>
      </c>
      <c r="M196" s="58">
        <v>2012.0</v>
      </c>
      <c r="N196" s="58">
        <v>14.0</v>
      </c>
      <c r="O196" s="62">
        <v>201.0</v>
      </c>
      <c r="P196" s="62">
        <f t="shared" si="8"/>
        <v>562.8</v>
      </c>
      <c r="Q196" s="63">
        <v>4.0</v>
      </c>
      <c r="R196" s="58">
        <v>4.0</v>
      </c>
      <c r="S196" s="58">
        <v>4.0</v>
      </c>
      <c r="T196" s="58">
        <v>0.0</v>
      </c>
      <c r="U196" s="58">
        <v>8.0</v>
      </c>
      <c r="V196" s="58" t="s">
        <v>75</v>
      </c>
      <c r="W196" s="61" t="s">
        <v>76</v>
      </c>
      <c r="X196" s="28" t="s">
        <v>1033</v>
      </c>
      <c r="Y196" s="64">
        <v>31.0</v>
      </c>
      <c r="Z196" s="65">
        <f t="shared" si="2"/>
        <v>20.15</v>
      </c>
      <c r="AA196" s="65">
        <f t="shared" si="3"/>
        <v>11340.42</v>
      </c>
      <c r="AB196" s="65">
        <f t="shared" si="4"/>
        <v>2821.764979</v>
      </c>
      <c r="AC196" s="66">
        <v>1.0</v>
      </c>
      <c r="AD196" s="70"/>
      <c r="AE196" s="68">
        <f t="shared" si="5"/>
        <v>6557.377049</v>
      </c>
      <c r="AF196" s="69">
        <v>8000.0</v>
      </c>
      <c r="AG196" s="68">
        <f t="shared" si="6"/>
        <v>26229.5082</v>
      </c>
      <c r="AH196" s="70">
        <f t="shared" si="7"/>
        <v>32000</v>
      </c>
      <c r="AI196" s="71"/>
      <c r="AJ196" s="71"/>
      <c r="AK196" s="71"/>
      <c r="AL196" s="71"/>
    </row>
    <row r="197">
      <c r="A197" s="57" t="s">
        <v>956</v>
      </c>
      <c r="B197" s="58" t="s">
        <v>142</v>
      </c>
      <c r="C197" s="58" t="s">
        <v>143</v>
      </c>
      <c r="D197" s="58" t="s">
        <v>61</v>
      </c>
      <c r="E197" s="58" t="s">
        <v>957</v>
      </c>
      <c r="F197" s="17" t="s">
        <v>63</v>
      </c>
      <c r="G197" s="19">
        <v>45952.0</v>
      </c>
      <c r="H197" s="17" t="s">
        <v>104</v>
      </c>
      <c r="I197" s="60" t="s">
        <v>958</v>
      </c>
      <c r="J197" s="61" t="s">
        <v>962</v>
      </c>
      <c r="K197" s="61" t="s">
        <v>963</v>
      </c>
      <c r="L197" s="61" t="s">
        <v>964</v>
      </c>
      <c r="M197" s="58">
        <v>2017.0</v>
      </c>
      <c r="N197" s="58">
        <v>20.0</v>
      </c>
      <c r="O197" s="62">
        <v>568.0</v>
      </c>
      <c r="P197" s="62">
        <f t="shared" si="8"/>
        <v>1590.4</v>
      </c>
      <c r="Q197" s="63">
        <v>4.0</v>
      </c>
      <c r="R197" s="58">
        <v>4.0</v>
      </c>
      <c r="S197" s="58">
        <v>4.0</v>
      </c>
      <c r="T197" s="58">
        <v>0.0</v>
      </c>
      <c r="U197" s="58">
        <v>8.0</v>
      </c>
      <c r="V197" s="58" t="s">
        <v>75</v>
      </c>
      <c r="W197" s="61" t="s">
        <v>76</v>
      </c>
      <c r="X197" s="28" t="s">
        <v>1033</v>
      </c>
      <c r="Y197" s="64">
        <v>31.0</v>
      </c>
      <c r="Z197" s="65">
        <f t="shared" si="2"/>
        <v>20.15</v>
      </c>
      <c r="AA197" s="65">
        <f t="shared" si="3"/>
        <v>32046.56</v>
      </c>
      <c r="AB197" s="65">
        <f t="shared" si="4"/>
        <v>998.5471139</v>
      </c>
      <c r="AC197" s="66">
        <v>1.0</v>
      </c>
      <c r="AD197" s="67"/>
      <c r="AE197" s="68">
        <f t="shared" si="5"/>
        <v>6557.377049</v>
      </c>
      <c r="AF197" s="69">
        <v>8000.0</v>
      </c>
      <c r="AG197" s="68">
        <f t="shared" si="6"/>
        <v>26229.5082</v>
      </c>
      <c r="AH197" s="70">
        <f t="shared" si="7"/>
        <v>32000</v>
      </c>
      <c r="AI197" s="71"/>
      <c r="AJ197" s="71"/>
      <c r="AK197" s="71"/>
      <c r="AL197" s="71"/>
    </row>
    <row r="198">
      <c r="A198" s="57" t="s">
        <v>956</v>
      </c>
      <c r="B198" s="58" t="s">
        <v>142</v>
      </c>
      <c r="C198" s="58" t="s">
        <v>143</v>
      </c>
      <c r="D198" s="58" t="s">
        <v>61</v>
      </c>
      <c r="E198" s="58" t="s">
        <v>957</v>
      </c>
      <c r="F198" s="17" t="s">
        <v>63</v>
      </c>
      <c r="G198" s="19">
        <v>45952.0</v>
      </c>
      <c r="H198" s="17" t="s">
        <v>104</v>
      </c>
      <c r="I198" s="60" t="s">
        <v>958</v>
      </c>
      <c r="J198" s="61" t="s">
        <v>965</v>
      </c>
      <c r="K198" s="61" t="s">
        <v>966</v>
      </c>
      <c r="L198" s="61" t="s">
        <v>967</v>
      </c>
      <c r="M198" s="58">
        <v>2025.0</v>
      </c>
      <c r="N198" s="58">
        <v>17.0</v>
      </c>
      <c r="O198" s="62">
        <v>230.0</v>
      </c>
      <c r="P198" s="62">
        <f t="shared" si="8"/>
        <v>644</v>
      </c>
      <c r="Q198" s="63">
        <v>2.0</v>
      </c>
      <c r="R198" s="58">
        <v>2.0</v>
      </c>
      <c r="S198" s="58">
        <v>6.0</v>
      </c>
      <c r="T198" s="58">
        <v>0.0</v>
      </c>
      <c r="U198" s="58">
        <v>12.0</v>
      </c>
      <c r="V198" s="58" t="s">
        <v>75</v>
      </c>
      <c r="W198" s="61" t="s">
        <v>76</v>
      </c>
      <c r="X198" s="28" t="s">
        <v>1033</v>
      </c>
      <c r="Y198" s="64">
        <v>31.0</v>
      </c>
      <c r="Z198" s="65">
        <f t="shared" si="2"/>
        <v>6.716666667</v>
      </c>
      <c r="AA198" s="65">
        <f t="shared" si="3"/>
        <v>4325.533333</v>
      </c>
      <c r="AB198" s="65">
        <f t="shared" si="4"/>
        <v>3698.965831</v>
      </c>
      <c r="AC198" s="66">
        <v>1.0</v>
      </c>
      <c r="AD198" s="67"/>
      <c r="AE198" s="68">
        <f t="shared" si="5"/>
        <v>6557.377049</v>
      </c>
      <c r="AF198" s="69">
        <v>8000.0</v>
      </c>
      <c r="AG198" s="68">
        <f t="shared" si="6"/>
        <v>13114.7541</v>
      </c>
      <c r="AH198" s="70">
        <f t="shared" si="7"/>
        <v>16000</v>
      </c>
      <c r="AI198" s="71"/>
      <c r="AJ198" s="71"/>
      <c r="AK198" s="71"/>
      <c r="AL198" s="71"/>
    </row>
    <row r="199">
      <c r="A199" s="57" t="s">
        <v>956</v>
      </c>
      <c r="B199" s="58" t="s">
        <v>142</v>
      </c>
      <c r="C199" s="58" t="s">
        <v>143</v>
      </c>
      <c r="D199" s="58" t="s">
        <v>61</v>
      </c>
      <c r="E199" s="58" t="s">
        <v>957</v>
      </c>
      <c r="F199" s="17" t="s">
        <v>63</v>
      </c>
      <c r="G199" s="19">
        <v>45952.0</v>
      </c>
      <c r="H199" s="17" t="s">
        <v>104</v>
      </c>
      <c r="I199" s="60" t="s">
        <v>958</v>
      </c>
      <c r="J199" s="61" t="s">
        <v>965</v>
      </c>
      <c r="K199" s="61" t="s">
        <v>966</v>
      </c>
      <c r="L199" s="61" t="s">
        <v>967</v>
      </c>
      <c r="M199" s="58">
        <v>2025.0</v>
      </c>
      <c r="N199" s="58">
        <v>17.0</v>
      </c>
      <c r="O199" s="62">
        <v>230.0</v>
      </c>
      <c r="P199" s="62">
        <f t="shared" si="8"/>
        <v>644</v>
      </c>
      <c r="Q199" s="63">
        <v>2.0</v>
      </c>
      <c r="R199" s="58">
        <v>0.0</v>
      </c>
      <c r="S199" s="58">
        <v>6.0</v>
      </c>
      <c r="T199" s="58">
        <v>2.0</v>
      </c>
      <c r="U199" s="58">
        <v>12.0</v>
      </c>
      <c r="V199" s="58" t="s">
        <v>130</v>
      </c>
      <c r="W199" s="61" t="s">
        <v>76</v>
      </c>
      <c r="X199" s="28" t="s">
        <v>1033</v>
      </c>
      <c r="Y199" s="64">
        <v>31.0</v>
      </c>
      <c r="Z199" s="65">
        <f t="shared" si="2"/>
        <v>6.716666667</v>
      </c>
      <c r="AA199" s="65">
        <f t="shared" si="3"/>
        <v>4325.533333</v>
      </c>
      <c r="AB199" s="65">
        <f t="shared" si="4"/>
        <v>3698.965831</v>
      </c>
      <c r="AC199" s="66">
        <v>1.0</v>
      </c>
      <c r="AD199" s="70"/>
      <c r="AE199" s="68">
        <f t="shared" si="5"/>
        <v>6557.377049</v>
      </c>
      <c r="AF199" s="69">
        <v>8000.0</v>
      </c>
      <c r="AG199" s="68">
        <f t="shared" si="6"/>
        <v>13114.7541</v>
      </c>
      <c r="AH199" s="70">
        <f t="shared" si="7"/>
        <v>16000</v>
      </c>
      <c r="AI199" s="71"/>
      <c r="AJ199" s="71"/>
      <c r="AK199" s="71"/>
      <c r="AL199" s="71"/>
    </row>
    <row r="200">
      <c r="A200" s="57" t="s">
        <v>956</v>
      </c>
      <c r="B200" s="58" t="s">
        <v>142</v>
      </c>
      <c r="C200" s="58" t="s">
        <v>143</v>
      </c>
      <c r="D200" s="58" t="s">
        <v>61</v>
      </c>
      <c r="E200" s="58" t="s">
        <v>957</v>
      </c>
      <c r="F200" s="17" t="s">
        <v>63</v>
      </c>
      <c r="G200" s="19">
        <v>45952.0</v>
      </c>
      <c r="H200" s="17" t="s">
        <v>104</v>
      </c>
      <c r="I200" s="60" t="s">
        <v>958</v>
      </c>
      <c r="J200" s="61" t="s">
        <v>968</v>
      </c>
      <c r="K200" s="61" t="s">
        <v>969</v>
      </c>
      <c r="L200" s="61" t="s">
        <v>970</v>
      </c>
      <c r="M200" s="58">
        <v>2014.0</v>
      </c>
      <c r="N200" s="58">
        <v>13.0</v>
      </c>
      <c r="O200" s="62">
        <v>99.0</v>
      </c>
      <c r="P200" s="62">
        <f t="shared" si="8"/>
        <v>277.2</v>
      </c>
      <c r="Q200" s="63">
        <v>4.0</v>
      </c>
      <c r="R200" s="58">
        <v>2.0</v>
      </c>
      <c r="S200" s="58">
        <v>2.0</v>
      </c>
      <c r="T200" s="58">
        <v>2.0</v>
      </c>
      <c r="U200" s="58">
        <v>4.0</v>
      </c>
      <c r="V200" s="58" t="s">
        <v>130</v>
      </c>
      <c r="W200" s="61" t="s">
        <v>76</v>
      </c>
      <c r="X200" s="28" t="s">
        <v>1033</v>
      </c>
      <c r="Y200" s="64">
        <v>31.0</v>
      </c>
      <c r="Z200" s="65">
        <f t="shared" si="2"/>
        <v>40.3</v>
      </c>
      <c r="AA200" s="65">
        <f t="shared" si="3"/>
        <v>11171.16</v>
      </c>
      <c r="AB200" s="65">
        <f t="shared" si="4"/>
        <v>2864.518994</v>
      </c>
      <c r="AC200" s="66">
        <v>1.0</v>
      </c>
      <c r="AD200" s="70"/>
      <c r="AE200" s="68">
        <f t="shared" si="5"/>
        <v>6557.377049</v>
      </c>
      <c r="AF200" s="69">
        <v>8000.0</v>
      </c>
      <c r="AG200" s="68">
        <f t="shared" si="6"/>
        <v>26229.5082</v>
      </c>
      <c r="AH200" s="70">
        <f t="shared" si="7"/>
        <v>32000</v>
      </c>
      <c r="AI200" s="71"/>
      <c r="AJ200" s="71"/>
      <c r="AK200" s="71"/>
      <c r="AL200" s="71"/>
    </row>
    <row r="201">
      <c r="A201" s="57" t="s">
        <v>971</v>
      </c>
      <c r="B201" s="58" t="s">
        <v>142</v>
      </c>
      <c r="C201" s="58" t="s">
        <v>143</v>
      </c>
      <c r="D201" s="58" t="s">
        <v>61</v>
      </c>
      <c r="E201" s="58" t="s">
        <v>957</v>
      </c>
      <c r="F201" s="17" t="s">
        <v>63</v>
      </c>
      <c r="G201" s="19">
        <v>45952.0</v>
      </c>
      <c r="H201" s="17" t="s">
        <v>104</v>
      </c>
      <c r="I201" s="60" t="s">
        <v>972</v>
      </c>
      <c r="J201" s="61" t="s">
        <v>973</v>
      </c>
      <c r="K201" s="61" t="s">
        <v>974</v>
      </c>
      <c r="L201" s="61" t="s">
        <v>975</v>
      </c>
      <c r="M201" s="58">
        <v>2016.0</v>
      </c>
      <c r="N201" s="58">
        <v>14.0</v>
      </c>
      <c r="O201" s="62">
        <v>241.0</v>
      </c>
      <c r="P201" s="62">
        <f t="shared" si="8"/>
        <v>674.8</v>
      </c>
      <c r="Q201" s="63">
        <v>8.0</v>
      </c>
      <c r="R201" s="58">
        <v>4.0</v>
      </c>
      <c r="S201" s="58">
        <v>4.0</v>
      </c>
      <c r="T201" s="58">
        <v>4.0</v>
      </c>
      <c r="U201" s="58">
        <v>8.0</v>
      </c>
      <c r="V201" s="58" t="s">
        <v>75</v>
      </c>
      <c r="W201" s="61" t="s">
        <v>76</v>
      </c>
      <c r="X201" s="28" t="s">
        <v>1033</v>
      </c>
      <c r="Y201" s="64">
        <v>31.0</v>
      </c>
      <c r="Z201" s="65">
        <f t="shared" si="2"/>
        <v>40.3</v>
      </c>
      <c r="AA201" s="65">
        <f t="shared" si="3"/>
        <v>27194.44</v>
      </c>
      <c r="AB201" s="65">
        <f t="shared" si="4"/>
        <v>2353.422244</v>
      </c>
      <c r="AC201" s="66">
        <v>1.0</v>
      </c>
      <c r="AD201" s="70"/>
      <c r="AE201" s="68">
        <f t="shared" si="5"/>
        <v>6557.377049</v>
      </c>
      <c r="AF201" s="69">
        <v>8000.0</v>
      </c>
      <c r="AG201" s="68">
        <f t="shared" si="6"/>
        <v>52459.01639</v>
      </c>
      <c r="AH201" s="70">
        <f t="shared" si="7"/>
        <v>64000</v>
      </c>
      <c r="AI201" s="71"/>
      <c r="AJ201" s="71"/>
      <c r="AK201" s="71"/>
      <c r="AL201" s="71"/>
    </row>
    <row r="202">
      <c r="A202" s="57" t="s">
        <v>971</v>
      </c>
      <c r="B202" s="58" t="s">
        <v>142</v>
      </c>
      <c r="C202" s="58" t="s">
        <v>143</v>
      </c>
      <c r="D202" s="58" t="s">
        <v>61</v>
      </c>
      <c r="E202" s="58" t="s">
        <v>957</v>
      </c>
      <c r="F202" s="17" t="s">
        <v>63</v>
      </c>
      <c r="G202" s="19">
        <v>45952.0</v>
      </c>
      <c r="H202" s="17" t="s">
        <v>104</v>
      </c>
      <c r="I202" s="60" t="s">
        <v>972</v>
      </c>
      <c r="J202" s="61" t="s">
        <v>976</v>
      </c>
      <c r="K202" s="61" t="s">
        <v>977</v>
      </c>
      <c r="L202" s="61" t="s">
        <v>978</v>
      </c>
      <c r="M202" s="58">
        <v>2011.0</v>
      </c>
      <c r="N202" s="58">
        <v>14.0</v>
      </c>
      <c r="O202" s="62">
        <v>117.0</v>
      </c>
      <c r="P202" s="62">
        <f t="shared" si="8"/>
        <v>327.6</v>
      </c>
      <c r="Q202" s="63">
        <v>2.0</v>
      </c>
      <c r="R202" s="58">
        <v>2.0</v>
      </c>
      <c r="S202" s="58">
        <v>2.0</v>
      </c>
      <c r="T202" s="58">
        <v>0.0</v>
      </c>
      <c r="U202" s="58">
        <v>4.0</v>
      </c>
      <c r="V202" s="58" t="s">
        <v>75</v>
      </c>
      <c r="W202" s="61" t="s">
        <v>76</v>
      </c>
      <c r="X202" s="28" t="s">
        <v>1033</v>
      </c>
      <c r="Y202" s="64">
        <v>31.0</v>
      </c>
      <c r="Z202" s="65">
        <f t="shared" si="2"/>
        <v>20.15</v>
      </c>
      <c r="AA202" s="65">
        <f t="shared" si="3"/>
        <v>6601.14</v>
      </c>
      <c r="AB202" s="65">
        <f t="shared" si="4"/>
        <v>2423.823764</v>
      </c>
      <c r="AC202" s="66">
        <v>1.0</v>
      </c>
      <c r="AD202" s="67"/>
      <c r="AE202" s="68">
        <f t="shared" si="5"/>
        <v>6557.377049</v>
      </c>
      <c r="AF202" s="69">
        <v>8000.0</v>
      </c>
      <c r="AG202" s="68">
        <f t="shared" si="6"/>
        <v>13114.7541</v>
      </c>
      <c r="AH202" s="70">
        <f t="shared" si="7"/>
        <v>16000</v>
      </c>
      <c r="AI202" s="71"/>
      <c r="AJ202" s="71"/>
      <c r="AK202" s="71"/>
      <c r="AL202" s="71"/>
    </row>
    <row r="203">
      <c r="A203" s="57" t="s">
        <v>979</v>
      </c>
      <c r="B203" s="58" t="s">
        <v>142</v>
      </c>
      <c r="C203" s="58" t="s">
        <v>143</v>
      </c>
      <c r="D203" s="58" t="s">
        <v>61</v>
      </c>
      <c r="E203" s="58" t="s">
        <v>947</v>
      </c>
      <c r="F203" s="17" t="s">
        <v>103</v>
      </c>
      <c r="G203" s="19">
        <v>45952.0</v>
      </c>
      <c r="H203" s="17" t="s">
        <v>104</v>
      </c>
      <c r="I203" s="60" t="s">
        <v>119</v>
      </c>
      <c r="J203" s="61" t="s">
        <v>980</v>
      </c>
      <c r="K203" s="61" t="s">
        <v>981</v>
      </c>
      <c r="L203" s="61" t="s">
        <v>982</v>
      </c>
      <c r="M203" s="58">
        <v>2020.0</v>
      </c>
      <c r="N203" s="58">
        <v>14.0</v>
      </c>
      <c r="O203" s="62">
        <v>240.0</v>
      </c>
      <c r="P203" s="62">
        <f t="shared" si="8"/>
        <v>672</v>
      </c>
      <c r="Q203" s="63">
        <v>3.0</v>
      </c>
      <c r="R203" s="58">
        <v>3.0</v>
      </c>
      <c r="S203" s="58">
        <v>3.0</v>
      </c>
      <c r="T203" s="58">
        <v>0.0</v>
      </c>
      <c r="U203" s="58">
        <v>6.0</v>
      </c>
      <c r="V203" s="58" t="s">
        <v>130</v>
      </c>
      <c r="W203" s="61" t="s">
        <v>76</v>
      </c>
      <c r="X203" s="28" t="s">
        <v>1033</v>
      </c>
      <c r="Y203" s="64">
        <v>31.0</v>
      </c>
      <c r="Z203" s="65">
        <f t="shared" si="2"/>
        <v>20.15</v>
      </c>
      <c r="AA203" s="65">
        <f t="shared" si="3"/>
        <v>13540.8</v>
      </c>
      <c r="AB203" s="65">
        <f t="shared" si="4"/>
        <v>1772.421127</v>
      </c>
      <c r="AC203" s="66">
        <v>1.0</v>
      </c>
      <c r="AD203" s="67"/>
      <c r="AE203" s="68">
        <f t="shared" si="5"/>
        <v>6557.377049</v>
      </c>
      <c r="AF203" s="69">
        <v>8000.0</v>
      </c>
      <c r="AG203" s="68">
        <f t="shared" si="6"/>
        <v>19672.13115</v>
      </c>
      <c r="AH203" s="70">
        <f t="shared" si="7"/>
        <v>24000</v>
      </c>
      <c r="AI203" s="71"/>
      <c r="AJ203" s="71"/>
      <c r="AK203" s="71"/>
      <c r="AL203" s="71"/>
    </row>
    <row r="204">
      <c r="A204" s="57" t="s">
        <v>979</v>
      </c>
      <c r="B204" s="58" t="s">
        <v>142</v>
      </c>
      <c r="C204" s="58" t="s">
        <v>143</v>
      </c>
      <c r="D204" s="58" t="s">
        <v>61</v>
      </c>
      <c r="E204" s="58" t="s">
        <v>947</v>
      </c>
      <c r="F204" s="17" t="s">
        <v>103</v>
      </c>
      <c r="G204" s="19">
        <v>45952.0</v>
      </c>
      <c r="H204" s="17" t="s">
        <v>104</v>
      </c>
      <c r="I204" s="60" t="s">
        <v>119</v>
      </c>
      <c r="J204" s="61" t="s">
        <v>983</v>
      </c>
      <c r="K204" s="61" t="s">
        <v>984</v>
      </c>
      <c r="L204" s="61" t="s">
        <v>985</v>
      </c>
      <c r="M204" s="58">
        <v>2021.0</v>
      </c>
      <c r="N204" s="58">
        <v>19.0</v>
      </c>
      <c r="O204" s="62">
        <v>448.0</v>
      </c>
      <c r="P204" s="62">
        <f t="shared" si="8"/>
        <v>1254.4</v>
      </c>
      <c r="Q204" s="63">
        <v>6.0</v>
      </c>
      <c r="R204" s="58">
        <v>6.0</v>
      </c>
      <c r="S204" s="58">
        <v>6.0</v>
      </c>
      <c r="T204" s="58">
        <v>0.0</v>
      </c>
      <c r="U204" s="58">
        <v>12.0</v>
      </c>
      <c r="V204" s="58" t="s">
        <v>75</v>
      </c>
      <c r="W204" s="61" t="s">
        <v>76</v>
      </c>
      <c r="X204" s="28" t="s">
        <v>1033</v>
      </c>
      <c r="Y204" s="64">
        <v>31.0</v>
      </c>
      <c r="Z204" s="65">
        <f t="shared" si="2"/>
        <v>20.15</v>
      </c>
      <c r="AA204" s="65">
        <f t="shared" si="3"/>
        <v>25276.16</v>
      </c>
      <c r="AB204" s="65">
        <f t="shared" si="4"/>
        <v>1899.022636</v>
      </c>
      <c r="AC204" s="66">
        <v>1.0</v>
      </c>
      <c r="AD204" s="70"/>
      <c r="AE204" s="68">
        <f t="shared" si="5"/>
        <v>6557.377049</v>
      </c>
      <c r="AF204" s="69">
        <v>8000.0</v>
      </c>
      <c r="AG204" s="68">
        <f t="shared" si="6"/>
        <v>39344.2623</v>
      </c>
      <c r="AH204" s="70">
        <f t="shared" si="7"/>
        <v>48000</v>
      </c>
      <c r="AI204" s="71"/>
      <c r="AJ204" s="71"/>
      <c r="AK204" s="71"/>
      <c r="AL204" s="71"/>
    </row>
    <row r="205">
      <c r="A205" s="57" t="s">
        <v>979</v>
      </c>
      <c r="B205" s="58" t="s">
        <v>142</v>
      </c>
      <c r="C205" s="58" t="s">
        <v>143</v>
      </c>
      <c r="D205" s="58" t="s">
        <v>61</v>
      </c>
      <c r="E205" s="58" t="s">
        <v>947</v>
      </c>
      <c r="F205" s="17" t="s">
        <v>103</v>
      </c>
      <c r="G205" s="19">
        <v>45952.0</v>
      </c>
      <c r="H205" s="17" t="s">
        <v>104</v>
      </c>
      <c r="I205" s="60" t="s">
        <v>119</v>
      </c>
      <c r="J205" s="61" t="s">
        <v>986</v>
      </c>
      <c r="K205" s="61" t="s">
        <v>987</v>
      </c>
      <c r="L205" s="61" t="s">
        <v>988</v>
      </c>
      <c r="M205" s="58">
        <v>2019.0</v>
      </c>
      <c r="N205" s="58">
        <v>14.0</v>
      </c>
      <c r="O205" s="62">
        <v>182.0</v>
      </c>
      <c r="P205" s="62">
        <f t="shared" si="8"/>
        <v>509.6</v>
      </c>
      <c r="Q205" s="63">
        <v>4.0</v>
      </c>
      <c r="R205" s="58">
        <v>2.0</v>
      </c>
      <c r="S205" s="58">
        <v>2.0</v>
      </c>
      <c r="T205" s="58">
        <v>2.0</v>
      </c>
      <c r="U205" s="58">
        <v>4.0</v>
      </c>
      <c r="V205" s="58" t="s">
        <v>130</v>
      </c>
      <c r="W205" s="61" t="s">
        <v>76</v>
      </c>
      <c r="X205" s="28" t="s">
        <v>1033</v>
      </c>
      <c r="Y205" s="64">
        <v>31.0</v>
      </c>
      <c r="Z205" s="65">
        <f t="shared" si="2"/>
        <v>40.3</v>
      </c>
      <c r="AA205" s="65">
        <f t="shared" si="3"/>
        <v>20536.88</v>
      </c>
      <c r="AB205" s="65">
        <f t="shared" si="4"/>
        <v>1558.17242</v>
      </c>
      <c r="AC205" s="66">
        <v>1.0</v>
      </c>
      <c r="AD205" s="70"/>
      <c r="AE205" s="68">
        <f t="shared" si="5"/>
        <v>6557.377049</v>
      </c>
      <c r="AF205" s="69">
        <v>8000.0</v>
      </c>
      <c r="AG205" s="68">
        <f t="shared" si="6"/>
        <v>26229.5082</v>
      </c>
      <c r="AH205" s="70">
        <f t="shared" si="7"/>
        <v>32000</v>
      </c>
      <c r="AI205" s="71"/>
      <c r="AJ205" s="71"/>
      <c r="AK205" s="71"/>
      <c r="AL205" s="71"/>
    </row>
    <row r="206">
      <c r="A206" s="57" t="s">
        <v>989</v>
      </c>
      <c r="B206" s="58" t="s">
        <v>142</v>
      </c>
      <c r="C206" s="58" t="s">
        <v>143</v>
      </c>
      <c r="D206" s="58" t="s">
        <v>61</v>
      </c>
      <c r="E206" s="58" t="s">
        <v>947</v>
      </c>
      <c r="F206" s="17" t="s">
        <v>63</v>
      </c>
      <c r="G206" s="19">
        <v>45803.0</v>
      </c>
      <c r="H206" s="17" t="s">
        <v>104</v>
      </c>
      <c r="I206" s="60" t="s">
        <v>990</v>
      </c>
      <c r="J206" s="61" t="s">
        <v>991</v>
      </c>
      <c r="K206" s="61" t="s">
        <v>992</v>
      </c>
      <c r="L206" s="61" t="s">
        <v>993</v>
      </c>
      <c r="M206" s="58">
        <v>2010.0</v>
      </c>
      <c r="N206" s="58">
        <v>15.0</v>
      </c>
      <c r="O206" s="62">
        <v>104.0</v>
      </c>
      <c r="P206" s="62">
        <f t="shared" si="8"/>
        <v>291.2</v>
      </c>
      <c r="Q206" s="63">
        <v>4.0</v>
      </c>
      <c r="R206" s="58">
        <v>2.0</v>
      </c>
      <c r="S206" s="58">
        <v>2.0</v>
      </c>
      <c r="T206" s="58">
        <v>2.0</v>
      </c>
      <c r="U206" s="58">
        <v>4.0</v>
      </c>
      <c r="V206" s="58" t="s">
        <v>130</v>
      </c>
      <c r="W206" s="61" t="s">
        <v>76</v>
      </c>
      <c r="X206" s="28" t="s">
        <v>1033</v>
      </c>
      <c r="Y206" s="64">
        <v>31.0</v>
      </c>
      <c r="Z206" s="65">
        <f t="shared" si="2"/>
        <v>40.3</v>
      </c>
      <c r="AA206" s="65">
        <f t="shared" si="3"/>
        <v>11735.36</v>
      </c>
      <c r="AB206" s="65">
        <f t="shared" si="4"/>
        <v>2726.801734</v>
      </c>
      <c r="AC206" s="66">
        <v>1.0</v>
      </c>
      <c r="AD206" s="70"/>
      <c r="AE206" s="68">
        <f t="shared" si="5"/>
        <v>6557.377049</v>
      </c>
      <c r="AF206" s="69">
        <v>8000.0</v>
      </c>
      <c r="AG206" s="68">
        <f t="shared" si="6"/>
        <v>26229.5082</v>
      </c>
      <c r="AH206" s="70">
        <f t="shared" si="7"/>
        <v>32000</v>
      </c>
      <c r="AI206" s="71"/>
      <c r="AJ206" s="71"/>
      <c r="AK206" s="71"/>
      <c r="AL206" s="71"/>
    </row>
    <row r="207">
      <c r="A207" s="57" t="s">
        <v>989</v>
      </c>
      <c r="B207" s="58" t="s">
        <v>142</v>
      </c>
      <c r="C207" s="58" t="s">
        <v>143</v>
      </c>
      <c r="D207" s="58" t="s">
        <v>61</v>
      </c>
      <c r="E207" s="58" t="s">
        <v>947</v>
      </c>
      <c r="F207" s="17" t="s">
        <v>63</v>
      </c>
      <c r="G207" s="19">
        <v>45803.0</v>
      </c>
      <c r="H207" s="17" t="s">
        <v>104</v>
      </c>
      <c r="I207" s="60" t="s">
        <v>990</v>
      </c>
      <c r="J207" s="61" t="s">
        <v>994</v>
      </c>
      <c r="K207" s="61" t="s">
        <v>995</v>
      </c>
      <c r="L207" s="61" t="s">
        <v>996</v>
      </c>
      <c r="M207" s="58">
        <v>2020.0</v>
      </c>
      <c r="N207" s="58">
        <v>15.0</v>
      </c>
      <c r="O207" s="62">
        <v>196.0</v>
      </c>
      <c r="P207" s="62">
        <f t="shared" si="8"/>
        <v>548.8</v>
      </c>
      <c r="Q207" s="63">
        <v>4.0</v>
      </c>
      <c r="R207" s="58">
        <v>2.0</v>
      </c>
      <c r="S207" s="58">
        <v>2.0</v>
      </c>
      <c r="T207" s="58">
        <v>2.0</v>
      </c>
      <c r="U207" s="58">
        <v>4.0</v>
      </c>
      <c r="V207" s="58" t="s">
        <v>130</v>
      </c>
      <c r="W207" s="61" t="s">
        <v>76</v>
      </c>
      <c r="X207" s="28" t="s">
        <v>1033</v>
      </c>
      <c r="Y207" s="64">
        <v>31.0</v>
      </c>
      <c r="Z207" s="65">
        <f t="shared" si="2"/>
        <v>40.3</v>
      </c>
      <c r="AA207" s="65">
        <f t="shared" si="3"/>
        <v>22116.64</v>
      </c>
      <c r="AB207" s="65">
        <f t="shared" si="4"/>
        <v>1446.87439</v>
      </c>
      <c r="AC207" s="66">
        <v>1.0</v>
      </c>
      <c r="AD207" s="67"/>
      <c r="AE207" s="68">
        <f t="shared" si="5"/>
        <v>6557.377049</v>
      </c>
      <c r="AF207" s="69">
        <v>8000.0</v>
      </c>
      <c r="AG207" s="68">
        <f t="shared" si="6"/>
        <v>26229.5082</v>
      </c>
      <c r="AH207" s="70">
        <f t="shared" si="7"/>
        <v>32000</v>
      </c>
      <c r="AI207" s="71"/>
      <c r="AJ207" s="71"/>
      <c r="AK207" s="71"/>
      <c r="AL207" s="71"/>
    </row>
    <row r="208">
      <c r="A208" s="57" t="s">
        <v>989</v>
      </c>
      <c r="B208" s="58" t="s">
        <v>142</v>
      </c>
      <c r="C208" s="58" t="s">
        <v>143</v>
      </c>
      <c r="D208" s="58" t="s">
        <v>61</v>
      </c>
      <c r="E208" s="58" t="s">
        <v>947</v>
      </c>
      <c r="F208" s="17" t="s">
        <v>63</v>
      </c>
      <c r="G208" s="19">
        <v>45803.0</v>
      </c>
      <c r="H208" s="17" t="s">
        <v>104</v>
      </c>
      <c r="I208" s="60" t="s">
        <v>990</v>
      </c>
      <c r="J208" s="61" t="s">
        <v>997</v>
      </c>
      <c r="K208" s="61" t="s">
        <v>998</v>
      </c>
      <c r="L208" s="61" t="s">
        <v>999</v>
      </c>
      <c r="M208" s="58">
        <v>2016.0</v>
      </c>
      <c r="N208" s="58">
        <v>17.0</v>
      </c>
      <c r="O208" s="62">
        <v>159.0</v>
      </c>
      <c r="P208" s="62">
        <f t="shared" si="8"/>
        <v>445.2</v>
      </c>
      <c r="Q208" s="63">
        <v>2.0</v>
      </c>
      <c r="R208" s="58">
        <v>1.0</v>
      </c>
      <c r="S208" s="58">
        <v>1.0</v>
      </c>
      <c r="T208" s="58">
        <v>1.0</v>
      </c>
      <c r="U208" s="58">
        <v>2.0</v>
      </c>
      <c r="V208" s="58" t="s">
        <v>130</v>
      </c>
      <c r="W208" s="61" t="s">
        <v>76</v>
      </c>
      <c r="X208" s="28" t="s">
        <v>1033</v>
      </c>
      <c r="Y208" s="64">
        <v>31.0</v>
      </c>
      <c r="Z208" s="65">
        <f t="shared" si="2"/>
        <v>40.3</v>
      </c>
      <c r="AA208" s="65">
        <f t="shared" si="3"/>
        <v>17941.56</v>
      </c>
      <c r="AB208" s="65">
        <f t="shared" si="4"/>
        <v>891.784215</v>
      </c>
      <c r="AC208" s="66">
        <v>1.0</v>
      </c>
      <c r="AD208" s="67"/>
      <c r="AE208" s="68">
        <f t="shared" si="5"/>
        <v>6557.377049</v>
      </c>
      <c r="AF208" s="69">
        <v>8000.0</v>
      </c>
      <c r="AG208" s="68">
        <f t="shared" si="6"/>
        <v>13114.7541</v>
      </c>
      <c r="AH208" s="70">
        <f t="shared" si="7"/>
        <v>16000</v>
      </c>
      <c r="AI208" s="71"/>
      <c r="AJ208" s="71"/>
      <c r="AK208" s="71"/>
      <c r="AL208" s="71"/>
    </row>
    <row r="209">
      <c r="A209" s="57" t="s">
        <v>989</v>
      </c>
      <c r="B209" s="58" t="s">
        <v>142</v>
      </c>
      <c r="C209" s="58" t="s">
        <v>143</v>
      </c>
      <c r="D209" s="58" t="s">
        <v>61</v>
      </c>
      <c r="E209" s="58" t="s">
        <v>947</v>
      </c>
      <c r="F209" s="17" t="s">
        <v>63</v>
      </c>
      <c r="G209" s="19">
        <v>45803.0</v>
      </c>
      <c r="H209" s="17" t="s">
        <v>104</v>
      </c>
      <c r="I209" s="60" t="s">
        <v>990</v>
      </c>
      <c r="J209" s="61" t="s">
        <v>1000</v>
      </c>
      <c r="K209" s="61" t="s">
        <v>1001</v>
      </c>
      <c r="L209" s="61" t="s">
        <v>1002</v>
      </c>
      <c r="M209" s="58">
        <v>2021.0</v>
      </c>
      <c r="N209" s="58">
        <v>17.0</v>
      </c>
      <c r="O209" s="62">
        <v>315.0</v>
      </c>
      <c r="P209" s="62">
        <f t="shared" si="8"/>
        <v>882</v>
      </c>
      <c r="Q209" s="63">
        <v>6.0</v>
      </c>
      <c r="R209" s="58">
        <v>3.0</v>
      </c>
      <c r="S209" s="58">
        <v>3.0</v>
      </c>
      <c r="T209" s="58">
        <v>3.0</v>
      </c>
      <c r="U209" s="58">
        <v>6.0</v>
      </c>
      <c r="V209" s="58" t="s">
        <v>130</v>
      </c>
      <c r="W209" s="61" t="s">
        <v>76</v>
      </c>
      <c r="X209" s="28" t="s">
        <v>1033</v>
      </c>
      <c r="Y209" s="64">
        <v>31.0</v>
      </c>
      <c r="Z209" s="65">
        <f t="shared" si="2"/>
        <v>40.3</v>
      </c>
      <c r="AA209" s="65">
        <f t="shared" si="3"/>
        <v>35544.6</v>
      </c>
      <c r="AB209" s="65">
        <f t="shared" si="4"/>
        <v>1350.416097</v>
      </c>
      <c r="AC209" s="66">
        <v>1.0</v>
      </c>
      <c r="AD209" s="70"/>
      <c r="AE209" s="68">
        <f t="shared" si="5"/>
        <v>6557.377049</v>
      </c>
      <c r="AF209" s="69">
        <v>8000.0</v>
      </c>
      <c r="AG209" s="68">
        <f t="shared" si="6"/>
        <v>39344.2623</v>
      </c>
      <c r="AH209" s="70">
        <f t="shared" si="7"/>
        <v>48000</v>
      </c>
      <c r="AI209" s="71"/>
      <c r="AJ209" s="71"/>
      <c r="AK209" s="71"/>
      <c r="AL209" s="71"/>
    </row>
    <row r="210">
      <c r="A210" s="57" t="s">
        <v>1003</v>
      </c>
      <c r="B210" s="58" t="s">
        <v>142</v>
      </c>
      <c r="C210" s="58" t="s">
        <v>143</v>
      </c>
      <c r="D210" s="58" t="s">
        <v>61</v>
      </c>
      <c r="E210" s="58" t="s">
        <v>1004</v>
      </c>
      <c r="F210" s="17" t="s">
        <v>63</v>
      </c>
      <c r="G210" s="59">
        <v>45975.0</v>
      </c>
      <c r="H210" s="58" t="s">
        <v>118</v>
      </c>
      <c r="I210" s="60" t="s">
        <v>1005</v>
      </c>
      <c r="J210" s="61" t="s">
        <v>1006</v>
      </c>
      <c r="K210" s="61" t="s">
        <v>1007</v>
      </c>
      <c r="L210" s="61" t="s">
        <v>1008</v>
      </c>
      <c r="M210" s="58">
        <v>2021.0</v>
      </c>
      <c r="N210" s="58">
        <v>19.0</v>
      </c>
      <c r="O210" s="62">
        <v>332.0</v>
      </c>
      <c r="P210" s="62">
        <f t="shared" si="8"/>
        <v>929.6</v>
      </c>
      <c r="Q210" s="63">
        <v>3.0</v>
      </c>
      <c r="R210" s="58">
        <v>3.0</v>
      </c>
      <c r="S210" s="58">
        <v>3.0</v>
      </c>
      <c r="T210" s="58">
        <v>0.0</v>
      </c>
      <c r="U210" s="58">
        <v>6.0</v>
      </c>
      <c r="V210" s="58" t="s">
        <v>75</v>
      </c>
      <c r="W210" s="61" t="s">
        <v>76</v>
      </c>
      <c r="X210" s="28" t="s">
        <v>1033</v>
      </c>
      <c r="Y210" s="64">
        <v>31.0</v>
      </c>
      <c r="Z210" s="65">
        <f t="shared" si="2"/>
        <v>20.15</v>
      </c>
      <c r="AA210" s="65">
        <f t="shared" si="3"/>
        <v>18731.44</v>
      </c>
      <c r="AB210" s="65">
        <f t="shared" si="4"/>
        <v>1281.268285</v>
      </c>
      <c r="AC210" s="66">
        <v>1.0</v>
      </c>
      <c r="AD210" s="70"/>
      <c r="AE210" s="68">
        <f t="shared" si="5"/>
        <v>6557.377049</v>
      </c>
      <c r="AF210" s="69">
        <v>8000.0</v>
      </c>
      <c r="AG210" s="68">
        <f t="shared" si="6"/>
        <v>19672.13115</v>
      </c>
      <c r="AH210" s="70">
        <f t="shared" si="7"/>
        <v>24000</v>
      </c>
      <c r="AI210" s="71"/>
      <c r="AJ210" s="71"/>
      <c r="AK210" s="71"/>
      <c r="AL210" s="71"/>
    </row>
    <row r="211">
      <c r="A211" s="57" t="s">
        <v>1003</v>
      </c>
      <c r="B211" s="58" t="s">
        <v>142</v>
      </c>
      <c r="C211" s="58" t="s">
        <v>143</v>
      </c>
      <c r="D211" s="58" t="s">
        <v>61</v>
      </c>
      <c r="E211" s="58" t="s">
        <v>1004</v>
      </c>
      <c r="F211" s="17" t="s">
        <v>63</v>
      </c>
      <c r="G211" s="59">
        <v>45975.0</v>
      </c>
      <c r="H211" s="58" t="s">
        <v>118</v>
      </c>
      <c r="I211" s="60" t="s">
        <v>1005</v>
      </c>
      <c r="J211" s="61" t="s">
        <v>1009</v>
      </c>
      <c r="K211" s="61" t="s">
        <v>1010</v>
      </c>
      <c r="L211" s="61" t="s">
        <v>1011</v>
      </c>
      <c r="M211" s="58">
        <v>2021.0</v>
      </c>
      <c r="N211" s="58">
        <v>15.0</v>
      </c>
      <c r="O211" s="62">
        <v>391.0</v>
      </c>
      <c r="P211" s="62">
        <f t="shared" si="8"/>
        <v>1094.8</v>
      </c>
      <c r="Q211" s="63">
        <v>3.0</v>
      </c>
      <c r="R211" s="58">
        <v>3.0</v>
      </c>
      <c r="S211" s="58">
        <v>3.0</v>
      </c>
      <c r="T211" s="58">
        <v>0.0</v>
      </c>
      <c r="U211" s="58">
        <v>6.0</v>
      </c>
      <c r="V211" s="58" t="s">
        <v>75</v>
      </c>
      <c r="W211" s="61" t="s">
        <v>76</v>
      </c>
      <c r="X211" s="28" t="s">
        <v>1033</v>
      </c>
      <c r="Y211" s="64">
        <v>31.0</v>
      </c>
      <c r="Z211" s="65">
        <f t="shared" si="2"/>
        <v>20.15</v>
      </c>
      <c r="AA211" s="65">
        <f t="shared" si="3"/>
        <v>22060.22</v>
      </c>
      <c r="AB211" s="65">
        <f t="shared" si="4"/>
        <v>1087.931127</v>
      </c>
      <c r="AC211" s="66">
        <v>1.0</v>
      </c>
      <c r="AD211" s="70"/>
      <c r="AE211" s="68">
        <f t="shared" si="5"/>
        <v>6557.377049</v>
      </c>
      <c r="AF211" s="69">
        <v>8000.0</v>
      </c>
      <c r="AG211" s="68">
        <f t="shared" si="6"/>
        <v>19672.13115</v>
      </c>
      <c r="AH211" s="70">
        <f t="shared" si="7"/>
        <v>24000</v>
      </c>
      <c r="AI211" s="71"/>
      <c r="AJ211" s="71"/>
      <c r="AK211" s="71"/>
      <c r="AL211" s="71"/>
    </row>
    <row r="212">
      <c r="A212" s="57" t="s">
        <v>1003</v>
      </c>
      <c r="B212" s="58" t="s">
        <v>142</v>
      </c>
      <c r="C212" s="58" t="s">
        <v>143</v>
      </c>
      <c r="D212" s="58" t="s">
        <v>61</v>
      </c>
      <c r="E212" s="58" t="s">
        <v>1004</v>
      </c>
      <c r="F212" s="17" t="s">
        <v>63</v>
      </c>
      <c r="G212" s="59">
        <v>45975.0</v>
      </c>
      <c r="H212" s="58" t="s">
        <v>118</v>
      </c>
      <c r="I212" s="60" t="s">
        <v>1005</v>
      </c>
      <c r="J212" s="61" t="s">
        <v>1013</v>
      </c>
      <c r="K212" s="61" t="s">
        <v>1014</v>
      </c>
      <c r="L212" s="61" t="s">
        <v>1015</v>
      </c>
      <c r="M212" s="58">
        <v>2020.0</v>
      </c>
      <c r="N212" s="58">
        <v>19.0</v>
      </c>
      <c r="O212" s="62">
        <v>419.0</v>
      </c>
      <c r="P212" s="62">
        <f t="shared" si="8"/>
        <v>1173.2</v>
      </c>
      <c r="Q212" s="63">
        <v>4.0</v>
      </c>
      <c r="R212" s="58">
        <v>4.0</v>
      </c>
      <c r="S212" s="58">
        <v>3.0</v>
      </c>
      <c r="T212" s="58">
        <v>0.0</v>
      </c>
      <c r="U212" s="58">
        <v>8.0</v>
      </c>
      <c r="V212" s="58" t="s">
        <v>75</v>
      </c>
      <c r="W212" s="61" t="s">
        <v>76</v>
      </c>
      <c r="X212" s="28" t="s">
        <v>1033</v>
      </c>
      <c r="Y212" s="64">
        <v>31.0</v>
      </c>
      <c r="Z212" s="65">
        <f t="shared" si="2"/>
        <v>26.86666667</v>
      </c>
      <c r="AA212" s="65">
        <f t="shared" si="3"/>
        <v>31519.97333</v>
      </c>
      <c r="AB212" s="65">
        <f t="shared" si="4"/>
        <v>1015.229285</v>
      </c>
      <c r="AC212" s="66">
        <v>1.0</v>
      </c>
      <c r="AD212" s="67"/>
      <c r="AE212" s="68">
        <f t="shared" si="5"/>
        <v>6557.377049</v>
      </c>
      <c r="AF212" s="69">
        <v>8000.0</v>
      </c>
      <c r="AG212" s="68">
        <f t="shared" si="6"/>
        <v>26229.5082</v>
      </c>
      <c r="AH212" s="70">
        <f t="shared" si="7"/>
        <v>32000</v>
      </c>
      <c r="AI212" s="71"/>
      <c r="AJ212" s="71"/>
      <c r="AK212" s="71"/>
      <c r="AL212" s="71"/>
    </row>
    <row r="213">
      <c r="A213" s="57" t="s">
        <v>1016</v>
      </c>
      <c r="B213" s="58" t="s">
        <v>142</v>
      </c>
      <c r="C213" s="58" t="s">
        <v>143</v>
      </c>
      <c r="D213" s="58" t="s">
        <v>61</v>
      </c>
      <c r="E213" s="58" t="s">
        <v>1004</v>
      </c>
      <c r="F213" s="17" t="s">
        <v>103</v>
      </c>
      <c r="G213" s="59">
        <v>45975.0</v>
      </c>
      <c r="H213" s="58" t="s">
        <v>118</v>
      </c>
      <c r="I213" s="60" t="s">
        <v>1017</v>
      </c>
      <c r="J213" s="61" t="s">
        <v>1018</v>
      </c>
      <c r="K213" s="61" t="s">
        <v>1019</v>
      </c>
      <c r="L213" s="61" t="s">
        <v>1020</v>
      </c>
      <c r="M213" s="58">
        <v>2019.0</v>
      </c>
      <c r="N213" s="58">
        <v>19.0</v>
      </c>
      <c r="O213" s="62">
        <v>426.0</v>
      </c>
      <c r="P213" s="62">
        <f t="shared" si="8"/>
        <v>1192.8</v>
      </c>
      <c r="Q213" s="63">
        <v>5.0</v>
      </c>
      <c r="R213" s="58">
        <v>5.0</v>
      </c>
      <c r="S213" s="58">
        <v>5.0</v>
      </c>
      <c r="T213" s="58">
        <v>0.0</v>
      </c>
      <c r="U213" s="58">
        <v>10.0</v>
      </c>
      <c r="V213" s="58" t="s">
        <v>75</v>
      </c>
      <c r="W213" s="61" t="s">
        <v>76</v>
      </c>
      <c r="X213" s="28" t="s">
        <v>1033</v>
      </c>
      <c r="Y213" s="64">
        <v>31.0</v>
      </c>
      <c r="Z213" s="65">
        <f t="shared" si="2"/>
        <v>20.15</v>
      </c>
      <c r="AA213" s="65">
        <f t="shared" si="3"/>
        <v>24034.92</v>
      </c>
      <c r="AB213" s="65">
        <f t="shared" si="4"/>
        <v>1664.24519</v>
      </c>
      <c r="AC213" s="66">
        <v>1.0</v>
      </c>
      <c r="AD213" s="67"/>
      <c r="AE213" s="68">
        <f t="shared" si="5"/>
        <v>6557.377049</v>
      </c>
      <c r="AF213" s="69">
        <v>8000.0</v>
      </c>
      <c r="AG213" s="68">
        <f t="shared" si="6"/>
        <v>32786.88525</v>
      </c>
      <c r="AH213" s="70">
        <f t="shared" si="7"/>
        <v>40000</v>
      </c>
      <c r="AI213" s="71"/>
      <c r="AJ213" s="71"/>
      <c r="AK213" s="71"/>
      <c r="AL213" s="71"/>
    </row>
    <row r="214">
      <c r="A214" s="57" t="s">
        <v>1016</v>
      </c>
      <c r="B214" s="58" t="s">
        <v>142</v>
      </c>
      <c r="C214" s="58" t="s">
        <v>143</v>
      </c>
      <c r="D214" s="58" t="s">
        <v>61</v>
      </c>
      <c r="E214" s="58" t="s">
        <v>1004</v>
      </c>
      <c r="F214" s="17" t="s">
        <v>103</v>
      </c>
      <c r="G214" s="59">
        <v>45975.0</v>
      </c>
      <c r="H214" s="58" t="s">
        <v>118</v>
      </c>
      <c r="I214" s="60" t="s">
        <v>1017</v>
      </c>
      <c r="J214" s="61" t="s">
        <v>1021</v>
      </c>
      <c r="K214" s="61" t="s">
        <v>1022</v>
      </c>
      <c r="L214" s="61" t="s">
        <v>1023</v>
      </c>
      <c r="M214" s="58">
        <v>2024.0</v>
      </c>
      <c r="N214" s="58">
        <v>19.0</v>
      </c>
      <c r="O214" s="62">
        <v>416.0</v>
      </c>
      <c r="P214" s="62">
        <f t="shared" si="8"/>
        <v>1164.8</v>
      </c>
      <c r="Q214" s="63">
        <v>5.0</v>
      </c>
      <c r="R214" s="58">
        <v>5.0</v>
      </c>
      <c r="S214" s="58">
        <v>5.0</v>
      </c>
      <c r="T214" s="58">
        <v>0.0</v>
      </c>
      <c r="U214" s="58">
        <v>10.0</v>
      </c>
      <c r="V214" s="58" t="s">
        <v>75</v>
      </c>
      <c r="W214" s="61" t="s">
        <v>76</v>
      </c>
      <c r="X214" s="28" t="s">
        <v>1033</v>
      </c>
      <c r="Y214" s="64">
        <v>31.0</v>
      </c>
      <c r="Z214" s="65">
        <f t="shared" si="2"/>
        <v>20.15</v>
      </c>
      <c r="AA214" s="65">
        <f t="shared" si="3"/>
        <v>23470.72</v>
      </c>
      <c r="AB214" s="65">
        <f t="shared" si="4"/>
        <v>1704.251084</v>
      </c>
      <c r="AC214" s="66">
        <v>1.0</v>
      </c>
      <c r="AD214" s="70"/>
      <c r="AE214" s="68">
        <f t="shared" si="5"/>
        <v>6557.377049</v>
      </c>
      <c r="AF214" s="69">
        <v>8000.0</v>
      </c>
      <c r="AG214" s="68">
        <f t="shared" si="6"/>
        <v>32786.88525</v>
      </c>
      <c r="AH214" s="70">
        <f t="shared" si="7"/>
        <v>40000</v>
      </c>
      <c r="AI214" s="71"/>
      <c r="AJ214" s="71"/>
      <c r="AK214" s="71"/>
      <c r="AL214" s="71"/>
    </row>
    <row r="215">
      <c r="A215" s="57" t="s">
        <v>1025</v>
      </c>
      <c r="B215" s="58" t="s">
        <v>142</v>
      </c>
      <c r="C215" s="58" t="s">
        <v>143</v>
      </c>
      <c r="D215" s="58" t="s">
        <v>61</v>
      </c>
      <c r="E215" s="58" t="s">
        <v>1004</v>
      </c>
      <c r="F215" s="17" t="s">
        <v>63</v>
      </c>
      <c r="G215" s="59">
        <v>45975.0</v>
      </c>
      <c r="H215" s="58" t="s">
        <v>118</v>
      </c>
      <c r="I215" s="60" t="s">
        <v>1026</v>
      </c>
      <c r="J215" s="61" t="s">
        <v>1027</v>
      </c>
      <c r="K215" s="61" t="s">
        <v>1028</v>
      </c>
      <c r="L215" s="61" t="s">
        <v>1029</v>
      </c>
      <c r="M215" s="58">
        <v>2024.0</v>
      </c>
      <c r="N215" s="58">
        <v>19.0</v>
      </c>
      <c r="O215" s="62">
        <v>433.0</v>
      </c>
      <c r="P215" s="62">
        <f t="shared" si="8"/>
        <v>1212.4</v>
      </c>
      <c r="Q215" s="63">
        <v>5.0</v>
      </c>
      <c r="R215" s="58">
        <v>5.0</v>
      </c>
      <c r="S215" s="58">
        <v>4.0</v>
      </c>
      <c r="T215" s="58">
        <v>0.0</v>
      </c>
      <c r="U215" s="58">
        <v>10.0</v>
      </c>
      <c r="V215" s="58" t="s">
        <v>75</v>
      </c>
      <c r="W215" s="61" t="s">
        <v>76</v>
      </c>
      <c r="X215" s="28" t="s">
        <v>1033</v>
      </c>
      <c r="Y215" s="64">
        <v>31.0</v>
      </c>
      <c r="Z215" s="65">
        <f t="shared" si="2"/>
        <v>25.1875</v>
      </c>
      <c r="AA215" s="65">
        <f t="shared" si="3"/>
        <v>30537.325</v>
      </c>
      <c r="AB215" s="65">
        <f t="shared" si="4"/>
        <v>1309.872427</v>
      </c>
      <c r="AC215" s="66">
        <v>1.0</v>
      </c>
      <c r="AD215" s="70"/>
      <c r="AE215" s="68">
        <f t="shared" si="5"/>
        <v>6557.377049</v>
      </c>
      <c r="AF215" s="69">
        <v>8000.0</v>
      </c>
      <c r="AG215" s="68">
        <f t="shared" si="6"/>
        <v>32786.88525</v>
      </c>
      <c r="AH215" s="70">
        <f t="shared" si="7"/>
        <v>40000</v>
      </c>
      <c r="AI215" s="71"/>
      <c r="AJ215" s="71"/>
      <c r="AK215" s="71"/>
      <c r="AL215" s="71"/>
    </row>
    <row r="216">
      <c r="A216" s="57" t="s">
        <v>1025</v>
      </c>
      <c r="B216" s="58" t="s">
        <v>142</v>
      </c>
      <c r="C216" s="58" t="s">
        <v>143</v>
      </c>
      <c r="D216" s="58" t="s">
        <v>61</v>
      </c>
      <c r="E216" s="58" t="s">
        <v>1004</v>
      </c>
      <c r="F216" s="17" t="s">
        <v>63</v>
      </c>
      <c r="G216" s="59">
        <v>45975.0</v>
      </c>
      <c r="H216" s="58" t="s">
        <v>118</v>
      </c>
      <c r="I216" s="60" t="s">
        <v>1026</v>
      </c>
      <c r="J216" s="61" t="s">
        <v>1030</v>
      </c>
      <c r="K216" s="61" t="s">
        <v>1031</v>
      </c>
      <c r="L216" s="61" t="s">
        <v>1032</v>
      </c>
      <c r="M216" s="58">
        <v>2020.0</v>
      </c>
      <c r="N216" s="58">
        <v>19.0</v>
      </c>
      <c r="O216" s="62">
        <v>419.0</v>
      </c>
      <c r="P216" s="62">
        <f t="shared" si="8"/>
        <v>1173.2</v>
      </c>
      <c r="Q216" s="63">
        <v>4.0</v>
      </c>
      <c r="R216" s="58">
        <v>4.0</v>
      </c>
      <c r="S216" s="58">
        <v>4.0</v>
      </c>
      <c r="T216" s="58">
        <v>0.0</v>
      </c>
      <c r="U216" s="58">
        <v>8.0</v>
      </c>
      <c r="V216" s="58" t="s">
        <v>75</v>
      </c>
      <c r="W216" s="61" t="s">
        <v>76</v>
      </c>
      <c r="X216" s="28" t="s">
        <v>1033</v>
      </c>
      <c r="Y216" s="64">
        <v>31.0</v>
      </c>
      <c r="Z216" s="65">
        <f t="shared" si="2"/>
        <v>20.15</v>
      </c>
      <c r="AA216" s="65">
        <f t="shared" si="3"/>
        <v>23639.98</v>
      </c>
      <c r="AB216" s="65">
        <f t="shared" si="4"/>
        <v>1353.639047</v>
      </c>
      <c r="AC216" s="66">
        <v>1.0</v>
      </c>
      <c r="AD216" s="70"/>
      <c r="AE216" s="68">
        <f t="shared" si="5"/>
        <v>6557.377049</v>
      </c>
      <c r="AF216" s="69">
        <v>8000.0</v>
      </c>
      <c r="AG216" s="68">
        <f t="shared" si="6"/>
        <v>26229.5082</v>
      </c>
      <c r="AH216" s="70">
        <f t="shared" si="7"/>
        <v>32000</v>
      </c>
      <c r="AI216" s="71"/>
      <c r="AJ216" s="71"/>
      <c r="AK216" s="71"/>
      <c r="AL216" s="71"/>
    </row>
    <row r="217">
      <c r="A217" s="57" t="s">
        <v>1025</v>
      </c>
      <c r="B217" s="58" t="s">
        <v>142</v>
      </c>
      <c r="C217" s="58" t="s">
        <v>143</v>
      </c>
      <c r="D217" s="58" t="s">
        <v>61</v>
      </c>
      <c r="E217" s="58" t="s">
        <v>1004</v>
      </c>
      <c r="F217" s="17" t="s">
        <v>63</v>
      </c>
      <c r="G217" s="59">
        <v>45975.0</v>
      </c>
      <c r="H217" s="58" t="s">
        <v>118</v>
      </c>
      <c r="I217" s="60" t="s">
        <v>1026</v>
      </c>
      <c r="J217" s="61" t="s">
        <v>1034</v>
      </c>
      <c r="K217" s="61" t="s">
        <v>1035</v>
      </c>
      <c r="L217" s="61" t="s">
        <v>1036</v>
      </c>
      <c r="M217" s="58">
        <v>2023.0</v>
      </c>
      <c r="N217" s="58">
        <v>17.0</v>
      </c>
      <c r="O217" s="62">
        <v>371.0</v>
      </c>
      <c r="P217" s="62">
        <f t="shared" si="8"/>
        <v>1038.8</v>
      </c>
      <c r="Q217" s="63">
        <v>5.0</v>
      </c>
      <c r="R217" s="58">
        <v>5.0</v>
      </c>
      <c r="S217" s="58">
        <v>5.0</v>
      </c>
      <c r="T217" s="58">
        <v>0.0</v>
      </c>
      <c r="U217" s="58">
        <v>10.0</v>
      </c>
      <c r="V217" s="58" t="s">
        <v>75</v>
      </c>
      <c r="W217" s="61" t="s">
        <v>76</v>
      </c>
      <c r="X217" s="28" t="s">
        <v>1033</v>
      </c>
      <c r="Y217" s="64">
        <v>31.0</v>
      </c>
      <c r="Z217" s="65">
        <f t="shared" si="2"/>
        <v>20.15</v>
      </c>
      <c r="AA217" s="65">
        <f t="shared" si="3"/>
        <v>20931.82</v>
      </c>
      <c r="AB217" s="65">
        <f t="shared" si="4"/>
        <v>1910.966175</v>
      </c>
      <c r="AC217" s="66">
        <v>1.0</v>
      </c>
      <c r="AD217" s="67"/>
      <c r="AE217" s="68">
        <f t="shared" si="5"/>
        <v>6557.377049</v>
      </c>
      <c r="AF217" s="69">
        <v>8000.0</v>
      </c>
      <c r="AG217" s="68">
        <f t="shared" si="6"/>
        <v>32786.88525</v>
      </c>
      <c r="AH217" s="70">
        <f t="shared" si="7"/>
        <v>40000</v>
      </c>
      <c r="AI217" s="71"/>
      <c r="AJ217" s="71"/>
      <c r="AK217" s="71"/>
      <c r="AL217" s="71"/>
    </row>
    <row r="218">
      <c r="A218" s="57" t="s">
        <v>1037</v>
      </c>
      <c r="B218" s="58" t="s">
        <v>142</v>
      </c>
      <c r="C218" s="58" t="s">
        <v>143</v>
      </c>
      <c r="D218" s="58" t="s">
        <v>61</v>
      </c>
      <c r="E218" s="58" t="s">
        <v>1004</v>
      </c>
      <c r="F218" s="17" t="s">
        <v>63</v>
      </c>
      <c r="G218" s="59">
        <v>45975.0</v>
      </c>
      <c r="H218" s="58" t="s">
        <v>118</v>
      </c>
      <c r="I218" s="60" t="s">
        <v>1038</v>
      </c>
      <c r="J218" s="61" t="s">
        <v>1039</v>
      </c>
      <c r="K218" s="61" t="s">
        <v>1040</v>
      </c>
      <c r="L218" s="61" t="s">
        <v>1041</v>
      </c>
      <c r="M218" s="58">
        <v>2019.0</v>
      </c>
      <c r="N218" s="58">
        <v>17.0</v>
      </c>
      <c r="O218" s="62">
        <v>290.0</v>
      </c>
      <c r="P218" s="62">
        <f t="shared" si="8"/>
        <v>812</v>
      </c>
      <c r="Q218" s="63">
        <v>3.0</v>
      </c>
      <c r="R218" s="58">
        <v>3.0</v>
      </c>
      <c r="S218" s="58">
        <v>3.0</v>
      </c>
      <c r="T218" s="58">
        <v>0.0</v>
      </c>
      <c r="U218" s="58">
        <v>6.0</v>
      </c>
      <c r="V218" s="58" t="s">
        <v>75</v>
      </c>
      <c r="W218" s="61" t="s">
        <v>76</v>
      </c>
      <c r="X218" s="28" t="s">
        <v>1033</v>
      </c>
      <c r="Y218" s="64">
        <v>31.0</v>
      </c>
      <c r="Z218" s="65">
        <f t="shared" si="2"/>
        <v>20.15</v>
      </c>
      <c r="AA218" s="65">
        <f t="shared" si="3"/>
        <v>16361.8</v>
      </c>
      <c r="AB218" s="65">
        <f t="shared" si="4"/>
        <v>1466.831278</v>
      </c>
      <c r="AC218" s="66">
        <v>1.0</v>
      </c>
      <c r="AD218" s="67"/>
      <c r="AE218" s="68">
        <f t="shared" si="5"/>
        <v>6557.377049</v>
      </c>
      <c r="AF218" s="69">
        <v>8000.0</v>
      </c>
      <c r="AG218" s="68">
        <f t="shared" si="6"/>
        <v>19672.13115</v>
      </c>
      <c r="AH218" s="70">
        <f t="shared" si="7"/>
        <v>24000</v>
      </c>
      <c r="AI218" s="71"/>
      <c r="AJ218" s="71"/>
      <c r="AK218" s="71"/>
      <c r="AL218" s="71"/>
    </row>
    <row r="219">
      <c r="A219" s="57" t="s">
        <v>1037</v>
      </c>
      <c r="B219" s="58" t="s">
        <v>142</v>
      </c>
      <c r="C219" s="58" t="s">
        <v>143</v>
      </c>
      <c r="D219" s="58" t="s">
        <v>61</v>
      </c>
      <c r="E219" s="58" t="s">
        <v>1004</v>
      </c>
      <c r="F219" s="17" t="s">
        <v>63</v>
      </c>
      <c r="G219" s="59">
        <v>45975.0</v>
      </c>
      <c r="H219" s="58" t="s">
        <v>118</v>
      </c>
      <c r="I219" s="60" t="s">
        <v>1038</v>
      </c>
      <c r="J219" s="61" t="s">
        <v>1042</v>
      </c>
      <c r="K219" s="61" t="s">
        <v>1043</v>
      </c>
      <c r="L219" s="61" t="s">
        <v>1044</v>
      </c>
      <c r="M219" s="58">
        <v>2019.0</v>
      </c>
      <c r="N219" s="58">
        <v>17.0</v>
      </c>
      <c r="O219" s="62">
        <v>176.0</v>
      </c>
      <c r="P219" s="62">
        <f t="shared" si="8"/>
        <v>492.8</v>
      </c>
      <c r="Q219" s="63">
        <v>3.0</v>
      </c>
      <c r="R219" s="58">
        <v>3.0</v>
      </c>
      <c r="S219" s="58">
        <v>3.0</v>
      </c>
      <c r="T219" s="58">
        <v>0.0</v>
      </c>
      <c r="U219" s="58">
        <v>6.0</v>
      </c>
      <c r="V219" s="58" t="s">
        <v>75</v>
      </c>
      <c r="W219" s="61" t="s">
        <v>76</v>
      </c>
      <c r="X219" s="28" t="s">
        <v>1033</v>
      </c>
      <c r="Y219" s="64">
        <v>31.0</v>
      </c>
      <c r="Z219" s="65">
        <f t="shared" si="2"/>
        <v>20.15</v>
      </c>
      <c r="AA219" s="65">
        <f t="shared" si="3"/>
        <v>9929.92</v>
      </c>
      <c r="AB219" s="65">
        <f t="shared" si="4"/>
        <v>2416.937901</v>
      </c>
      <c r="AC219" s="66">
        <v>1.0</v>
      </c>
      <c r="AD219" s="70"/>
      <c r="AE219" s="68">
        <f t="shared" si="5"/>
        <v>6557.377049</v>
      </c>
      <c r="AF219" s="69">
        <v>8000.0</v>
      </c>
      <c r="AG219" s="68">
        <f t="shared" si="6"/>
        <v>19672.13115</v>
      </c>
      <c r="AH219" s="70">
        <f t="shared" si="7"/>
        <v>24000</v>
      </c>
      <c r="AI219" s="71"/>
      <c r="AJ219" s="71"/>
      <c r="AK219" s="71"/>
      <c r="AL219" s="71"/>
    </row>
    <row r="220">
      <c r="A220" s="57" t="s">
        <v>1037</v>
      </c>
      <c r="B220" s="58" t="s">
        <v>142</v>
      </c>
      <c r="C220" s="58" t="s">
        <v>143</v>
      </c>
      <c r="D220" s="58" t="s">
        <v>61</v>
      </c>
      <c r="E220" s="58" t="s">
        <v>1004</v>
      </c>
      <c r="F220" s="17" t="s">
        <v>63</v>
      </c>
      <c r="G220" s="59">
        <v>45975.0</v>
      </c>
      <c r="H220" s="58" t="s">
        <v>118</v>
      </c>
      <c r="I220" s="60" t="s">
        <v>1038</v>
      </c>
      <c r="J220" s="61" t="s">
        <v>1045</v>
      </c>
      <c r="K220" s="61" t="s">
        <v>1043</v>
      </c>
      <c r="L220" s="61" t="s">
        <v>1044</v>
      </c>
      <c r="M220" s="58">
        <v>2022.0</v>
      </c>
      <c r="N220" s="58">
        <v>15.0</v>
      </c>
      <c r="O220" s="62">
        <v>332.0</v>
      </c>
      <c r="P220" s="62">
        <f t="shared" si="8"/>
        <v>929.6</v>
      </c>
      <c r="Q220" s="63">
        <v>4.0</v>
      </c>
      <c r="R220" s="58">
        <v>4.0</v>
      </c>
      <c r="S220" s="58">
        <v>4.0</v>
      </c>
      <c r="T220" s="58">
        <v>0.0</v>
      </c>
      <c r="U220" s="58">
        <v>8.0</v>
      </c>
      <c r="V220" s="58" t="s">
        <v>75</v>
      </c>
      <c r="W220" s="61" t="s">
        <v>76</v>
      </c>
      <c r="X220" s="28" t="s">
        <v>1033</v>
      </c>
      <c r="Y220" s="64">
        <v>31.0</v>
      </c>
      <c r="Z220" s="65">
        <f t="shared" si="2"/>
        <v>20.15</v>
      </c>
      <c r="AA220" s="65">
        <f t="shared" si="3"/>
        <v>18731.44</v>
      </c>
      <c r="AB220" s="65">
        <f t="shared" si="4"/>
        <v>1708.357713</v>
      </c>
      <c r="AC220" s="66">
        <v>1.0</v>
      </c>
      <c r="AD220" s="70"/>
      <c r="AE220" s="68">
        <f t="shared" si="5"/>
        <v>6557.377049</v>
      </c>
      <c r="AF220" s="69">
        <v>8000.0</v>
      </c>
      <c r="AG220" s="68">
        <f t="shared" si="6"/>
        <v>26229.5082</v>
      </c>
      <c r="AH220" s="70">
        <f t="shared" si="7"/>
        <v>32000</v>
      </c>
      <c r="AI220" s="71"/>
      <c r="AJ220" s="71"/>
      <c r="AK220" s="71"/>
      <c r="AL220" s="71"/>
    </row>
    <row r="221">
      <c r="A221" s="57" t="s">
        <v>1046</v>
      </c>
      <c r="B221" s="58" t="s">
        <v>142</v>
      </c>
      <c r="C221" s="58" t="s">
        <v>143</v>
      </c>
      <c r="D221" s="58" t="s">
        <v>61</v>
      </c>
      <c r="E221" s="58" t="s">
        <v>1004</v>
      </c>
      <c r="F221" s="17" t="s">
        <v>63</v>
      </c>
      <c r="G221" s="59">
        <v>45975.0</v>
      </c>
      <c r="H221" s="58" t="s">
        <v>118</v>
      </c>
      <c r="I221" s="60" t="s">
        <v>1047</v>
      </c>
      <c r="J221" s="61" t="s">
        <v>1048</v>
      </c>
      <c r="K221" s="61" t="s">
        <v>1049</v>
      </c>
      <c r="L221" s="61" t="s">
        <v>1050</v>
      </c>
      <c r="M221" s="58">
        <v>2024.0</v>
      </c>
      <c r="N221" s="58">
        <v>19.0</v>
      </c>
      <c r="O221" s="62">
        <v>250.0</v>
      </c>
      <c r="P221" s="62">
        <f t="shared" si="8"/>
        <v>700</v>
      </c>
      <c r="Q221" s="63">
        <v>2.0</v>
      </c>
      <c r="R221" s="58">
        <v>2.0</v>
      </c>
      <c r="S221" s="58">
        <v>2.0</v>
      </c>
      <c r="T221" s="58">
        <v>0.0</v>
      </c>
      <c r="U221" s="58">
        <v>4.0</v>
      </c>
      <c r="V221" s="58" t="s">
        <v>75</v>
      </c>
      <c r="W221" s="61" t="s">
        <v>76</v>
      </c>
      <c r="X221" s="28" t="s">
        <v>1033</v>
      </c>
      <c r="Y221" s="64">
        <v>31.0</v>
      </c>
      <c r="Z221" s="65">
        <f t="shared" si="2"/>
        <v>20.15</v>
      </c>
      <c r="AA221" s="65">
        <f t="shared" si="3"/>
        <v>14105</v>
      </c>
      <c r="AB221" s="65">
        <f t="shared" si="4"/>
        <v>1134.349521</v>
      </c>
      <c r="AC221" s="66">
        <v>1.0</v>
      </c>
      <c r="AD221" s="70"/>
      <c r="AE221" s="68">
        <f t="shared" si="5"/>
        <v>6557.377049</v>
      </c>
      <c r="AF221" s="69">
        <v>8000.0</v>
      </c>
      <c r="AG221" s="68">
        <f t="shared" si="6"/>
        <v>13114.7541</v>
      </c>
      <c r="AH221" s="70">
        <f t="shared" si="7"/>
        <v>16000</v>
      </c>
      <c r="AI221" s="71"/>
      <c r="AJ221" s="71"/>
      <c r="AK221" s="71"/>
      <c r="AL221" s="71"/>
    </row>
    <row r="222">
      <c r="A222" s="57" t="s">
        <v>1046</v>
      </c>
      <c r="B222" s="58" t="s">
        <v>142</v>
      </c>
      <c r="C222" s="58" t="s">
        <v>143</v>
      </c>
      <c r="D222" s="58" t="s">
        <v>61</v>
      </c>
      <c r="E222" s="58" t="s">
        <v>1004</v>
      </c>
      <c r="F222" s="17" t="s">
        <v>63</v>
      </c>
      <c r="G222" s="59">
        <v>45975.0</v>
      </c>
      <c r="H222" s="58" t="s">
        <v>118</v>
      </c>
      <c r="I222" s="60" t="s">
        <v>1047</v>
      </c>
      <c r="J222" s="61" t="s">
        <v>1051</v>
      </c>
      <c r="K222" s="61" t="s">
        <v>1052</v>
      </c>
      <c r="L222" s="61" t="s">
        <v>1053</v>
      </c>
      <c r="M222" s="58">
        <v>2025.0</v>
      </c>
      <c r="N222" s="58">
        <v>19.0</v>
      </c>
      <c r="O222" s="62">
        <v>250.0</v>
      </c>
      <c r="P222" s="62">
        <f t="shared" si="8"/>
        <v>700</v>
      </c>
      <c r="Q222" s="63">
        <v>2.0</v>
      </c>
      <c r="R222" s="58">
        <v>2.0</v>
      </c>
      <c r="S222" s="58">
        <v>2.0</v>
      </c>
      <c r="T222" s="58">
        <v>0.0</v>
      </c>
      <c r="U222" s="58">
        <v>4.0</v>
      </c>
      <c r="V222" s="58" t="s">
        <v>75</v>
      </c>
      <c r="W222" s="61" t="s">
        <v>76</v>
      </c>
      <c r="X222" s="28" t="s">
        <v>1033</v>
      </c>
      <c r="Y222" s="64">
        <v>31.0</v>
      </c>
      <c r="Z222" s="65">
        <f t="shared" si="2"/>
        <v>20.15</v>
      </c>
      <c r="AA222" s="65">
        <f t="shared" si="3"/>
        <v>14105</v>
      </c>
      <c r="AB222" s="65">
        <f t="shared" si="4"/>
        <v>1134.349521</v>
      </c>
      <c r="AC222" s="66">
        <v>1.0</v>
      </c>
      <c r="AD222" s="67"/>
      <c r="AE222" s="68">
        <f t="shared" si="5"/>
        <v>6557.377049</v>
      </c>
      <c r="AF222" s="69">
        <v>8000.0</v>
      </c>
      <c r="AG222" s="68">
        <f t="shared" si="6"/>
        <v>13114.7541</v>
      </c>
      <c r="AH222" s="70">
        <f t="shared" si="7"/>
        <v>16000</v>
      </c>
      <c r="AI222" s="71"/>
      <c r="AJ222" s="71"/>
      <c r="AK222" s="71"/>
      <c r="AL222" s="71"/>
    </row>
    <row r="223">
      <c r="A223" s="57" t="s">
        <v>1046</v>
      </c>
      <c r="B223" s="58" t="s">
        <v>142</v>
      </c>
      <c r="C223" s="58" t="s">
        <v>143</v>
      </c>
      <c r="D223" s="58" t="s">
        <v>61</v>
      </c>
      <c r="E223" s="58" t="s">
        <v>1004</v>
      </c>
      <c r="F223" s="17" t="s">
        <v>63</v>
      </c>
      <c r="G223" s="59">
        <v>45975.0</v>
      </c>
      <c r="H223" s="58" t="s">
        <v>118</v>
      </c>
      <c r="I223" s="60" t="s">
        <v>1047</v>
      </c>
      <c r="J223" s="61" t="s">
        <v>1054</v>
      </c>
      <c r="K223" s="61" t="s">
        <v>1055</v>
      </c>
      <c r="L223" s="61" t="s">
        <v>1056</v>
      </c>
      <c r="M223" s="58">
        <v>2022.0</v>
      </c>
      <c r="N223" s="58">
        <v>19.0</v>
      </c>
      <c r="O223" s="62">
        <v>368.0</v>
      </c>
      <c r="P223" s="62">
        <f t="shared" si="8"/>
        <v>1030.4</v>
      </c>
      <c r="Q223" s="63">
        <v>5.0</v>
      </c>
      <c r="R223" s="58">
        <v>5.0</v>
      </c>
      <c r="S223" s="58">
        <v>3.0</v>
      </c>
      <c r="T223" s="58">
        <v>0.0</v>
      </c>
      <c r="U223" s="58">
        <v>10.0</v>
      </c>
      <c r="V223" s="58" t="s">
        <v>75</v>
      </c>
      <c r="W223" s="61" t="s">
        <v>76</v>
      </c>
      <c r="X223" s="28" t="s">
        <v>1033</v>
      </c>
      <c r="Y223" s="64">
        <v>31.0</v>
      </c>
      <c r="Z223" s="65">
        <f t="shared" si="2"/>
        <v>33.58333333</v>
      </c>
      <c r="AA223" s="65">
        <f t="shared" si="3"/>
        <v>34604.26667</v>
      </c>
      <c r="AB223" s="65">
        <f t="shared" si="4"/>
        <v>1155.926822</v>
      </c>
      <c r="AC223" s="66">
        <v>1.0</v>
      </c>
      <c r="AD223" s="67"/>
      <c r="AE223" s="68">
        <f t="shared" si="5"/>
        <v>6557.377049</v>
      </c>
      <c r="AF223" s="69">
        <v>8000.0</v>
      </c>
      <c r="AG223" s="68">
        <f t="shared" si="6"/>
        <v>32786.88525</v>
      </c>
      <c r="AH223" s="70">
        <f t="shared" si="7"/>
        <v>40000</v>
      </c>
      <c r="AI223" s="71"/>
      <c r="AJ223" s="71"/>
      <c r="AK223" s="71"/>
      <c r="AL223" s="71"/>
    </row>
    <row r="224">
      <c r="A224" s="57" t="s">
        <v>1057</v>
      </c>
      <c r="B224" s="58" t="s">
        <v>142</v>
      </c>
      <c r="C224" s="58" t="s">
        <v>143</v>
      </c>
      <c r="D224" s="58" t="s">
        <v>61</v>
      </c>
      <c r="E224" s="58" t="s">
        <v>1004</v>
      </c>
      <c r="F224" s="17" t="s">
        <v>103</v>
      </c>
      <c r="G224" s="59">
        <v>45975.0</v>
      </c>
      <c r="H224" s="58" t="s">
        <v>118</v>
      </c>
      <c r="I224" s="60" t="s">
        <v>1058</v>
      </c>
      <c r="J224" s="61" t="s">
        <v>1059</v>
      </c>
      <c r="K224" s="61" t="s">
        <v>1060</v>
      </c>
      <c r="L224" s="61" t="s">
        <v>1061</v>
      </c>
      <c r="M224" s="58">
        <v>2022.0</v>
      </c>
      <c r="N224" s="58">
        <v>17.0</v>
      </c>
      <c r="O224" s="62">
        <v>404.0</v>
      </c>
      <c r="P224" s="62">
        <f t="shared" si="8"/>
        <v>1131.2</v>
      </c>
      <c r="Q224" s="63">
        <v>5.0</v>
      </c>
      <c r="R224" s="58">
        <v>5.0</v>
      </c>
      <c r="S224" s="58">
        <v>5.0</v>
      </c>
      <c r="T224" s="58">
        <v>0.0</v>
      </c>
      <c r="U224" s="58">
        <v>10.0</v>
      </c>
      <c r="V224" s="58" t="s">
        <v>75</v>
      </c>
      <c r="W224" s="61" t="s">
        <v>76</v>
      </c>
      <c r="X224" s="28" t="s">
        <v>1033</v>
      </c>
      <c r="Y224" s="64">
        <v>31.0</v>
      </c>
      <c r="Z224" s="65">
        <f t="shared" si="2"/>
        <v>20.15</v>
      </c>
      <c r="AA224" s="65">
        <f t="shared" si="3"/>
        <v>22793.68</v>
      </c>
      <c r="AB224" s="65">
        <f t="shared" si="4"/>
        <v>1754.872403</v>
      </c>
      <c r="AC224" s="66">
        <v>1.0</v>
      </c>
      <c r="AD224" s="70"/>
      <c r="AE224" s="68">
        <f t="shared" si="5"/>
        <v>6557.377049</v>
      </c>
      <c r="AF224" s="69">
        <v>8000.0</v>
      </c>
      <c r="AG224" s="68">
        <f t="shared" si="6"/>
        <v>32786.88525</v>
      </c>
      <c r="AH224" s="70">
        <f t="shared" si="7"/>
        <v>40000</v>
      </c>
      <c r="AI224" s="71"/>
      <c r="AJ224" s="71"/>
      <c r="AK224" s="71"/>
      <c r="AL224" s="71"/>
    </row>
    <row r="225">
      <c r="A225" s="57" t="s">
        <v>1057</v>
      </c>
      <c r="B225" s="58" t="s">
        <v>142</v>
      </c>
      <c r="C225" s="58" t="s">
        <v>143</v>
      </c>
      <c r="D225" s="58" t="s">
        <v>61</v>
      </c>
      <c r="E225" s="58" t="s">
        <v>1004</v>
      </c>
      <c r="F225" s="17" t="s">
        <v>103</v>
      </c>
      <c r="G225" s="59">
        <v>45975.0</v>
      </c>
      <c r="H225" s="58" t="s">
        <v>118</v>
      </c>
      <c r="I225" s="60" t="s">
        <v>1058</v>
      </c>
      <c r="J225" s="61" t="s">
        <v>1062</v>
      </c>
      <c r="K225" s="61" t="s">
        <v>1063</v>
      </c>
      <c r="L225" s="61" t="s">
        <v>1064</v>
      </c>
      <c r="M225" s="58">
        <v>2023.0</v>
      </c>
      <c r="N225" s="58">
        <v>19.0</v>
      </c>
      <c r="O225" s="62">
        <v>417.0</v>
      </c>
      <c r="P225" s="62">
        <f t="shared" si="8"/>
        <v>1167.6</v>
      </c>
      <c r="Q225" s="63">
        <v>5.0</v>
      </c>
      <c r="R225" s="58">
        <v>5.0</v>
      </c>
      <c r="S225" s="58">
        <v>5.0</v>
      </c>
      <c r="T225" s="58">
        <v>0.0</v>
      </c>
      <c r="U225" s="58">
        <v>10.0</v>
      </c>
      <c r="V225" s="58" t="s">
        <v>75</v>
      </c>
      <c r="W225" s="61" t="s">
        <v>76</v>
      </c>
      <c r="X225" s="28" t="s">
        <v>1033</v>
      </c>
      <c r="Y225" s="64">
        <v>31.0</v>
      </c>
      <c r="Z225" s="65">
        <f t="shared" si="2"/>
        <v>20.15</v>
      </c>
      <c r="AA225" s="65">
        <f t="shared" si="3"/>
        <v>23527.14</v>
      </c>
      <c r="AB225" s="65">
        <f t="shared" si="4"/>
        <v>1700.164151</v>
      </c>
      <c r="AC225" s="66">
        <v>1.0</v>
      </c>
      <c r="AD225" s="70"/>
      <c r="AE225" s="68">
        <f t="shared" si="5"/>
        <v>6557.377049</v>
      </c>
      <c r="AF225" s="69">
        <v>8000.0</v>
      </c>
      <c r="AG225" s="68">
        <f t="shared" si="6"/>
        <v>32786.88525</v>
      </c>
      <c r="AH225" s="70">
        <f t="shared" si="7"/>
        <v>40000</v>
      </c>
      <c r="AI225" s="71"/>
      <c r="AJ225" s="71"/>
      <c r="AK225" s="71"/>
      <c r="AL225" s="71"/>
    </row>
    <row r="226">
      <c r="A226" s="57" t="s">
        <v>1065</v>
      </c>
      <c r="B226" s="58" t="s">
        <v>142</v>
      </c>
      <c r="C226" s="58" t="s">
        <v>143</v>
      </c>
      <c r="D226" s="58" t="s">
        <v>1066</v>
      </c>
      <c r="E226" s="58" t="s">
        <v>1067</v>
      </c>
      <c r="F226" s="17" t="s">
        <v>63</v>
      </c>
      <c r="G226" s="59">
        <v>45982.0</v>
      </c>
      <c r="H226" s="58" t="s">
        <v>118</v>
      </c>
      <c r="I226" s="60" t="s">
        <v>1068</v>
      </c>
      <c r="J226" s="61" t="s">
        <v>1069</v>
      </c>
      <c r="K226" s="61" t="s">
        <v>1070</v>
      </c>
      <c r="L226" s="61" t="s">
        <v>1071</v>
      </c>
      <c r="M226" s="58">
        <v>2019.0</v>
      </c>
      <c r="N226" s="58">
        <v>19.0</v>
      </c>
      <c r="O226" s="62">
        <v>203.0</v>
      </c>
      <c r="P226" s="62">
        <f t="shared" si="8"/>
        <v>568.4</v>
      </c>
      <c r="Q226" s="63">
        <v>2.0</v>
      </c>
      <c r="R226" s="58">
        <v>2.0</v>
      </c>
      <c r="S226" s="58">
        <v>2.0</v>
      </c>
      <c r="T226" s="58">
        <v>0.0</v>
      </c>
      <c r="U226" s="58">
        <v>4.0</v>
      </c>
      <c r="V226" s="58" t="s">
        <v>75</v>
      </c>
      <c r="W226" s="61" t="s">
        <v>76</v>
      </c>
      <c r="X226" s="28" t="s">
        <v>1033</v>
      </c>
      <c r="Y226" s="64">
        <v>31.0</v>
      </c>
      <c r="Z226" s="65">
        <f t="shared" si="2"/>
        <v>20.15</v>
      </c>
      <c r="AA226" s="65">
        <f t="shared" si="3"/>
        <v>11453.26</v>
      </c>
      <c r="AB226" s="65">
        <f t="shared" si="4"/>
        <v>1396.982169</v>
      </c>
      <c r="AC226" s="66">
        <v>1.0</v>
      </c>
      <c r="AD226" s="70"/>
      <c r="AE226" s="68">
        <f t="shared" si="5"/>
        <v>6557.377049</v>
      </c>
      <c r="AF226" s="69">
        <v>8000.0</v>
      </c>
      <c r="AG226" s="68">
        <f t="shared" si="6"/>
        <v>13114.7541</v>
      </c>
      <c r="AH226" s="70">
        <f t="shared" si="7"/>
        <v>16000</v>
      </c>
      <c r="AI226" s="71"/>
      <c r="AJ226" s="71"/>
      <c r="AK226" s="71"/>
      <c r="AL226" s="71"/>
    </row>
    <row r="227">
      <c r="A227" s="57" t="s">
        <v>1065</v>
      </c>
      <c r="B227" s="58" t="s">
        <v>142</v>
      </c>
      <c r="C227" s="58" t="s">
        <v>143</v>
      </c>
      <c r="D227" s="58" t="s">
        <v>1066</v>
      </c>
      <c r="E227" s="58" t="s">
        <v>1067</v>
      </c>
      <c r="F227" s="17" t="s">
        <v>63</v>
      </c>
      <c r="G227" s="59">
        <v>45982.0</v>
      </c>
      <c r="H227" s="58" t="s">
        <v>118</v>
      </c>
      <c r="I227" s="58" t="s">
        <v>1068</v>
      </c>
      <c r="J227" s="61" t="s">
        <v>1069</v>
      </c>
      <c r="K227" s="61" t="s">
        <v>1070</v>
      </c>
      <c r="L227" s="61" t="s">
        <v>1071</v>
      </c>
      <c r="M227" s="58">
        <v>2019.0</v>
      </c>
      <c r="N227" s="58">
        <v>19.0</v>
      </c>
      <c r="O227" s="62">
        <v>203.0</v>
      </c>
      <c r="P227" s="62">
        <f t="shared" si="8"/>
        <v>568.4</v>
      </c>
      <c r="Q227" s="63">
        <v>2.0</v>
      </c>
      <c r="R227" s="58">
        <v>0.0</v>
      </c>
      <c r="S227" s="58">
        <v>2.0</v>
      </c>
      <c r="T227" s="58">
        <v>2.0</v>
      </c>
      <c r="U227" s="58">
        <v>4.0</v>
      </c>
      <c r="V227" s="58" t="s">
        <v>130</v>
      </c>
      <c r="W227" s="61" t="s">
        <v>76</v>
      </c>
      <c r="X227" s="28" t="s">
        <v>1033</v>
      </c>
      <c r="Y227" s="64">
        <v>31.0</v>
      </c>
      <c r="Z227" s="65">
        <f t="shared" si="2"/>
        <v>20.15</v>
      </c>
      <c r="AA227" s="65">
        <f t="shared" si="3"/>
        <v>11453.26</v>
      </c>
      <c r="AB227" s="65">
        <f t="shared" si="4"/>
        <v>1396.982169</v>
      </c>
      <c r="AC227" s="66">
        <v>1.0</v>
      </c>
      <c r="AD227" s="67"/>
      <c r="AE227" s="68">
        <f t="shared" si="5"/>
        <v>6557.377049</v>
      </c>
      <c r="AF227" s="69">
        <v>8000.0</v>
      </c>
      <c r="AG227" s="68">
        <f t="shared" si="6"/>
        <v>13114.7541</v>
      </c>
      <c r="AH227" s="70">
        <f t="shared" si="7"/>
        <v>16000</v>
      </c>
      <c r="AI227" s="71"/>
      <c r="AJ227" s="71"/>
      <c r="AK227" s="71"/>
      <c r="AL227" s="71"/>
    </row>
    <row r="228">
      <c r="A228" s="57" t="s">
        <v>1065</v>
      </c>
      <c r="B228" s="58" t="s">
        <v>142</v>
      </c>
      <c r="C228" s="58" t="s">
        <v>143</v>
      </c>
      <c r="D228" s="58" t="s">
        <v>1066</v>
      </c>
      <c r="E228" s="58" t="s">
        <v>1067</v>
      </c>
      <c r="F228" s="17" t="s">
        <v>63</v>
      </c>
      <c r="G228" s="59">
        <v>45982.0</v>
      </c>
      <c r="H228" s="58" t="s">
        <v>118</v>
      </c>
      <c r="I228" s="58" t="s">
        <v>1068</v>
      </c>
      <c r="J228" s="61" t="s">
        <v>1072</v>
      </c>
      <c r="K228" s="61" t="s">
        <v>1073</v>
      </c>
      <c r="L228" s="61" t="s">
        <v>1074</v>
      </c>
      <c r="M228" s="58">
        <v>2020.0</v>
      </c>
      <c r="N228" s="58">
        <v>17.0</v>
      </c>
      <c r="O228" s="62">
        <v>404.0</v>
      </c>
      <c r="P228" s="62">
        <f t="shared" si="8"/>
        <v>1131.2</v>
      </c>
      <c r="Q228" s="63">
        <v>5.0</v>
      </c>
      <c r="R228" s="58">
        <v>5.0</v>
      </c>
      <c r="S228" s="58">
        <v>5.0</v>
      </c>
      <c r="T228" s="58">
        <v>0.0</v>
      </c>
      <c r="U228" s="58">
        <v>10.0</v>
      </c>
      <c r="V228" s="58" t="s">
        <v>75</v>
      </c>
      <c r="W228" s="61" t="s">
        <v>76</v>
      </c>
      <c r="X228" s="28" t="s">
        <v>1033</v>
      </c>
      <c r="Y228" s="64">
        <v>31.0</v>
      </c>
      <c r="Z228" s="65">
        <f t="shared" si="2"/>
        <v>20.15</v>
      </c>
      <c r="AA228" s="65">
        <f t="shared" si="3"/>
        <v>22793.68</v>
      </c>
      <c r="AB228" s="65">
        <f t="shared" si="4"/>
        <v>1754.872403</v>
      </c>
      <c r="AC228" s="66">
        <v>1.0</v>
      </c>
      <c r="AD228" s="67"/>
      <c r="AE228" s="68">
        <f t="shared" si="5"/>
        <v>6557.377049</v>
      </c>
      <c r="AF228" s="69">
        <v>8000.0</v>
      </c>
      <c r="AG228" s="68">
        <f t="shared" si="6"/>
        <v>32786.88525</v>
      </c>
      <c r="AH228" s="70">
        <f t="shared" si="7"/>
        <v>40000</v>
      </c>
      <c r="AI228" s="71"/>
      <c r="AJ228" s="71"/>
      <c r="AK228" s="71"/>
      <c r="AL228" s="71"/>
    </row>
    <row r="229">
      <c r="A229" s="57" t="s">
        <v>1075</v>
      </c>
      <c r="B229" s="58" t="s">
        <v>142</v>
      </c>
      <c r="C229" s="58" t="s">
        <v>143</v>
      </c>
      <c r="D229" s="58" t="s">
        <v>1066</v>
      </c>
      <c r="E229" s="58" t="s">
        <v>1067</v>
      </c>
      <c r="F229" s="17" t="s">
        <v>103</v>
      </c>
      <c r="G229" s="59">
        <v>46216.0</v>
      </c>
      <c r="H229" s="58" t="s">
        <v>118</v>
      </c>
      <c r="I229" s="58" t="s">
        <v>1076</v>
      </c>
      <c r="J229" s="61" t="s">
        <v>1077</v>
      </c>
      <c r="K229" s="61" t="s">
        <v>1078</v>
      </c>
      <c r="L229" s="61" t="s">
        <v>1079</v>
      </c>
      <c r="M229" s="58">
        <v>2017.0</v>
      </c>
      <c r="N229" s="58">
        <v>19.0</v>
      </c>
      <c r="O229" s="62">
        <v>284.0</v>
      </c>
      <c r="P229" s="62">
        <f t="shared" si="8"/>
        <v>795.2</v>
      </c>
      <c r="Q229" s="63">
        <v>6.0</v>
      </c>
      <c r="R229" s="58">
        <v>3.0</v>
      </c>
      <c r="S229" s="58">
        <v>3.0</v>
      </c>
      <c r="T229" s="58">
        <v>3.0</v>
      </c>
      <c r="U229" s="58">
        <v>6.0</v>
      </c>
      <c r="V229" s="58" t="s">
        <v>130</v>
      </c>
      <c r="W229" s="61" t="s">
        <v>76</v>
      </c>
      <c r="X229" s="28" t="s">
        <v>1033</v>
      </c>
      <c r="Y229" s="17">
        <v>31.0</v>
      </c>
      <c r="Z229" s="30">
        <f t="shared" si="2"/>
        <v>40.3</v>
      </c>
      <c r="AA229" s="30">
        <f t="shared" si="3"/>
        <v>32046.56</v>
      </c>
      <c r="AB229" s="30">
        <f t="shared" si="4"/>
        <v>1497.820671</v>
      </c>
      <c r="AC229" s="34">
        <v>1.0</v>
      </c>
      <c r="AD229" s="36"/>
      <c r="AE229" s="97">
        <f t="shared" si="5"/>
        <v>6557.377049</v>
      </c>
      <c r="AF229" s="28">
        <v>8000.0</v>
      </c>
      <c r="AG229" s="97">
        <f t="shared" si="6"/>
        <v>39344.2623</v>
      </c>
      <c r="AH229" s="98">
        <f t="shared" si="7"/>
        <v>48000</v>
      </c>
      <c r="AI229" s="99"/>
      <c r="AJ229" s="99"/>
      <c r="AK229" s="99"/>
      <c r="AL229" s="99"/>
    </row>
    <row r="230">
      <c r="A230" s="57" t="s">
        <v>1080</v>
      </c>
      <c r="B230" s="58" t="s">
        <v>142</v>
      </c>
      <c r="C230" s="58" t="s">
        <v>143</v>
      </c>
      <c r="D230" s="58" t="s">
        <v>1066</v>
      </c>
      <c r="E230" s="58" t="s">
        <v>1067</v>
      </c>
      <c r="F230" s="17" t="s">
        <v>103</v>
      </c>
      <c r="G230" s="59">
        <v>46255.0</v>
      </c>
      <c r="H230" s="58" t="s">
        <v>118</v>
      </c>
      <c r="I230" s="58" t="s">
        <v>1081</v>
      </c>
      <c r="J230" s="61" t="s">
        <v>1082</v>
      </c>
      <c r="K230" s="61" t="s">
        <v>1083</v>
      </c>
      <c r="L230" s="61" t="s">
        <v>1084</v>
      </c>
      <c r="M230" s="58">
        <v>2020.0</v>
      </c>
      <c r="N230" s="58">
        <v>18.0</v>
      </c>
      <c r="O230" s="62">
        <v>357.0</v>
      </c>
      <c r="P230" s="62">
        <f t="shared" si="8"/>
        <v>999.6</v>
      </c>
      <c r="Q230" s="63">
        <v>4.0</v>
      </c>
      <c r="R230" s="58">
        <v>4.0</v>
      </c>
      <c r="S230" s="58">
        <v>4.0</v>
      </c>
      <c r="T230" s="58">
        <v>0.0</v>
      </c>
      <c r="U230" s="58">
        <v>8.0</v>
      </c>
      <c r="V230" s="58" t="s">
        <v>75</v>
      </c>
      <c r="W230" s="61" t="s">
        <v>76</v>
      </c>
      <c r="X230" s="28" t="s">
        <v>1033</v>
      </c>
      <c r="Y230" s="17">
        <v>31.0</v>
      </c>
      <c r="Z230" s="30">
        <f t="shared" si="2"/>
        <v>20.15</v>
      </c>
      <c r="AA230" s="30">
        <f t="shared" si="3"/>
        <v>20141.94</v>
      </c>
      <c r="AB230" s="30">
        <f t="shared" si="4"/>
        <v>1588.72482</v>
      </c>
      <c r="AC230" s="34">
        <v>1.0</v>
      </c>
      <c r="AD230" s="36"/>
      <c r="AE230" s="97">
        <f t="shared" si="5"/>
        <v>6557.377049</v>
      </c>
      <c r="AF230" s="28">
        <v>8000.0</v>
      </c>
      <c r="AG230" s="97">
        <f t="shared" si="6"/>
        <v>26229.5082</v>
      </c>
      <c r="AH230" s="98">
        <f t="shared" si="7"/>
        <v>32000</v>
      </c>
      <c r="AI230" s="99"/>
      <c r="AJ230" s="99"/>
      <c r="AK230" s="99"/>
      <c r="AL230" s="99"/>
    </row>
    <row r="231">
      <c r="A231" s="76" t="s">
        <v>1080</v>
      </c>
      <c r="B231" s="74" t="s">
        <v>142</v>
      </c>
      <c r="C231" s="74" t="s">
        <v>143</v>
      </c>
      <c r="D231" s="74" t="s">
        <v>1066</v>
      </c>
      <c r="E231" s="78"/>
      <c r="F231" s="17" t="s">
        <v>103</v>
      </c>
      <c r="G231" s="59">
        <v>46255.0</v>
      </c>
      <c r="H231" s="58" t="s">
        <v>104</v>
      </c>
      <c r="I231" s="77" t="s">
        <v>1081</v>
      </c>
      <c r="J231" s="75" t="s">
        <v>1082</v>
      </c>
      <c r="K231" s="75" t="s">
        <v>1085</v>
      </c>
      <c r="L231" s="75" t="s">
        <v>1086</v>
      </c>
      <c r="M231" s="74">
        <v>2020.0</v>
      </c>
      <c r="N231" s="74">
        <v>17.0</v>
      </c>
      <c r="O231" s="79">
        <v>357.0</v>
      </c>
      <c r="P231" s="79">
        <f t="shared" si="8"/>
        <v>999.6</v>
      </c>
      <c r="Q231" s="76">
        <v>4.0</v>
      </c>
      <c r="R231" s="74">
        <v>0.0</v>
      </c>
      <c r="S231" s="74">
        <v>4.0</v>
      </c>
      <c r="T231" s="74">
        <v>4.0</v>
      </c>
      <c r="U231" s="74">
        <v>8.0</v>
      </c>
      <c r="V231" s="58" t="s">
        <v>130</v>
      </c>
      <c r="W231" s="61" t="s">
        <v>76</v>
      </c>
      <c r="X231" s="28" t="s">
        <v>1033</v>
      </c>
      <c r="Y231" s="64">
        <v>31.0</v>
      </c>
      <c r="Z231" s="65">
        <f t="shared" si="2"/>
        <v>20.15</v>
      </c>
      <c r="AA231" s="65">
        <f t="shared" si="3"/>
        <v>20141.94</v>
      </c>
      <c r="AB231" s="65">
        <f t="shared" si="4"/>
        <v>1588.72482</v>
      </c>
      <c r="AC231" s="66">
        <v>1.0</v>
      </c>
      <c r="AD231" s="67"/>
      <c r="AE231" s="68">
        <f t="shared" si="5"/>
        <v>6557.377049</v>
      </c>
      <c r="AF231" s="69">
        <v>8000.0</v>
      </c>
      <c r="AG231" s="68">
        <f t="shared" si="6"/>
        <v>26229.5082</v>
      </c>
      <c r="AH231" s="70">
        <f t="shared" si="7"/>
        <v>32000</v>
      </c>
      <c r="AI231" s="71"/>
      <c r="AJ231" s="71"/>
      <c r="AK231" s="71"/>
      <c r="AL231" s="71"/>
    </row>
    <row r="232">
      <c r="A232" s="76" t="s">
        <v>1080</v>
      </c>
      <c r="B232" s="74" t="s">
        <v>142</v>
      </c>
      <c r="C232" s="74" t="s">
        <v>143</v>
      </c>
      <c r="D232" s="74" t="s">
        <v>1066</v>
      </c>
      <c r="E232" s="78"/>
      <c r="F232" s="17" t="s">
        <v>103</v>
      </c>
      <c r="G232" s="59">
        <v>46255.0</v>
      </c>
      <c r="H232" s="58" t="s">
        <v>104</v>
      </c>
      <c r="I232" s="77" t="s">
        <v>1081</v>
      </c>
      <c r="J232" s="75" t="s">
        <v>1087</v>
      </c>
      <c r="K232" s="75" t="s">
        <v>1088</v>
      </c>
      <c r="L232" s="75" t="s">
        <v>1089</v>
      </c>
      <c r="M232" s="74">
        <v>2019.0</v>
      </c>
      <c r="N232" s="74">
        <v>19.0</v>
      </c>
      <c r="O232" s="79">
        <v>299.0</v>
      </c>
      <c r="P232" s="79">
        <f t="shared" si="8"/>
        <v>837.2</v>
      </c>
      <c r="Q232" s="76">
        <v>8.0</v>
      </c>
      <c r="R232" s="74">
        <v>4.0</v>
      </c>
      <c r="S232" s="74">
        <v>4.0</v>
      </c>
      <c r="T232" s="74">
        <v>4.0</v>
      </c>
      <c r="U232" s="74">
        <v>8.0</v>
      </c>
      <c r="V232" s="58" t="s">
        <v>130</v>
      </c>
      <c r="W232" s="61" t="s">
        <v>76</v>
      </c>
      <c r="X232" s="28" t="s">
        <v>1033</v>
      </c>
      <c r="Y232" s="64">
        <v>31.0</v>
      </c>
      <c r="Z232" s="65">
        <f t="shared" si="2"/>
        <v>40.3</v>
      </c>
      <c r="AA232" s="65">
        <f t="shared" si="3"/>
        <v>33739.16</v>
      </c>
      <c r="AB232" s="65">
        <f t="shared" si="4"/>
        <v>1896.905554</v>
      </c>
      <c r="AC232" s="66">
        <v>1.0</v>
      </c>
      <c r="AD232" s="70"/>
      <c r="AE232" s="68">
        <f t="shared" si="5"/>
        <v>6557.377049</v>
      </c>
      <c r="AF232" s="69">
        <v>8000.0</v>
      </c>
      <c r="AG232" s="68">
        <f t="shared" si="6"/>
        <v>52459.01639</v>
      </c>
      <c r="AH232" s="70">
        <f t="shared" si="7"/>
        <v>64000</v>
      </c>
      <c r="AI232" s="71"/>
      <c r="AJ232" s="71"/>
      <c r="AK232" s="71"/>
      <c r="AL232" s="71"/>
    </row>
    <row r="233">
      <c r="A233" s="57" t="s">
        <v>1090</v>
      </c>
      <c r="B233" s="58" t="s">
        <v>142</v>
      </c>
      <c r="C233" s="58" t="s">
        <v>143</v>
      </c>
      <c r="D233" s="58" t="s">
        <v>61</v>
      </c>
      <c r="E233" s="58" t="s">
        <v>957</v>
      </c>
      <c r="F233" s="17" t="s">
        <v>63</v>
      </c>
      <c r="G233" s="59">
        <v>45989.0</v>
      </c>
      <c r="H233" s="58" t="s">
        <v>118</v>
      </c>
      <c r="I233" s="60" t="s">
        <v>1091</v>
      </c>
      <c r="J233" s="61" t="s">
        <v>1092</v>
      </c>
      <c r="K233" s="61" t="s">
        <v>1093</v>
      </c>
      <c r="L233" s="61" t="s">
        <v>1094</v>
      </c>
      <c r="M233" s="58">
        <v>2016.0</v>
      </c>
      <c r="N233" s="58">
        <v>19.0</v>
      </c>
      <c r="O233" s="62">
        <v>576.0</v>
      </c>
      <c r="P233" s="62">
        <f t="shared" si="8"/>
        <v>1612.8</v>
      </c>
      <c r="Q233" s="63">
        <v>8.0</v>
      </c>
      <c r="R233" s="58">
        <v>8.0</v>
      </c>
      <c r="S233" s="58">
        <v>8.0</v>
      </c>
      <c r="T233" s="58">
        <v>0.0</v>
      </c>
      <c r="U233" s="58">
        <v>16.0</v>
      </c>
      <c r="V233" s="58" t="s">
        <v>75</v>
      </c>
      <c r="W233" s="61" t="s">
        <v>76</v>
      </c>
      <c r="X233" s="28" t="s">
        <v>1033</v>
      </c>
      <c r="Y233" s="64">
        <v>31.0</v>
      </c>
      <c r="Z233" s="65">
        <f t="shared" si="2"/>
        <v>20.15</v>
      </c>
      <c r="AA233" s="65">
        <f t="shared" si="3"/>
        <v>32497.92</v>
      </c>
      <c r="AB233" s="65">
        <f t="shared" si="4"/>
        <v>1969.356808</v>
      </c>
      <c r="AC233" s="66">
        <v>1.0</v>
      </c>
      <c r="AD233" s="70"/>
      <c r="AE233" s="68">
        <f t="shared" si="5"/>
        <v>6557.377049</v>
      </c>
      <c r="AF233" s="69">
        <v>8000.0</v>
      </c>
      <c r="AG233" s="68">
        <f t="shared" si="6"/>
        <v>52459.01639</v>
      </c>
      <c r="AH233" s="70">
        <f t="shared" si="7"/>
        <v>64000</v>
      </c>
      <c r="AI233" s="71"/>
      <c r="AJ233" s="71"/>
      <c r="AK233" s="71"/>
      <c r="AL233" s="71"/>
    </row>
    <row r="234">
      <c r="A234" s="57" t="s">
        <v>1090</v>
      </c>
      <c r="B234" s="58" t="s">
        <v>142</v>
      </c>
      <c r="C234" s="58" t="s">
        <v>143</v>
      </c>
      <c r="D234" s="58" t="s">
        <v>61</v>
      </c>
      <c r="E234" s="58" t="s">
        <v>957</v>
      </c>
      <c r="F234" s="17" t="s">
        <v>63</v>
      </c>
      <c r="G234" s="59">
        <v>45989.0</v>
      </c>
      <c r="H234" s="58" t="s">
        <v>118</v>
      </c>
      <c r="I234" s="60" t="s">
        <v>1091</v>
      </c>
      <c r="J234" s="61" t="s">
        <v>1092</v>
      </c>
      <c r="K234" s="61" t="s">
        <v>1093</v>
      </c>
      <c r="L234" s="61" t="s">
        <v>1094</v>
      </c>
      <c r="M234" s="58">
        <v>2016.0</v>
      </c>
      <c r="N234" s="58">
        <v>19.0</v>
      </c>
      <c r="O234" s="62">
        <v>576.0</v>
      </c>
      <c r="P234" s="62">
        <f t="shared" si="8"/>
        <v>1612.8</v>
      </c>
      <c r="Q234" s="63">
        <v>8.0</v>
      </c>
      <c r="R234" s="58">
        <v>0.0</v>
      </c>
      <c r="S234" s="58">
        <v>8.0</v>
      </c>
      <c r="T234" s="58">
        <v>8.0</v>
      </c>
      <c r="U234" s="58">
        <v>16.0</v>
      </c>
      <c r="V234" s="58" t="s">
        <v>130</v>
      </c>
      <c r="W234" s="61" t="s">
        <v>76</v>
      </c>
      <c r="X234" s="28" t="s">
        <v>1033</v>
      </c>
      <c r="Y234" s="64">
        <v>31.0</v>
      </c>
      <c r="Z234" s="65">
        <f t="shared" si="2"/>
        <v>20.15</v>
      </c>
      <c r="AA234" s="65">
        <f t="shared" si="3"/>
        <v>32497.92</v>
      </c>
      <c r="AB234" s="65">
        <f t="shared" si="4"/>
        <v>1969.356808</v>
      </c>
      <c r="AC234" s="66">
        <v>1.0</v>
      </c>
      <c r="AD234" s="70"/>
      <c r="AE234" s="68">
        <f t="shared" si="5"/>
        <v>6557.377049</v>
      </c>
      <c r="AF234" s="69">
        <v>8000.0</v>
      </c>
      <c r="AG234" s="68">
        <f t="shared" si="6"/>
        <v>52459.01639</v>
      </c>
      <c r="AH234" s="70">
        <f t="shared" si="7"/>
        <v>64000</v>
      </c>
      <c r="AI234" s="71"/>
      <c r="AJ234" s="71"/>
      <c r="AK234" s="71"/>
      <c r="AL234" s="71"/>
    </row>
    <row r="235">
      <c r="A235" s="57" t="s">
        <v>1095</v>
      </c>
      <c r="B235" s="58" t="s">
        <v>142</v>
      </c>
      <c r="C235" s="58" t="s">
        <v>143</v>
      </c>
      <c r="D235" s="58" t="s">
        <v>61</v>
      </c>
      <c r="E235" s="58" t="s">
        <v>947</v>
      </c>
      <c r="F235" s="17" t="s">
        <v>63</v>
      </c>
      <c r="G235" s="59">
        <v>45989.0</v>
      </c>
      <c r="H235" s="58" t="s">
        <v>118</v>
      </c>
      <c r="I235" s="60" t="s">
        <v>1096</v>
      </c>
      <c r="J235" s="61" t="s">
        <v>1097</v>
      </c>
      <c r="K235" s="61" t="s">
        <v>1098</v>
      </c>
      <c r="L235" s="61" t="s">
        <v>1099</v>
      </c>
      <c r="M235" s="58">
        <v>2021.0</v>
      </c>
      <c r="N235" s="58">
        <v>17.0</v>
      </c>
      <c r="O235" s="62">
        <v>297.0</v>
      </c>
      <c r="P235" s="62">
        <f t="shared" si="8"/>
        <v>831.6</v>
      </c>
      <c r="Q235" s="63">
        <v>3.0</v>
      </c>
      <c r="R235" s="58">
        <v>3.0</v>
      </c>
      <c r="S235" s="58">
        <v>3.0</v>
      </c>
      <c r="T235" s="58">
        <v>0.0</v>
      </c>
      <c r="U235" s="58">
        <v>6.0</v>
      </c>
      <c r="V235" s="58" t="s">
        <v>75</v>
      </c>
      <c r="W235" s="61" t="s">
        <v>76</v>
      </c>
      <c r="X235" s="28" t="s">
        <v>1033</v>
      </c>
      <c r="Y235" s="64">
        <v>31.0</v>
      </c>
      <c r="Z235" s="65">
        <f t="shared" si="2"/>
        <v>20.15</v>
      </c>
      <c r="AA235" s="65">
        <f t="shared" si="3"/>
        <v>16756.74</v>
      </c>
      <c r="AB235" s="65">
        <f t="shared" si="4"/>
        <v>1432.259497</v>
      </c>
      <c r="AC235" s="66">
        <v>1.0</v>
      </c>
      <c r="AD235" s="67"/>
      <c r="AE235" s="68">
        <f t="shared" si="5"/>
        <v>6557.377049</v>
      </c>
      <c r="AF235" s="69">
        <v>8000.0</v>
      </c>
      <c r="AG235" s="68">
        <f t="shared" si="6"/>
        <v>19672.13115</v>
      </c>
      <c r="AH235" s="70">
        <f t="shared" si="7"/>
        <v>24000</v>
      </c>
      <c r="AI235" s="71"/>
      <c r="AJ235" s="71"/>
      <c r="AK235" s="71"/>
      <c r="AL235" s="71"/>
    </row>
    <row r="236">
      <c r="A236" s="57" t="s">
        <v>1095</v>
      </c>
      <c r="B236" s="58" t="s">
        <v>142</v>
      </c>
      <c r="C236" s="58" t="s">
        <v>143</v>
      </c>
      <c r="D236" s="58" t="s">
        <v>61</v>
      </c>
      <c r="E236" s="58" t="s">
        <v>947</v>
      </c>
      <c r="F236" s="17" t="s">
        <v>63</v>
      </c>
      <c r="G236" s="59">
        <v>45989.0</v>
      </c>
      <c r="H236" s="58" t="s">
        <v>118</v>
      </c>
      <c r="I236" s="60" t="s">
        <v>1096</v>
      </c>
      <c r="J236" s="61" t="s">
        <v>1097</v>
      </c>
      <c r="K236" s="61" t="s">
        <v>1098</v>
      </c>
      <c r="L236" s="61" t="s">
        <v>1099</v>
      </c>
      <c r="M236" s="58">
        <v>2021.0</v>
      </c>
      <c r="N236" s="58">
        <v>17.0</v>
      </c>
      <c r="O236" s="62">
        <v>297.0</v>
      </c>
      <c r="P236" s="62">
        <f t="shared" si="8"/>
        <v>831.6</v>
      </c>
      <c r="Q236" s="63">
        <v>3.0</v>
      </c>
      <c r="R236" s="58">
        <v>0.0</v>
      </c>
      <c r="S236" s="58">
        <v>3.0</v>
      </c>
      <c r="T236" s="58">
        <v>3.0</v>
      </c>
      <c r="U236" s="58">
        <v>6.0</v>
      </c>
      <c r="V236" s="58" t="s">
        <v>130</v>
      </c>
      <c r="W236" s="61" t="s">
        <v>76</v>
      </c>
      <c r="X236" s="28" t="s">
        <v>1033</v>
      </c>
      <c r="Y236" s="64">
        <v>31.0</v>
      </c>
      <c r="Z236" s="65">
        <f t="shared" si="2"/>
        <v>20.15</v>
      </c>
      <c r="AA236" s="65">
        <f t="shared" si="3"/>
        <v>16756.74</v>
      </c>
      <c r="AB236" s="65">
        <f t="shared" si="4"/>
        <v>1432.259497</v>
      </c>
      <c r="AC236" s="66">
        <v>1.0</v>
      </c>
      <c r="AD236" s="67"/>
      <c r="AE236" s="68">
        <f t="shared" si="5"/>
        <v>6557.377049</v>
      </c>
      <c r="AF236" s="69">
        <v>8000.0</v>
      </c>
      <c r="AG236" s="68">
        <f t="shared" si="6"/>
        <v>19672.13115</v>
      </c>
      <c r="AH236" s="70">
        <f t="shared" si="7"/>
        <v>24000</v>
      </c>
      <c r="AI236" s="71"/>
      <c r="AJ236" s="71"/>
      <c r="AK236" s="71"/>
      <c r="AL236" s="71"/>
    </row>
    <row r="237">
      <c r="A237" s="57" t="s">
        <v>1095</v>
      </c>
      <c r="B237" s="58" t="s">
        <v>142</v>
      </c>
      <c r="C237" s="58" t="s">
        <v>143</v>
      </c>
      <c r="D237" s="58" t="s">
        <v>61</v>
      </c>
      <c r="E237" s="58" t="s">
        <v>947</v>
      </c>
      <c r="F237" s="17" t="s">
        <v>63</v>
      </c>
      <c r="G237" s="59">
        <v>45989.0</v>
      </c>
      <c r="H237" s="58" t="s">
        <v>118</v>
      </c>
      <c r="I237" s="60" t="s">
        <v>1096</v>
      </c>
      <c r="J237" s="61" t="s">
        <v>1100</v>
      </c>
      <c r="K237" s="61" t="s">
        <v>1101</v>
      </c>
      <c r="L237" s="61" t="s">
        <v>1102</v>
      </c>
      <c r="M237" s="58">
        <v>2025.0</v>
      </c>
      <c r="N237" s="58">
        <v>20.0</v>
      </c>
      <c r="O237" s="62">
        <v>594.0</v>
      </c>
      <c r="P237" s="62">
        <f t="shared" si="8"/>
        <v>1663.2</v>
      </c>
      <c r="Q237" s="63">
        <v>5.0</v>
      </c>
      <c r="R237" s="58">
        <v>5.0</v>
      </c>
      <c r="S237" s="58">
        <v>5.0</v>
      </c>
      <c r="T237" s="58">
        <v>0.0</v>
      </c>
      <c r="U237" s="58">
        <v>10.0</v>
      </c>
      <c r="V237" s="58" t="s">
        <v>75</v>
      </c>
      <c r="W237" s="61" t="s">
        <v>76</v>
      </c>
      <c r="X237" s="28" t="s">
        <v>1033</v>
      </c>
      <c r="Y237" s="64">
        <v>31.0</v>
      </c>
      <c r="Z237" s="65">
        <f t="shared" si="2"/>
        <v>20.15</v>
      </c>
      <c r="AA237" s="65">
        <f t="shared" si="3"/>
        <v>33513.48</v>
      </c>
      <c r="AB237" s="65">
        <f t="shared" si="4"/>
        <v>1193.549581</v>
      </c>
      <c r="AC237" s="66">
        <v>1.0</v>
      </c>
      <c r="AD237" s="70"/>
      <c r="AE237" s="68">
        <f t="shared" si="5"/>
        <v>6557.377049</v>
      </c>
      <c r="AF237" s="69">
        <v>8000.0</v>
      </c>
      <c r="AG237" s="68">
        <f t="shared" si="6"/>
        <v>32786.88525</v>
      </c>
      <c r="AH237" s="70">
        <f t="shared" si="7"/>
        <v>40000</v>
      </c>
      <c r="AI237" s="71"/>
      <c r="AJ237" s="71"/>
      <c r="AK237" s="71"/>
      <c r="AL237" s="71"/>
    </row>
    <row r="238">
      <c r="A238" s="57" t="s">
        <v>1095</v>
      </c>
      <c r="B238" s="58" t="s">
        <v>142</v>
      </c>
      <c r="C238" s="58" t="s">
        <v>143</v>
      </c>
      <c r="D238" s="58" t="s">
        <v>61</v>
      </c>
      <c r="E238" s="58" t="s">
        <v>947</v>
      </c>
      <c r="F238" s="17" t="s">
        <v>63</v>
      </c>
      <c r="G238" s="59">
        <v>45989.0</v>
      </c>
      <c r="H238" s="58" t="s">
        <v>118</v>
      </c>
      <c r="I238" s="60" t="s">
        <v>1096</v>
      </c>
      <c r="J238" s="61" t="s">
        <v>1100</v>
      </c>
      <c r="K238" s="61" t="s">
        <v>1101</v>
      </c>
      <c r="L238" s="61" t="s">
        <v>1102</v>
      </c>
      <c r="M238" s="58">
        <v>2025.0</v>
      </c>
      <c r="N238" s="58">
        <v>20.0</v>
      </c>
      <c r="O238" s="62">
        <v>594.0</v>
      </c>
      <c r="P238" s="62">
        <f t="shared" si="8"/>
        <v>1663.2</v>
      </c>
      <c r="Q238" s="63">
        <v>5.0</v>
      </c>
      <c r="R238" s="58">
        <v>0.0</v>
      </c>
      <c r="S238" s="58">
        <v>5.0</v>
      </c>
      <c r="T238" s="58">
        <v>5.0</v>
      </c>
      <c r="U238" s="58">
        <v>10.0</v>
      </c>
      <c r="V238" s="58" t="s">
        <v>130</v>
      </c>
      <c r="W238" s="61" t="s">
        <v>76</v>
      </c>
      <c r="X238" s="28" t="s">
        <v>1033</v>
      </c>
      <c r="Y238" s="64">
        <v>31.0</v>
      </c>
      <c r="Z238" s="65">
        <f t="shared" si="2"/>
        <v>20.15</v>
      </c>
      <c r="AA238" s="65">
        <f t="shared" si="3"/>
        <v>33513.48</v>
      </c>
      <c r="AB238" s="65">
        <f t="shared" si="4"/>
        <v>1193.549581</v>
      </c>
      <c r="AC238" s="66">
        <v>1.0</v>
      </c>
      <c r="AD238" s="70"/>
      <c r="AE238" s="68">
        <f t="shared" si="5"/>
        <v>6557.377049</v>
      </c>
      <c r="AF238" s="69">
        <v>8000.0</v>
      </c>
      <c r="AG238" s="68">
        <f t="shared" si="6"/>
        <v>32786.88525</v>
      </c>
      <c r="AH238" s="70">
        <f t="shared" si="7"/>
        <v>40000</v>
      </c>
      <c r="AI238" s="71"/>
      <c r="AJ238" s="71"/>
      <c r="AK238" s="71"/>
      <c r="AL238" s="71"/>
    </row>
    <row r="239">
      <c r="A239" s="57" t="s">
        <v>1103</v>
      </c>
      <c r="B239" s="58" t="s">
        <v>142</v>
      </c>
      <c r="C239" s="58" t="s">
        <v>143</v>
      </c>
      <c r="D239" s="58" t="s">
        <v>61</v>
      </c>
      <c r="E239" s="58" t="s">
        <v>1104</v>
      </c>
      <c r="F239" s="17" t="s">
        <v>103</v>
      </c>
      <c r="G239" s="59">
        <v>45995.0</v>
      </c>
      <c r="H239" s="58" t="s">
        <v>118</v>
      </c>
      <c r="I239" s="60" t="s">
        <v>1105</v>
      </c>
      <c r="J239" s="61" t="s">
        <v>1106</v>
      </c>
      <c r="K239" s="61" t="s">
        <v>1107</v>
      </c>
      <c r="L239" s="61" t="s">
        <v>1108</v>
      </c>
      <c r="M239" s="58">
        <v>2013.0</v>
      </c>
      <c r="N239" s="58">
        <v>14.0</v>
      </c>
      <c r="O239" s="62">
        <v>83.0</v>
      </c>
      <c r="P239" s="62">
        <f t="shared" si="8"/>
        <v>232.4</v>
      </c>
      <c r="Q239" s="63">
        <v>1.0</v>
      </c>
      <c r="R239" s="58">
        <v>1.0</v>
      </c>
      <c r="S239" s="58">
        <v>1.0</v>
      </c>
      <c r="T239" s="58">
        <v>0.0</v>
      </c>
      <c r="U239" s="58">
        <v>2.0</v>
      </c>
      <c r="V239" s="58" t="s">
        <v>75</v>
      </c>
      <c r="W239" s="61" t="s">
        <v>76</v>
      </c>
      <c r="X239" s="28" t="s">
        <v>1033</v>
      </c>
      <c r="Y239" s="64">
        <v>31.0</v>
      </c>
      <c r="Z239" s="65">
        <f t="shared" si="2"/>
        <v>20.15</v>
      </c>
      <c r="AA239" s="65">
        <f t="shared" si="3"/>
        <v>4682.86</v>
      </c>
      <c r="AB239" s="65">
        <f t="shared" si="4"/>
        <v>1708.357713</v>
      </c>
      <c r="AC239" s="66">
        <v>1.0</v>
      </c>
      <c r="AD239" s="70"/>
      <c r="AE239" s="68">
        <f t="shared" si="5"/>
        <v>6557.377049</v>
      </c>
      <c r="AF239" s="69">
        <v>8000.0</v>
      </c>
      <c r="AG239" s="68">
        <f t="shared" si="6"/>
        <v>6557.377049</v>
      </c>
      <c r="AH239" s="70">
        <f t="shared" si="7"/>
        <v>8000</v>
      </c>
      <c r="AI239" s="71"/>
      <c r="AJ239" s="71"/>
      <c r="AK239" s="71"/>
      <c r="AL239" s="71"/>
    </row>
    <row r="240">
      <c r="A240" s="57" t="s">
        <v>1103</v>
      </c>
      <c r="B240" s="58" t="s">
        <v>142</v>
      </c>
      <c r="C240" s="58" t="s">
        <v>143</v>
      </c>
      <c r="D240" s="58" t="s">
        <v>61</v>
      </c>
      <c r="E240" s="58" t="s">
        <v>1104</v>
      </c>
      <c r="F240" s="17" t="s">
        <v>103</v>
      </c>
      <c r="G240" s="59">
        <v>45995.0</v>
      </c>
      <c r="H240" s="58" t="s">
        <v>118</v>
      </c>
      <c r="I240" s="60" t="s">
        <v>1105</v>
      </c>
      <c r="J240" s="61" t="s">
        <v>1109</v>
      </c>
      <c r="K240" s="61" t="s">
        <v>1110</v>
      </c>
      <c r="L240" s="61" t="s">
        <v>1111</v>
      </c>
      <c r="M240" s="58">
        <v>2017.0</v>
      </c>
      <c r="N240" s="58">
        <v>17.0</v>
      </c>
      <c r="O240" s="62">
        <v>175.0</v>
      </c>
      <c r="P240" s="62">
        <f t="shared" si="8"/>
        <v>490</v>
      </c>
      <c r="Q240" s="63">
        <v>2.0</v>
      </c>
      <c r="R240" s="58">
        <v>2.0</v>
      </c>
      <c r="S240" s="58">
        <v>2.0</v>
      </c>
      <c r="T240" s="58">
        <v>0.0</v>
      </c>
      <c r="U240" s="58">
        <v>4.0</v>
      </c>
      <c r="V240" s="58" t="s">
        <v>75</v>
      </c>
      <c r="W240" s="61" t="s">
        <v>76</v>
      </c>
      <c r="X240" s="28" t="s">
        <v>1033</v>
      </c>
      <c r="Y240" s="64">
        <v>31.0</v>
      </c>
      <c r="Z240" s="65">
        <f t="shared" si="2"/>
        <v>20.15</v>
      </c>
      <c r="AA240" s="65">
        <f t="shared" si="3"/>
        <v>9873.5</v>
      </c>
      <c r="AB240" s="65">
        <f t="shared" si="4"/>
        <v>1620.499316</v>
      </c>
      <c r="AC240" s="66">
        <v>1.0</v>
      </c>
      <c r="AD240" s="67"/>
      <c r="AE240" s="68">
        <f t="shared" si="5"/>
        <v>6557.377049</v>
      </c>
      <c r="AF240" s="69">
        <v>8000.0</v>
      </c>
      <c r="AG240" s="68">
        <f t="shared" si="6"/>
        <v>13114.7541</v>
      </c>
      <c r="AH240" s="70">
        <f t="shared" si="7"/>
        <v>16000</v>
      </c>
      <c r="AI240" s="71"/>
      <c r="AJ240" s="71"/>
      <c r="AK240" s="71"/>
      <c r="AL240" s="71"/>
    </row>
    <row r="241">
      <c r="A241" s="57" t="s">
        <v>1103</v>
      </c>
      <c r="B241" s="58" t="s">
        <v>142</v>
      </c>
      <c r="C241" s="58" t="s">
        <v>143</v>
      </c>
      <c r="D241" s="58" t="s">
        <v>61</v>
      </c>
      <c r="E241" s="58" t="s">
        <v>1104</v>
      </c>
      <c r="F241" s="17" t="s">
        <v>103</v>
      </c>
      <c r="G241" s="59">
        <v>45995.0</v>
      </c>
      <c r="H241" s="58" t="s">
        <v>118</v>
      </c>
      <c r="I241" s="60" t="s">
        <v>1105</v>
      </c>
      <c r="J241" s="61" t="s">
        <v>1112</v>
      </c>
      <c r="K241" s="61" t="s">
        <v>1113</v>
      </c>
      <c r="L241" s="61" t="s">
        <v>1114</v>
      </c>
      <c r="M241" s="58">
        <v>2016.0</v>
      </c>
      <c r="N241" s="58">
        <v>15.0</v>
      </c>
      <c r="O241" s="62">
        <v>572.0</v>
      </c>
      <c r="P241" s="62">
        <f t="shared" si="8"/>
        <v>1601.6</v>
      </c>
      <c r="Q241" s="63">
        <v>8.0</v>
      </c>
      <c r="R241" s="58">
        <v>8.0</v>
      </c>
      <c r="S241" s="58">
        <v>8.0</v>
      </c>
      <c r="T241" s="58">
        <v>0.0</v>
      </c>
      <c r="U241" s="58">
        <v>16.0</v>
      </c>
      <c r="V241" s="58" t="s">
        <v>75</v>
      </c>
      <c r="W241" s="61" t="s">
        <v>76</v>
      </c>
      <c r="X241" s="28" t="s">
        <v>1033</v>
      </c>
      <c r="Y241" s="64">
        <v>31.0</v>
      </c>
      <c r="Z241" s="65">
        <f t="shared" si="2"/>
        <v>20.15</v>
      </c>
      <c r="AA241" s="65">
        <f t="shared" si="3"/>
        <v>32272.24</v>
      </c>
      <c r="AB241" s="65">
        <f t="shared" si="4"/>
        <v>1983.128534</v>
      </c>
      <c r="AC241" s="66">
        <v>1.0</v>
      </c>
      <c r="AD241" s="67"/>
      <c r="AE241" s="68">
        <f t="shared" si="5"/>
        <v>6557.377049</v>
      </c>
      <c r="AF241" s="69">
        <v>8000.0</v>
      </c>
      <c r="AG241" s="68">
        <f t="shared" si="6"/>
        <v>52459.01639</v>
      </c>
      <c r="AH241" s="70">
        <f t="shared" si="7"/>
        <v>64000</v>
      </c>
      <c r="AI241" s="71"/>
      <c r="AJ241" s="71"/>
      <c r="AK241" s="71"/>
      <c r="AL241" s="71"/>
    </row>
    <row r="242">
      <c r="A242" s="57" t="s">
        <v>1103</v>
      </c>
      <c r="B242" s="58" t="s">
        <v>142</v>
      </c>
      <c r="C242" s="58" t="s">
        <v>143</v>
      </c>
      <c r="D242" s="58" t="s">
        <v>61</v>
      </c>
      <c r="E242" s="58" t="s">
        <v>1104</v>
      </c>
      <c r="F242" s="17" t="s">
        <v>103</v>
      </c>
      <c r="G242" s="59">
        <v>45995.0</v>
      </c>
      <c r="H242" s="58" t="s">
        <v>118</v>
      </c>
      <c r="I242" s="60" t="s">
        <v>1105</v>
      </c>
      <c r="J242" s="61" t="s">
        <v>1115</v>
      </c>
      <c r="K242" s="61" t="s">
        <v>1116</v>
      </c>
      <c r="L242" s="61" t="s">
        <v>1117</v>
      </c>
      <c r="M242" s="58">
        <v>2023.0</v>
      </c>
      <c r="N242" s="58">
        <v>17.0</v>
      </c>
      <c r="O242" s="62">
        <v>136.0</v>
      </c>
      <c r="P242" s="62">
        <f t="shared" si="8"/>
        <v>380.8</v>
      </c>
      <c r="Q242" s="63">
        <v>1.0</v>
      </c>
      <c r="R242" s="58">
        <v>1.0</v>
      </c>
      <c r="S242" s="58">
        <v>1.0</v>
      </c>
      <c r="T242" s="58">
        <v>0.0</v>
      </c>
      <c r="U242" s="58">
        <v>2.0</v>
      </c>
      <c r="V242" s="58" t="s">
        <v>75</v>
      </c>
      <c r="W242" s="61" t="s">
        <v>76</v>
      </c>
      <c r="X242" s="28" t="s">
        <v>1033</v>
      </c>
      <c r="Y242" s="64">
        <v>31.0</v>
      </c>
      <c r="Z242" s="65">
        <f t="shared" si="2"/>
        <v>20.15</v>
      </c>
      <c r="AA242" s="65">
        <f t="shared" si="3"/>
        <v>7673.12</v>
      </c>
      <c r="AB242" s="65">
        <f t="shared" si="4"/>
        <v>1042.600663</v>
      </c>
      <c r="AC242" s="66">
        <v>1.0</v>
      </c>
      <c r="AD242" s="70"/>
      <c r="AE242" s="68">
        <f t="shared" si="5"/>
        <v>6557.377049</v>
      </c>
      <c r="AF242" s="69">
        <v>8000.0</v>
      </c>
      <c r="AG242" s="68">
        <f t="shared" si="6"/>
        <v>6557.377049</v>
      </c>
      <c r="AH242" s="70">
        <f t="shared" si="7"/>
        <v>8000</v>
      </c>
      <c r="AI242" s="71"/>
      <c r="AJ242" s="71"/>
      <c r="AK242" s="71"/>
      <c r="AL242" s="71"/>
    </row>
    <row r="243">
      <c r="A243" s="57" t="s">
        <v>1118</v>
      </c>
      <c r="B243" s="58" t="s">
        <v>142</v>
      </c>
      <c r="C243" s="58" t="s">
        <v>143</v>
      </c>
      <c r="D243" s="58" t="s">
        <v>61</v>
      </c>
      <c r="E243" s="58" t="s">
        <v>1004</v>
      </c>
      <c r="F243" s="17" t="s">
        <v>63</v>
      </c>
      <c r="G243" s="59">
        <v>45995.0</v>
      </c>
      <c r="H243" s="58" t="s">
        <v>104</v>
      </c>
      <c r="I243" s="60" t="s">
        <v>1119</v>
      </c>
      <c r="J243" s="61" t="s">
        <v>1120</v>
      </c>
      <c r="K243" s="61" t="s">
        <v>1121</v>
      </c>
      <c r="L243" s="61" t="s">
        <v>1122</v>
      </c>
      <c r="M243" s="58">
        <v>2019.0</v>
      </c>
      <c r="N243" s="58">
        <v>19.0</v>
      </c>
      <c r="O243" s="62">
        <v>348.0</v>
      </c>
      <c r="P243" s="62">
        <f t="shared" si="8"/>
        <v>974.4</v>
      </c>
      <c r="Q243" s="63">
        <v>5.0</v>
      </c>
      <c r="R243" s="58">
        <v>5.0</v>
      </c>
      <c r="S243" s="58">
        <v>5.0</v>
      </c>
      <c r="T243" s="58">
        <v>0.0</v>
      </c>
      <c r="U243" s="58">
        <v>10.0</v>
      </c>
      <c r="V243" s="58" t="s">
        <v>75</v>
      </c>
      <c r="W243" s="61" t="s">
        <v>76</v>
      </c>
      <c r="X243" s="28" t="s">
        <v>1033</v>
      </c>
      <c r="Y243" s="64">
        <v>31.0</v>
      </c>
      <c r="Z243" s="65">
        <f t="shared" si="2"/>
        <v>20.15</v>
      </c>
      <c r="AA243" s="65">
        <f t="shared" si="3"/>
        <v>19634.16</v>
      </c>
      <c r="AB243" s="65">
        <f t="shared" si="4"/>
        <v>2037.265664</v>
      </c>
      <c r="AC243" s="66">
        <v>1.0</v>
      </c>
      <c r="AD243" s="70"/>
      <c r="AE243" s="68">
        <f t="shared" si="5"/>
        <v>6557.377049</v>
      </c>
      <c r="AF243" s="69">
        <v>8000.0</v>
      </c>
      <c r="AG243" s="68">
        <f t="shared" si="6"/>
        <v>32786.88525</v>
      </c>
      <c r="AH243" s="70">
        <f t="shared" si="7"/>
        <v>40000</v>
      </c>
      <c r="AI243" s="71"/>
      <c r="AJ243" s="71"/>
      <c r="AK243" s="71"/>
      <c r="AL243" s="71"/>
    </row>
    <row r="244">
      <c r="A244" s="57" t="s">
        <v>1118</v>
      </c>
      <c r="B244" s="58" t="s">
        <v>142</v>
      </c>
      <c r="C244" s="58" t="s">
        <v>143</v>
      </c>
      <c r="D244" s="58" t="s">
        <v>61</v>
      </c>
      <c r="E244" s="58" t="s">
        <v>1004</v>
      </c>
      <c r="F244" s="17" t="s">
        <v>63</v>
      </c>
      <c r="G244" s="59">
        <v>45995.0</v>
      </c>
      <c r="H244" s="58" t="s">
        <v>104</v>
      </c>
      <c r="I244" s="60" t="s">
        <v>1119</v>
      </c>
      <c r="J244" s="61" t="s">
        <v>1123</v>
      </c>
      <c r="K244" s="61" t="s">
        <v>1124</v>
      </c>
      <c r="L244" s="61" t="s">
        <v>1125</v>
      </c>
      <c r="M244" s="58">
        <v>2019.0</v>
      </c>
      <c r="N244" s="58">
        <v>19.0</v>
      </c>
      <c r="O244" s="62">
        <v>197.0</v>
      </c>
      <c r="P244" s="62">
        <f t="shared" si="8"/>
        <v>551.6</v>
      </c>
      <c r="Q244" s="63">
        <v>3.0</v>
      </c>
      <c r="R244" s="58">
        <v>3.0</v>
      </c>
      <c r="S244" s="58">
        <v>3.0</v>
      </c>
      <c r="T244" s="58">
        <v>0.0</v>
      </c>
      <c r="U244" s="58">
        <v>6.0</v>
      </c>
      <c r="V244" s="58" t="s">
        <v>75</v>
      </c>
      <c r="W244" s="61" t="s">
        <v>76</v>
      </c>
      <c r="X244" s="28" t="s">
        <v>1033</v>
      </c>
      <c r="Y244" s="64">
        <v>31.0</v>
      </c>
      <c r="Z244" s="65">
        <f t="shared" si="2"/>
        <v>20.15</v>
      </c>
      <c r="AA244" s="65">
        <f t="shared" si="3"/>
        <v>11114.74</v>
      </c>
      <c r="AB244" s="65">
        <f t="shared" si="4"/>
        <v>2159.294774</v>
      </c>
      <c r="AC244" s="66">
        <v>1.0</v>
      </c>
      <c r="AD244" s="70"/>
      <c r="AE244" s="68">
        <f t="shared" si="5"/>
        <v>6557.377049</v>
      </c>
      <c r="AF244" s="69">
        <v>8000.0</v>
      </c>
      <c r="AG244" s="68">
        <f t="shared" si="6"/>
        <v>19672.13115</v>
      </c>
      <c r="AH244" s="70">
        <f t="shared" si="7"/>
        <v>24000</v>
      </c>
      <c r="AI244" s="71"/>
      <c r="AJ244" s="71"/>
      <c r="AK244" s="71"/>
      <c r="AL244" s="71"/>
    </row>
    <row r="245">
      <c r="A245" s="57" t="s">
        <v>1126</v>
      </c>
      <c r="B245" s="58" t="s">
        <v>142</v>
      </c>
      <c r="C245" s="58" t="s">
        <v>143</v>
      </c>
      <c r="D245" s="58" t="s">
        <v>61</v>
      </c>
      <c r="E245" s="58" t="s">
        <v>957</v>
      </c>
      <c r="F245" s="17" t="s">
        <v>63</v>
      </c>
      <c r="G245" s="59">
        <v>45996.0</v>
      </c>
      <c r="H245" s="58" t="s">
        <v>104</v>
      </c>
      <c r="I245" s="60" t="s">
        <v>1127</v>
      </c>
      <c r="J245" s="61" t="s">
        <v>1128</v>
      </c>
      <c r="K245" s="61" t="s">
        <v>1129</v>
      </c>
      <c r="L245" s="61" t="s">
        <v>1130</v>
      </c>
      <c r="M245" s="58">
        <v>2015.0</v>
      </c>
      <c r="N245" s="58">
        <v>15.0</v>
      </c>
      <c r="O245" s="62">
        <v>302.0</v>
      </c>
      <c r="P245" s="62">
        <f t="shared" si="8"/>
        <v>845.6</v>
      </c>
      <c r="Q245" s="63">
        <v>4.0</v>
      </c>
      <c r="R245" s="58">
        <v>4.0</v>
      </c>
      <c r="S245" s="58">
        <v>4.0</v>
      </c>
      <c r="T245" s="58">
        <v>0.0</v>
      </c>
      <c r="U245" s="58">
        <v>8.0</v>
      </c>
      <c r="V245" s="58" t="s">
        <v>75</v>
      </c>
      <c r="W245" s="61" t="s">
        <v>76</v>
      </c>
      <c r="X245" s="28" t="s">
        <v>1033</v>
      </c>
      <c r="Y245" s="64">
        <v>31.0</v>
      </c>
      <c r="Z245" s="65">
        <f t="shared" si="2"/>
        <v>20.15</v>
      </c>
      <c r="AA245" s="65">
        <f t="shared" si="3"/>
        <v>17038.84</v>
      </c>
      <c r="AB245" s="65">
        <f t="shared" si="4"/>
        <v>1878.062122</v>
      </c>
      <c r="AC245" s="66">
        <v>1.0</v>
      </c>
      <c r="AD245" s="67"/>
      <c r="AE245" s="68">
        <f t="shared" si="5"/>
        <v>6557.377049</v>
      </c>
      <c r="AF245" s="69">
        <v>8000.0</v>
      </c>
      <c r="AG245" s="68">
        <f t="shared" si="6"/>
        <v>26229.5082</v>
      </c>
      <c r="AH245" s="70">
        <f t="shared" si="7"/>
        <v>32000</v>
      </c>
      <c r="AI245" s="71"/>
      <c r="AJ245" s="71"/>
      <c r="AK245" s="71"/>
      <c r="AL245" s="71"/>
    </row>
    <row r="246">
      <c r="A246" s="57" t="s">
        <v>1126</v>
      </c>
      <c r="B246" s="58" t="s">
        <v>142</v>
      </c>
      <c r="C246" s="58" t="s">
        <v>143</v>
      </c>
      <c r="D246" s="58" t="s">
        <v>61</v>
      </c>
      <c r="E246" s="58" t="s">
        <v>957</v>
      </c>
      <c r="F246" s="17" t="s">
        <v>63</v>
      </c>
      <c r="G246" s="59">
        <v>45996.0</v>
      </c>
      <c r="H246" s="58" t="s">
        <v>104</v>
      </c>
      <c r="I246" s="60" t="s">
        <v>1127</v>
      </c>
      <c r="J246" s="61" t="s">
        <v>1131</v>
      </c>
      <c r="K246" s="61" t="s">
        <v>1132</v>
      </c>
      <c r="L246" s="61" t="s">
        <v>1133</v>
      </c>
      <c r="M246" s="58">
        <v>2021.0</v>
      </c>
      <c r="N246" s="58">
        <v>19.0</v>
      </c>
      <c r="O246" s="62">
        <v>105.0</v>
      </c>
      <c r="P246" s="62">
        <f t="shared" si="8"/>
        <v>294</v>
      </c>
      <c r="Q246" s="63">
        <v>1.0</v>
      </c>
      <c r="R246" s="58">
        <v>1.0</v>
      </c>
      <c r="S246" s="58">
        <v>1.0</v>
      </c>
      <c r="T246" s="58">
        <v>0.0</v>
      </c>
      <c r="U246" s="58">
        <v>2.0</v>
      </c>
      <c r="V246" s="58" t="s">
        <v>75</v>
      </c>
      <c r="W246" s="61" t="s">
        <v>76</v>
      </c>
      <c r="X246" s="28" t="s">
        <v>1033</v>
      </c>
      <c r="Y246" s="64">
        <v>31.0</v>
      </c>
      <c r="Z246" s="65">
        <f t="shared" si="2"/>
        <v>20.15</v>
      </c>
      <c r="AA246" s="65">
        <f t="shared" si="3"/>
        <v>5924.1</v>
      </c>
      <c r="AB246" s="65">
        <f t="shared" si="4"/>
        <v>1350.416097</v>
      </c>
      <c r="AC246" s="66">
        <v>1.0</v>
      </c>
      <c r="AD246" s="67"/>
      <c r="AE246" s="68">
        <f t="shared" si="5"/>
        <v>6557.377049</v>
      </c>
      <c r="AF246" s="69">
        <v>8000.0</v>
      </c>
      <c r="AG246" s="68">
        <f t="shared" si="6"/>
        <v>6557.377049</v>
      </c>
      <c r="AH246" s="70">
        <f t="shared" si="7"/>
        <v>8000</v>
      </c>
      <c r="AI246" s="71"/>
      <c r="AJ246" s="71"/>
      <c r="AK246" s="71"/>
      <c r="AL246" s="71"/>
    </row>
    <row r="247">
      <c r="A247" s="57" t="s">
        <v>1126</v>
      </c>
      <c r="B247" s="58" t="s">
        <v>142</v>
      </c>
      <c r="C247" s="58" t="s">
        <v>143</v>
      </c>
      <c r="D247" s="58" t="s">
        <v>61</v>
      </c>
      <c r="E247" s="58" t="s">
        <v>957</v>
      </c>
      <c r="F247" s="17" t="s">
        <v>63</v>
      </c>
      <c r="G247" s="59">
        <v>45996.0</v>
      </c>
      <c r="H247" s="58" t="s">
        <v>104</v>
      </c>
      <c r="I247" s="60" t="s">
        <v>1127</v>
      </c>
      <c r="J247" s="61" t="s">
        <v>1134</v>
      </c>
      <c r="K247" s="61" t="s">
        <v>1135</v>
      </c>
      <c r="L247" s="61" t="s">
        <v>1136</v>
      </c>
      <c r="M247" s="58">
        <v>2014.0</v>
      </c>
      <c r="N247" s="58">
        <v>16.0</v>
      </c>
      <c r="O247" s="62">
        <v>245.0</v>
      </c>
      <c r="P247" s="62">
        <f t="shared" si="8"/>
        <v>686</v>
      </c>
      <c r="Q247" s="63">
        <v>4.0</v>
      </c>
      <c r="R247" s="58">
        <v>4.0</v>
      </c>
      <c r="S247" s="58">
        <v>4.0</v>
      </c>
      <c r="T247" s="58">
        <v>0.0</v>
      </c>
      <c r="U247" s="58">
        <v>8.0</v>
      </c>
      <c r="V247" s="58" t="s">
        <v>75</v>
      </c>
      <c r="W247" s="61" t="s">
        <v>76</v>
      </c>
      <c r="X247" s="28" t="s">
        <v>1033</v>
      </c>
      <c r="Y247" s="64">
        <v>31.0</v>
      </c>
      <c r="Z247" s="65">
        <f t="shared" si="2"/>
        <v>20.15</v>
      </c>
      <c r="AA247" s="65">
        <f t="shared" si="3"/>
        <v>13822.9</v>
      </c>
      <c r="AB247" s="65">
        <f t="shared" si="4"/>
        <v>2314.999023</v>
      </c>
      <c r="AC247" s="66">
        <v>1.0</v>
      </c>
      <c r="AD247" s="70"/>
      <c r="AE247" s="68">
        <f t="shared" si="5"/>
        <v>6557.377049</v>
      </c>
      <c r="AF247" s="69">
        <v>8000.0</v>
      </c>
      <c r="AG247" s="68">
        <f t="shared" si="6"/>
        <v>26229.5082</v>
      </c>
      <c r="AH247" s="70">
        <f t="shared" si="7"/>
        <v>32000</v>
      </c>
      <c r="AI247" s="71"/>
      <c r="AJ247" s="71"/>
      <c r="AK247" s="71"/>
      <c r="AL247" s="71"/>
    </row>
    <row r="248">
      <c r="A248" s="57" t="s">
        <v>1137</v>
      </c>
      <c r="B248" s="58" t="s">
        <v>142</v>
      </c>
      <c r="C248" s="58" t="s">
        <v>143</v>
      </c>
      <c r="D248" s="58" t="s">
        <v>940</v>
      </c>
      <c r="E248" s="58" t="s">
        <v>1067</v>
      </c>
      <c r="F248" s="17" t="s">
        <v>103</v>
      </c>
      <c r="G248" s="59">
        <v>46000.0</v>
      </c>
      <c r="H248" s="58" t="s">
        <v>118</v>
      </c>
      <c r="I248" s="60" t="s">
        <v>1138</v>
      </c>
      <c r="J248" s="61" t="s">
        <v>1139</v>
      </c>
      <c r="K248" s="61" t="s">
        <v>1140</v>
      </c>
      <c r="L248" s="61" t="s">
        <v>1141</v>
      </c>
      <c r="M248" s="58">
        <v>2017.0</v>
      </c>
      <c r="N248" s="58">
        <v>19.0</v>
      </c>
      <c r="O248" s="62">
        <v>192.0</v>
      </c>
      <c r="P248" s="62">
        <f t="shared" si="8"/>
        <v>537.6</v>
      </c>
      <c r="Q248" s="63">
        <v>3.0</v>
      </c>
      <c r="R248" s="58">
        <v>3.0</v>
      </c>
      <c r="S248" s="58">
        <v>3.0</v>
      </c>
      <c r="T248" s="58">
        <v>0.0</v>
      </c>
      <c r="U248" s="58">
        <v>6.0</v>
      </c>
      <c r="V248" s="58" t="s">
        <v>75</v>
      </c>
      <c r="W248" s="61" t="s">
        <v>76</v>
      </c>
      <c r="X248" s="28" t="s">
        <v>1033</v>
      </c>
      <c r="Y248" s="64">
        <v>31.0</v>
      </c>
      <c r="Z248" s="65">
        <f t="shared" si="2"/>
        <v>20.15</v>
      </c>
      <c r="AA248" s="65">
        <f t="shared" si="3"/>
        <v>10832.64</v>
      </c>
      <c r="AB248" s="65">
        <f t="shared" si="4"/>
        <v>2215.526409</v>
      </c>
      <c r="AC248" s="66">
        <v>1.0</v>
      </c>
      <c r="AD248" s="70"/>
      <c r="AE248" s="68">
        <f t="shared" si="5"/>
        <v>6557.377049</v>
      </c>
      <c r="AF248" s="69">
        <v>8000.0</v>
      </c>
      <c r="AG248" s="68">
        <f t="shared" si="6"/>
        <v>19672.13115</v>
      </c>
      <c r="AH248" s="70">
        <f t="shared" si="7"/>
        <v>24000</v>
      </c>
      <c r="AI248" s="71"/>
      <c r="AJ248" s="71"/>
      <c r="AK248" s="71"/>
      <c r="AL248" s="71"/>
    </row>
    <row r="249">
      <c r="A249" s="57" t="s">
        <v>1137</v>
      </c>
      <c r="B249" s="58" t="s">
        <v>142</v>
      </c>
      <c r="C249" s="58" t="s">
        <v>143</v>
      </c>
      <c r="D249" s="58" t="s">
        <v>940</v>
      </c>
      <c r="E249" s="58" t="s">
        <v>1067</v>
      </c>
      <c r="F249" s="17" t="s">
        <v>103</v>
      </c>
      <c r="G249" s="59">
        <v>46000.0</v>
      </c>
      <c r="H249" s="58" t="s">
        <v>118</v>
      </c>
      <c r="I249" s="60" t="s">
        <v>1138</v>
      </c>
      <c r="J249" s="61" t="s">
        <v>1142</v>
      </c>
      <c r="K249" s="61" t="s">
        <v>1143</v>
      </c>
      <c r="L249" s="61" t="s">
        <v>1144</v>
      </c>
      <c r="M249" s="58">
        <v>2015.0</v>
      </c>
      <c r="N249" s="58">
        <v>18.0</v>
      </c>
      <c r="O249" s="62">
        <v>507.0</v>
      </c>
      <c r="P249" s="62">
        <f t="shared" si="8"/>
        <v>1419.6</v>
      </c>
      <c r="Q249" s="63">
        <v>7.0</v>
      </c>
      <c r="R249" s="58">
        <v>7.0</v>
      </c>
      <c r="S249" s="58">
        <v>7.0</v>
      </c>
      <c r="T249" s="58">
        <v>0.0</v>
      </c>
      <c r="U249" s="58">
        <v>14.0</v>
      </c>
      <c r="V249" s="58" t="s">
        <v>75</v>
      </c>
      <c r="W249" s="61" t="s">
        <v>76</v>
      </c>
      <c r="X249" s="28" t="s">
        <v>1033</v>
      </c>
      <c r="Y249" s="64">
        <v>31.0</v>
      </c>
      <c r="Z249" s="65">
        <f t="shared" si="2"/>
        <v>20.15</v>
      </c>
      <c r="AA249" s="65">
        <f t="shared" si="3"/>
        <v>28604.94</v>
      </c>
      <c r="AB249" s="65">
        <f t="shared" si="4"/>
        <v>1957.703809</v>
      </c>
      <c r="AC249" s="66">
        <v>1.0</v>
      </c>
      <c r="AD249" s="70"/>
      <c r="AE249" s="68">
        <f t="shared" si="5"/>
        <v>6557.377049</v>
      </c>
      <c r="AF249" s="69">
        <v>8000.0</v>
      </c>
      <c r="AG249" s="68">
        <f t="shared" si="6"/>
        <v>45901.63934</v>
      </c>
      <c r="AH249" s="70">
        <f t="shared" si="7"/>
        <v>56000</v>
      </c>
      <c r="AI249" s="71"/>
      <c r="AJ249" s="71"/>
      <c r="AK249" s="71"/>
      <c r="AL249" s="71"/>
    </row>
    <row r="250">
      <c r="A250" s="57" t="s">
        <v>1145</v>
      </c>
      <c r="B250" s="58" t="s">
        <v>142</v>
      </c>
      <c r="C250" s="58" t="s">
        <v>143</v>
      </c>
      <c r="D250" s="58" t="s">
        <v>946</v>
      </c>
      <c r="E250" s="58" t="s">
        <v>957</v>
      </c>
      <c r="F250" s="17" t="s">
        <v>63</v>
      </c>
      <c r="G250" s="59">
        <v>46000.0</v>
      </c>
      <c r="H250" s="58" t="s">
        <v>118</v>
      </c>
      <c r="I250" s="60" t="s">
        <v>1146</v>
      </c>
      <c r="J250" s="61" t="s">
        <v>1147</v>
      </c>
      <c r="K250" s="61" t="s">
        <v>1148</v>
      </c>
      <c r="L250" s="61" t="s">
        <v>1149</v>
      </c>
      <c r="M250" s="58">
        <v>2015.0</v>
      </c>
      <c r="N250" s="58">
        <v>19.0</v>
      </c>
      <c r="O250" s="62">
        <v>741.0</v>
      </c>
      <c r="P250" s="62">
        <f t="shared" si="8"/>
        <v>2074.8</v>
      </c>
      <c r="Q250" s="63">
        <v>10.0</v>
      </c>
      <c r="R250" s="58">
        <v>10.0</v>
      </c>
      <c r="S250" s="58">
        <v>10.0</v>
      </c>
      <c r="T250" s="58">
        <v>0.0</v>
      </c>
      <c r="U250" s="58">
        <v>20.0</v>
      </c>
      <c r="V250" s="58" t="s">
        <v>75</v>
      </c>
      <c r="W250" s="61" t="s">
        <v>76</v>
      </c>
      <c r="X250" s="28" t="s">
        <v>1033</v>
      </c>
      <c r="Y250" s="64">
        <v>31.0</v>
      </c>
      <c r="Z250" s="65">
        <f t="shared" si="2"/>
        <v>20.15</v>
      </c>
      <c r="AA250" s="65">
        <f t="shared" si="3"/>
        <v>41807.22</v>
      </c>
      <c r="AB250" s="65">
        <f t="shared" si="4"/>
        <v>1913.545077</v>
      </c>
      <c r="AC250" s="66">
        <v>1.0</v>
      </c>
      <c r="AD250" s="67"/>
      <c r="AE250" s="68">
        <f t="shared" si="5"/>
        <v>6557.377049</v>
      </c>
      <c r="AF250" s="69">
        <v>8000.0</v>
      </c>
      <c r="AG250" s="68">
        <f t="shared" si="6"/>
        <v>65573.77049</v>
      </c>
      <c r="AH250" s="70">
        <f t="shared" si="7"/>
        <v>80000</v>
      </c>
      <c r="AI250" s="71"/>
      <c r="AJ250" s="71"/>
      <c r="AK250" s="71"/>
      <c r="AL250" s="71"/>
    </row>
    <row r="251">
      <c r="A251" s="57" t="s">
        <v>1145</v>
      </c>
      <c r="B251" s="58" t="s">
        <v>142</v>
      </c>
      <c r="C251" s="58" t="s">
        <v>143</v>
      </c>
      <c r="D251" s="58" t="s">
        <v>940</v>
      </c>
      <c r="E251" s="58" t="s">
        <v>957</v>
      </c>
      <c r="F251" s="17" t="s">
        <v>63</v>
      </c>
      <c r="G251" s="59">
        <v>46000.0</v>
      </c>
      <c r="H251" s="58" t="s">
        <v>118</v>
      </c>
      <c r="I251" s="60" t="s">
        <v>1146</v>
      </c>
      <c r="J251" s="61" t="s">
        <v>1150</v>
      </c>
      <c r="K251" s="61" t="s">
        <v>1151</v>
      </c>
      <c r="L251" s="61" t="s">
        <v>1152</v>
      </c>
      <c r="M251" s="58">
        <v>2020.0</v>
      </c>
      <c r="N251" s="58">
        <v>20.0</v>
      </c>
      <c r="O251" s="62">
        <v>311.0</v>
      </c>
      <c r="P251" s="62">
        <f t="shared" si="8"/>
        <v>870.8</v>
      </c>
      <c r="Q251" s="63">
        <v>4.0</v>
      </c>
      <c r="R251" s="58">
        <v>4.0</v>
      </c>
      <c r="S251" s="58">
        <v>4.0</v>
      </c>
      <c r="T251" s="58">
        <v>0.0</v>
      </c>
      <c r="U251" s="58">
        <v>8.0</v>
      </c>
      <c r="V251" s="58" t="s">
        <v>75</v>
      </c>
      <c r="W251" s="61" t="s">
        <v>76</v>
      </c>
      <c r="X251" s="28" t="s">
        <v>1033</v>
      </c>
      <c r="Y251" s="64">
        <v>31.0</v>
      </c>
      <c r="Z251" s="65">
        <f t="shared" si="2"/>
        <v>20.15</v>
      </c>
      <c r="AA251" s="65">
        <f t="shared" si="3"/>
        <v>17546.62</v>
      </c>
      <c r="AB251" s="65">
        <f t="shared" si="4"/>
        <v>1823.713057</v>
      </c>
      <c r="AC251" s="66">
        <v>1.0</v>
      </c>
      <c r="AD251" s="67"/>
      <c r="AE251" s="68">
        <f t="shared" si="5"/>
        <v>6557.377049</v>
      </c>
      <c r="AF251" s="69">
        <v>8000.0</v>
      </c>
      <c r="AG251" s="68">
        <f t="shared" si="6"/>
        <v>26229.5082</v>
      </c>
      <c r="AH251" s="70">
        <f t="shared" si="7"/>
        <v>32000</v>
      </c>
      <c r="AI251" s="71"/>
      <c r="AJ251" s="71"/>
      <c r="AK251" s="71"/>
      <c r="AL251" s="71"/>
    </row>
    <row r="252">
      <c r="A252" s="57" t="s">
        <v>1153</v>
      </c>
      <c r="B252" s="58" t="s">
        <v>142</v>
      </c>
      <c r="C252" s="58" t="s">
        <v>143</v>
      </c>
      <c r="D252" s="58" t="s">
        <v>940</v>
      </c>
      <c r="E252" s="58" t="s">
        <v>1067</v>
      </c>
      <c r="F252" s="17" t="s">
        <v>63</v>
      </c>
      <c r="G252" s="59">
        <v>45989.0</v>
      </c>
      <c r="H252" s="58" t="s">
        <v>118</v>
      </c>
      <c r="I252" s="60" t="s">
        <v>1154</v>
      </c>
      <c r="J252" s="61" t="s">
        <v>1155</v>
      </c>
      <c r="K252" s="61" t="s">
        <v>1156</v>
      </c>
      <c r="L252" s="61" t="s">
        <v>1157</v>
      </c>
      <c r="M252" s="58">
        <v>2024.0</v>
      </c>
      <c r="N252" s="58">
        <v>11.0</v>
      </c>
      <c r="O252" s="62">
        <v>110.0</v>
      </c>
      <c r="P252" s="62">
        <f t="shared" si="8"/>
        <v>308</v>
      </c>
      <c r="Q252" s="63">
        <v>1.0</v>
      </c>
      <c r="R252" s="58">
        <v>1.0</v>
      </c>
      <c r="S252" s="58">
        <v>1.0</v>
      </c>
      <c r="T252" s="58">
        <v>0.0</v>
      </c>
      <c r="U252" s="58">
        <v>2.0</v>
      </c>
      <c r="V252" s="58" t="s">
        <v>75</v>
      </c>
      <c r="W252" s="61" t="s">
        <v>76</v>
      </c>
      <c r="X252" s="28" t="s">
        <v>1033</v>
      </c>
      <c r="Y252" s="64">
        <v>31.0</v>
      </c>
      <c r="Z252" s="65">
        <f t="shared" si="2"/>
        <v>20.15</v>
      </c>
      <c r="AA252" s="65">
        <f t="shared" si="3"/>
        <v>6206.2</v>
      </c>
      <c r="AB252" s="65">
        <f t="shared" si="4"/>
        <v>1289.033547</v>
      </c>
      <c r="AC252" s="66">
        <v>1.0</v>
      </c>
      <c r="AD252" s="70"/>
      <c r="AE252" s="68">
        <f t="shared" si="5"/>
        <v>6557.377049</v>
      </c>
      <c r="AF252" s="69">
        <v>8000.0</v>
      </c>
      <c r="AG252" s="68">
        <f t="shared" si="6"/>
        <v>6557.377049</v>
      </c>
      <c r="AH252" s="70">
        <f t="shared" si="7"/>
        <v>8000</v>
      </c>
      <c r="AI252" s="71"/>
      <c r="AJ252" s="71"/>
      <c r="AK252" s="71"/>
      <c r="AL252" s="71"/>
    </row>
    <row r="253">
      <c r="A253" s="57" t="s">
        <v>1153</v>
      </c>
      <c r="B253" s="58" t="s">
        <v>142</v>
      </c>
      <c r="C253" s="58" t="s">
        <v>143</v>
      </c>
      <c r="D253" s="58" t="s">
        <v>940</v>
      </c>
      <c r="E253" s="58" t="s">
        <v>1067</v>
      </c>
      <c r="F253" s="17" t="s">
        <v>63</v>
      </c>
      <c r="G253" s="59">
        <v>45989.0</v>
      </c>
      <c r="H253" s="58" t="s">
        <v>118</v>
      </c>
      <c r="I253" s="60" t="s">
        <v>1154</v>
      </c>
      <c r="J253" s="61" t="s">
        <v>1158</v>
      </c>
      <c r="K253" s="61" t="s">
        <v>1159</v>
      </c>
      <c r="L253" s="61" t="s">
        <v>1160</v>
      </c>
      <c r="M253" s="58">
        <v>2019.0</v>
      </c>
      <c r="N253" s="58">
        <v>11.0</v>
      </c>
      <c r="O253" s="62">
        <v>99.0</v>
      </c>
      <c r="P253" s="62">
        <f t="shared" si="8"/>
        <v>277.2</v>
      </c>
      <c r="Q253" s="63">
        <v>2.0</v>
      </c>
      <c r="R253" s="58">
        <v>1.0</v>
      </c>
      <c r="S253" s="58">
        <v>1.0</v>
      </c>
      <c r="T253" s="58">
        <v>1.0</v>
      </c>
      <c r="U253" s="58">
        <v>2.0</v>
      </c>
      <c r="V253" s="58" t="s">
        <v>75</v>
      </c>
      <c r="W253" s="61" t="s">
        <v>76</v>
      </c>
      <c r="X253" s="28" t="s">
        <v>1033</v>
      </c>
      <c r="Y253" s="64">
        <v>31.0</v>
      </c>
      <c r="Z253" s="65">
        <f t="shared" si="2"/>
        <v>40.3</v>
      </c>
      <c r="AA253" s="65">
        <f t="shared" si="3"/>
        <v>11171.16</v>
      </c>
      <c r="AB253" s="65">
        <f t="shared" si="4"/>
        <v>1432.259497</v>
      </c>
      <c r="AC253" s="66">
        <v>1.0</v>
      </c>
      <c r="AD253" s="70"/>
      <c r="AE253" s="68">
        <f t="shared" si="5"/>
        <v>6557.377049</v>
      </c>
      <c r="AF253" s="69">
        <v>8000.0</v>
      </c>
      <c r="AG253" s="68">
        <f t="shared" si="6"/>
        <v>13114.7541</v>
      </c>
      <c r="AH253" s="70">
        <f t="shared" si="7"/>
        <v>16000</v>
      </c>
      <c r="AI253" s="71"/>
      <c r="AJ253" s="71"/>
      <c r="AK253" s="71"/>
      <c r="AL253" s="71"/>
    </row>
    <row r="254">
      <c r="A254" s="57" t="s">
        <v>1161</v>
      </c>
      <c r="B254" s="58" t="s">
        <v>142</v>
      </c>
      <c r="C254" s="58" t="s">
        <v>143</v>
      </c>
      <c r="D254" s="58" t="s">
        <v>61</v>
      </c>
      <c r="E254" s="58" t="s">
        <v>1004</v>
      </c>
      <c r="F254" s="17" t="s">
        <v>63</v>
      </c>
      <c r="G254" s="59">
        <v>46087.0</v>
      </c>
      <c r="H254" s="58" t="s">
        <v>104</v>
      </c>
      <c r="I254" s="60" t="s">
        <v>1162</v>
      </c>
      <c r="J254" s="61" t="s">
        <v>1163</v>
      </c>
      <c r="K254" s="61" t="s">
        <v>1164</v>
      </c>
      <c r="L254" s="61" t="s">
        <v>1165</v>
      </c>
      <c r="M254" s="58">
        <v>2025.0</v>
      </c>
      <c r="N254" s="58">
        <v>20.0</v>
      </c>
      <c r="O254" s="62">
        <v>137.0</v>
      </c>
      <c r="P254" s="62">
        <f t="shared" si="8"/>
        <v>383.6</v>
      </c>
      <c r="Q254" s="63">
        <v>2.0</v>
      </c>
      <c r="R254" s="58">
        <v>1.0</v>
      </c>
      <c r="S254" s="58">
        <v>1.0</v>
      </c>
      <c r="T254" s="58">
        <v>1.0</v>
      </c>
      <c r="U254" s="58">
        <v>2.0</v>
      </c>
      <c r="V254" s="58" t="s">
        <v>75</v>
      </c>
      <c r="W254" s="61" t="s">
        <v>76</v>
      </c>
      <c r="X254" s="28" t="s">
        <v>1033</v>
      </c>
      <c r="Y254" s="64">
        <v>31.0</v>
      </c>
      <c r="Z254" s="65">
        <f t="shared" si="2"/>
        <v>40.3</v>
      </c>
      <c r="AA254" s="65">
        <f t="shared" si="3"/>
        <v>15459.08</v>
      </c>
      <c r="AB254" s="65">
        <f t="shared" si="4"/>
        <v>1034.990439</v>
      </c>
      <c r="AC254" s="66">
        <v>1.0</v>
      </c>
      <c r="AD254" s="70"/>
      <c r="AE254" s="68">
        <f t="shared" si="5"/>
        <v>6557.377049</v>
      </c>
      <c r="AF254" s="69">
        <v>8000.0</v>
      </c>
      <c r="AG254" s="68">
        <f t="shared" si="6"/>
        <v>13114.7541</v>
      </c>
      <c r="AH254" s="70">
        <f t="shared" si="7"/>
        <v>16000</v>
      </c>
      <c r="AI254" s="71"/>
      <c r="AJ254" s="71"/>
      <c r="AK254" s="71"/>
      <c r="AL254" s="71"/>
    </row>
    <row r="255">
      <c r="A255" s="57" t="s">
        <v>1161</v>
      </c>
      <c r="B255" s="58" t="s">
        <v>142</v>
      </c>
      <c r="C255" s="58" t="s">
        <v>143</v>
      </c>
      <c r="D255" s="58" t="s">
        <v>61</v>
      </c>
      <c r="E255" s="58" t="s">
        <v>1004</v>
      </c>
      <c r="F255" s="17" t="s">
        <v>63</v>
      </c>
      <c r="G255" s="59">
        <v>46087.0</v>
      </c>
      <c r="H255" s="58" t="s">
        <v>104</v>
      </c>
      <c r="I255" s="60" t="s">
        <v>1162</v>
      </c>
      <c r="J255" s="61" t="s">
        <v>1166</v>
      </c>
      <c r="K255" s="61" t="s">
        <v>1167</v>
      </c>
      <c r="L255" s="61" t="s">
        <v>1168</v>
      </c>
      <c r="M255" s="58">
        <v>2025.0</v>
      </c>
      <c r="N255" s="58">
        <v>20.0</v>
      </c>
      <c r="O255" s="62">
        <v>306.0</v>
      </c>
      <c r="P255" s="62">
        <f t="shared" si="8"/>
        <v>856.8</v>
      </c>
      <c r="Q255" s="63">
        <v>3.0</v>
      </c>
      <c r="R255" s="58">
        <v>0.0</v>
      </c>
      <c r="S255" s="58">
        <v>3.0</v>
      </c>
      <c r="T255" s="58">
        <v>3.0</v>
      </c>
      <c r="U255" s="58">
        <v>6.0</v>
      </c>
      <c r="V255" s="58" t="s">
        <v>130</v>
      </c>
      <c r="W255" s="61" t="s">
        <v>76</v>
      </c>
      <c r="X255" s="28" t="s">
        <v>1033</v>
      </c>
      <c r="Y255" s="64">
        <v>31.0</v>
      </c>
      <c r="Z255" s="65">
        <f t="shared" si="2"/>
        <v>20.15</v>
      </c>
      <c r="AA255" s="65">
        <f t="shared" si="3"/>
        <v>17264.52</v>
      </c>
      <c r="AB255" s="65">
        <f t="shared" si="4"/>
        <v>1390.134217</v>
      </c>
      <c r="AC255" s="66">
        <v>1.0</v>
      </c>
      <c r="AD255" s="67"/>
      <c r="AE255" s="68">
        <f t="shared" si="5"/>
        <v>6557.377049</v>
      </c>
      <c r="AF255" s="69">
        <v>8000.0</v>
      </c>
      <c r="AG255" s="68">
        <f t="shared" si="6"/>
        <v>19672.13115</v>
      </c>
      <c r="AH255" s="70">
        <f t="shared" si="7"/>
        <v>24000</v>
      </c>
      <c r="AI255" s="71"/>
      <c r="AJ255" s="71"/>
      <c r="AK255" s="71"/>
      <c r="AL255" s="71"/>
    </row>
    <row r="256">
      <c r="A256" s="57" t="s">
        <v>1161</v>
      </c>
      <c r="B256" s="58" t="s">
        <v>142</v>
      </c>
      <c r="C256" s="58" t="s">
        <v>143</v>
      </c>
      <c r="D256" s="58" t="s">
        <v>61</v>
      </c>
      <c r="E256" s="58" t="s">
        <v>1004</v>
      </c>
      <c r="F256" s="17" t="s">
        <v>63</v>
      </c>
      <c r="G256" s="59">
        <v>46087.0</v>
      </c>
      <c r="H256" s="58" t="s">
        <v>104</v>
      </c>
      <c r="I256" s="60" t="s">
        <v>1162</v>
      </c>
      <c r="J256" s="61" t="s">
        <v>1166</v>
      </c>
      <c r="K256" s="61" t="s">
        <v>1167</v>
      </c>
      <c r="L256" s="61" t="s">
        <v>1168</v>
      </c>
      <c r="M256" s="58">
        <v>2025.0</v>
      </c>
      <c r="N256" s="58">
        <v>20.0</v>
      </c>
      <c r="O256" s="62">
        <v>306.0</v>
      </c>
      <c r="P256" s="62">
        <f t="shared" si="8"/>
        <v>856.8</v>
      </c>
      <c r="Q256" s="63">
        <v>3.0</v>
      </c>
      <c r="R256" s="58">
        <v>3.0</v>
      </c>
      <c r="S256" s="58">
        <v>3.0</v>
      </c>
      <c r="T256" s="58">
        <v>0.0</v>
      </c>
      <c r="U256" s="58">
        <v>6.0</v>
      </c>
      <c r="V256" s="58" t="s">
        <v>75</v>
      </c>
      <c r="W256" s="61" t="s">
        <v>76</v>
      </c>
      <c r="X256" s="28" t="s">
        <v>1033</v>
      </c>
      <c r="Y256" s="64">
        <v>31.0</v>
      </c>
      <c r="Z256" s="65">
        <f t="shared" si="2"/>
        <v>20.15</v>
      </c>
      <c r="AA256" s="65">
        <f t="shared" si="3"/>
        <v>17264.52</v>
      </c>
      <c r="AB256" s="65">
        <f t="shared" si="4"/>
        <v>1390.134217</v>
      </c>
      <c r="AC256" s="66">
        <v>1.0</v>
      </c>
      <c r="AD256" s="67"/>
      <c r="AE256" s="68">
        <f t="shared" si="5"/>
        <v>6557.377049</v>
      </c>
      <c r="AF256" s="69">
        <v>8000.0</v>
      </c>
      <c r="AG256" s="68">
        <f t="shared" si="6"/>
        <v>19672.13115</v>
      </c>
      <c r="AH256" s="70">
        <f t="shared" si="7"/>
        <v>24000</v>
      </c>
      <c r="AI256" s="71"/>
      <c r="AJ256" s="71"/>
      <c r="AK256" s="71"/>
      <c r="AL256" s="71"/>
    </row>
    <row r="257">
      <c r="A257" s="57" t="s">
        <v>1161</v>
      </c>
      <c r="B257" s="58" t="s">
        <v>142</v>
      </c>
      <c r="C257" s="58" t="s">
        <v>143</v>
      </c>
      <c r="D257" s="58" t="s">
        <v>61</v>
      </c>
      <c r="E257" s="58" t="s">
        <v>1004</v>
      </c>
      <c r="F257" s="17" t="s">
        <v>63</v>
      </c>
      <c r="G257" s="59">
        <v>46087.0</v>
      </c>
      <c r="H257" s="58" t="s">
        <v>104</v>
      </c>
      <c r="I257" s="60" t="s">
        <v>1162</v>
      </c>
      <c r="J257" s="61" t="s">
        <v>1169</v>
      </c>
      <c r="K257" s="61" t="s">
        <v>1170</v>
      </c>
      <c r="L257" s="61" t="s">
        <v>1171</v>
      </c>
      <c r="M257" s="58">
        <v>2025.0</v>
      </c>
      <c r="N257" s="58">
        <v>20.0</v>
      </c>
      <c r="O257" s="62">
        <v>221.0</v>
      </c>
      <c r="P257" s="62">
        <f t="shared" si="8"/>
        <v>618.8</v>
      </c>
      <c r="Q257" s="63">
        <v>2.0</v>
      </c>
      <c r="R257" s="58">
        <v>1.0</v>
      </c>
      <c r="S257" s="58">
        <v>1.0</v>
      </c>
      <c r="T257" s="58">
        <v>1.0</v>
      </c>
      <c r="U257" s="58">
        <v>2.0</v>
      </c>
      <c r="V257" s="58" t="s">
        <v>75</v>
      </c>
      <c r="W257" s="61" t="s">
        <v>76</v>
      </c>
      <c r="X257" s="28" t="s">
        <v>1033</v>
      </c>
      <c r="Y257" s="64">
        <v>31.0</v>
      </c>
      <c r="Z257" s="65">
        <f t="shared" si="2"/>
        <v>40.3</v>
      </c>
      <c r="AA257" s="65">
        <f t="shared" si="3"/>
        <v>24937.64</v>
      </c>
      <c r="AB257" s="65">
        <f t="shared" si="4"/>
        <v>641.6004081</v>
      </c>
      <c r="AC257" s="66">
        <v>1.0</v>
      </c>
      <c r="AD257" s="67"/>
      <c r="AE257" s="68">
        <f t="shared" si="5"/>
        <v>6557.377049</v>
      </c>
      <c r="AF257" s="69">
        <v>8000.0</v>
      </c>
      <c r="AG257" s="68">
        <f t="shared" si="6"/>
        <v>13114.7541</v>
      </c>
      <c r="AH257" s="70">
        <f t="shared" si="7"/>
        <v>16000</v>
      </c>
      <c r="AI257" s="71"/>
      <c r="AJ257" s="71"/>
      <c r="AK257" s="71"/>
      <c r="AL257" s="71"/>
    </row>
    <row r="258">
      <c r="A258" s="57" t="s">
        <v>1161</v>
      </c>
      <c r="B258" s="58" t="s">
        <v>142</v>
      </c>
      <c r="C258" s="58" t="s">
        <v>143</v>
      </c>
      <c r="D258" s="58" t="s">
        <v>61</v>
      </c>
      <c r="E258" s="58" t="s">
        <v>1004</v>
      </c>
      <c r="F258" s="17" t="s">
        <v>63</v>
      </c>
      <c r="G258" s="59">
        <v>46087.0</v>
      </c>
      <c r="H258" s="58" t="s">
        <v>104</v>
      </c>
      <c r="I258" s="60" t="s">
        <v>1162</v>
      </c>
      <c r="J258" s="61" t="s">
        <v>1172</v>
      </c>
      <c r="K258" s="61" t="s">
        <v>1173</v>
      </c>
      <c r="L258" s="61" t="s">
        <v>1174</v>
      </c>
      <c r="M258" s="58">
        <v>2025.0</v>
      </c>
      <c r="N258" s="58">
        <v>20.0</v>
      </c>
      <c r="O258" s="62">
        <v>136.0</v>
      </c>
      <c r="P258" s="62">
        <f t="shared" si="8"/>
        <v>380.8</v>
      </c>
      <c r="Q258" s="63">
        <v>2.0</v>
      </c>
      <c r="R258" s="58">
        <v>1.0</v>
      </c>
      <c r="S258" s="58">
        <v>1.0</v>
      </c>
      <c r="T258" s="58">
        <v>1.0</v>
      </c>
      <c r="U258" s="58">
        <v>2.0</v>
      </c>
      <c r="V258" s="58" t="s">
        <v>75</v>
      </c>
      <c r="W258" s="61" t="s">
        <v>76</v>
      </c>
      <c r="X258" s="28" t="s">
        <v>1033</v>
      </c>
      <c r="Y258" s="64">
        <v>31.0</v>
      </c>
      <c r="Z258" s="65">
        <f t="shared" si="2"/>
        <v>40.3</v>
      </c>
      <c r="AA258" s="65">
        <f t="shared" si="3"/>
        <v>15346.24</v>
      </c>
      <c r="AB258" s="65">
        <f t="shared" si="4"/>
        <v>1042.600663</v>
      </c>
      <c r="AC258" s="66">
        <v>1.0</v>
      </c>
      <c r="AD258" s="70"/>
      <c r="AE258" s="68">
        <f t="shared" si="5"/>
        <v>6557.377049</v>
      </c>
      <c r="AF258" s="69">
        <v>8000.0</v>
      </c>
      <c r="AG258" s="68">
        <f t="shared" si="6"/>
        <v>13114.7541</v>
      </c>
      <c r="AH258" s="70">
        <f t="shared" si="7"/>
        <v>16000</v>
      </c>
      <c r="AI258" s="71"/>
      <c r="AJ258" s="71"/>
      <c r="AK258" s="71"/>
      <c r="AL258" s="71"/>
    </row>
    <row r="259">
      <c r="A259" s="57" t="s">
        <v>1175</v>
      </c>
      <c r="B259" s="58" t="s">
        <v>142</v>
      </c>
      <c r="C259" s="58" t="s">
        <v>143</v>
      </c>
      <c r="D259" s="58" t="s">
        <v>940</v>
      </c>
      <c r="E259" s="58" t="s">
        <v>1067</v>
      </c>
      <c r="F259" s="17" t="s">
        <v>63</v>
      </c>
      <c r="G259" s="59">
        <v>46092.0</v>
      </c>
      <c r="H259" s="58" t="s">
        <v>65</v>
      </c>
      <c r="I259" s="60" t="s">
        <v>1176</v>
      </c>
      <c r="J259" s="61" t="s">
        <v>1177</v>
      </c>
      <c r="K259" s="61" t="s">
        <v>1178</v>
      </c>
      <c r="L259" s="61" t="s">
        <v>1179</v>
      </c>
      <c r="M259" s="58">
        <v>2023.0</v>
      </c>
      <c r="N259" s="58">
        <v>15.0</v>
      </c>
      <c r="O259" s="62">
        <v>248.0</v>
      </c>
      <c r="P259" s="62">
        <f t="shared" si="8"/>
        <v>694.4</v>
      </c>
      <c r="Q259" s="63">
        <v>6.0</v>
      </c>
      <c r="R259" s="58">
        <v>3.0</v>
      </c>
      <c r="S259" s="58">
        <v>3.0</v>
      </c>
      <c r="T259" s="58">
        <v>3.0</v>
      </c>
      <c r="U259" s="58">
        <v>5.0</v>
      </c>
      <c r="V259" s="58" t="s">
        <v>75</v>
      </c>
      <c r="W259" s="61" t="s">
        <v>76</v>
      </c>
      <c r="X259" s="28" t="s">
        <v>1033</v>
      </c>
      <c r="Y259" s="64">
        <v>31.0</v>
      </c>
      <c r="Z259" s="65">
        <f t="shared" si="2"/>
        <v>44.33</v>
      </c>
      <c r="AA259" s="65">
        <f t="shared" si="3"/>
        <v>30782.752</v>
      </c>
      <c r="AB259" s="65">
        <f t="shared" si="4"/>
        <v>1559.314775</v>
      </c>
      <c r="AC259" s="66">
        <v>1.0</v>
      </c>
      <c r="AD259" s="70"/>
      <c r="AE259" s="68">
        <f t="shared" si="5"/>
        <v>6557.377049</v>
      </c>
      <c r="AF259" s="69">
        <v>8000.0</v>
      </c>
      <c r="AG259" s="68">
        <f t="shared" si="6"/>
        <v>39344.2623</v>
      </c>
      <c r="AH259" s="70">
        <f t="shared" si="7"/>
        <v>48000</v>
      </c>
      <c r="AI259" s="71"/>
      <c r="AJ259" s="71"/>
      <c r="AK259" s="71"/>
      <c r="AL259" s="71"/>
    </row>
    <row r="260">
      <c r="A260" s="57" t="s">
        <v>1180</v>
      </c>
      <c r="B260" s="58" t="s">
        <v>142</v>
      </c>
      <c r="C260" s="58" t="s">
        <v>143</v>
      </c>
      <c r="D260" s="58" t="s">
        <v>61</v>
      </c>
      <c r="E260" s="58" t="s">
        <v>1004</v>
      </c>
      <c r="F260" s="17" t="s">
        <v>103</v>
      </c>
      <c r="G260" s="59">
        <v>46101.0</v>
      </c>
      <c r="H260" s="58" t="s">
        <v>104</v>
      </c>
      <c r="I260" s="60" t="s">
        <v>1181</v>
      </c>
      <c r="J260" s="61" t="s">
        <v>1182</v>
      </c>
      <c r="K260" s="61" t="s">
        <v>1183</v>
      </c>
      <c r="L260" s="61" t="s">
        <v>1184</v>
      </c>
      <c r="M260" s="58">
        <v>2014.0</v>
      </c>
      <c r="N260" s="58">
        <v>11.0</v>
      </c>
      <c r="O260" s="62">
        <v>105.0</v>
      </c>
      <c r="P260" s="62">
        <f t="shared" si="8"/>
        <v>294</v>
      </c>
      <c r="Q260" s="63">
        <v>8.0</v>
      </c>
      <c r="R260" s="58">
        <v>4.0</v>
      </c>
      <c r="S260" s="58">
        <v>4.0</v>
      </c>
      <c r="T260" s="58">
        <v>4.0</v>
      </c>
      <c r="U260" s="58">
        <v>4.0</v>
      </c>
      <c r="V260" s="58" t="s">
        <v>75</v>
      </c>
      <c r="W260" s="61" t="s">
        <v>76</v>
      </c>
      <c r="X260" s="28" t="s">
        <v>1033</v>
      </c>
      <c r="Y260" s="64">
        <v>31.0</v>
      </c>
      <c r="Z260" s="65">
        <f t="shared" si="2"/>
        <v>60.45</v>
      </c>
      <c r="AA260" s="65">
        <f t="shared" si="3"/>
        <v>17772.3</v>
      </c>
      <c r="AB260" s="65">
        <f t="shared" si="4"/>
        <v>3601.109592</v>
      </c>
      <c r="AC260" s="66">
        <v>1.0</v>
      </c>
      <c r="AD260" s="70"/>
      <c r="AE260" s="68">
        <f t="shared" si="5"/>
        <v>6557.377049</v>
      </c>
      <c r="AF260" s="69">
        <v>8000.0</v>
      </c>
      <c r="AG260" s="68">
        <f t="shared" si="6"/>
        <v>52459.01639</v>
      </c>
      <c r="AH260" s="70">
        <f t="shared" si="7"/>
        <v>64000</v>
      </c>
      <c r="AI260" s="71"/>
      <c r="AJ260" s="71"/>
      <c r="AK260" s="71"/>
      <c r="AL260" s="71"/>
    </row>
    <row r="261">
      <c r="A261" s="57" t="s">
        <v>1180</v>
      </c>
      <c r="B261" s="58" t="s">
        <v>142</v>
      </c>
      <c r="C261" s="58" t="s">
        <v>143</v>
      </c>
      <c r="D261" s="58" t="s">
        <v>61</v>
      </c>
      <c r="E261" s="58" t="s">
        <v>1004</v>
      </c>
      <c r="F261" s="17" t="s">
        <v>103</v>
      </c>
      <c r="G261" s="59">
        <v>46101.0</v>
      </c>
      <c r="H261" s="58" t="s">
        <v>104</v>
      </c>
      <c r="I261" s="60" t="s">
        <v>1181</v>
      </c>
      <c r="J261" s="61" t="s">
        <v>1185</v>
      </c>
      <c r="K261" s="61" t="s">
        <v>1186</v>
      </c>
      <c r="L261" s="100"/>
      <c r="M261" s="58">
        <v>2016.0</v>
      </c>
      <c r="N261" s="58">
        <v>18.0</v>
      </c>
      <c r="O261" s="62">
        <v>256.0</v>
      </c>
      <c r="P261" s="62">
        <f t="shared" si="8"/>
        <v>716.8</v>
      </c>
      <c r="Q261" s="63">
        <v>6.0</v>
      </c>
      <c r="R261" s="58">
        <v>3.0</v>
      </c>
      <c r="S261" s="58">
        <v>1.0</v>
      </c>
      <c r="T261" s="58">
        <v>3.0</v>
      </c>
      <c r="U261" s="58">
        <v>1.0</v>
      </c>
      <c r="V261" s="58" t="s">
        <v>130</v>
      </c>
      <c r="W261" s="61" t="s">
        <v>76</v>
      </c>
      <c r="X261" s="28" t="s">
        <v>1033</v>
      </c>
      <c r="Y261" s="64">
        <v>31.0</v>
      </c>
      <c r="Z261" s="65">
        <f t="shared" si="2"/>
        <v>181.35</v>
      </c>
      <c r="AA261" s="65">
        <f t="shared" si="3"/>
        <v>129991.68</v>
      </c>
      <c r="AB261" s="65">
        <f t="shared" si="4"/>
        <v>369.2544015</v>
      </c>
      <c r="AC261" s="66">
        <v>1.0</v>
      </c>
      <c r="AD261" s="70"/>
      <c r="AE261" s="68">
        <f t="shared" si="5"/>
        <v>6557.377049</v>
      </c>
      <c r="AF261" s="69">
        <v>8000.0</v>
      </c>
      <c r="AG261" s="68">
        <f t="shared" si="6"/>
        <v>39344.2623</v>
      </c>
      <c r="AH261" s="70">
        <f t="shared" si="7"/>
        <v>48000</v>
      </c>
      <c r="AI261" s="71"/>
      <c r="AJ261" s="71"/>
      <c r="AK261" s="71"/>
      <c r="AL261" s="71"/>
    </row>
    <row r="262">
      <c r="A262" s="57" t="s">
        <v>1187</v>
      </c>
      <c r="B262" s="58" t="s">
        <v>142</v>
      </c>
      <c r="C262" s="58" t="s">
        <v>143</v>
      </c>
      <c r="D262" s="58" t="s">
        <v>61</v>
      </c>
      <c r="E262" s="58" t="s">
        <v>1067</v>
      </c>
      <c r="F262" s="17" t="s">
        <v>103</v>
      </c>
      <c r="G262" s="59">
        <v>46107.0</v>
      </c>
      <c r="H262" s="58" t="s">
        <v>104</v>
      </c>
      <c r="I262" s="60" t="s">
        <v>1188</v>
      </c>
      <c r="J262" s="61" t="s">
        <v>1189</v>
      </c>
      <c r="K262" s="61" t="s">
        <v>1190</v>
      </c>
      <c r="L262" s="61" t="s">
        <v>1191</v>
      </c>
      <c r="M262" s="58">
        <v>2011.0</v>
      </c>
      <c r="N262" s="58">
        <v>8.0</v>
      </c>
      <c r="O262" s="62">
        <v>63.0</v>
      </c>
      <c r="P262" s="62">
        <f t="shared" si="8"/>
        <v>176.4</v>
      </c>
      <c r="Q262" s="63">
        <v>3.0</v>
      </c>
      <c r="R262" s="58">
        <v>3.0</v>
      </c>
      <c r="S262" s="58">
        <v>3.0</v>
      </c>
      <c r="T262" s="58">
        <v>0.0</v>
      </c>
      <c r="U262" s="58">
        <v>3.0</v>
      </c>
      <c r="V262" s="58" t="s">
        <v>75</v>
      </c>
      <c r="W262" s="61" t="s">
        <v>76</v>
      </c>
      <c r="X262" s="28" t="s">
        <v>1033</v>
      </c>
      <c r="Y262" s="64">
        <v>31.0</v>
      </c>
      <c r="Z262" s="65">
        <f t="shared" si="2"/>
        <v>20.15</v>
      </c>
      <c r="AA262" s="65">
        <f t="shared" si="3"/>
        <v>3554.46</v>
      </c>
      <c r="AB262" s="65">
        <f t="shared" si="4"/>
        <v>6752.080485</v>
      </c>
      <c r="AC262" s="66">
        <v>1.0</v>
      </c>
      <c r="AD262" s="67"/>
      <c r="AE262" s="68">
        <f t="shared" si="5"/>
        <v>6557.377049</v>
      </c>
      <c r="AF262" s="69">
        <v>8000.0</v>
      </c>
      <c r="AG262" s="68">
        <f t="shared" si="6"/>
        <v>19672.13115</v>
      </c>
      <c r="AH262" s="70">
        <f t="shared" si="7"/>
        <v>24000</v>
      </c>
      <c r="AI262" s="71"/>
      <c r="AJ262" s="71"/>
      <c r="AK262" s="71"/>
      <c r="AL262" s="71"/>
    </row>
    <row r="263">
      <c r="A263" s="57" t="s">
        <v>1187</v>
      </c>
      <c r="B263" s="58" t="s">
        <v>142</v>
      </c>
      <c r="C263" s="58" t="s">
        <v>143</v>
      </c>
      <c r="D263" s="58" t="s">
        <v>940</v>
      </c>
      <c r="E263" s="58" t="s">
        <v>1067</v>
      </c>
      <c r="F263" s="17" t="s">
        <v>103</v>
      </c>
      <c r="G263" s="59">
        <v>46107.0</v>
      </c>
      <c r="H263" s="58" t="s">
        <v>104</v>
      </c>
      <c r="I263" s="58" t="s">
        <v>1188</v>
      </c>
      <c r="J263" s="61" t="s">
        <v>1192</v>
      </c>
      <c r="K263" s="61" t="s">
        <v>1193</v>
      </c>
      <c r="L263" s="61" t="s">
        <v>1194</v>
      </c>
      <c r="M263" s="58">
        <v>2007.0</v>
      </c>
      <c r="N263" s="58">
        <v>14.0</v>
      </c>
      <c r="O263" s="62">
        <v>72.0</v>
      </c>
      <c r="P263" s="62">
        <f t="shared" si="8"/>
        <v>201.6</v>
      </c>
      <c r="Q263" s="63">
        <v>4.0</v>
      </c>
      <c r="R263" s="58">
        <v>0.0</v>
      </c>
      <c r="S263" s="58">
        <v>1.0</v>
      </c>
      <c r="T263" s="58">
        <v>4.0</v>
      </c>
      <c r="U263" s="58">
        <v>2.0</v>
      </c>
      <c r="V263" s="58" t="s">
        <v>130</v>
      </c>
      <c r="W263" s="61" t="s">
        <v>76</v>
      </c>
      <c r="X263" s="28" t="s">
        <v>1033</v>
      </c>
      <c r="Y263" s="64">
        <v>31.0</v>
      </c>
      <c r="Z263" s="65">
        <f t="shared" si="2"/>
        <v>80.6</v>
      </c>
      <c r="AA263" s="65">
        <f t="shared" si="3"/>
        <v>16248.96</v>
      </c>
      <c r="AB263" s="65">
        <f t="shared" si="4"/>
        <v>1969.356808</v>
      </c>
      <c r="AC263" s="66">
        <v>1.0</v>
      </c>
      <c r="AD263" s="67"/>
      <c r="AE263" s="68">
        <f t="shared" si="5"/>
        <v>6557.377049</v>
      </c>
      <c r="AF263" s="69">
        <v>8000.0</v>
      </c>
      <c r="AG263" s="68">
        <f t="shared" si="6"/>
        <v>26229.5082</v>
      </c>
      <c r="AH263" s="70">
        <f t="shared" si="7"/>
        <v>32000</v>
      </c>
      <c r="AI263" s="71"/>
      <c r="AJ263" s="71"/>
      <c r="AK263" s="71"/>
      <c r="AL263" s="71"/>
    </row>
    <row r="264">
      <c r="A264" s="57" t="s">
        <v>1187</v>
      </c>
      <c r="B264" s="58" t="s">
        <v>142</v>
      </c>
      <c r="C264" s="58" t="s">
        <v>143</v>
      </c>
      <c r="D264" s="58" t="s">
        <v>61</v>
      </c>
      <c r="E264" s="58" t="s">
        <v>1067</v>
      </c>
      <c r="F264" s="17" t="s">
        <v>103</v>
      </c>
      <c r="G264" s="59">
        <v>46107.0</v>
      </c>
      <c r="H264" s="58" t="s">
        <v>104</v>
      </c>
      <c r="I264" s="60" t="s">
        <v>1188</v>
      </c>
      <c r="J264" s="61" t="s">
        <v>1195</v>
      </c>
      <c r="K264" s="61" t="s">
        <v>1196</v>
      </c>
      <c r="L264" s="61" t="s">
        <v>1197</v>
      </c>
      <c r="M264" s="58">
        <v>2021.0</v>
      </c>
      <c r="N264" s="58">
        <v>10.0</v>
      </c>
      <c r="O264" s="62">
        <v>66.0</v>
      </c>
      <c r="P264" s="62">
        <f t="shared" si="8"/>
        <v>184.8</v>
      </c>
      <c r="Q264" s="63">
        <v>4.0</v>
      </c>
      <c r="R264" s="58">
        <v>0.0</v>
      </c>
      <c r="S264" s="58">
        <v>2.0</v>
      </c>
      <c r="T264" s="58">
        <v>4.0</v>
      </c>
      <c r="U264" s="58">
        <v>2.0</v>
      </c>
      <c r="V264" s="58" t="s">
        <v>130</v>
      </c>
      <c r="W264" s="61" t="s">
        <v>76</v>
      </c>
      <c r="X264" s="28" t="s">
        <v>1033</v>
      </c>
      <c r="Y264" s="64">
        <v>31.0</v>
      </c>
      <c r="Z264" s="65">
        <f t="shared" si="2"/>
        <v>80.6</v>
      </c>
      <c r="AA264" s="65">
        <f t="shared" si="3"/>
        <v>14894.88</v>
      </c>
      <c r="AB264" s="65">
        <f t="shared" si="4"/>
        <v>2148.389245</v>
      </c>
      <c r="AC264" s="66">
        <v>1.0</v>
      </c>
      <c r="AD264" s="67"/>
      <c r="AE264" s="68">
        <f t="shared" si="5"/>
        <v>6557.377049</v>
      </c>
      <c r="AF264" s="69">
        <v>8000.0</v>
      </c>
      <c r="AG264" s="68">
        <f t="shared" si="6"/>
        <v>26229.5082</v>
      </c>
      <c r="AH264" s="70">
        <f t="shared" si="7"/>
        <v>32000</v>
      </c>
      <c r="AI264" s="71"/>
      <c r="AJ264" s="71"/>
      <c r="AK264" s="71"/>
      <c r="AL264" s="71"/>
    </row>
    <row r="265">
      <c r="A265" s="57" t="s">
        <v>1187</v>
      </c>
      <c r="B265" s="58" t="s">
        <v>142</v>
      </c>
      <c r="C265" s="58" t="s">
        <v>143</v>
      </c>
      <c r="D265" s="58" t="s">
        <v>61</v>
      </c>
      <c r="E265" s="58" t="s">
        <v>1067</v>
      </c>
      <c r="F265" s="17" t="s">
        <v>103</v>
      </c>
      <c r="G265" s="59">
        <v>46107.0</v>
      </c>
      <c r="H265" s="58" t="s">
        <v>104</v>
      </c>
      <c r="I265" s="60" t="s">
        <v>1188</v>
      </c>
      <c r="J265" s="61" t="s">
        <v>1198</v>
      </c>
      <c r="K265" s="61" t="s">
        <v>1199</v>
      </c>
      <c r="L265" s="61" t="s">
        <v>1200</v>
      </c>
      <c r="M265" s="58">
        <v>2006.0</v>
      </c>
      <c r="N265" s="58">
        <v>11.0</v>
      </c>
      <c r="O265" s="62">
        <v>94.0</v>
      </c>
      <c r="P265" s="62">
        <f t="shared" si="8"/>
        <v>263.2</v>
      </c>
      <c r="Q265" s="63">
        <v>4.0</v>
      </c>
      <c r="R265" s="58">
        <v>0.0</v>
      </c>
      <c r="S265" s="58">
        <v>4.0</v>
      </c>
      <c r="T265" s="58">
        <v>4.0</v>
      </c>
      <c r="U265" s="58">
        <v>4.0</v>
      </c>
      <c r="V265" s="58" t="s">
        <v>130</v>
      </c>
      <c r="W265" s="61" t="s">
        <v>76</v>
      </c>
      <c r="X265" s="28" t="s">
        <v>1033</v>
      </c>
      <c r="Y265" s="64">
        <v>31.0</v>
      </c>
      <c r="Z265" s="65">
        <f t="shared" si="2"/>
        <v>40.3</v>
      </c>
      <c r="AA265" s="65">
        <f t="shared" si="3"/>
        <v>10606.96</v>
      </c>
      <c r="AB265" s="65">
        <f t="shared" si="4"/>
        <v>3016.887025</v>
      </c>
      <c r="AC265" s="66">
        <v>1.0</v>
      </c>
      <c r="AD265" s="70"/>
      <c r="AE265" s="68">
        <f t="shared" si="5"/>
        <v>6557.377049</v>
      </c>
      <c r="AF265" s="69">
        <v>8000.0</v>
      </c>
      <c r="AG265" s="68">
        <f t="shared" si="6"/>
        <v>26229.5082</v>
      </c>
      <c r="AH265" s="70">
        <f t="shared" si="7"/>
        <v>32000</v>
      </c>
      <c r="AI265" s="71"/>
      <c r="AJ265" s="71"/>
      <c r="AK265" s="71"/>
      <c r="AL265" s="71"/>
    </row>
    <row r="266">
      <c r="A266" s="57" t="s">
        <v>1201</v>
      </c>
      <c r="B266" s="58" t="s">
        <v>142</v>
      </c>
      <c r="C266" s="58" t="s">
        <v>143</v>
      </c>
      <c r="D266" s="58" t="s">
        <v>940</v>
      </c>
      <c r="E266" s="58" t="s">
        <v>1067</v>
      </c>
      <c r="F266" s="17" t="s">
        <v>103</v>
      </c>
      <c r="G266" s="59">
        <v>46133.0</v>
      </c>
      <c r="H266" s="58" t="s">
        <v>104</v>
      </c>
      <c r="I266" s="60" t="s">
        <v>258</v>
      </c>
      <c r="J266" s="61" t="s">
        <v>1202</v>
      </c>
      <c r="K266" s="61" t="s">
        <v>1203</v>
      </c>
      <c r="L266" s="61" t="s">
        <v>1204</v>
      </c>
      <c r="M266" s="58">
        <v>2015.0</v>
      </c>
      <c r="N266" s="58">
        <v>14.0</v>
      </c>
      <c r="O266" s="62">
        <v>119.0</v>
      </c>
      <c r="P266" s="62">
        <f t="shared" si="8"/>
        <v>333.2</v>
      </c>
      <c r="Q266" s="63">
        <v>2.0</v>
      </c>
      <c r="R266" s="58">
        <v>2.0</v>
      </c>
      <c r="S266" s="58">
        <v>3.0</v>
      </c>
      <c r="T266" s="58">
        <v>0.0</v>
      </c>
      <c r="U266" s="58">
        <v>4.0</v>
      </c>
      <c r="V266" s="58" t="s">
        <v>130</v>
      </c>
      <c r="W266" s="61" t="s">
        <v>76</v>
      </c>
      <c r="X266" s="28" t="s">
        <v>1033</v>
      </c>
      <c r="Y266" s="64">
        <v>31.0</v>
      </c>
      <c r="Z266" s="65">
        <f t="shared" si="2"/>
        <v>13.43333333</v>
      </c>
      <c r="AA266" s="65">
        <f t="shared" si="3"/>
        <v>4475.986667</v>
      </c>
      <c r="AB266" s="65">
        <f t="shared" si="4"/>
        <v>3574.630845</v>
      </c>
      <c r="AC266" s="66">
        <v>1.0</v>
      </c>
      <c r="AD266" s="70"/>
      <c r="AE266" s="68">
        <f t="shared" si="5"/>
        <v>6557.377049</v>
      </c>
      <c r="AF266" s="69">
        <v>8000.0</v>
      </c>
      <c r="AG266" s="68">
        <f t="shared" si="6"/>
        <v>13114.7541</v>
      </c>
      <c r="AH266" s="70">
        <f t="shared" si="7"/>
        <v>16000</v>
      </c>
      <c r="AI266" s="71"/>
      <c r="AJ266" s="71"/>
      <c r="AK266" s="71"/>
      <c r="AL266" s="71"/>
    </row>
    <row r="267">
      <c r="A267" s="57" t="s">
        <v>1201</v>
      </c>
      <c r="B267" s="58" t="s">
        <v>142</v>
      </c>
      <c r="C267" s="58" t="s">
        <v>143</v>
      </c>
      <c r="D267" s="58" t="s">
        <v>940</v>
      </c>
      <c r="E267" s="58" t="s">
        <v>1067</v>
      </c>
      <c r="F267" s="17" t="s">
        <v>103</v>
      </c>
      <c r="G267" s="59">
        <v>46133.0</v>
      </c>
      <c r="H267" s="58" t="s">
        <v>104</v>
      </c>
      <c r="I267" s="60" t="s">
        <v>258</v>
      </c>
      <c r="J267" s="61" t="s">
        <v>1205</v>
      </c>
      <c r="K267" s="61" t="s">
        <v>1206</v>
      </c>
      <c r="L267" s="61" t="s">
        <v>1207</v>
      </c>
      <c r="M267" s="58">
        <v>2015.0</v>
      </c>
      <c r="N267" s="58">
        <v>14.0</v>
      </c>
      <c r="O267" s="62">
        <v>172.0</v>
      </c>
      <c r="P267" s="62">
        <f t="shared" si="8"/>
        <v>481.6</v>
      </c>
      <c r="Q267" s="63">
        <v>3.0</v>
      </c>
      <c r="R267" s="58">
        <v>3.0</v>
      </c>
      <c r="S267" s="58">
        <v>3.0</v>
      </c>
      <c r="T267" s="58">
        <v>0.0</v>
      </c>
      <c r="U267" s="58">
        <v>6.0</v>
      </c>
      <c r="V267" s="58" t="s">
        <v>130</v>
      </c>
      <c r="W267" s="61" t="s">
        <v>76</v>
      </c>
      <c r="X267" s="28" t="s">
        <v>1033</v>
      </c>
      <c r="Y267" s="64">
        <v>31.0</v>
      </c>
      <c r="Z267" s="65">
        <f t="shared" si="2"/>
        <v>20.15</v>
      </c>
      <c r="AA267" s="65">
        <f t="shared" si="3"/>
        <v>9704.24</v>
      </c>
      <c r="AB267" s="65">
        <f t="shared" si="4"/>
        <v>2473.145759</v>
      </c>
      <c r="AC267" s="66">
        <v>1.0</v>
      </c>
      <c r="AD267" s="70"/>
      <c r="AE267" s="68">
        <f t="shared" si="5"/>
        <v>6557.377049</v>
      </c>
      <c r="AF267" s="69">
        <v>8000.0</v>
      </c>
      <c r="AG267" s="68">
        <f t="shared" si="6"/>
        <v>19672.13115</v>
      </c>
      <c r="AH267" s="70">
        <f t="shared" si="7"/>
        <v>24000</v>
      </c>
      <c r="AI267" s="71"/>
      <c r="AJ267" s="71"/>
      <c r="AK267" s="71"/>
      <c r="AL267" s="71"/>
    </row>
    <row r="268">
      <c r="A268" s="57" t="s">
        <v>1201</v>
      </c>
      <c r="B268" s="58" t="s">
        <v>142</v>
      </c>
      <c r="C268" s="58" t="s">
        <v>143</v>
      </c>
      <c r="D268" s="58" t="s">
        <v>940</v>
      </c>
      <c r="E268" s="58" t="s">
        <v>1067</v>
      </c>
      <c r="F268" s="17" t="s">
        <v>103</v>
      </c>
      <c r="G268" s="59">
        <v>46133.0</v>
      </c>
      <c r="H268" s="58" t="s">
        <v>104</v>
      </c>
      <c r="I268" s="60" t="s">
        <v>258</v>
      </c>
      <c r="J268" s="61" t="s">
        <v>1208</v>
      </c>
      <c r="K268" s="61" t="s">
        <v>1206</v>
      </c>
      <c r="L268" s="61" t="s">
        <v>1207</v>
      </c>
      <c r="M268" s="58">
        <v>2015.0</v>
      </c>
      <c r="N268" s="58">
        <v>14.0</v>
      </c>
      <c r="O268" s="62">
        <v>172.0</v>
      </c>
      <c r="P268" s="62">
        <f t="shared" si="8"/>
        <v>481.6</v>
      </c>
      <c r="Q268" s="63">
        <v>2.0</v>
      </c>
      <c r="R268" s="58">
        <v>2.0</v>
      </c>
      <c r="S268" s="58">
        <v>3.0</v>
      </c>
      <c r="T268" s="58">
        <v>0.0</v>
      </c>
      <c r="U268" s="58">
        <v>6.0</v>
      </c>
      <c r="V268" s="58" t="s">
        <v>130</v>
      </c>
      <c r="W268" s="61" t="s">
        <v>76</v>
      </c>
      <c r="X268" s="28" t="s">
        <v>1033</v>
      </c>
      <c r="Y268" s="64">
        <v>31.0</v>
      </c>
      <c r="Z268" s="65">
        <f t="shared" si="2"/>
        <v>13.43333333</v>
      </c>
      <c r="AA268" s="65">
        <f t="shared" si="3"/>
        <v>6469.493333</v>
      </c>
      <c r="AB268" s="65">
        <f t="shared" si="4"/>
        <v>2473.145759</v>
      </c>
      <c r="AC268" s="66">
        <v>1.0</v>
      </c>
      <c r="AD268" s="67"/>
      <c r="AE268" s="68">
        <f t="shared" si="5"/>
        <v>6557.377049</v>
      </c>
      <c r="AF268" s="69">
        <v>8000.0</v>
      </c>
      <c r="AG268" s="68">
        <f t="shared" si="6"/>
        <v>13114.7541</v>
      </c>
      <c r="AH268" s="70">
        <f t="shared" si="7"/>
        <v>16000</v>
      </c>
      <c r="AI268" s="71"/>
      <c r="AJ268" s="71"/>
      <c r="AK268" s="71"/>
      <c r="AL268" s="71"/>
    </row>
    <row r="269">
      <c r="A269" s="76" t="s">
        <v>1209</v>
      </c>
      <c r="B269" s="74" t="s">
        <v>142</v>
      </c>
      <c r="C269" s="74" t="s">
        <v>143</v>
      </c>
      <c r="D269" s="74" t="s">
        <v>940</v>
      </c>
      <c r="E269" s="78"/>
      <c r="F269" s="17" t="s">
        <v>103</v>
      </c>
      <c r="G269" s="59">
        <v>46258.0</v>
      </c>
      <c r="H269" s="58" t="s">
        <v>104</v>
      </c>
      <c r="I269" s="77" t="s">
        <v>1210</v>
      </c>
      <c r="J269" s="75" t="s">
        <v>1211</v>
      </c>
      <c r="K269" s="75" t="s">
        <v>1212</v>
      </c>
      <c r="L269" s="78"/>
      <c r="M269" s="74">
        <v>2025.0</v>
      </c>
      <c r="N269" s="74">
        <v>11.0</v>
      </c>
      <c r="O269" s="79">
        <v>311.0</v>
      </c>
      <c r="P269" s="79">
        <f t="shared" si="8"/>
        <v>870.8</v>
      </c>
      <c r="Q269" s="76">
        <v>12.0</v>
      </c>
      <c r="R269" s="74">
        <v>6.0</v>
      </c>
      <c r="S269" s="74">
        <v>6.0</v>
      </c>
      <c r="T269" s="74">
        <v>6.0</v>
      </c>
      <c r="U269" s="74">
        <v>6.0</v>
      </c>
      <c r="V269" s="74" t="s">
        <v>130</v>
      </c>
      <c r="W269" s="75" t="s">
        <v>76</v>
      </c>
      <c r="X269" s="28" t="s">
        <v>1033</v>
      </c>
      <c r="Y269" s="64">
        <v>31.0</v>
      </c>
      <c r="Z269" s="65">
        <f t="shared" si="2"/>
        <v>60.45</v>
      </c>
      <c r="AA269" s="65">
        <f t="shared" si="3"/>
        <v>52639.86</v>
      </c>
      <c r="AB269" s="65">
        <f t="shared" si="4"/>
        <v>1823.713057</v>
      </c>
      <c r="AC269" s="66">
        <v>1.0</v>
      </c>
      <c r="AD269" s="67"/>
      <c r="AE269" s="68">
        <f t="shared" si="5"/>
        <v>6557.377049</v>
      </c>
      <c r="AF269" s="69">
        <v>8000.0</v>
      </c>
      <c r="AG269" s="68">
        <f t="shared" si="6"/>
        <v>78688.52459</v>
      </c>
      <c r="AH269" s="70">
        <f t="shared" si="7"/>
        <v>96000</v>
      </c>
      <c r="AI269" s="71"/>
      <c r="AJ269" s="71"/>
      <c r="AK269" s="71"/>
      <c r="AL269" s="71"/>
    </row>
    <row r="270">
      <c r="A270" s="57" t="s">
        <v>1213</v>
      </c>
      <c r="B270" s="58" t="s">
        <v>142</v>
      </c>
      <c r="C270" s="58" t="s">
        <v>143</v>
      </c>
      <c r="D270" s="58" t="s">
        <v>61</v>
      </c>
      <c r="E270" s="58" t="s">
        <v>947</v>
      </c>
      <c r="F270" s="17" t="s">
        <v>103</v>
      </c>
      <c r="G270" s="59">
        <v>46133.0</v>
      </c>
      <c r="H270" s="58" t="s">
        <v>104</v>
      </c>
      <c r="I270" s="60" t="s">
        <v>1214</v>
      </c>
      <c r="J270" s="61" t="s">
        <v>1215</v>
      </c>
      <c r="K270" s="61" t="s">
        <v>1216</v>
      </c>
      <c r="L270" s="61" t="s">
        <v>1217</v>
      </c>
      <c r="M270" s="58">
        <v>2017.0</v>
      </c>
      <c r="N270" s="58">
        <v>18.0</v>
      </c>
      <c r="O270" s="62">
        <v>494.0</v>
      </c>
      <c r="P270" s="62">
        <f t="shared" si="8"/>
        <v>1383.2</v>
      </c>
      <c r="Q270" s="63">
        <v>12.0</v>
      </c>
      <c r="R270" s="58">
        <v>6.0</v>
      </c>
      <c r="S270" s="58">
        <v>6.0</v>
      </c>
      <c r="T270" s="58">
        <v>6.0</v>
      </c>
      <c r="U270" s="58">
        <v>12.0</v>
      </c>
      <c r="V270" s="58" t="s">
        <v>130</v>
      </c>
      <c r="W270" s="61" t="s">
        <v>76</v>
      </c>
      <c r="X270" s="28" t="s">
        <v>1033</v>
      </c>
      <c r="Y270" s="64">
        <v>31.0</v>
      </c>
      <c r="Z270" s="65">
        <f t="shared" si="2"/>
        <v>40.3</v>
      </c>
      <c r="AA270" s="65">
        <f t="shared" si="3"/>
        <v>55742.96</v>
      </c>
      <c r="AB270" s="65">
        <f t="shared" si="4"/>
        <v>1722.190569</v>
      </c>
      <c r="AC270" s="66">
        <v>1.0</v>
      </c>
      <c r="AD270" s="70"/>
      <c r="AE270" s="68">
        <f t="shared" si="5"/>
        <v>6557.377049</v>
      </c>
      <c r="AF270" s="69">
        <v>8000.0</v>
      </c>
      <c r="AG270" s="68">
        <f t="shared" si="6"/>
        <v>78688.52459</v>
      </c>
      <c r="AH270" s="70">
        <f t="shared" si="7"/>
        <v>96000</v>
      </c>
      <c r="AI270" s="71"/>
      <c r="AJ270" s="71"/>
      <c r="AK270" s="71"/>
      <c r="AL270" s="71"/>
    </row>
    <row r="271">
      <c r="A271" s="57" t="s">
        <v>1218</v>
      </c>
      <c r="B271" s="58" t="s">
        <v>142</v>
      </c>
      <c r="C271" s="58" t="s">
        <v>143</v>
      </c>
      <c r="D271" s="58" t="s">
        <v>946</v>
      </c>
      <c r="E271" s="58" t="s">
        <v>947</v>
      </c>
      <c r="F271" s="17" t="s">
        <v>103</v>
      </c>
      <c r="G271" s="59">
        <v>46154.0</v>
      </c>
      <c r="H271" s="58" t="s">
        <v>104</v>
      </c>
      <c r="I271" s="60" t="s">
        <v>1219</v>
      </c>
      <c r="J271" s="61" t="s">
        <v>1220</v>
      </c>
      <c r="K271" s="61" t="s">
        <v>1221</v>
      </c>
      <c r="L271" s="61" t="s">
        <v>1222</v>
      </c>
      <c r="M271" s="58">
        <v>2015.0</v>
      </c>
      <c r="N271" s="58">
        <v>17.0</v>
      </c>
      <c r="O271" s="62">
        <v>505.0</v>
      </c>
      <c r="P271" s="62">
        <f t="shared" si="8"/>
        <v>1414</v>
      </c>
      <c r="Q271" s="63">
        <v>5.0</v>
      </c>
      <c r="R271" s="58">
        <v>5.0</v>
      </c>
      <c r="S271" s="58">
        <v>5.0</v>
      </c>
      <c r="T271" s="58">
        <v>0.0</v>
      </c>
      <c r="U271" s="58">
        <v>10.0</v>
      </c>
      <c r="V271" s="58" t="s">
        <v>75</v>
      </c>
      <c r="W271" s="61" t="s">
        <v>76</v>
      </c>
      <c r="X271" s="28" t="s">
        <v>1033</v>
      </c>
      <c r="Y271" s="64">
        <v>31.0</v>
      </c>
      <c r="Z271" s="65">
        <f t="shared" si="2"/>
        <v>20.15</v>
      </c>
      <c r="AA271" s="65">
        <f t="shared" si="3"/>
        <v>28492.1</v>
      </c>
      <c r="AB271" s="65">
        <f t="shared" si="4"/>
        <v>1403.897923</v>
      </c>
      <c r="AC271" s="66">
        <v>1.0</v>
      </c>
      <c r="AD271" s="70"/>
      <c r="AE271" s="68">
        <f t="shared" si="5"/>
        <v>6557.377049</v>
      </c>
      <c r="AF271" s="69">
        <v>8000.0</v>
      </c>
      <c r="AG271" s="68">
        <f t="shared" si="6"/>
        <v>32786.88525</v>
      </c>
      <c r="AH271" s="70">
        <f t="shared" si="7"/>
        <v>40000</v>
      </c>
      <c r="AI271" s="71"/>
      <c r="AJ271" s="71"/>
      <c r="AK271" s="71"/>
      <c r="AL271" s="71"/>
    </row>
    <row r="272">
      <c r="A272" s="57" t="s">
        <v>1218</v>
      </c>
      <c r="B272" s="58" t="s">
        <v>142</v>
      </c>
      <c r="C272" s="58" t="s">
        <v>143</v>
      </c>
      <c r="D272" s="58" t="s">
        <v>946</v>
      </c>
      <c r="E272" s="58" t="s">
        <v>947</v>
      </c>
      <c r="F272" s="17" t="s">
        <v>103</v>
      </c>
      <c r="G272" s="59">
        <v>46154.0</v>
      </c>
      <c r="H272" s="58" t="s">
        <v>104</v>
      </c>
      <c r="I272" s="60" t="s">
        <v>1219</v>
      </c>
      <c r="J272" s="61" t="s">
        <v>1220</v>
      </c>
      <c r="K272" s="61" t="s">
        <v>1221</v>
      </c>
      <c r="L272" s="61" t="s">
        <v>1223</v>
      </c>
      <c r="M272" s="58">
        <v>2015.0</v>
      </c>
      <c r="N272" s="58">
        <v>17.0</v>
      </c>
      <c r="O272" s="62">
        <v>505.0</v>
      </c>
      <c r="P272" s="62">
        <f t="shared" si="8"/>
        <v>1414</v>
      </c>
      <c r="Q272" s="63">
        <v>5.0</v>
      </c>
      <c r="R272" s="58">
        <v>0.0</v>
      </c>
      <c r="S272" s="58">
        <v>5.0</v>
      </c>
      <c r="T272" s="58">
        <v>5.0</v>
      </c>
      <c r="U272" s="58">
        <v>10.0</v>
      </c>
      <c r="V272" s="58" t="s">
        <v>130</v>
      </c>
      <c r="W272" s="61" t="s">
        <v>76</v>
      </c>
      <c r="X272" s="28" t="s">
        <v>1033</v>
      </c>
      <c r="Y272" s="64">
        <v>31.0</v>
      </c>
      <c r="Z272" s="65">
        <f t="shared" si="2"/>
        <v>20.15</v>
      </c>
      <c r="AA272" s="65">
        <f t="shared" si="3"/>
        <v>28492.1</v>
      </c>
      <c r="AB272" s="65">
        <f t="shared" si="4"/>
        <v>1403.897923</v>
      </c>
      <c r="AC272" s="66">
        <v>1.0</v>
      </c>
      <c r="AD272" s="70"/>
      <c r="AE272" s="68">
        <f t="shared" si="5"/>
        <v>6557.377049</v>
      </c>
      <c r="AF272" s="69">
        <v>8000.0</v>
      </c>
      <c r="AG272" s="68">
        <f t="shared" si="6"/>
        <v>32786.88525</v>
      </c>
      <c r="AH272" s="70">
        <f t="shared" si="7"/>
        <v>40000</v>
      </c>
      <c r="AI272" s="71"/>
      <c r="AJ272" s="71"/>
      <c r="AK272" s="71"/>
      <c r="AL272" s="71"/>
    </row>
    <row r="273">
      <c r="A273" s="57" t="s">
        <v>1224</v>
      </c>
      <c r="B273" s="58" t="s">
        <v>142</v>
      </c>
      <c r="C273" s="58" t="s">
        <v>143</v>
      </c>
      <c r="D273" s="58" t="s">
        <v>61</v>
      </c>
      <c r="E273" s="58" t="s">
        <v>947</v>
      </c>
      <c r="F273" s="17" t="s">
        <v>103</v>
      </c>
      <c r="G273" s="59">
        <v>46162.0</v>
      </c>
      <c r="H273" s="58" t="s">
        <v>104</v>
      </c>
      <c r="I273" s="60" t="s">
        <v>1225</v>
      </c>
      <c r="J273" s="61" t="s">
        <v>1226</v>
      </c>
      <c r="K273" s="61" t="s">
        <v>1227</v>
      </c>
      <c r="L273" s="61" t="s">
        <v>1228</v>
      </c>
      <c r="M273" s="58">
        <v>2021.0</v>
      </c>
      <c r="N273" s="58">
        <v>17.0</v>
      </c>
      <c r="O273" s="62">
        <v>235.0</v>
      </c>
      <c r="P273" s="62">
        <f t="shared" si="8"/>
        <v>658</v>
      </c>
      <c r="Q273" s="63">
        <v>6.0</v>
      </c>
      <c r="R273" s="58">
        <v>0.0</v>
      </c>
      <c r="S273" s="58">
        <v>3.0</v>
      </c>
      <c r="T273" s="58">
        <v>6.0</v>
      </c>
      <c r="U273" s="58">
        <v>6.0</v>
      </c>
      <c r="V273" s="58" t="s">
        <v>130</v>
      </c>
      <c r="W273" s="61" t="s">
        <v>76</v>
      </c>
      <c r="X273" s="28" t="s">
        <v>1033</v>
      </c>
      <c r="Y273" s="64">
        <v>31.0</v>
      </c>
      <c r="Z273" s="65">
        <f t="shared" si="2"/>
        <v>40.3</v>
      </c>
      <c r="AA273" s="65">
        <f t="shared" si="3"/>
        <v>26517.4</v>
      </c>
      <c r="AB273" s="65">
        <f t="shared" si="4"/>
        <v>1810.132215</v>
      </c>
      <c r="AC273" s="66">
        <v>1.0</v>
      </c>
      <c r="AD273" s="67"/>
      <c r="AE273" s="68">
        <f t="shared" si="5"/>
        <v>6557.377049</v>
      </c>
      <c r="AF273" s="69">
        <v>8000.0</v>
      </c>
      <c r="AG273" s="68">
        <f t="shared" si="6"/>
        <v>39344.2623</v>
      </c>
      <c r="AH273" s="70">
        <f t="shared" si="7"/>
        <v>48000</v>
      </c>
      <c r="AI273" s="71"/>
      <c r="AJ273" s="71"/>
      <c r="AK273" s="71"/>
      <c r="AL273" s="71"/>
    </row>
    <row r="274">
      <c r="A274" s="57" t="s">
        <v>1224</v>
      </c>
      <c r="B274" s="58" t="s">
        <v>142</v>
      </c>
      <c r="C274" s="58" t="s">
        <v>143</v>
      </c>
      <c r="D274" s="58" t="s">
        <v>61</v>
      </c>
      <c r="E274" s="58" t="s">
        <v>947</v>
      </c>
      <c r="F274" s="17" t="s">
        <v>103</v>
      </c>
      <c r="G274" s="59">
        <v>46162.0</v>
      </c>
      <c r="H274" s="58" t="s">
        <v>104</v>
      </c>
      <c r="I274" s="60" t="s">
        <v>1225</v>
      </c>
      <c r="J274" s="61" t="s">
        <v>1229</v>
      </c>
      <c r="K274" s="61" t="s">
        <v>1230</v>
      </c>
      <c r="L274" s="61" t="s">
        <v>1231</v>
      </c>
      <c r="M274" s="58">
        <v>2018.0</v>
      </c>
      <c r="N274" s="58">
        <v>20.0</v>
      </c>
      <c r="O274" s="62">
        <v>162.0</v>
      </c>
      <c r="P274" s="62">
        <f t="shared" si="8"/>
        <v>453.6</v>
      </c>
      <c r="Q274" s="63">
        <v>2.0</v>
      </c>
      <c r="R274" s="58">
        <v>0.0</v>
      </c>
      <c r="S274" s="58">
        <v>1.0</v>
      </c>
      <c r="T274" s="58">
        <v>2.0</v>
      </c>
      <c r="U274" s="58">
        <v>2.0</v>
      </c>
      <c r="V274" s="58" t="s">
        <v>130</v>
      </c>
      <c r="W274" s="61" t="s">
        <v>76</v>
      </c>
      <c r="X274" s="28" t="s">
        <v>1033</v>
      </c>
      <c r="Y274" s="64">
        <v>31.0</v>
      </c>
      <c r="Z274" s="65">
        <f t="shared" si="2"/>
        <v>40.3</v>
      </c>
      <c r="AA274" s="65">
        <f t="shared" si="3"/>
        <v>18280.08</v>
      </c>
      <c r="AB274" s="65">
        <f t="shared" si="4"/>
        <v>875.2696925</v>
      </c>
      <c r="AC274" s="66">
        <v>1.0</v>
      </c>
      <c r="AD274" s="67"/>
      <c r="AE274" s="68">
        <f t="shared" si="5"/>
        <v>6557.377049</v>
      </c>
      <c r="AF274" s="69">
        <v>8000.0</v>
      </c>
      <c r="AG274" s="68">
        <f t="shared" si="6"/>
        <v>13114.7541</v>
      </c>
      <c r="AH274" s="70">
        <f t="shared" si="7"/>
        <v>16000</v>
      </c>
      <c r="AI274" s="71"/>
      <c r="AJ274" s="71"/>
      <c r="AK274" s="71"/>
      <c r="AL274" s="71"/>
    </row>
    <row r="275">
      <c r="A275" s="57" t="s">
        <v>1224</v>
      </c>
      <c r="B275" s="58" t="s">
        <v>142</v>
      </c>
      <c r="C275" s="58" t="s">
        <v>143</v>
      </c>
      <c r="D275" s="58" t="s">
        <v>61</v>
      </c>
      <c r="E275" s="58" t="s">
        <v>947</v>
      </c>
      <c r="F275" s="17" t="s">
        <v>103</v>
      </c>
      <c r="G275" s="59">
        <v>46162.0</v>
      </c>
      <c r="H275" s="58" t="s">
        <v>104</v>
      </c>
      <c r="I275" s="60" t="s">
        <v>1225</v>
      </c>
      <c r="J275" s="61" t="s">
        <v>1232</v>
      </c>
      <c r="K275" s="61" t="s">
        <v>1233</v>
      </c>
      <c r="L275" s="61" t="s">
        <v>1234</v>
      </c>
      <c r="M275" s="58">
        <v>2019.0</v>
      </c>
      <c r="N275" s="58">
        <v>18.0</v>
      </c>
      <c r="O275" s="62">
        <v>372.0</v>
      </c>
      <c r="P275" s="62">
        <f t="shared" si="8"/>
        <v>1041.6</v>
      </c>
      <c r="Q275" s="63">
        <v>4.0</v>
      </c>
      <c r="R275" s="58">
        <v>0.0</v>
      </c>
      <c r="S275" s="58">
        <v>4.0</v>
      </c>
      <c r="T275" s="58">
        <v>4.0</v>
      </c>
      <c r="U275" s="58">
        <v>8.0</v>
      </c>
      <c r="V275" s="58" t="s">
        <v>130</v>
      </c>
      <c r="W275" s="61" t="s">
        <v>76</v>
      </c>
      <c r="X275" s="28" t="s">
        <v>1033</v>
      </c>
      <c r="Y275" s="64">
        <v>31.0</v>
      </c>
      <c r="Z275" s="65">
        <f t="shared" si="2"/>
        <v>20.15</v>
      </c>
      <c r="AA275" s="65">
        <f t="shared" si="3"/>
        <v>20988.24</v>
      </c>
      <c r="AB275" s="65">
        <f t="shared" si="4"/>
        <v>1524.663335</v>
      </c>
      <c r="AC275" s="66">
        <v>1.0</v>
      </c>
      <c r="AD275" s="70"/>
      <c r="AE275" s="68">
        <f t="shared" si="5"/>
        <v>6557.377049</v>
      </c>
      <c r="AF275" s="69">
        <v>8000.0</v>
      </c>
      <c r="AG275" s="68">
        <f t="shared" si="6"/>
        <v>26229.5082</v>
      </c>
      <c r="AH275" s="70">
        <f t="shared" si="7"/>
        <v>32000</v>
      </c>
      <c r="AI275" s="71"/>
      <c r="AJ275" s="71"/>
      <c r="AK275" s="71"/>
      <c r="AL275" s="71"/>
    </row>
    <row r="276">
      <c r="A276" s="57" t="s">
        <v>1224</v>
      </c>
      <c r="B276" s="58" t="s">
        <v>142</v>
      </c>
      <c r="C276" s="58" t="s">
        <v>143</v>
      </c>
      <c r="D276" s="58" t="s">
        <v>61</v>
      </c>
      <c r="E276" s="58" t="s">
        <v>947</v>
      </c>
      <c r="F276" s="17" t="s">
        <v>103</v>
      </c>
      <c r="G276" s="59">
        <v>46162.0</v>
      </c>
      <c r="H276" s="58" t="s">
        <v>104</v>
      </c>
      <c r="I276" s="60" t="s">
        <v>1225</v>
      </c>
      <c r="J276" s="61" t="s">
        <v>1232</v>
      </c>
      <c r="K276" s="61" t="s">
        <v>1233</v>
      </c>
      <c r="L276" s="61" t="s">
        <v>1234</v>
      </c>
      <c r="M276" s="58">
        <v>2019.0</v>
      </c>
      <c r="N276" s="58">
        <v>18.0</v>
      </c>
      <c r="O276" s="62">
        <v>372.0</v>
      </c>
      <c r="P276" s="62">
        <f t="shared" si="8"/>
        <v>1041.6</v>
      </c>
      <c r="Q276" s="63">
        <v>4.0</v>
      </c>
      <c r="R276" s="58">
        <v>4.0</v>
      </c>
      <c r="S276" s="58">
        <v>4.0</v>
      </c>
      <c r="T276" s="58">
        <v>0.0</v>
      </c>
      <c r="U276" s="58">
        <v>8.0</v>
      </c>
      <c r="V276" s="58" t="s">
        <v>75</v>
      </c>
      <c r="W276" s="61" t="s">
        <v>76</v>
      </c>
      <c r="X276" s="28" t="s">
        <v>1033</v>
      </c>
      <c r="Y276" s="64">
        <v>31.0</v>
      </c>
      <c r="Z276" s="65">
        <f t="shared" si="2"/>
        <v>20.15</v>
      </c>
      <c r="AA276" s="65">
        <f t="shared" si="3"/>
        <v>20988.24</v>
      </c>
      <c r="AB276" s="65">
        <f t="shared" si="4"/>
        <v>1524.663335</v>
      </c>
      <c r="AC276" s="66">
        <v>1.0</v>
      </c>
      <c r="AD276" s="70"/>
      <c r="AE276" s="68">
        <f t="shared" si="5"/>
        <v>6557.377049</v>
      </c>
      <c r="AF276" s="69">
        <v>8000.0</v>
      </c>
      <c r="AG276" s="68">
        <f t="shared" si="6"/>
        <v>26229.5082</v>
      </c>
      <c r="AH276" s="70">
        <f t="shared" si="7"/>
        <v>32000</v>
      </c>
      <c r="AI276" s="71"/>
      <c r="AJ276" s="71"/>
      <c r="AK276" s="71"/>
      <c r="AL276" s="71"/>
    </row>
    <row r="277">
      <c r="A277" s="57" t="s">
        <v>1235</v>
      </c>
      <c r="B277" s="58" t="s">
        <v>142</v>
      </c>
      <c r="C277" s="58" t="s">
        <v>143</v>
      </c>
      <c r="D277" s="58" t="s">
        <v>61</v>
      </c>
      <c r="E277" s="58" t="s">
        <v>957</v>
      </c>
      <c r="F277" s="17" t="s">
        <v>103</v>
      </c>
      <c r="G277" s="59">
        <v>46167.0</v>
      </c>
      <c r="H277" s="58" t="s">
        <v>104</v>
      </c>
      <c r="I277" s="60" t="s">
        <v>1236</v>
      </c>
      <c r="J277" s="61" t="s">
        <v>1237</v>
      </c>
      <c r="K277" s="61" t="s">
        <v>1238</v>
      </c>
      <c r="L277" s="61" t="s">
        <v>1239</v>
      </c>
      <c r="M277" s="58">
        <v>2007.0</v>
      </c>
      <c r="N277" s="58">
        <v>10.0</v>
      </c>
      <c r="O277" s="62">
        <v>460.0</v>
      </c>
      <c r="P277" s="62">
        <f t="shared" si="8"/>
        <v>1288</v>
      </c>
      <c r="Q277" s="63">
        <v>10.0</v>
      </c>
      <c r="R277" s="58">
        <v>0.0</v>
      </c>
      <c r="S277" s="58">
        <v>10.0</v>
      </c>
      <c r="T277" s="58">
        <v>10.0</v>
      </c>
      <c r="U277" s="58">
        <v>10.0</v>
      </c>
      <c r="V277" s="58" t="s">
        <v>130</v>
      </c>
      <c r="W277" s="61" t="s">
        <v>76</v>
      </c>
      <c r="X277" s="28" t="s">
        <v>1033</v>
      </c>
      <c r="Y277" s="64">
        <v>31.0</v>
      </c>
      <c r="Z277" s="65">
        <f t="shared" si="2"/>
        <v>40.3</v>
      </c>
      <c r="AA277" s="65">
        <f t="shared" si="3"/>
        <v>51906.4</v>
      </c>
      <c r="AB277" s="65">
        <f t="shared" si="4"/>
        <v>1541.235763</v>
      </c>
      <c r="AC277" s="66">
        <v>1.0</v>
      </c>
      <c r="AD277" s="70"/>
      <c r="AE277" s="68">
        <f t="shared" si="5"/>
        <v>6557.377049</v>
      </c>
      <c r="AF277" s="69">
        <v>8000.0</v>
      </c>
      <c r="AG277" s="68">
        <f t="shared" si="6"/>
        <v>65573.77049</v>
      </c>
      <c r="AH277" s="70">
        <f t="shared" si="7"/>
        <v>80000</v>
      </c>
      <c r="AI277" s="71"/>
      <c r="AJ277" s="71"/>
      <c r="AK277" s="71"/>
      <c r="AL277" s="71"/>
    </row>
    <row r="278">
      <c r="A278" s="57" t="s">
        <v>1235</v>
      </c>
      <c r="B278" s="58" t="s">
        <v>142</v>
      </c>
      <c r="C278" s="58" t="s">
        <v>143</v>
      </c>
      <c r="D278" s="58" t="s">
        <v>61</v>
      </c>
      <c r="E278" s="58" t="s">
        <v>957</v>
      </c>
      <c r="F278" s="17" t="s">
        <v>103</v>
      </c>
      <c r="G278" s="59">
        <v>46167.0</v>
      </c>
      <c r="H278" s="58" t="s">
        <v>104</v>
      </c>
      <c r="I278" s="60" t="s">
        <v>1236</v>
      </c>
      <c r="J278" s="61" t="s">
        <v>1240</v>
      </c>
      <c r="K278" s="61" t="s">
        <v>1241</v>
      </c>
      <c r="L278" s="61" t="s">
        <v>1242</v>
      </c>
      <c r="M278" s="58">
        <v>2007.0</v>
      </c>
      <c r="N278" s="58">
        <v>17.0</v>
      </c>
      <c r="O278" s="62">
        <v>190.0</v>
      </c>
      <c r="P278" s="62">
        <f t="shared" si="8"/>
        <v>532</v>
      </c>
      <c r="Q278" s="63">
        <v>2.0</v>
      </c>
      <c r="R278" s="58">
        <v>0.0</v>
      </c>
      <c r="S278" s="58">
        <v>1.0</v>
      </c>
      <c r="T278" s="58">
        <v>10.0</v>
      </c>
      <c r="U278" s="58">
        <v>3.0</v>
      </c>
      <c r="V278" s="58" t="s">
        <v>130</v>
      </c>
      <c r="W278" s="61" t="s">
        <v>76</v>
      </c>
      <c r="X278" s="28" t="s">
        <v>1033</v>
      </c>
      <c r="Y278" s="64">
        <v>31.0</v>
      </c>
      <c r="Z278" s="65">
        <f t="shared" si="2"/>
        <v>134.3333333</v>
      </c>
      <c r="AA278" s="65">
        <f t="shared" si="3"/>
        <v>71465.33333</v>
      </c>
      <c r="AB278" s="65">
        <f t="shared" si="4"/>
        <v>223.884774</v>
      </c>
      <c r="AC278" s="66">
        <v>1.0</v>
      </c>
      <c r="AD278" s="70"/>
      <c r="AE278" s="68">
        <f t="shared" si="5"/>
        <v>6557.377049</v>
      </c>
      <c r="AF278" s="69">
        <v>8000.0</v>
      </c>
      <c r="AG278" s="68">
        <f t="shared" si="6"/>
        <v>13114.7541</v>
      </c>
      <c r="AH278" s="70">
        <f t="shared" si="7"/>
        <v>16000</v>
      </c>
      <c r="AI278" s="30"/>
      <c r="AJ278" s="17"/>
      <c r="AK278" s="30"/>
      <c r="AL278" s="20"/>
    </row>
    <row r="279">
      <c r="A279" s="57" t="s">
        <v>1243</v>
      </c>
      <c r="B279" s="58" t="s">
        <v>142</v>
      </c>
      <c r="C279" s="58" t="s">
        <v>143</v>
      </c>
      <c r="D279" s="58" t="s">
        <v>61</v>
      </c>
      <c r="E279" s="58" t="s">
        <v>957</v>
      </c>
      <c r="F279" s="17" t="s">
        <v>63</v>
      </c>
      <c r="G279" s="59">
        <v>46167.0</v>
      </c>
      <c r="H279" s="58" t="s">
        <v>104</v>
      </c>
      <c r="I279" s="60" t="s">
        <v>1244</v>
      </c>
      <c r="J279" s="61" t="s">
        <v>1245</v>
      </c>
      <c r="K279" s="61" t="s">
        <v>1246</v>
      </c>
      <c r="L279" s="61" t="s">
        <v>1247</v>
      </c>
      <c r="M279" s="58">
        <v>2026.0</v>
      </c>
      <c r="N279" s="58">
        <v>17.0</v>
      </c>
      <c r="O279" s="62">
        <v>192.0</v>
      </c>
      <c r="P279" s="62">
        <f t="shared" si="8"/>
        <v>537.6</v>
      </c>
      <c r="Q279" s="63">
        <v>6.0</v>
      </c>
      <c r="R279" s="58">
        <v>3.0</v>
      </c>
      <c r="S279" s="58">
        <v>4.0</v>
      </c>
      <c r="T279" s="58">
        <v>3.0</v>
      </c>
      <c r="U279" s="58">
        <v>8.0</v>
      </c>
      <c r="V279" s="58" t="s">
        <v>130</v>
      </c>
      <c r="W279" s="61" t="s">
        <v>76</v>
      </c>
      <c r="X279" s="28" t="s">
        <v>1033</v>
      </c>
      <c r="Y279" s="64">
        <v>31.0</v>
      </c>
      <c r="Z279" s="65">
        <f t="shared" si="2"/>
        <v>30.225</v>
      </c>
      <c r="AA279" s="65">
        <f t="shared" si="3"/>
        <v>16248.96</v>
      </c>
      <c r="AB279" s="65">
        <f t="shared" si="4"/>
        <v>2954.035212</v>
      </c>
      <c r="AC279" s="66">
        <v>1.0</v>
      </c>
      <c r="AD279" s="67"/>
      <c r="AE279" s="68">
        <f t="shared" si="5"/>
        <v>6557.377049</v>
      </c>
      <c r="AF279" s="69">
        <v>8000.0</v>
      </c>
      <c r="AG279" s="68">
        <f t="shared" si="6"/>
        <v>39344.2623</v>
      </c>
      <c r="AH279" s="70">
        <f t="shared" si="7"/>
        <v>48000</v>
      </c>
      <c r="AI279" s="71"/>
      <c r="AJ279" s="71"/>
      <c r="AK279" s="71"/>
      <c r="AL279" s="71"/>
    </row>
    <row r="280">
      <c r="A280" s="57" t="s">
        <v>1248</v>
      </c>
      <c r="B280" s="58" t="s">
        <v>142</v>
      </c>
      <c r="C280" s="58" t="s">
        <v>143</v>
      </c>
      <c r="D280" s="58" t="s">
        <v>61</v>
      </c>
      <c r="E280" s="58" t="s">
        <v>957</v>
      </c>
      <c r="F280" s="17" t="s">
        <v>103</v>
      </c>
      <c r="G280" s="59">
        <v>46167.0</v>
      </c>
      <c r="H280" s="58" t="s">
        <v>104</v>
      </c>
      <c r="I280" s="60" t="s">
        <v>1249</v>
      </c>
      <c r="J280" s="61" t="s">
        <v>1250</v>
      </c>
      <c r="K280" s="61" t="s">
        <v>1251</v>
      </c>
      <c r="L280" s="61" t="s">
        <v>1252</v>
      </c>
      <c r="M280" s="58">
        <v>2016.0</v>
      </c>
      <c r="N280" s="58">
        <v>16.0</v>
      </c>
      <c r="O280" s="62">
        <v>240.0</v>
      </c>
      <c r="P280" s="62">
        <f t="shared" si="8"/>
        <v>672</v>
      </c>
      <c r="Q280" s="63">
        <v>4.0</v>
      </c>
      <c r="R280" s="58">
        <v>0.0</v>
      </c>
      <c r="S280" s="58">
        <v>4.0</v>
      </c>
      <c r="T280" s="58">
        <v>4.0</v>
      </c>
      <c r="U280" s="58">
        <v>8.0</v>
      </c>
      <c r="V280" s="58" t="s">
        <v>130</v>
      </c>
      <c r="W280" s="61" t="s">
        <v>76</v>
      </c>
      <c r="X280" s="28" t="s">
        <v>1033</v>
      </c>
      <c r="Y280" s="64">
        <v>31.0</v>
      </c>
      <c r="Z280" s="65">
        <f t="shared" si="2"/>
        <v>20.15</v>
      </c>
      <c r="AA280" s="65">
        <f t="shared" si="3"/>
        <v>13540.8</v>
      </c>
      <c r="AB280" s="65">
        <f t="shared" si="4"/>
        <v>2363.22817</v>
      </c>
      <c r="AC280" s="66">
        <v>1.0</v>
      </c>
      <c r="AD280" s="67"/>
      <c r="AE280" s="68">
        <f t="shared" si="5"/>
        <v>6557.377049</v>
      </c>
      <c r="AF280" s="69">
        <v>8000.0</v>
      </c>
      <c r="AG280" s="68">
        <f t="shared" si="6"/>
        <v>26229.5082</v>
      </c>
      <c r="AH280" s="70">
        <f t="shared" si="7"/>
        <v>32000</v>
      </c>
      <c r="AI280" s="71"/>
      <c r="AJ280" s="71"/>
      <c r="AK280" s="71"/>
      <c r="AL280" s="71"/>
    </row>
    <row r="281">
      <c r="A281" s="57" t="s">
        <v>1248</v>
      </c>
      <c r="B281" s="58" t="s">
        <v>142</v>
      </c>
      <c r="C281" s="58" t="s">
        <v>143</v>
      </c>
      <c r="D281" s="58" t="s">
        <v>61</v>
      </c>
      <c r="E281" s="58" t="s">
        <v>957</v>
      </c>
      <c r="F281" s="17" t="s">
        <v>103</v>
      </c>
      <c r="G281" s="59">
        <v>46167.0</v>
      </c>
      <c r="H281" s="58" t="s">
        <v>104</v>
      </c>
      <c r="I281" s="60" t="s">
        <v>1249</v>
      </c>
      <c r="J281" s="61" t="s">
        <v>1250</v>
      </c>
      <c r="K281" s="61" t="s">
        <v>1251</v>
      </c>
      <c r="L281" s="61" t="s">
        <v>1253</v>
      </c>
      <c r="M281" s="58">
        <v>2016.0</v>
      </c>
      <c r="N281" s="58">
        <v>16.0</v>
      </c>
      <c r="O281" s="62">
        <v>240.0</v>
      </c>
      <c r="P281" s="62">
        <f t="shared" si="8"/>
        <v>672</v>
      </c>
      <c r="Q281" s="63">
        <v>4.0</v>
      </c>
      <c r="R281" s="58">
        <v>4.0</v>
      </c>
      <c r="S281" s="58">
        <v>4.0</v>
      </c>
      <c r="T281" s="58">
        <v>0.0</v>
      </c>
      <c r="U281" s="58">
        <v>8.0</v>
      </c>
      <c r="V281" s="58" t="s">
        <v>75</v>
      </c>
      <c r="W281" s="61" t="s">
        <v>76</v>
      </c>
      <c r="X281" s="28" t="s">
        <v>1033</v>
      </c>
      <c r="Y281" s="64">
        <v>31.0</v>
      </c>
      <c r="Z281" s="65">
        <f t="shared" si="2"/>
        <v>20.15</v>
      </c>
      <c r="AA281" s="65">
        <f t="shared" si="3"/>
        <v>13540.8</v>
      </c>
      <c r="AB281" s="65">
        <f t="shared" si="4"/>
        <v>2363.22817</v>
      </c>
      <c r="AC281" s="66">
        <v>1.0</v>
      </c>
      <c r="AD281" s="67"/>
      <c r="AE281" s="68">
        <f t="shared" si="5"/>
        <v>6557.377049</v>
      </c>
      <c r="AF281" s="69">
        <v>8000.0</v>
      </c>
      <c r="AG281" s="68">
        <f t="shared" si="6"/>
        <v>26229.5082</v>
      </c>
      <c r="AH281" s="70">
        <f t="shared" si="7"/>
        <v>32000</v>
      </c>
      <c r="AI281" s="71"/>
      <c r="AJ281" s="71"/>
      <c r="AK281" s="71"/>
      <c r="AL281" s="71"/>
    </row>
    <row r="282">
      <c r="A282" s="57" t="s">
        <v>1248</v>
      </c>
      <c r="B282" s="58" t="s">
        <v>142</v>
      </c>
      <c r="C282" s="58" t="s">
        <v>143</v>
      </c>
      <c r="D282" s="58" t="s">
        <v>61</v>
      </c>
      <c r="E282" s="58" t="s">
        <v>957</v>
      </c>
      <c r="F282" s="17" t="s">
        <v>103</v>
      </c>
      <c r="G282" s="59">
        <v>46167.0</v>
      </c>
      <c r="H282" s="58" t="s">
        <v>104</v>
      </c>
      <c r="I282" s="60" t="s">
        <v>1249</v>
      </c>
      <c r="J282" s="61" t="s">
        <v>1254</v>
      </c>
      <c r="K282" s="61" t="s">
        <v>1255</v>
      </c>
      <c r="L282" s="61" t="s">
        <v>1256</v>
      </c>
      <c r="M282" s="58">
        <v>2012.0</v>
      </c>
      <c r="N282" s="58">
        <v>12.0</v>
      </c>
      <c r="O282" s="62">
        <v>220.0</v>
      </c>
      <c r="P282" s="62">
        <f t="shared" si="8"/>
        <v>616</v>
      </c>
      <c r="Q282" s="63">
        <v>4.0</v>
      </c>
      <c r="R282" s="58">
        <v>0.0</v>
      </c>
      <c r="S282" s="58">
        <v>4.0</v>
      </c>
      <c r="T282" s="58">
        <v>4.0</v>
      </c>
      <c r="U282" s="58">
        <v>8.0</v>
      </c>
      <c r="V282" s="58" t="s">
        <v>130</v>
      </c>
      <c r="W282" s="61" t="s">
        <v>76</v>
      </c>
      <c r="X282" s="28" t="s">
        <v>1033</v>
      </c>
      <c r="Y282" s="64">
        <v>31.0</v>
      </c>
      <c r="Z282" s="65">
        <f t="shared" si="2"/>
        <v>20.15</v>
      </c>
      <c r="AA282" s="65">
        <f t="shared" si="3"/>
        <v>12412.4</v>
      </c>
      <c r="AB282" s="65">
        <f t="shared" si="4"/>
        <v>2578.067094</v>
      </c>
      <c r="AC282" s="66">
        <v>1.0</v>
      </c>
      <c r="AD282" s="67"/>
      <c r="AE282" s="68">
        <f t="shared" si="5"/>
        <v>6557.377049</v>
      </c>
      <c r="AF282" s="69">
        <v>8000.0</v>
      </c>
      <c r="AG282" s="68">
        <f t="shared" si="6"/>
        <v>26229.5082</v>
      </c>
      <c r="AH282" s="70">
        <f t="shared" si="7"/>
        <v>32000</v>
      </c>
      <c r="AI282" s="71"/>
      <c r="AJ282" s="71"/>
      <c r="AK282" s="71"/>
      <c r="AL282" s="71"/>
    </row>
    <row r="283">
      <c r="A283" s="57" t="s">
        <v>1248</v>
      </c>
      <c r="B283" s="58" t="s">
        <v>142</v>
      </c>
      <c r="C283" s="58" t="s">
        <v>143</v>
      </c>
      <c r="D283" s="58" t="s">
        <v>61</v>
      </c>
      <c r="E283" s="58" t="s">
        <v>957</v>
      </c>
      <c r="F283" s="17" t="s">
        <v>103</v>
      </c>
      <c r="G283" s="59">
        <v>46167.0</v>
      </c>
      <c r="H283" s="58" t="s">
        <v>104</v>
      </c>
      <c r="I283" s="60" t="s">
        <v>1249</v>
      </c>
      <c r="J283" s="61" t="s">
        <v>1254</v>
      </c>
      <c r="K283" s="61" t="s">
        <v>1255</v>
      </c>
      <c r="L283" s="61" t="s">
        <v>1256</v>
      </c>
      <c r="M283" s="58">
        <v>2012.0</v>
      </c>
      <c r="N283" s="58">
        <v>12.0</v>
      </c>
      <c r="O283" s="62">
        <v>220.0</v>
      </c>
      <c r="P283" s="62">
        <f t="shared" si="8"/>
        <v>616</v>
      </c>
      <c r="Q283" s="63">
        <v>4.0</v>
      </c>
      <c r="R283" s="58">
        <v>4.0</v>
      </c>
      <c r="S283" s="58">
        <v>4.0</v>
      </c>
      <c r="T283" s="58">
        <v>0.0</v>
      </c>
      <c r="U283" s="58">
        <v>8.0</v>
      </c>
      <c r="V283" s="58" t="s">
        <v>75</v>
      </c>
      <c r="W283" s="61" t="s">
        <v>76</v>
      </c>
      <c r="X283" s="28" t="s">
        <v>1033</v>
      </c>
      <c r="Y283" s="64">
        <v>31.0</v>
      </c>
      <c r="Z283" s="65">
        <f t="shared" si="2"/>
        <v>20.15</v>
      </c>
      <c r="AA283" s="65">
        <f t="shared" si="3"/>
        <v>12412.4</v>
      </c>
      <c r="AB283" s="65">
        <f t="shared" si="4"/>
        <v>2578.067094</v>
      </c>
      <c r="AC283" s="66">
        <v>1.0</v>
      </c>
      <c r="AD283" s="70"/>
      <c r="AE283" s="68">
        <f t="shared" si="5"/>
        <v>6557.377049</v>
      </c>
      <c r="AF283" s="69">
        <v>8000.0</v>
      </c>
      <c r="AG283" s="68">
        <f t="shared" si="6"/>
        <v>26229.5082</v>
      </c>
      <c r="AH283" s="70">
        <f t="shared" si="7"/>
        <v>32000</v>
      </c>
      <c r="AI283" s="71"/>
      <c r="AJ283" s="71"/>
      <c r="AK283" s="71"/>
      <c r="AL283" s="71"/>
    </row>
    <row r="284">
      <c r="A284" s="57" t="s">
        <v>1257</v>
      </c>
      <c r="B284" s="58" t="s">
        <v>142</v>
      </c>
      <c r="C284" s="58" t="s">
        <v>143</v>
      </c>
      <c r="D284" s="58" t="s">
        <v>61</v>
      </c>
      <c r="E284" s="58" t="s">
        <v>957</v>
      </c>
      <c r="F284" s="17" t="s">
        <v>63</v>
      </c>
      <c r="G284" s="59">
        <v>46175.0</v>
      </c>
      <c r="H284" s="58" t="s">
        <v>104</v>
      </c>
      <c r="I284" s="60" t="s">
        <v>1258</v>
      </c>
      <c r="J284" s="61" t="s">
        <v>1259</v>
      </c>
      <c r="K284" s="61" t="s">
        <v>1260</v>
      </c>
      <c r="L284" s="61" t="s">
        <v>1261</v>
      </c>
      <c r="M284" s="58">
        <v>2017.0</v>
      </c>
      <c r="N284" s="58">
        <v>14.0</v>
      </c>
      <c r="O284" s="62">
        <v>65.0</v>
      </c>
      <c r="P284" s="62">
        <f t="shared" si="8"/>
        <v>182</v>
      </c>
      <c r="Q284" s="63">
        <v>2.0</v>
      </c>
      <c r="R284" s="58">
        <v>1.0</v>
      </c>
      <c r="S284" s="58">
        <v>1.0</v>
      </c>
      <c r="T284" s="58">
        <v>1.0</v>
      </c>
      <c r="U284" s="58">
        <v>2.0</v>
      </c>
      <c r="V284" s="58" t="s">
        <v>130</v>
      </c>
      <c r="W284" s="61" t="s">
        <v>76</v>
      </c>
      <c r="X284" s="28" t="s">
        <v>1033</v>
      </c>
      <c r="Y284" s="64">
        <v>31.0</v>
      </c>
      <c r="Z284" s="65">
        <f t="shared" si="2"/>
        <v>40.3</v>
      </c>
      <c r="AA284" s="65">
        <f t="shared" si="3"/>
        <v>7334.6</v>
      </c>
      <c r="AB284" s="65">
        <f t="shared" si="4"/>
        <v>2181.441387</v>
      </c>
      <c r="AC284" s="66">
        <v>1.0</v>
      </c>
      <c r="AD284" s="70"/>
      <c r="AE284" s="68">
        <f t="shared" si="5"/>
        <v>6557.377049</v>
      </c>
      <c r="AF284" s="69">
        <v>8000.0</v>
      </c>
      <c r="AG284" s="68">
        <f t="shared" si="6"/>
        <v>13114.7541</v>
      </c>
      <c r="AH284" s="70">
        <f t="shared" si="7"/>
        <v>16000</v>
      </c>
      <c r="AI284" s="71"/>
      <c r="AJ284" s="71"/>
      <c r="AK284" s="71"/>
      <c r="AL284" s="71"/>
    </row>
    <row r="285">
      <c r="A285" s="76" t="s">
        <v>1257</v>
      </c>
      <c r="B285" s="74" t="s">
        <v>142</v>
      </c>
      <c r="C285" s="74" t="s">
        <v>143</v>
      </c>
      <c r="D285" s="74" t="s">
        <v>61</v>
      </c>
      <c r="E285" s="78"/>
      <c r="F285" s="17" t="s">
        <v>63</v>
      </c>
      <c r="G285" s="59">
        <v>46255.0</v>
      </c>
      <c r="H285" s="58" t="s">
        <v>104</v>
      </c>
      <c r="I285" s="77" t="s">
        <v>1258</v>
      </c>
      <c r="J285" s="75" t="s">
        <v>1262</v>
      </c>
      <c r="K285" s="75" t="s">
        <v>1263</v>
      </c>
      <c r="L285" s="75" t="s">
        <v>1231</v>
      </c>
      <c r="M285" s="74">
        <v>2017.0</v>
      </c>
      <c r="N285" s="74">
        <v>10.0</v>
      </c>
      <c r="O285" s="79">
        <v>40.0</v>
      </c>
      <c r="P285" s="79">
        <f t="shared" si="8"/>
        <v>112</v>
      </c>
      <c r="Q285" s="76">
        <v>2.0</v>
      </c>
      <c r="R285" s="74">
        <v>1.0</v>
      </c>
      <c r="S285" s="74">
        <v>1.0</v>
      </c>
      <c r="T285" s="74">
        <v>1.0</v>
      </c>
      <c r="U285" s="74">
        <v>2.0</v>
      </c>
      <c r="V285" s="74" t="s">
        <v>130</v>
      </c>
      <c r="W285" s="75" t="s">
        <v>76</v>
      </c>
      <c r="X285" s="28" t="s">
        <v>1033</v>
      </c>
      <c r="Y285" s="64">
        <v>31.0</v>
      </c>
      <c r="Z285" s="65">
        <f t="shared" si="2"/>
        <v>40.3</v>
      </c>
      <c r="AA285" s="65">
        <f t="shared" si="3"/>
        <v>4513.6</v>
      </c>
      <c r="AB285" s="65">
        <f t="shared" si="4"/>
        <v>3544.842255</v>
      </c>
      <c r="AC285" s="66">
        <v>1.0</v>
      </c>
      <c r="AD285" s="70"/>
      <c r="AE285" s="68">
        <f t="shared" si="5"/>
        <v>6557.377049</v>
      </c>
      <c r="AF285" s="69">
        <v>8000.0</v>
      </c>
      <c r="AG285" s="68">
        <f t="shared" si="6"/>
        <v>13114.7541</v>
      </c>
      <c r="AH285" s="70">
        <f t="shared" si="7"/>
        <v>16000</v>
      </c>
      <c r="AI285" s="71"/>
      <c r="AJ285" s="71"/>
      <c r="AK285" s="71"/>
      <c r="AL285" s="71"/>
    </row>
    <row r="286">
      <c r="A286" s="57" t="s">
        <v>1264</v>
      </c>
      <c r="B286" s="58" t="s">
        <v>142</v>
      </c>
      <c r="C286" s="58" t="s">
        <v>143</v>
      </c>
      <c r="D286" s="58" t="s">
        <v>61</v>
      </c>
      <c r="E286" s="58" t="s">
        <v>1004</v>
      </c>
      <c r="F286" s="17" t="s">
        <v>103</v>
      </c>
      <c r="G286" s="59">
        <v>46190.0</v>
      </c>
      <c r="H286" s="58" t="s">
        <v>104</v>
      </c>
      <c r="I286" s="60" t="s">
        <v>1265</v>
      </c>
      <c r="J286" s="61" t="s">
        <v>1266</v>
      </c>
      <c r="K286" s="61" t="s">
        <v>1267</v>
      </c>
      <c r="L286" s="61" t="s">
        <v>1268</v>
      </c>
      <c r="M286" s="58">
        <v>2014.0</v>
      </c>
      <c r="N286" s="58">
        <v>20.0</v>
      </c>
      <c r="O286" s="62">
        <v>401.0</v>
      </c>
      <c r="P286" s="62">
        <f t="shared" si="8"/>
        <v>1122.8</v>
      </c>
      <c r="Q286" s="63">
        <v>12.0</v>
      </c>
      <c r="R286" s="58">
        <v>6.0</v>
      </c>
      <c r="S286" s="58">
        <v>6.0</v>
      </c>
      <c r="T286" s="58">
        <v>6.0</v>
      </c>
      <c r="U286" s="58">
        <v>12.0</v>
      </c>
      <c r="V286" s="58" t="s">
        <v>130</v>
      </c>
      <c r="W286" s="61" t="s">
        <v>76</v>
      </c>
      <c r="X286" s="28" t="s">
        <v>1033</v>
      </c>
      <c r="Y286" s="64">
        <v>31.0</v>
      </c>
      <c r="Z286" s="65">
        <f t="shared" si="2"/>
        <v>40.3</v>
      </c>
      <c r="AA286" s="65">
        <f t="shared" si="3"/>
        <v>45248.84</v>
      </c>
      <c r="AB286" s="65">
        <f t="shared" si="4"/>
        <v>2121.601349</v>
      </c>
      <c r="AC286" s="66">
        <v>1.0</v>
      </c>
      <c r="AD286" s="67"/>
      <c r="AE286" s="68">
        <f t="shared" si="5"/>
        <v>6557.377049</v>
      </c>
      <c r="AF286" s="69">
        <v>8000.0</v>
      </c>
      <c r="AG286" s="68">
        <f t="shared" si="6"/>
        <v>78688.52459</v>
      </c>
      <c r="AH286" s="70">
        <f t="shared" si="7"/>
        <v>96000</v>
      </c>
      <c r="AI286" s="71"/>
      <c r="AJ286" s="71"/>
      <c r="AK286" s="71"/>
      <c r="AL286" s="71"/>
    </row>
    <row r="287">
      <c r="A287" s="57" t="s">
        <v>1264</v>
      </c>
      <c r="B287" s="58" t="s">
        <v>142</v>
      </c>
      <c r="C287" s="58" t="s">
        <v>143</v>
      </c>
      <c r="D287" s="58" t="s">
        <v>61</v>
      </c>
      <c r="E287" s="58" t="s">
        <v>1004</v>
      </c>
      <c r="F287" s="17" t="s">
        <v>103</v>
      </c>
      <c r="G287" s="59">
        <v>46190.0</v>
      </c>
      <c r="H287" s="58" t="s">
        <v>104</v>
      </c>
      <c r="I287" s="60" t="s">
        <v>1265</v>
      </c>
      <c r="J287" s="61" t="s">
        <v>1269</v>
      </c>
      <c r="K287" s="61" t="s">
        <v>1270</v>
      </c>
      <c r="L287" s="61" t="s">
        <v>1271</v>
      </c>
      <c r="M287" s="58">
        <v>2017.0</v>
      </c>
      <c r="N287" s="58">
        <v>15.0</v>
      </c>
      <c r="O287" s="62">
        <v>120.0</v>
      </c>
      <c r="P287" s="62">
        <f t="shared" si="8"/>
        <v>336</v>
      </c>
      <c r="Q287" s="63">
        <v>2.0</v>
      </c>
      <c r="R287" s="58">
        <v>1.0</v>
      </c>
      <c r="S287" s="58">
        <v>1.0</v>
      </c>
      <c r="T287" s="58">
        <v>1.0</v>
      </c>
      <c r="U287" s="58">
        <v>2.0</v>
      </c>
      <c r="V287" s="58" t="s">
        <v>130</v>
      </c>
      <c r="W287" s="61" t="s">
        <v>76</v>
      </c>
      <c r="X287" s="28" t="s">
        <v>1033</v>
      </c>
      <c r="Y287" s="64">
        <v>31.0</v>
      </c>
      <c r="Z287" s="65">
        <f t="shared" si="2"/>
        <v>40.3</v>
      </c>
      <c r="AA287" s="65">
        <f t="shared" si="3"/>
        <v>13540.8</v>
      </c>
      <c r="AB287" s="65">
        <f t="shared" si="4"/>
        <v>1181.614085</v>
      </c>
      <c r="AC287" s="66">
        <v>1.0</v>
      </c>
      <c r="AD287" s="67"/>
      <c r="AE287" s="68">
        <f t="shared" si="5"/>
        <v>6557.377049</v>
      </c>
      <c r="AF287" s="69">
        <v>8000.0</v>
      </c>
      <c r="AG287" s="68">
        <f t="shared" si="6"/>
        <v>13114.7541</v>
      </c>
      <c r="AH287" s="70">
        <f t="shared" si="7"/>
        <v>16000</v>
      </c>
      <c r="AI287" s="71"/>
      <c r="AJ287" s="71"/>
      <c r="AK287" s="71"/>
      <c r="AL287" s="71"/>
    </row>
    <row r="288">
      <c r="A288" s="57" t="s">
        <v>1272</v>
      </c>
      <c r="B288" s="58" t="s">
        <v>142</v>
      </c>
      <c r="C288" s="58" t="s">
        <v>143</v>
      </c>
      <c r="D288" s="58" t="s">
        <v>61</v>
      </c>
      <c r="E288" s="58" t="s">
        <v>1273</v>
      </c>
      <c r="F288" s="17" t="s">
        <v>103</v>
      </c>
      <c r="G288" s="59">
        <v>46190.0</v>
      </c>
      <c r="H288" s="58" t="s">
        <v>104</v>
      </c>
      <c r="I288" s="58" t="s">
        <v>1274</v>
      </c>
      <c r="J288" s="61" t="s">
        <v>1275</v>
      </c>
      <c r="K288" s="61" t="s">
        <v>1276</v>
      </c>
      <c r="L288" s="61" t="s">
        <v>1277</v>
      </c>
      <c r="M288" s="58">
        <v>2019.0</v>
      </c>
      <c r="N288" s="58">
        <v>14.0</v>
      </c>
      <c r="O288" s="62">
        <v>182.0</v>
      </c>
      <c r="P288" s="62">
        <f t="shared" si="8"/>
        <v>509.6</v>
      </c>
      <c r="Q288" s="63">
        <v>4.0</v>
      </c>
      <c r="R288" s="58">
        <v>2.0</v>
      </c>
      <c r="S288" s="58">
        <v>2.0</v>
      </c>
      <c r="T288" s="58">
        <v>2.0</v>
      </c>
      <c r="U288" s="58">
        <v>4.0</v>
      </c>
      <c r="V288" s="58" t="s">
        <v>130</v>
      </c>
      <c r="W288" s="61" t="s">
        <v>76</v>
      </c>
      <c r="X288" s="28" t="s">
        <v>1033</v>
      </c>
      <c r="Y288" s="64">
        <v>31.0</v>
      </c>
      <c r="Z288" s="65">
        <f t="shared" si="2"/>
        <v>40.3</v>
      </c>
      <c r="AA288" s="65">
        <f t="shared" si="3"/>
        <v>20536.88</v>
      </c>
      <c r="AB288" s="65">
        <f t="shared" si="4"/>
        <v>1558.17242</v>
      </c>
      <c r="AC288" s="66">
        <v>1.0</v>
      </c>
      <c r="AD288" s="67"/>
      <c r="AE288" s="68">
        <f t="shared" si="5"/>
        <v>6557.377049</v>
      </c>
      <c r="AF288" s="69">
        <v>8000.0</v>
      </c>
      <c r="AG288" s="68">
        <f t="shared" si="6"/>
        <v>26229.5082</v>
      </c>
      <c r="AH288" s="70">
        <f t="shared" si="7"/>
        <v>32000</v>
      </c>
      <c r="AI288" s="71"/>
      <c r="AJ288" s="71"/>
      <c r="AK288" s="71"/>
      <c r="AL288" s="71"/>
    </row>
    <row r="289">
      <c r="A289" s="76" t="s">
        <v>1272</v>
      </c>
      <c r="B289" s="74" t="s">
        <v>142</v>
      </c>
      <c r="C289" s="74" t="s">
        <v>143</v>
      </c>
      <c r="D289" s="74" t="s">
        <v>61</v>
      </c>
      <c r="E289" s="74" t="s">
        <v>947</v>
      </c>
      <c r="F289" s="17" t="s">
        <v>103</v>
      </c>
      <c r="G289" s="59">
        <v>46247.0</v>
      </c>
      <c r="H289" s="58" t="s">
        <v>104</v>
      </c>
      <c r="I289" s="74" t="s">
        <v>1274</v>
      </c>
      <c r="J289" s="75" t="s">
        <v>1278</v>
      </c>
      <c r="K289" s="75" t="s">
        <v>1279</v>
      </c>
      <c r="L289" s="75" t="s">
        <v>1280</v>
      </c>
      <c r="M289" s="74">
        <v>2018.0</v>
      </c>
      <c r="N289" s="74">
        <v>14.0</v>
      </c>
      <c r="O289" s="79">
        <v>182.0</v>
      </c>
      <c r="P289" s="79">
        <f t="shared" si="8"/>
        <v>509.6</v>
      </c>
      <c r="Q289" s="76">
        <v>4.0</v>
      </c>
      <c r="R289" s="74">
        <v>2.0</v>
      </c>
      <c r="S289" s="74">
        <v>2.0</v>
      </c>
      <c r="T289" s="74">
        <v>2.0</v>
      </c>
      <c r="U289" s="74">
        <v>4.0</v>
      </c>
      <c r="V289" s="74" t="s">
        <v>130</v>
      </c>
      <c r="W289" s="75" t="s">
        <v>76</v>
      </c>
      <c r="X289" s="28" t="s">
        <v>1033</v>
      </c>
      <c r="Y289" s="64">
        <v>31.0</v>
      </c>
      <c r="Z289" s="65">
        <f t="shared" si="2"/>
        <v>40.3</v>
      </c>
      <c r="AA289" s="65">
        <f t="shared" si="3"/>
        <v>20536.88</v>
      </c>
      <c r="AB289" s="65">
        <f t="shared" si="4"/>
        <v>1558.17242</v>
      </c>
      <c r="AC289" s="66">
        <v>1.0</v>
      </c>
      <c r="AD289" s="67"/>
      <c r="AE289" s="68">
        <f t="shared" si="5"/>
        <v>6557.377049</v>
      </c>
      <c r="AF289" s="69">
        <v>8000.0</v>
      </c>
      <c r="AG289" s="68">
        <f t="shared" si="6"/>
        <v>26229.5082</v>
      </c>
      <c r="AH289" s="70">
        <f t="shared" si="7"/>
        <v>32000</v>
      </c>
      <c r="AI289" s="71"/>
      <c r="AJ289" s="71"/>
      <c r="AK289" s="71"/>
      <c r="AL289" s="71"/>
    </row>
    <row r="290">
      <c r="A290" s="57" t="s">
        <v>1281</v>
      </c>
      <c r="B290" s="58" t="s">
        <v>142</v>
      </c>
      <c r="C290" s="58" t="s">
        <v>143</v>
      </c>
      <c r="D290" s="58" t="s">
        <v>61</v>
      </c>
      <c r="E290" s="58" t="s">
        <v>957</v>
      </c>
      <c r="F290" s="17" t="s">
        <v>103</v>
      </c>
      <c r="G290" s="59">
        <v>46203.0</v>
      </c>
      <c r="H290" s="58" t="s">
        <v>104</v>
      </c>
      <c r="I290" s="58" t="s">
        <v>1282</v>
      </c>
      <c r="J290" s="61" t="s">
        <v>1283</v>
      </c>
      <c r="K290" s="61" t="s">
        <v>1284</v>
      </c>
      <c r="L290" s="61" t="s">
        <v>1285</v>
      </c>
      <c r="M290" s="58">
        <v>2009.0</v>
      </c>
      <c r="N290" s="58">
        <v>11.0</v>
      </c>
      <c r="O290" s="62">
        <v>100.0</v>
      </c>
      <c r="P290" s="62">
        <f t="shared" si="8"/>
        <v>280</v>
      </c>
      <c r="Q290" s="63">
        <v>4.0</v>
      </c>
      <c r="R290" s="58">
        <v>2.0</v>
      </c>
      <c r="S290" s="58">
        <v>2.0</v>
      </c>
      <c r="T290" s="58">
        <v>2.0</v>
      </c>
      <c r="U290" s="58">
        <v>2.0</v>
      </c>
      <c r="V290" s="58" t="s">
        <v>130</v>
      </c>
      <c r="W290" s="61" t="s">
        <v>76</v>
      </c>
      <c r="X290" s="28" t="s">
        <v>1033</v>
      </c>
      <c r="Y290" s="17">
        <v>31.0</v>
      </c>
      <c r="Z290" s="30">
        <f t="shared" si="2"/>
        <v>60.45</v>
      </c>
      <c r="AA290" s="30">
        <f t="shared" si="3"/>
        <v>16926</v>
      </c>
      <c r="AB290" s="30">
        <f t="shared" si="4"/>
        <v>1890.582536</v>
      </c>
      <c r="AC290" s="34">
        <v>1.0</v>
      </c>
      <c r="AD290" s="36"/>
      <c r="AE290" s="97">
        <f t="shared" si="5"/>
        <v>6557.377049</v>
      </c>
      <c r="AF290" s="28">
        <v>8000.0</v>
      </c>
      <c r="AG290" s="97">
        <f t="shared" si="6"/>
        <v>26229.5082</v>
      </c>
      <c r="AH290" s="98">
        <f t="shared" si="7"/>
        <v>32000</v>
      </c>
      <c r="AI290" s="99"/>
      <c r="AJ290" s="99"/>
      <c r="AK290" s="99"/>
      <c r="AL290" s="99"/>
    </row>
    <row r="291">
      <c r="A291" s="57" t="s">
        <v>1281</v>
      </c>
      <c r="B291" s="58" t="s">
        <v>142</v>
      </c>
      <c r="C291" s="58" t="s">
        <v>143</v>
      </c>
      <c r="D291" s="58" t="s">
        <v>61</v>
      </c>
      <c r="E291" s="58" t="s">
        <v>957</v>
      </c>
      <c r="F291" s="17" t="s">
        <v>103</v>
      </c>
      <c r="G291" s="59">
        <v>46203.0</v>
      </c>
      <c r="H291" s="58" t="s">
        <v>104</v>
      </c>
      <c r="I291" s="58" t="s">
        <v>1282</v>
      </c>
      <c r="J291" s="61" t="s">
        <v>1286</v>
      </c>
      <c r="K291" s="61" t="s">
        <v>1287</v>
      </c>
      <c r="L291" s="61" t="s">
        <v>1288</v>
      </c>
      <c r="M291" s="58">
        <v>2007.0</v>
      </c>
      <c r="N291" s="58">
        <v>11.0</v>
      </c>
      <c r="O291" s="62">
        <v>100.0</v>
      </c>
      <c r="P291" s="62">
        <f t="shared" si="8"/>
        <v>280</v>
      </c>
      <c r="Q291" s="63">
        <v>4.0</v>
      </c>
      <c r="R291" s="58">
        <v>2.0</v>
      </c>
      <c r="S291" s="58">
        <v>2.0</v>
      </c>
      <c r="T291" s="58">
        <v>2.0</v>
      </c>
      <c r="U291" s="58">
        <v>2.0</v>
      </c>
      <c r="V291" s="58" t="s">
        <v>130</v>
      </c>
      <c r="W291" s="61" t="s">
        <v>76</v>
      </c>
      <c r="X291" s="28" t="s">
        <v>1033</v>
      </c>
      <c r="Y291" s="64">
        <v>31.0</v>
      </c>
      <c r="Z291" s="65">
        <f t="shared" si="2"/>
        <v>60.45</v>
      </c>
      <c r="AA291" s="65">
        <f t="shared" si="3"/>
        <v>16926</v>
      </c>
      <c r="AB291" s="65">
        <f t="shared" si="4"/>
        <v>1890.582536</v>
      </c>
      <c r="AC291" s="66">
        <v>1.0</v>
      </c>
      <c r="AD291" s="67"/>
      <c r="AE291" s="68">
        <f t="shared" si="5"/>
        <v>6557.377049</v>
      </c>
      <c r="AF291" s="69">
        <v>8000.0</v>
      </c>
      <c r="AG291" s="68">
        <f t="shared" si="6"/>
        <v>26229.5082</v>
      </c>
      <c r="AH291" s="70">
        <f t="shared" si="7"/>
        <v>32000</v>
      </c>
      <c r="AI291" s="71"/>
      <c r="AJ291" s="71"/>
      <c r="AK291" s="71"/>
      <c r="AL291" s="71"/>
    </row>
    <row r="292">
      <c r="A292" s="57" t="s">
        <v>1281</v>
      </c>
      <c r="B292" s="58" t="s">
        <v>142</v>
      </c>
      <c r="C292" s="58" t="s">
        <v>143</v>
      </c>
      <c r="D292" s="58" t="s">
        <v>61</v>
      </c>
      <c r="E292" s="58" t="s">
        <v>957</v>
      </c>
      <c r="F292" s="17" t="s">
        <v>103</v>
      </c>
      <c r="G292" s="59">
        <v>46203.0</v>
      </c>
      <c r="H292" s="58" t="s">
        <v>104</v>
      </c>
      <c r="I292" s="58" t="s">
        <v>1282</v>
      </c>
      <c r="J292" s="61" t="s">
        <v>1289</v>
      </c>
      <c r="K292" s="61" t="s">
        <v>1290</v>
      </c>
      <c r="L292" s="61" t="s">
        <v>1291</v>
      </c>
      <c r="M292" s="58">
        <v>2008.0</v>
      </c>
      <c r="N292" s="58">
        <v>17.0</v>
      </c>
      <c r="O292" s="62">
        <v>101.0</v>
      </c>
      <c r="P292" s="62">
        <f t="shared" si="8"/>
        <v>282.8</v>
      </c>
      <c r="Q292" s="63">
        <v>2.0</v>
      </c>
      <c r="R292" s="58">
        <v>1.0</v>
      </c>
      <c r="S292" s="58">
        <v>1.0</v>
      </c>
      <c r="T292" s="58">
        <v>1.0</v>
      </c>
      <c r="U292" s="58">
        <v>2.0</v>
      </c>
      <c r="V292" s="58" t="s">
        <v>130</v>
      </c>
      <c r="W292" s="61" t="s">
        <v>76</v>
      </c>
      <c r="X292" s="28" t="s">
        <v>1033</v>
      </c>
      <c r="Y292" s="64">
        <v>31.0</v>
      </c>
      <c r="Z292" s="65">
        <f t="shared" si="2"/>
        <v>40.3</v>
      </c>
      <c r="AA292" s="65">
        <f t="shared" si="3"/>
        <v>11396.84</v>
      </c>
      <c r="AB292" s="65">
        <f t="shared" si="4"/>
        <v>1403.897923</v>
      </c>
      <c r="AC292" s="66">
        <v>1.0</v>
      </c>
      <c r="AD292" s="67"/>
      <c r="AE292" s="68">
        <f t="shared" si="5"/>
        <v>6557.377049</v>
      </c>
      <c r="AF292" s="69">
        <v>8000.0</v>
      </c>
      <c r="AG292" s="68">
        <f t="shared" si="6"/>
        <v>13114.7541</v>
      </c>
      <c r="AH292" s="70">
        <f t="shared" si="7"/>
        <v>16000</v>
      </c>
      <c r="AI292" s="71"/>
      <c r="AJ292" s="71"/>
      <c r="AK292" s="71"/>
      <c r="AL292" s="71"/>
    </row>
    <row r="293">
      <c r="A293" s="57" t="s">
        <v>1292</v>
      </c>
      <c r="B293" s="58" t="s">
        <v>142</v>
      </c>
      <c r="C293" s="58" t="s">
        <v>143</v>
      </c>
      <c r="D293" s="58" t="s">
        <v>61</v>
      </c>
      <c r="E293" s="58" t="s">
        <v>947</v>
      </c>
      <c r="F293" s="17" t="s">
        <v>103</v>
      </c>
      <c r="G293" s="59">
        <v>46203.0</v>
      </c>
      <c r="H293" s="58" t="s">
        <v>104</v>
      </c>
      <c r="I293" s="58" t="s">
        <v>1293</v>
      </c>
      <c r="J293" s="61" t="s">
        <v>1294</v>
      </c>
      <c r="K293" s="61" t="s">
        <v>1295</v>
      </c>
      <c r="L293" s="61" t="s">
        <v>1296</v>
      </c>
      <c r="M293" s="58">
        <v>2016.0</v>
      </c>
      <c r="N293" s="58">
        <v>15.0</v>
      </c>
      <c r="O293" s="62">
        <v>120.0</v>
      </c>
      <c r="P293" s="62">
        <f t="shared" si="8"/>
        <v>336</v>
      </c>
      <c r="Q293" s="63">
        <v>2.0</v>
      </c>
      <c r="R293" s="58">
        <v>1.0</v>
      </c>
      <c r="S293" s="58">
        <v>1.0</v>
      </c>
      <c r="T293" s="58">
        <v>1.0</v>
      </c>
      <c r="U293" s="58">
        <v>2.0</v>
      </c>
      <c r="V293" s="58" t="s">
        <v>130</v>
      </c>
      <c r="W293" s="61" t="s">
        <v>76</v>
      </c>
      <c r="X293" s="28" t="s">
        <v>1033</v>
      </c>
      <c r="Y293" s="64">
        <v>31.0</v>
      </c>
      <c r="Z293" s="65">
        <f t="shared" si="2"/>
        <v>40.3</v>
      </c>
      <c r="AA293" s="65">
        <f t="shared" si="3"/>
        <v>13540.8</v>
      </c>
      <c r="AB293" s="65">
        <f t="shared" si="4"/>
        <v>1181.614085</v>
      </c>
      <c r="AC293" s="66">
        <v>1.0</v>
      </c>
      <c r="AD293" s="67"/>
      <c r="AE293" s="68">
        <f t="shared" si="5"/>
        <v>6557.377049</v>
      </c>
      <c r="AF293" s="69">
        <v>8000.0</v>
      </c>
      <c r="AG293" s="68">
        <f t="shared" si="6"/>
        <v>13114.7541</v>
      </c>
      <c r="AH293" s="70">
        <f t="shared" si="7"/>
        <v>16000</v>
      </c>
      <c r="AI293" s="71"/>
      <c r="AJ293" s="71"/>
      <c r="AK293" s="71"/>
      <c r="AL293" s="71"/>
    </row>
    <row r="294">
      <c r="A294" s="57" t="s">
        <v>1292</v>
      </c>
      <c r="B294" s="58" t="s">
        <v>142</v>
      </c>
      <c r="C294" s="58" t="s">
        <v>143</v>
      </c>
      <c r="D294" s="58" t="s">
        <v>61</v>
      </c>
      <c r="E294" s="58" t="s">
        <v>947</v>
      </c>
      <c r="F294" s="17" t="s">
        <v>103</v>
      </c>
      <c r="G294" s="59">
        <v>46203.0</v>
      </c>
      <c r="H294" s="58" t="s">
        <v>104</v>
      </c>
      <c r="I294" s="58" t="s">
        <v>1293</v>
      </c>
      <c r="J294" s="61" t="s">
        <v>1297</v>
      </c>
      <c r="K294" s="61" t="s">
        <v>1298</v>
      </c>
      <c r="L294" s="61" t="s">
        <v>1299</v>
      </c>
      <c r="M294" s="58">
        <v>2018.0</v>
      </c>
      <c r="N294" s="58">
        <v>14.0</v>
      </c>
      <c r="O294" s="62">
        <v>216.0</v>
      </c>
      <c r="P294" s="62">
        <f t="shared" si="8"/>
        <v>604.8</v>
      </c>
      <c r="Q294" s="63">
        <v>8.0</v>
      </c>
      <c r="R294" s="58">
        <v>4.0</v>
      </c>
      <c r="S294" s="58">
        <v>4.0</v>
      </c>
      <c r="T294" s="58">
        <v>4.0</v>
      </c>
      <c r="U294" s="58">
        <v>8.0</v>
      </c>
      <c r="V294" s="58" t="s">
        <v>130</v>
      </c>
      <c r="W294" s="61" t="s">
        <v>76</v>
      </c>
      <c r="X294" s="28" t="s">
        <v>1033</v>
      </c>
      <c r="Y294" s="64">
        <v>31.0</v>
      </c>
      <c r="Z294" s="65">
        <f t="shared" si="2"/>
        <v>40.3</v>
      </c>
      <c r="AA294" s="65">
        <f t="shared" si="3"/>
        <v>24373.44</v>
      </c>
      <c r="AB294" s="65">
        <f t="shared" si="4"/>
        <v>2625.809077</v>
      </c>
      <c r="AC294" s="66">
        <v>1.0</v>
      </c>
      <c r="AD294" s="67"/>
      <c r="AE294" s="68">
        <f t="shared" si="5"/>
        <v>6557.377049</v>
      </c>
      <c r="AF294" s="69">
        <v>8000.0</v>
      </c>
      <c r="AG294" s="68">
        <f t="shared" si="6"/>
        <v>52459.01639</v>
      </c>
      <c r="AH294" s="70">
        <f t="shared" si="7"/>
        <v>64000</v>
      </c>
      <c r="AI294" s="71"/>
      <c r="AJ294" s="71"/>
      <c r="AK294" s="71"/>
      <c r="AL294" s="71"/>
    </row>
    <row r="295">
      <c r="A295" s="57" t="s">
        <v>1300</v>
      </c>
      <c r="B295" s="58" t="s">
        <v>142</v>
      </c>
      <c r="C295" s="58" t="s">
        <v>143</v>
      </c>
      <c r="D295" s="58" t="s">
        <v>946</v>
      </c>
      <c r="E295" s="58" t="s">
        <v>947</v>
      </c>
      <c r="F295" s="17" t="s">
        <v>103</v>
      </c>
      <c r="G295" s="59">
        <v>46216.0</v>
      </c>
      <c r="H295" s="58" t="s">
        <v>104</v>
      </c>
      <c r="I295" s="58" t="s">
        <v>1301</v>
      </c>
      <c r="J295" s="61" t="s">
        <v>1302</v>
      </c>
      <c r="K295" s="61" t="s">
        <v>1303</v>
      </c>
      <c r="L295" s="61" t="s">
        <v>1304</v>
      </c>
      <c r="M295" s="58">
        <v>2008.0</v>
      </c>
      <c r="N295" s="58">
        <v>14.0</v>
      </c>
      <c r="O295" s="62">
        <v>187.0</v>
      </c>
      <c r="P295" s="62">
        <f t="shared" si="8"/>
        <v>523.6</v>
      </c>
      <c r="Q295" s="63">
        <v>4.0</v>
      </c>
      <c r="R295" s="58">
        <v>0.0</v>
      </c>
      <c r="S295" s="58">
        <v>4.0</v>
      </c>
      <c r="T295" s="58">
        <v>4.0</v>
      </c>
      <c r="U295" s="58">
        <v>8.0</v>
      </c>
      <c r="V295" s="58" t="s">
        <v>130</v>
      </c>
      <c r="W295" s="61" t="s">
        <v>76</v>
      </c>
      <c r="X295" s="28" t="s">
        <v>1033</v>
      </c>
      <c r="Y295" s="64">
        <v>31.0</v>
      </c>
      <c r="Z295" s="65">
        <f t="shared" si="2"/>
        <v>20.15</v>
      </c>
      <c r="AA295" s="65">
        <f t="shared" si="3"/>
        <v>10550.54</v>
      </c>
      <c r="AB295" s="65">
        <f t="shared" si="4"/>
        <v>3033.020111</v>
      </c>
      <c r="AC295" s="66">
        <v>1.0</v>
      </c>
      <c r="AD295" s="67"/>
      <c r="AE295" s="68">
        <f t="shared" si="5"/>
        <v>6557.377049</v>
      </c>
      <c r="AF295" s="69">
        <v>8000.0</v>
      </c>
      <c r="AG295" s="68">
        <f t="shared" si="6"/>
        <v>26229.5082</v>
      </c>
      <c r="AH295" s="70">
        <f t="shared" si="7"/>
        <v>32000</v>
      </c>
      <c r="AI295" s="71"/>
      <c r="AJ295" s="71"/>
      <c r="AK295" s="71"/>
      <c r="AL295" s="71"/>
    </row>
    <row r="296">
      <c r="A296" s="57" t="s">
        <v>1305</v>
      </c>
      <c r="B296" s="58" t="s">
        <v>142</v>
      </c>
      <c r="C296" s="58" t="s">
        <v>143</v>
      </c>
      <c r="D296" s="58" t="s">
        <v>1066</v>
      </c>
      <c r="E296" s="58" t="s">
        <v>1067</v>
      </c>
      <c r="F296" s="17" t="s">
        <v>103</v>
      </c>
      <c r="G296" s="59">
        <v>46216.0</v>
      </c>
      <c r="H296" s="58" t="s">
        <v>104</v>
      </c>
      <c r="I296" s="58" t="s">
        <v>1306</v>
      </c>
      <c r="J296" s="61" t="s">
        <v>1307</v>
      </c>
      <c r="K296" s="61" t="s">
        <v>1308</v>
      </c>
      <c r="L296" s="61" t="s">
        <v>1309</v>
      </c>
      <c r="M296" s="58">
        <v>2025.0</v>
      </c>
      <c r="N296" s="58">
        <v>24.0</v>
      </c>
      <c r="O296" s="62">
        <v>400.0</v>
      </c>
      <c r="P296" s="62">
        <f t="shared" si="8"/>
        <v>1120</v>
      </c>
      <c r="Q296" s="63">
        <v>7.0</v>
      </c>
      <c r="R296" s="58">
        <v>0.0</v>
      </c>
      <c r="S296" s="58">
        <v>3.0</v>
      </c>
      <c r="T296" s="58">
        <v>7.0</v>
      </c>
      <c r="U296" s="58">
        <v>6.0</v>
      </c>
      <c r="V296" s="58" t="s">
        <v>130</v>
      </c>
      <c r="W296" s="61" t="s">
        <v>76</v>
      </c>
      <c r="X296" s="28" t="s">
        <v>1033</v>
      </c>
      <c r="Y296" s="64">
        <v>31.0</v>
      </c>
      <c r="Z296" s="65">
        <f t="shared" si="2"/>
        <v>47.01666667</v>
      </c>
      <c r="AA296" s="65">
        <f t="shared" si="3"/>
        <v>52658.66667</v>
      </c>
      <c r="AB296" s="65">
        <f t="shared" si="4"/>
        <v>1063.452676</v>
      </c>
      <c r="AC296" s="66">
        <v>1.0</v>
      </c>
      <c r="AD296" s="67"/>
      <c r="AE296" s="68">
        <f t="shared" si="5"/>
        <v>6557.377049</v>
      </c>
      <c r="AF296" s="69">
        <v>8000.0</v>
      </c>
      <c r="AG296" s="68">
        <f t="shared" si="6"/>
        <v>45901.63934</v>
      </c>
      <c r="AH296" s="70">
        <f t="shared" si="7"/>
        <v>56000</v>
      </c>
      <c r="AI296" s="71"/>
      <c r="AJ296" s="71"/>
      <c r="AK296" s="71"/>
      <c r="AL296" s="71"/>
    </row>
    <row r="297">
      <c r="A297" s="76" t="s">
        <v>1305</v>
      </c>
      <c r="B297" s="74" t="s">
        <v>142</v>
      </c>
      <c r="C297" s="74" t="s">
        <v>143</v>
      </c>
      <c r="D297" s="74" t="s">
        <v>1066</v>
      </c>
      <c r="E297" s="74" t="s">
        <v>1067</v>
      </c>
      <c r="F297" s="17" t="s">
        <v>103</v>
      </c>
      <c r="G297" s="59">
        <v>46247.0</v>
      </c>
      <c r="H297" s="58" t="s">
        <v>104</v>
      </c>
      <c r="I297" s="74" t="s">
        <v>1306</v>
      </c>
      <c r="J297" s="75" t="s">
        <v>1310</v>
      </c>
      <c r="K297" s="75" t="s">
        <v>1311</v>
      </c>
      <c r="L297" s="75" t="s">
        <v>1312</v>
      </c>
      <c r="M297" s="74">
        <v>2025.0</v>
      </c>
      <c r="N297" s="74">
        <v>24.0</v>
      </c>
      <c r="O297" s="79">
        <v>721.0</v>
      </c>
      <c r="P297" s="79">
        <f t="shared" si="8"/>
        <v>2018.8</v>
      </c>
      <c r="Q297" s="76">
        <v>4.0</v>
      </c>
      <c r="R297" s="74">
        <v>1.0</v>
      </c>
      <c r="S297" s="74">
        <v>3.0</v>
      </c>
      <c r="T297" s="74">
        <v>3.0</v>
      </c>
      <c r="U297" s="74">
        <v>9.0</v>
      </c>
      <c r="V297" s="74" t="s">
        <v>130</v>
      </c>
      <c r="W297" s="75" t="s">
        <v>76</v>
      </c>
      <c r="X297" s="28" t="s">
        <v>1033</v>
      </c>
      <c r="Y297" s="64">
        <v>31.0</v>
      </c>
      <c r="Z297" s="65">
        <f t="shared" si="2"/>
        <v>20.15</v>
      </c>
      <c r="AA297" s="65">
        <f t="shared" si="3"/>
        <v>40678.82</v>
      </c>
      <c r="AB297" s="65">
        <f t="shared" si="4"/>
        <v>786.6501536</v>
      </c>
      <c r="AC297" s="66">
        <v>1.0</v>
      </c>
      <c r="AD297" s="67"/>
      <c r="AE297" s="68">
        <f t="shared" si="5"/>
        <v>6557.377049</v>
      </c>
      <c r="AF297" s="69">
        <v>8000.0</v>
      </c>
      <c r="AG297" s="68">
        <f t="shared" si="6"/>
        <v>26229.5082</v>
      </c>
      <c r="AH297" s="70">
        <f t="shared" si="7"/>
        <v>32000</v>
      </c>
      <c r="AI297" s="71"/>
      <c r="AJ297" s="71"/>
      <c r="AK297" s="71"/>
      <c r="AL297" s="71"/>
    </row>
    <row r="298">
      <c r="A298" s="76" t="s">
        <v>1313</v>
      </c>
      <c r="B298" s="74" t="s">
        <v>142</v>
      </c>
      <c r="C298" s="74" t="s">
        <v>143</v>
      </c>
      <c r="D298" s="74" t="s">
        <v>1066</v>
      </c>
      <c r="E298" s="74" t="s">
        <v>1067</v>
      </c>
      <c r="F298" s="17" t="s">
        <v>103</v>
      </c>
      <c r="G298" s="59">
        <v>46247.0</v>
      </c>
      <c r="H298" s="58" t="s">
        <v>104</v>
      </c>
      <c r="I298" s="74" t="s">
        <v>1314</v>
      </c>
      <c r="J298" s="75" t="s">
        <v>1315</v>
      </c>
      <c r="K298" s="75" t="s">
        <v>1316</v>
      </c>
      <c r="L298" s="75" t="s">
        <v>1317</v>
      </c>
      <c r="M298" s="74">
        <v>2023.0</v>
      </c>
      <c r="N298" s="74">
        <v>24.0</v>
      </c>
      <c r="O298" s="79">
        <v>509.0</v>
      </c>
      <c r="P298" s="79">
        <f t="shared" si="8"/>
        <v>1425.2</v>
      </c>
      <c r="Q298" s="76">
        <v>4.0</v>
      </c>
      <c r="R298" s="74">
        <v>1.0</v>
      </c>
      <c r="S298" s="74">
        <v>3.0</v>
      </c>
      <c r="T298" s="74">
        <v>3.0</v>
      </c>
      <c r="U298" s="74">
        <v>6.0</v>
      </c>
      <c r="V298" s="74" t="s">
        <v>130</v>
      </c>
      <c r="W298" s="75" t="s">
        <v>76</v>
      </c>
      <c r="X298" s="28" t="s">
        <v>1033</v>
      </c>
      <c r="Y298" s="64">
        <v>31.0</v>
      </c>
      <c r="Z298" s="65">
        <f t="shared" si="2"/>
        <v>26.86666667</v>
      </c>
      <c r="AA298" s="65">
        <f t="shared" si="3"/>
        <v>38290.37333</v>
      </c>
      <c r="AB298" s="65">
        <f t="shared" si="4"/>
        <v>835.7191956</v>
      </c>
      <c r="AC298" s="66">
        <v>1.0</v>
      </c>
      <c r="AD298" s="67"/>
      <c r="AE298" s="68">
        <f t="shared" si="5"/>
        <v>6557.377049</v>
      </c>
      <c r="AF298" s="69">
        <v>8000.0</v>
      </c>
      <c r="AG298" s="68">
        <f t="shared" si="6"/>
        <v>26229.5082</v>
      </c>
      <c r="AH298" s="70">
        <f t="shared" si="7"/>
        <v>32000</v>
      </c>
      <c r="AI298" s="71"/>
      <c r="AJ298" s="71"/>
      <c r="AK298" s="71"/>
      <c r="AL298" s="71"/>
    </row>
    <row r="299">
      <c r="A299" s="76" t="s">
        <v>1313</v>
      </c>
      <c r="B299" s="74" t="s">
        <v>142</v>
      </c>
      <c r="C299" s="74" t="s">
        <v>143</v>
      </c>
      <c r="D299" s="74" t="s">
        <v>1066</v>
      </c>
      <c r="E299" s="74" t="s">
        <v>1067</v>
      </c>
      <c r="F299" s="17" t="s">
        <v>103</v>
      </c>
      <c r="G299" s="59">
        <v>46247.0</v>
      </c>
      <c r="H299" s="58" t="s">
        <v>104</v>
      </c>
      <c r="I299" s="74" t="s">
        <v>1314</v>
      </c>
      <c r="J299" s="75" t="s">
        <v>1318</v>
      </c>
      <c r="K299" s="75" t="s">
        <v>1319</v>
      </c>
      <c r="L299" s="75" t="s">
        <v>1320</v>
      </c>
      <c r="M299" s="74">
        <v>2022.0</v>
      </c>
      <c r="N299" s="74">
        <v>24.0</v>
      </c>
      <c r="O299" s="79">
        <v>400.0</v>
      </c>
      <c r="P299" s="79">
        <f t="shared" si="8"/>
        <v>1120</v>
      </c>
      <c r="Q299" s="76">
        <v>4.0</v>
      </c>
      <c r="R299" s="74">
        <v>2.0</v>
      </c>
      <c r="S299" s="74">
        <v>2.0</v>
      </c>
      <c r="T299" s="74">
        <v>2.0</v>
      </c>
      <c r="U299" s="74">
        <v>5.0</v>
      </c>
      <c r="V299" s="74" t="s">
        <v>130</v>
      </c>
      <c r="W299" s="75" t="s">
        <v>76</v>
      </c>
      <c r="X299" s="28" t="s">
        <v>1033</v>
      </c>
      <c r="Y299" s="64">
        <v>31.0</v>
      </c>
      <c r="Z299" s="65">
        <f t="shared" si="2"/>
        <v>36.27</v>
      </c>
      <c r="AA299" s="65">
        <f t="shared" si="3"/>
        <v>40622.4</v>
      </c>
      <c r="AB299" s="65">
        <f t="shared" si="4"/>
        <v>787.7427232</v>
      </c>
      <c r="AC299" s="66">
        <v>1.0</v>
      </c>
      <c r="AD299" s="67"/>
      <c r="AE299" s="68">
        <f t="shared" si="5"/>
        <v>6557.377049</v>
      </c>
      <c r="AF299" s="69">
        <v>8000.0</v>
      </c>
      <c r="AG299" s="68">
        <f t="shared" si="6"/>
        <v>26229.5082</v>
      </c>
      <c r="AH299" s="70">
        <f t="shared" si="7"/>
        <v>32000</v>
      </c>
      <c r="AI299" s="71"/>
      <c r="AJ299" s="71"/>
      <c r="AK299" s="71"/>
      <c r="AL299" s="71"/>
    </row>
    <row r="300">
      <c r="A300" s="76" t="s">
        <v>1321</v>
      </c>
      <c r="B300" s="74" t="s">
        <v>142</v>
      </c>
      <c r="C300" s="74" t="s">
        <v>143</v>
      </c>
      <c r="D300" s="74" t="s">
        <v>61</v>
      </c>
      <c r="E300" s="74" t="s">
        <v>947</v>
      </c>
      <c r="F300" s="17" t="s">
        <v>103</v>
      </c>
      <c r="G300" s="59">
        <v>46255.0</v>
      </c>
      <c r="H300" s="58" t="s">
        <v>104</v>
      </c>
      <c r="I300" s="74" t="s">
        <v>1322</v>
      </c>
      <c r="J300" s="75" t="s">
        <v>1323</v>
      </c>
      <c r="K300" s="75" t="s">
        <v>1324</v>
      </c>
      <c r="L300" s="75" t="s">
        <v>1325</v>
      </c>
      <c r="M300" s="74">
        <v>2020.0</v>
      </c>
      <c r="N300" s="74">
        <v>14.0</v>
      </c>
      <c r="O300" s="79">
        <v>190.0</v>
      </c>
      <c r="P300" s="79">
        <f t="shared" si="8"/>
        <v>532</v>
      </c>
      <c r="Q300" s="76">
        <v>6.0</v>
      </c>
      <c r="R300" s="74">
        <v>3.0</v>
      </c>
      <c r="S300" s="74">
        <v>3.0</v>
      </c>
      <c r="T300" s="74">
        <v>3.0</v>
      </c>
      <c r="U300" s="74">
        <v>6.0</v>
      </c>
      <c r="V300" s="74" t="s">
        <v>130</v>
      </c>
      <c r="W300" s="75" t="s">
        <v>76</v>
      </c>
      <c r="X300" s="28" t="s">
        <v>1033</v>
      </c>
      <c r="Y300" s="64">
        <v>31.0</v>
      </c>
      <c r="Z300" s="65">
        <f t="shared" si="2"/>
        <v>40.3</v>
      </c>
      <c r="AA300" s="65">
        <f t="shared" si="3"/>
        <v>21439.6</v>
      </c>
      <c r="AB300" s="65">
        <f t="shared" si="4"/>
        <v>2238.84774</v>
      </c>
      <c r="AC300" s="66">
        <v>1.0</v>
      </c>
      <c r="AD300" s="67"/>
      <c r="AE300" s="68">
        <f t="shared" si="5"/>
        <v>6557.377049</v>
      </c>
      <c r="AF300" s="69">
        <v>8000.0</v>
      </c>
      <c r="AG300" s="68">
        <f t="shared" si="6"/>
        <v>39344.2623</v>
      </c>
      <c r="AH300" s="70">
        <f t="shared" si="7"/>
        <v>48000</v>
      </c>
      <c r="AI300" s="71"/>
      <c r="AJ300" s="71"/>
      <c r="AK300" s="71"/>
      <c r="AL300" s="71"/>
    </row>
    <row r="301">
      <c r="A301" s="76" t="s">
        <v>1321</v>
      </c>
      <c r="B301" s="74" t="s">
        <v>142</v>
      </c>
      <c r="C301" s="74" t="s">
        <v>143</v>
      </c>
      <c r="D301" s="74" t="s">
        <v>61</v>
      </c>
      <c r="E301" s="74" t="s">
        <v>947</v>
      </c>
      <c r="F301" s="17" t="s">
        <v>103</v>
      </c>
      <c r="G301" s="59">
        <v>46255.0</v>
      </c>
      <c r="H301" s="58" t="s">
        <v>104</v>
      </c>
      <c r="I301" s="74" t="s">
        <v>1322</v>
      </c>
      <c r="J301" s="75" t="s">
        <v>1326</v>
      </c>
      <c r="K301" s="75" t="s">
        <v>1327</v>
      </c>
      <c r="L301" s="75" t="s">
        <v>1328</v>
      </c>
      <c r="M301" s="74">
        <v>2020.0</v>
      </c>
      <c r="N301" s="74">
        <v>15.0</v>
      </c>
      <c r="O301" s="79">
        <v>136.0</v>
      </c>
      <c r="P301" s="79">
        <f t="shared" si="8"/>
        <v>380.8</v>
      </c>
      <c r="Q301" s="76">
        <v>4.0</v>
      </c>
      <c r="R301" s="74">
        <v>2.0</v>
      </c>
      <c r="S301" s="74">
        <v>3.0</v>
      </c>
      <c r="T301" s="74">
        <v>2.0</v>
      </c>
      <c r="U301" s="74">
        <v>6.0</v>
      </c>
      <c r="V301" s="74" t="s">
        <v>130</v>
      </c>
      <c r="W301" s="75" t="s">
        <v>76</v>
      </c>
      <c r="X301" s="28" t="s">
        <v>1033</v>
      </c>
      <c r="Y301" s="64">
        <v>31.0</v>
      </c>
      <c r="Z301" s="65">
        <f t="shared" si="2"/>
        <v>26.86666667</v>
      </c>
      <c r="AA301" s="65">
        <f t="shared" si="3"/>
        <v>10230.82667</v>
      </c>
      <c r="AB301" s="65">
        <f t="shared" si="4"/>
        <v>3127.801989</v>
      </c>
      <c r="AC301" s="66">
        <v>1.0</v>
      </c>
      <c r="AD301" s="67"/>
      <c r="AE301" s="68">
        <f t="shared" si="5"/>
        <v>6557.377049</v>
      </c>
      <c r="AF301" s="69">
        <v>8000.0</v>
      </c>
      <c r="AG301" s="68">
        <f t="shared" si="6"/>
        <v>26229.5082</v>
      </c>
      <c r="AH301" s="70">
        <f t="shared" si="7"/>
        <v>32000</v>
      </c>
      <c r="AI301" s="71"/>
      <c r="AJ301" s="17"/>
      <c r="AK301" s="30"/>
      <c r="AL301" s="20"/>
    </row>
    <row r="302">
      <c r="A302" s="76" t="s">
        <v>1329</v>
      </c>
      <c r="B302" s="74" t="s">
        <v>142</v>
      </c>
      <c r="C302" s="74" t="s">
        <v>143</v>
      </c>
      <c r="D302" s="74" t="s">
        <v>61</v>
      </c>
      <c r="E302" s="74" t="s">
        <v>947</v>
      </c>
      <c r="F302" s="17" t="s">
        <v>103</v>
      </c>
      <c r="G302" s="59">
        <v>46227.0</v>
      </c>
      <c r="H302" s="58" t="s">
        <v>104</v>
      </c>
      <c r="I302" s="74" t="s">
        <v>1330</v>
      </c>
      <c r="J302" s="75" t="s">
        <v>1331</v>
      </c>
      <c r="K302" s="75" t="s">
        <v>1332</v>
      </c>
      <c r="L302" s="75" t="s">
        <v>1333</v>
      </c>
      <c r="M302" s="74">
        <v>2018.0</v>
      </c>
      <c r="N302" s="74">
        <v>15.0</v>
      </c>
      <c r="O302" s="79">
        <v>140.0</v>
      </c>
      <c r="P302" s="79">
        <f t="shared" si="8"/>
        <v>392</v>
      </c>
      <c r="Q302" s="76">
        <v>3.0</v>
      </c>
      <c r="R302" s="74">
        <v>0.0</v>
      </c>
      <c r="S302" s="74">
        <v>3.0</v>
      </c>
      <c r="T302" s="74">
        <v>3.0</v>
      </c>
      <c r="U302" s="74">
        <v>6.0</v>
      </c>
      <c r="V302" s="74" t="s">
        <v>130</v>
      </c>
      <c r="W302" s="75" t="s">
        <v>76</v>
      </c>
      <c r="X302" s="28" t="s">
        <v>1033</v>
      </c>
      <c r="Y302" s="64">
        <v>31.0</v>
      </c>
      <c r="Z302" s="65">
        <f t="shared" si="2"/>
        <v>20.15</v>
      </c>
      <c r="AA302" s="65">
        <f t="shared" si="3"/>
        <v>7898.8</v>
      </c>
      <c r="AB302" s="65">
        <f t="shared" si="4"/>
        <v>3038.436218</v>
      </c>
      <c r="AC302" s="66">
        <v>1.0</v>
      </c>
      <c r="AD302" s="67"/>
      <c r="AE302" s="68">
        <f t="shared" si="5"/>
        <v>6557.377049</v>
      </c>
      <c r="AF302" s="69">
        <v>8000.0</v>
      </c>
      <c r="AG302" s="68">
        <f t="shared" si="6"/>
        <v>19672.13115</v>
      </c>
      <c r="AH302" s="70">
        <f t="shared" si="7"/>
        <v>24000</v>
      </c>
      <c r="AI302" s="71"/>
      <c r="AJ302" s="17"/>
      <c r="AK302" s="30"/>
      <c r="AL302" s="20"/>
    </row>
    <row r="303">
      <c r="A303" s="76" t="s">
        <v>1329</v>
      </c>
      <c r="B303" s="74" t="s">
        <v>142</v>
      </c>
      <c r="C303" s="74" t="s">
        <v>143</v>
      </c>
      <c r="D303" s="74" t="s">
        <v>61</v>
      </c>
      <c r="E303" s="74" t="s">
        <v>947</v>
      </c>
      <c r="F303" s="17" t="s">
        <v>103</v>
      </c>
      <c r="G303" s="59">
        <v>46245.0</v>
      </c>
      <c r="H303" s="58" t="s">
        <v>104</v>
      </c>
      <c r="I303" s="74" t="s">
        <v>1330</v>
      </c>
      <c r="J303" s="75" t="s">
        <v>1334</v>
      </c>
      <c r="K303" s="75" t="s">
        <v>1335</v>
      </c>
      <c r="L303" s="75" t="s">
        <v>1336</v>
      </c>
      <c r="M303" s="74">
        <v>2018.0</v>
      </c>
      <c r="N303" s="74">
        <v>14.0</v>
      </c>
      <c r="O303" s="79">
        <v>164.0</v>
      </c>
      <c r="P303" s="79">
        <f t="shared" si="8"/>
        <v>459.2</v>
      </c>
      <c r="Q303" s="76">
        <v>3.0</v>
      </c>
      <c r="R303" s="74">
        <v>0.0</v>
      </c>
      <c r="S303" s="74">
        <v>3.0</v>
      </c>
      <c r="T303" s="74">
        <v>3.0</v>
      </c>
      <c r="U303" s="74">
        <v>6.0</v>
      </c>
      <c r="V303" s="74" t="s">
        <v>130</v>
      </c>
      <c r="W303" s="75" t="s">
        <v>76</v>
      </c>
      <c r="X303" s="28" t="s">
        <v>1033</v>
      </c>
      <c r="Y303" s="64">
        <v>31.0</v>
      </c>
      <c r="Z303" s="65">
        <f t="shared" si="2"/>
        <v>20.15</v>
      </c>
      <c r="AA303" s="65">
        <f t="shared" si="3"/>
        <v>9252.88</v>
      </c>
      <c r="AB303" s="65">
        <f t="shared" si="4"/>
        <v>2593.787016</v>
      </c>
      <c r="AC303" s="66">
        <v>1.0</v>
      </c>
      <c r="AD303" s="67"/>
      <c r="AE303" s="68">
        <f t="shared" si="5"/>
        <v>6557.377049</v>
      </c>
      <c r="AF303" s="69">
        <v>8000.0</v>
      </c>
      <c r="AG303" s="68">
        <f t="shared" si="6"/>
        <v>19672.13115</v>
      </c>
      <c r="AH303" s="70">
        <f t="shared" si="7"/>
        <v>24000</v>
      </c>
      <c r="AI303" s="30"/>
      <c r="AJ303" s="17"/>
      <c r="AK303" s="30"/>
      <c r="AL303" s="20"/>
    </row>
    <row r="304">
      <c r="A304" s="76" t="s">
        <v>1329</v>
      </c>
      <c r="B304" s="74" t="s">
        <v>142</v>
      </c>
      <c r="C304" s="74" t="s">
        <v>143</v>
      </c>
      <c r="D304" s="74" t="s">
        <v>61</v>
      </c>
      <c r="E304" s="74" t="s">
        <v>947</v>
      </c>
      <c r="F304" s="17" t="s">
        <v>103</v>
      </c>
      <c r="G304" s="59">
        <v>46245.0</v>
      </c>
      <c r="H304" s="58" t="s">
        <v>104</v>
      </c>
      <c r="I304" s="74" t="s">
        <v>1330</v>
      </c>
      <c r="J304" s="75" t="s">
        <v>1337</v>
      </c>
      <c r="K304" s="75" t="s">
        <v>1338</v>
      </c>
      <c r="L304" s="75" t="s">
        <v>1339</v>
      </c>
      <c r="M304" s="74">
        <v>2020.0</v>
      </c>
      <c r="N304" s="74">
        <v>15.0</v>
      </c>
      <c r="O304" s="79">
        <v>224.0</v>
      </c>
      <c r="P304" s="79">
        <f t="shared" si="8"/>
        <v>627.2</v>
      </c>
      <c r="Q304" s="76">
        <v>4.0</v>
      </c>
      <c r="R304" s="74">
        <v>2.0</v>
      </c>
      <c r="S304" s="74">
        <v>2.0</v>
      </c>
      <c r="T304" s="74">
        <v>2.0</v>
      </c>
      <c r="U304" s="74">
        <v>4.0</v>
      </c>
      <c r="V304" s="74" t="s">
        <v>130</v>
      </c>
      <c r="W304" s="75" t="s">
        <v>76</v>
      </c>
      <c r="X304" s="28" t="s">
        <v>1033</v>
      </c>
      <c r="Y304" s="64">
        <v>31.0</v>
      </c>
      <c r="Z304" s="65">
        <f t="shared" si="2"/>
        <v>40.3</v>
      </c>
      <c r="AA304" s="65">
        <f t="shared" si="3"/>
        <v>25276.16</v>
      </c>
      <c r="AB304" s="65">
        <f t="shared" si="4"/>
        <v>1266.015091</v>
      </c>
      <c r="AC304" s="66">
        <v>1.0</v>
      </c>
      <c r="AD304" s="67"/>
      <c r="AE304" s="68">
        <f t="shared" si="5"/>
        <v>6557.377049</v>
      </c>
      <c r="AF304" s="69">
        <v>8000.0</v>
      </c>
      <c r="AG304" s="68">
        <f t="shared" si="6"/>
        <v>26229.5082</v>
      </c>
      <c r="AH304" s="70">
        <f t="shared" si="7"/>
        <v>32000</v>
      </c>
      <c r="AI304" s="30"/>
      <c r="AJ304" s="17"/>
      <c r="AK304" s="30"/>
      <c r="AL304" s="135"/>
    </row>
    <row r="305">
      <c r="A305" s="76" t="s">
        <v>1340</v>
      </c>
      <c r="B305" s="74" t="s">
        <v>142</v>
      </c>
      <c r="C305" s="74" t="s">
        <v>143</v>
      </c>
      <c r="D305" s="74" t="s">
        <v>61</v>
      </c>
      <c r="E305" s="74" t="s">
        <v>947</v>
      </c>
      <c r="F305" s="17" t="s">
        <v>103</v>
      </c>
      <c r="G305" s="59">
        <v>46240.0</v>
      </c>
      <c r="H305" s="58" t="s">
        <v>104</v>
      </c>
      <c r="I305" s="74" t="s">
        <v>1341</v>
      </c>
      <c r="J305" s="75" t="s">
        <v>1342</v>
      </c>
      <c r="K305" s="75" t="s">
        <v>1343</v>
      </c>
      <c r="L305" s="75" t="s">
        <v>1344</v>
      </c>
      <c r="M305" s="74">
        <v>2016.0</v>
      </c>
      <c r="N305" s="74">
        <v>15.0</v>
      </c>
      <c r="O305" s="79">
        <v>416.0</v>
      </c>
      <c r="P305" s="79">
        <f t="shared" si="8"/>
        <v>1164.8</v>
      </c>
      <c r="Q305" s="76">
        <v>2.0</v>
      </c>
      <c r="R305" s="74">
        <v>1.0</v>
      </c>
      <c r="S305" s="74">
        <v>4.0</v>
      </c>
      <c r="T305" s="74">
        <v>1.0</v>
      </c>
      <c r="U305" s="74">
        <v>8.0</v>
      </c>
      <c r="V305" s="74" t="s">
        <v>130</v>
      </c>
      <c r="W305" s="75" t="s">
        <v>76</v>
      </c>
      <c r="X305" s="28" t="s">
        <v>1033</v>
      </c>
      <c r="Y305" s="64">
        <v>31.0</v>
      </c>
      <c r="Z305" s="65">
        <f t="shared" si="2"/>
        <v>10.075</v>
      </c>
      <c r="AA305" s="65">
        <f t="shared" si="3"/>
        <v>11735.36</v>
      </c>
      <c r="AB305" s="65">
        <f t="shared" si="4"/>
        <v>1363.400867</v>
      </c>
      <c r="AC305" s="66">
        <v>1.0</v>
      </c>
      <c r="AD305" s="67"/>
      <c r="AE305" s="68">
        <f t="shared" si="5"/>
        <v>6557.377049</v>
      </c>
      <c r="AF305" s="69">
        <v>8000.0</v>
      </c>
      <c r="AG305" s="68">
        <f t="shared" si="6"/>
        <v>13114.7541</v>
      </c>
      <c r="AH305" s="70">
        <f t="shared" si="7"/>
        <v>16000</v>
      </c>
      <c r="AI305" s="30"/>
      <c r="AJ305" s="142"/>
      <c r="AK305" s="143"/>
      <c r="AL305" s="135"/>
    </row>
    <row r="306">
      <c r="A306" s="76" t="s">
        <v>1340</v>
      </c>
      <c r="B306" s="74" t="s">
        <v>142</v>
      </c>
      <c r="C306" s="74" t="s">
        <v>143</v>
      </c>
      <c r="D306" s="74" t="s">
        <v>61</v>
      </c>
      <c r="E306" s="74" t="s">
        <v>947</v>
      </c>
      <c r="F306" s="17" t="s">
        <v>103</v>
      </c>
      <c r="G306" s="59">
        <v>46240.0</v>
      </c>
      <c r="H306" s="58" t="s">
        <v>104</v>
      </c>
      <c r="I306" s="77" t="s">
        <v>1341</v>
      </c>
      <c r="J306" s="75" t="s">
        <v>1345</v>
      </c>
      <c r="K306" s="75" t="s">
        <v>1346</v>
      </c>
      <c r="L306" s="75" t="s">
        <v>1347</v>
      </c>
      <c r="M306" s="74">
        <v>2015.0</v>
      </c>
      <c r="N306" s="74">
        <v>17.0</v>
      </c>
      <c r="O306" s="79">
        <v>328.0</v>
      </c>
      <c r="P306" s="79">
        <f t="shared" si="8"/>
        <v>918.4</v>
      </c>
      <c r="Q306" s="76">
        <v>2.0</v>
      </c>
      <c r="R306" s="74">
        <v>1.0</v>
      </c>
      <c r="S306" s="74">
        <v>4.0</v>
      </c>
      <c r="T306" s="74">
        <v>1.0</v>
      </c>
      <c r="U306" s="74">
        <v>2.0</v>
      </c>
      <c r="V306" s="74" t="s">
        <v>130</v>
      </c>
      <c r="W306" s="75" t="s">
        <v>76</v>
      </c>
      <c r="X306" s="28" t="s">
        <v>1033</v>
      </c>
      <c r="Y306" s="64">
        <v>31.0</v>
      </c>
      <c r="Z306" s="65">
        <f t="shared" si="2"/>
        <v>25.1875</v>
      </c>
      <c r="AA306" s="65">
        <f t="shared" si="3"/>
        <v>23132.2</v>
      </c>
      <c r="AB306" s="65">
        <f t="shared" si="4"/>
        <v>691.6765375</v>
      </c>
      <c r="AC306" s="66">
        <v>1.0</v>
      </c>
      <c r="AD306" s="70"/>
      <c r="AE306" s="68">
        <f t="shared" si="5"/>
        <v>6557.377049</v>
      </c>
      <c r="AF306" s="69">
        <v>8000.0</v>
      </c>
      <c r="AG306" s="68">
        <f t="shared" si="6"/>
        <v>13114.7541</v>
      </c>
      <c r="AH306" s="70">
        <f t="shared" si="7"/>
        <v>16000</v>
      </c>
      <c r="AI306" s="71"/>
      <c r="AJ306" s="71"/>
      <c r="AK306" s="71"/>
      <c r="AL306" s="71"/>
    </row>
    <row r="307">
      <c r="A307" s="76" t="s">
        <v>1348</v>
      </c>
      <c r="B307" s="74" t="s">
        <v>142</v>
      </c>
      <c r="C307" s="74" t="s">
        <v>143</v>
      </c>
      <c r="D307" s="74" t="s">
        <v>61</v>
      </c>
      <c r="E307" s="74" t="s">
        <v>947</v>
      </c>
      <c r="F307" s="17" t="s">
        <v>103</v>
      </c>
      <c r="G307" s="59">
        <v>46240.0</v>
      </c>
      <c r="H307" s="58" t="s">
        <v>104</v>
      </c>
      <c r="I307" s="77" t="s">
        <v>1349</v>
      </c>
      <c r="J307" s="75" t="s">
        <v>1350</v>
      </c>
      <c r="K307" s="75" t="s">
        <v>1351</v>
      </c>
      <c r="L307" s="75" t="s">
        <v>1352</v>
      </c>
      <c r="M307" s="74">
        <v>2022.0</v>
      </c>
      <c r="N307" s="74">
        <v>19.0</v>
      </c>
      <c r="O307" s="79">
        <v>144.0</v>
      </c>
      <c r="P307" s="79">
        <f t="shared" si="8"/>
        <v>403.2</v>
      </c>
      <c r="Q307" s="76">
        <v>2.0</v>
      </c>
      <c r="R307" s="74">
        <v>0.0</v>
      </c>
      <c r="S307" s="74">
        <v>1.0</v>
      </c>
      <c r="T307" s="74">
        <v>2.0</v>
      </c>
      <c r="U307" s="74">
        <v>2.0</v>
      </c>
      <c r="V307" s="74" t="s">
        <v>130</v>
      </c>
      <c r="W307" s="75" t="s">
        <v>76</v>
      </c>
      <c r="X307" s="28" t="s">
        <v>1033</v>
      </c>
      <c r="Y307" s="64">
        <v>31.0</v>
      </c>
      <c r="Z307" s="65">
        <f t="shared" si="2"/>
        <v>40.3</v>
      </c>
      <c r="AA307" s="65">
        <f t="shared" si="3"/>
        <v>16248.96</v>
      </c>
      <c r="AB307" s="65">
        <f t="shared" si="4"/>
        <v>984.678404</v>
      </c>
      <c r="AC307" s="66">
        <v>1.0</v>
      </c>
      <c r="AD307" s="70"/>
      <c r="AE307" s="68">
        <f t="shared" si="5"/>
        <v>6557.377049</v>
      </c>
      <c r="AF307" s="69">
        <v>8000.0</v>
      </c>
      <c r="AG307" s="68">
        <f t="shared" si="6"/>
        <v>13114.7541</v>
      </c>
      <c r="AH307" s="70">
        <f t="shared" si="7"/>
        <v>16000</v>
      </c>
      <c r="AI307" s="71"/>
      <c r="AJ307" s="71"/>
      <c r="AK307" s="71"/>
      <c r="AL307" s="71"/>
    </row>
    <row r="308">
      <c r="A308" s="76" t="s">
        <v>1353</v>
      </c>
      <c r="B308" s="74" t="s">
        <v>142</v>
      </c>
      <c r="C308" s="74" t="s">
        <v>143</v>
      </c>
      <c r="D308" s="74" t="s">
        <v>61</v>
      </c>
      <c r="E308" s="74" t="s">
        <v>957</v>
      </c>
      <c r="F308" s="17" t="s">
        <v>103</v>
      </c>
      <c r="G308" s="59">
        <v>46260.0</v>
      </c>
      <c r="H308" s="58" t="s">
        <v>104</v>
      </c>
      <c r="I308" s="77" t="s">
        <v>874</v>
      </c>
      <c r="J308" s="75" t="s">
        <v>1354</v>
      </c>
      <c r="K308" s="75" t="s">
        <v>1355</v>
      </c>
      <c r="L308" s="75" t="s">
        <v>1356</v>
      </c>
      <c r="M308" s="74">
        <v>2014.0</v>
      </c>
      <c r="N308" s="74">
        <v>16.0</v>
      </c>
      <c r="O308" s="79">
        <v>127.0</v>
      </c>
      <c r="P308" s="79">
        <f t="shared" si="8"/>
        <v>355.6</v>
      </c>
      <c r="Q308" s="76">
        <v>2.0</v>
      </c>
      <c r="R308" s="74">
        <v>2.0</v>
      </c>
      <c r="S308" s="74">
        <v>2.0</v>
      </c>
      <c r="T308" s="74">
        <v>0.0</v>
      </c>
      <c r="U308" s="74">
        <v>4.0</v>
      </c>
      <c r="V308" s="74" t="s">
        <v>75</v>
      </c>
      <c r="W308" s="75" t="s">
        <v>76</v>
      </c>
      <c r="X308" s="28" t="s">
        <v>1033</v>
      </c>
      <c r="Y308" s="64">
        <v>31.0</v>
      </c>
      <c r="Z308" s="65">
        <f t="shared" si="2"/>
        <v>20.15</v>
      </c>
      <c r="AA308" s="65">
        <f t="shared" si="3"/>
        <v>7165.34</v>
      </c>
      <c r="AB308" s="65">
        <f t="shared" si="4"/>
        <v>2232.971499</v>
      </c>
      <c r="AC308" s="66">
        <v>1.0</v>
      </c>
      <c r="AD308" s="70"/>
      <c r="AE308" s="68">
        <f t="shared" si="5"/>
        <v>6557.377049</v>
      </c>
      <c r="AF308" s="69">
        <v>8000.0</v>
      </c>
      <c r="AG308" s="68">
        <f t="shared" si="6"/>
        <v>13114.7541</v>
      </c>
      <c r="AH308" s="70">
        <f t="shared" si="7"/>
        <v>16000</v>
      </c>
      <c r="AI308" s="71"/>
      <c r="AJ308" s="71"/>
      <c r="AK308" s="71"/>
      <c r="AL308" s="71"/>
    </row>
    <row r="309">
      <c r="A309" s="76" t="s">
        <v>1353</v>
      </c>
      <c r="B309" s="74" t="s">
        <v>142</v>
      </c>
      <c r="C309" s="74" t="s">
        <v>143</v>
      </c>
      <c r="D309" s="74" t="s">
        <v>61</v>
      </c>
      <c r="E309" s="74" t="s">
        <v>957</v>
      </c>
      <c r="F309" s="17" t="s">
        <v>103</v>
      </c>
      <c r="G309" s="59">
        <v>46260.0</v>
      </c>
      <c r="H309" s="58" t="s">
        <v>104</v>
      </c>
      <c r="I309" s="77" t="s">
        <v>874</v>
      </c>
      <c r="J309" s="75" t="s">
        <v>1354</v>
      </c>
      <c r="K309" s="75" t="s">
        <v>1355</v>
      </c>
      <c r="L309" s="75" t="s">
        <v>1356</v>
      </c>
      <c r="M309" s="74">
        <v>2014.0</v>
      </c>
      <c r="N309" s="74">
        <v>16.0</v>
      </c>
      <c r="O309" s="79">
        <v>127.0</v>
      </c>
      <c r="P309" s="79">
        <f t="shared" si="8"/>
        <v>355.6</v>
      </c>
      <c r="Q309" s="76">
        <v>2.0</v>
      </c>
      <c r="R309" s="74">
        <v>0.0</v>
      </c>
      <c r="S309" s="74">
        <v>2.0</v>
      </c>
      <c r="T309" s="74">
        <v>2.0</v>
      </c>
      <c r="U309" s="74">
        <v>4.0</v>
      </c>
      <c r="V309" s="74" t="s">
        <v>130</v>
      </c>
      <c r="W309" s="75" t="s">
        <v>76</v>
      </c>
      <c r="X309" s="28" t="s">
        <v>1033</v>
      </c>
      <c r="Y309" s="64">
        <v>31.0</v>
      </c>
      <c r="Z309" s="65">
        <f t="shared" si="2"/>
        <v>20.15</v>
      </c>
      <c r="AA309" s="65">
        <f t="shared" si="3"/>
        <v>7165.34</v>
      </c>
      <c r="AB309" s="65">
        <f t="shared" si="4"/>
        <v>2232.971499</v>
      </c>
      <c r="AC309" s="66">
        <v>1.0</v>
      </c>
      <c r="AD309" s="67"/>
      <c r="AE309" s="68">
        <f t="shared" si="5"/>
        <v>6557.377049</v>
      </c>
      <c r="AF309" s="69">
        <v>8000.0</v>
      </c>
      <c r="AG309" s="68">
        <f t="shared" si="6"/>
        <v>13114.7541</v>
      </c>
      <c r="AH309" s="70">
        <f t="shared" si="7"/>
        <v>16000</v>
      </c>
      <c r="AI309" s="71"/>
      <c r="AJ309" s="71"/>
      <c r="AK309" s="71"/>
      <c r="AL309" s="71"/>
    </row>
    <row r="310">
      <c r="A310" s="76" t="s">
        <v>1353</v>
      </c>
      <c r="B310" s="74" t="s">
        <v>142</v>
      </c>
      <c r="C310" s="74" t="s">
        <v>143</v>
      </c>
      <c r="D310" s="74" t="s">
        <v>61</v>
      </c>
      <c r="E310" s="74" t="s">
        <v>957</v>
      </c>
      <c r="F310" s="17" t="s">
        <v>103</v>
      </c>
      <c r="G310" s="59">
        <v>46260.0</v>
      </c>
      <c r="H310" s="58" t="s">
        <v>104</v>
      </c>
      <c r="I310" s="77" t="s">
        <v>874</v>
      </c>
      <c r="J310" s="75" t="s">
        <v>1357</v>
      </c>
      <c r="K310" s="75" t="s">
        <v>1358</v>
      </c>
      <c r="L310" s="75" t="s">
        <v>1359</v>
      </c>
      <c r="M310" s="74">
        <v>2013.0</v>
      </c>
      <c r="N310" s="74">
        <v>14.0</v>
      </c>
      <c r="O310" s="79">
        <v>139.0</v>
      </c>
      <c r="P310" s="79">
        <f t="shared" si="8"/>
        <v>389.2</v>
      </c>
      <c r="Q310" s="76">
        <v>2.0</v>
      </c>
      <c r="R310" s="74">
        <v>2.0</v>
      </c>
      <c r="S310" s="74">
        <v>2.0</v>
      </c>
      <c r="T310" s="74">
        <v>0.0</v>
      </c>
      <c r="U310" s="74">
        <v>4.0</v>
      </c>
      <c r="V310" s="74" t="s">
        <v>75</v>
      </c>
      <c r="W310" s="75" t="s">
        <v>76</v>
      </c>
      <c r="X310" s="28" t="s">
        <v>1033</v>
      </c>
      <c r="Y310" s="64">
        <v>31.0</v>
      </c>
      <c r="Z310" s="65">
        <f t="shared" si="2"/>
        <v>20.15</v>
      </c>
      <c r="AA310" s="65">
        <f t="shared" si="3"/>
        <v>7842.38</v>
      </c>
      <c r="AB310" s="65">
        <f t="shared" si="4"/>
        <v>2040.196981</v>
      </c>
      <c r="AC310" s="66">
        <v>1.0</v>
      </c>
      <c r="AD310" s="67"/>
      <c r="AE310" s="68">
        <f t="shared" si="5"/>
        <v>6557.377049</v>
      </c>
      <c r="AF310" s="69">
        <v>8000.0</v>
      </c>
      <c r="AG310" s="68">
        <f t="shared" si="6"/>
        <v>13114.7541</v>
      </c>
      <c r="AH310" s="70">
        <f t="shared" si="7"/>
        <v>16000</v>
      </c>
      <c r="AI310" s="71"/>
      <c r="AJ310" s="71"/>
      <c r="AK310" s="71"/>
      <c r="AL310" s="71"/>
    </row>
    <row r="311">
      <c r="A311" s="76" t="s">
        <v>1353</v>
      </c>
      <c r="B311" s="74" t="s">
        <v>142</v>
      </c>
      <c r="C311" s="74" t="s">
        <v>143</v>
      </c>
      <c r="D311" s="74" t="s">
        <v>61</v>
      </c>
      <c r="E311" s="74" t="s">
        <v>957</v>
      </c>
      <c r="F311" s="17" t="s">
        <v>103</v>
      </c>
      <c r="G311" s="59">
        <v>46260.0</v>
      </c>
      <c r="H311" s="58" t="s">
        <v>104</v>
      </c>
      <c r="I311" s="77" t="s">
        <v>874</v>
      </c>
      <c r="J311" s="75" t="s">
        <v>1357</v>
      </c>
      <c r="K311" s="75" t="s">
        <v>1358</v>
      </c>
      <c r="L311" s="75" t="s">
        <v>1359</v>
      </c>
      <c r="M311" s="74">
        <v>2013.0</v>
      </c>
      <c r="N311" s="74">
        <v>14.0</v>
      </c>
      <c r="O311" s="79">
        <v>139.0</v>
      </c>
      <c r="P311" s="79">
        <f t="shared" si="8"/>
        <v>389.2</v>
      </c>
      <c r="Q311" s="76">
        <v>2.0</v>
      </c>
      <c r="R311" s="74">
        <v>0.0</v>
      </c>
      <c r="S311" s="74">
        <v>2.0</v>
      </c>
      <c r="T311" s="74">
        <v>2.0</v>
      </c>
      <c r="U311" s="74">
        <v>4.0</v>
      </c>
      <c r="V311" s="74" t="s">
        <v>130</v>
      </c>
      <c r="W311" s="75" t="s">
        <v>76</v>
      </c>
      <c r="X311" s="28" t="s">
        <v>1033</v>
      </c>
      <c r="Y311" s="64">
        <v>31.0</v>
      </c>
      <c r="Z311" s="65">
        <f t="shared" si="2"/>
        <v>20.15</v>
      </c>
      <c r="AA311" s="65">
        <f t="shared" si="3"/>
        <v>7842.38</v>
      </c>
      <c r="AB311" s="65">
        <f t="shared" si="4"/>
        <v>2040.196981</v>
      </c>
      <c r="AC311" s="66">
        <v>1.0</v>
      </c>
      <c r="AD311" s="70"/>
      <c r="AE311" s="68">
        <f t="shared" si="5"/>
        <v>6557.377049</v>
      </c>
      <c r="AF311" s="69">
        <v>8000.0</v>
      </c>
      <c r="AG311" s="68">
        <f t="shared" si="6"/>
        <v>13114.7541</v>
      </c>
      <c r="AH311" s="70">
        <f t="shared" si="7"/>
        <v>16000</v>
      </c>
      <c r="AI311" s="71"/>
      <c r="AJ311" s="71"/>
      <c r="AK311" s="71"/>
      <c r="AL311" s="71"/>
    </row>
    <row r="312">
      <c r="A312" s="76" t="s">
        <v>1360</v>
      </c>
      <c r="B312" s="74" t="s">
        <v>142</v>
      </c>
      <c r="C312" s="74" t="s">
        <v>143</v>
      </c>
      <c r="D312" s="74" t="s">
        <v>61</v>
      </c>
      <c r="E312" s="78"/>
      <c r="F312" s="17" t="s">
        <v>103</v>
      </c>
      <c r="G312" s="59">
        <v>46255.0</v>
      </c>
      <c r="H312" s="58" t="s">
        <v>104</v>
      </c>
      <c r="I312" s="77" t="s">
        <v>1361</v>
      </c>
      <c r="J312" s="75" t="s">
        <v>1362</v>
      </c>
      <c r="K312" s="75" t="s">
        <v>1363</v>
      </c>
      <c r="L312" s="75" t="s">
        <v>1364</v>
      </c>
      <c r="M312" s="74">
        <v>2020.0</v>
      </c>
      <c r="N312" s="74">
        <v>18.0</v>
      </c>
      <c r="O312" s="79">
        <v>359.0</v>
      </c>
      <c r="P312" s="79">
        <f t="shared" si="8"/>
        <v>1005.2</v>
      </c>
      <c r="Q312" s="76">
        <v>6.0</v>
      </c>
      <c r="R312" s="74">
        <v>3.0</v>
      </c>
      <c r="S312" s="74">
        <v>3.0</v>
      </c>
      <c r="T312" s="74">
        <v>3.0</v>
      </c>
      <c r="U312" s="74">
        <v>3.0</v>
      </c>
      <c r="V312" s="74" t="s">
        <v>130</v>
      </c>
      <c r="W312" s="75" t="s">
        <v>76</v>
      </c>
      <c r="X312" s="28" t="s">
        <v>1033</v>
      </c>
      <c r="Y312" s="64">
        <v>31.0</v>
      </c>
      <c r="Z312" s="65">
        <f t="shared" si="2"/>
        <v>60.45</v>
      </c>
      <c r="AA312" s="65">
        <f t="shared" si="3"/>
        <v>60764.34</v>
      </c>
      <c r="AB312" s="65">
        <f t="shared" si="4"/>
        <v>789.9369927</v>
      </c>
      <c r="AC312" s="66">
        <v>1.0</v>
      </c>
      <c r="AD312" s="70"/>
      <c r="AE312" s="68">
        <f t="shared" si="5"/>
        <v>6557.377049</v>
      </c>
      <c r="AF312" s="69">
        <v>8000.0</v>
      </c>
      <c r="AG312" s="68">
        <f t="shared" si="6"/>
        <v>39344.2623</v>
      </c>
      <c r="AH312" s="70">
        <f t="shared" si="7"/>
        <v>48000</v>
      </c>
      <c r="AI312" s="71"/>
      <c r="AJ312" s="71"/>
      <c r="AK312" s="71"/>
      <c r="AL312" s="71"/>
    </row>
    <row r="313">
      <c r="A313" s="76" t="s">
        <v>1365</v>
      </c>
      <c r="B313" s="74" t="s">
        <v>142</v>
      </c>
      <c r="C313" s="74" t="s">
        <v>143</v>
      </c>
      <c r="D313" s="74" t="s">
        <v>61</v>
      </c>
      <c r="E313" s="78"/>
      <c r="F313" s="17" t="s">
        <v>103</v>
      </c>
      <c r="G313" s="59">
        <v>46258.0</v>
      </c>
      <c r="H313" s="58" t="s">
        <v>104</v>
      </c>
      <c r="I313" s="74" t="s">
        <v>1366</v>
      </c>
      <c r="J313" s="75" t="s">
        <v>1367</v>
      </c>
      <c r="K313" s="75" t="s">
        <v>1368</v>
      </c>
      <c r="L313" s="75" t="s">
        <v>1369</v>
      </c>
      <c r="M313" s="74">
        <v>2026.0</v>
      </c>
      <c r="N313" s="74">
        <v>13.0</v>
      </c>
      <c r="O313" s="79">
        <v>156.0</v>
      </c>
      <c r="P313" s="79">
        <f t="shared" si="8"/>
        <v>436.8</v>
      </c>
      <c r="Q313" s="76">
        <v>3.0</v>
      </c>
      <c r="R313" s="74">
        <v>0.0</v>
      </c>
      <c r="S313" s="74">
        <v>3.0</v>
      </c>
      <c r="T313" s="74">
        <v>3.0</v>
      </c>
      <c r="U313" s="74">
        <v>6.0</v>
      </c>
      <c r="V313" s="74" t="s">
        <v>130</v>
      </c>
      <c r="W313" s="75" t="s">
        <v>76</v>
      </c>
      <c r="X313" s="28" t="s">
        <v>1033</v>
      </c>
      <c r="Y313" s="64">
        <v>31.0</v>
      </c>
      <c r="Z313" s="65">
        <f t="shared" si="2"/>
        <v>20.15</v>
      </c>
      <c r="AA313" s="65">
        <f t="shared" si="3"/>
        <v>8801.52</v>
      </c>
      <c r="AB313" s="65">
        <f t="shared" si="4"/>
        <v>2726.801734</v>
      </c>
      <c r="AC313" s="66">
        <v>1.0</v>
      </c>
      <c r="AD313" s="70"/>
      <c r="AE313" s="68">
        <f t="shared" si="5"/>
        <v>6557.377049</v>
      </c>
      <c r="AF313" s="69">
        <v>8000.0</v>
      </c>
      <c r="AG313" s="68">
        <f t="shared" si="6"/>
        <v>19672.13115</v>
      </c>
      <c r="AH313" s="70">
        <f t="shared" si="7"/>
        <v>24000</v>
      </c>
      <c r="AI313" s="71"/>
      <c r="AJ313" s="71"/>
      <c r="AK313" s="71"/>
      <c r="AL313" s="71"/>
    </row>
    <row r="314">
      <c r="A314" s="76" t="s">
        <v>1365</v>
      </c>
      <c r="B314" s="74" t="s">
        <v>142</v>
      </c>
      <c r="C314" s="74" t="s">
        <v>143</v>
      </c>
      <c r="D314" s="74" t="s">
        <v>61</v>
      </c>
      <c r="E314" s="78"/>
      <c r="F314" s="17" t="s">
        <v>103</v>
      </c>
      <c r="G314" s="59">
        <v>46258.0</v>
      </c>
      <c r="H314" s="58" t="s">
        <v>104</v>
      </c>
      <c r="I314" s="74" t="s">
        <v>1366</v>
      </c>
      <c r="J314" s="75" t="s">
        <v>1370</v>
      </c>
      <c r="K314" s="75" t="s">
        <v>1371</v>
      </c>
      <c r="L314" s="75" t="s">
        <v>1372</v>
      </c>
      <c r="M314" s="74">
        <v>2025.0</v>
      </c>
      <c r="N314" s="74">
        <v>10.0</v>
      </c>
      <c r="O314" s="79">
        <v>160.0</v>
      </c>
      <c r="P314" s="79">
        <f t="shared" si="8"/>
        <v>448</v>
      </c>
      <c r="Q314" s="76">
        <v>4.0</v>
      </c>
      <c r="R314" s="74">
        <v>0.0</v>
      </c>
      <c r="S314" s="74">
        <v>4.0</v>
      </c>
      <c r="T314" s="74">
        <v>4.0</v>
      </c>
      <c r="U314" s="74">
        <v>6.0</v>
      </c>
      <c r="V314" s="74" t="s">
        <v>130</v>
      </c>
      <c r="W314" s="75" t="s">
        <v>76</v>
      </c>
      <c r="X314" s="28" t="s">
        <v>1033</v>
      </c>
      <c r="Y314" s="64">
        <v>31.0</v>
      </c>
      <c r="Z314" s="65">
        <f t="shared" si="2"/>
        <v>26.86666667</v>
      </c>
      <c r="AA314" s="65">
        <f t="shared" si="3"/>
        <v>12036.26667</v>
      </c>
      <c r="AB314" s="65">
        <f t="shared" si="4"/>
        <v>2658.631691</v>
      </c>
      <c r="AC314" s="66">
        <v>1.0</v>
      </c>
      <c r="AD314" s="70"/>
      <c r="AE314" s="68">
        <f t="shared" si="5"/>
        <v>6557.377049</v>
      </c>
      <c r="AF314" s="69">
        <v>8000.0</v>
      </c>
      <c r="AG314" s="68">
        <f t="shared" si="6"/>
        <v>26229.5082</v>
      </c>
      <c r="AH314" s="70">
        <f t="shared" si="7"/>
        <v>32000</v>
      </c>
      <c r="AI314" s="71"/>
      <c r="AJ314" s="71"/>
      <c r="AK314" s="71"/>
      <c r="AL314" s="71"/>
    </row>
    <row r="315">
      <c r="A315" s="57" t="s">
        <v>1373</v>
      </c>
      <c r="B315" s="58" t="s">
        <v>165</v>
      </c>
      <c r="C315" s="58" t="s">
        <v>169</v>
      </c>
      <c r="D315" s="58" t="s">
        <v>1374</v>
      </c>
      <c r="E315" s="58" t="s">
        <v>1375</v>
      </c>
      <c r="F315" s="58" t="s">
        <v>103</v>
      </c>
      <c r="G315" s="59">
        <v>45952.0</v>
      </c>
      <c r="H315" s="58" t="s">
        <v>104</v>
      </c>
      <c r="I315" s="60" t="s">
        <v>1376</v>
      </c>
      <c r="J315" s="61" t="s">
        <v>1377</v>
      </c>
      <c r="K315" s="61" t="s">
        <v>1378</v>
      </c>
      <c r="L315" s="61" t="s">
        <v>1379</v>
      </c>
      <c r="M315" s="58">
        <v>2022.0</v>
      </c>
      <c r="N315" s="58">
        <v>20.0</v>
      </c>
      <c r="O315" s="62">
        <v>191.0</v>
      </c>
      <c r="P315" s="62">
        <f t="shared" si="8"/>
        <v>534.8</v>
      </c>
      <c r="Q315" s="63">
        <v>1.0</v>
      </c>
      <c r="R315" s="58">
        <v>1.0</v>
      </c>
      <c r="S315" s="58">
        <v>1.0</v>
      </c>
      <c r="T315" s="58">
        <v>0.0</v>
      </c>
      <c r="U315" s="58">
        <v>3.0</v>
      </c>
      <c r="V315" s="58" t="s">
        <v>75</v>
      </c>
      <c r="W315" s="61" t="s">
        <v>76</v>
      </c>
      <c r="X315" s="28" t="s">
        <v>1033</v>
      </c>
      <c r="Y315" s="64">
        <v>31.0</v>
      </c>
      <c r="Z315" s="65">
        <f t="shared" si="2"/>
        <v>20.15</v>
      </c>
      <c r="AA315" s="65">
        <f t="shared" si="3"/>
        <v>10776.22</v>
      </c>
      <c r="AB315" s="65">
        <f t="shared" si="4"/>
        <v>742.3753413</v>
      </c>
      <c r="AC315" s="66">
        <v>1.0</v>
      </c>
      <c r="AD315" s="70"/>
      <c r="AE315" s="68">
        <f t="shared" si="5"/>
        <v>6557.377049</v>
      </c>
      <c r="AF315" s="69">
        <v>8000.0</v>
      </c>
      <c r="AG315" s="68">
        <f t="shared" si="6"/>
        <v>6557.377049</v>
      </c>
      <c r="AH315" s="70">
        <f t="shared" si="7"/>
        <v>8000</v>
      </c>
      <c r="AI315" s="71"/>
      <c r="AJ315" s="71"/>
      <c r="AK315" s="71"/>
      <c r="AL315" s="71"/>
    </row>
    <row r="316">
      <c r="A316" s="57" t="s">
        <v>1373</v>
      </c>
      <c r="B316" s="58" t="s">
        <v>165</v>
      </c>
      <c r="C316" s="58" t="s">
        <v>169</v>
      </c>
      <c r="D316" s="58" t="s">
        <v>1374</v>
      </c>
      <c r="E316" s="58" t="s">
        <v>1375</v>
      </c>
      <c r="F316" s="58" t="s">
        <v>103</v>
      </c>
      <c r="G316" s="59">
        <v>45952.0</v>
      </c>
      <c r="H316" s="58" t="s">
        <v>104</v>
      </c>
      <c r="I316" s="60" t="s">
        <v>1376</v>
      </c>
      <c r="J316" s="61" t="s">
        <v>1380</v>
      </c>
      <c r="K316" s="61" t="s">
        <v>1381</v>
      </c>
      <c r="L316" s="61" t="s">
        <v>1382</v>
      </c>
      <c r="M316" s="58">
        <v>2023.0</v>
      </c>
      <c r="N316" s="58">
        <v>20.0</v>
      </c>
      <c r="O316" s="62">
        <v>193.0</v>
      </c>
      <c r="P316" s="62">
        <f t="shared" si="8"/>
        <v>540.4</v>
      </c>
      <c r="Q316" s="63">
        <v>3.0</v>
      </c>
      <c r="R316" s="58">
        <v>1.0</v>
      </c>
      <c r="S316" s="58">
        <v>1.0</v>
      </c>
      <c r="T316" s="58">
        <v>2.0</v>
      </c>
      <c r="U316" s="58">
        <v>2.0</v>
      </c>
      <c r="V316" s="58" t="s">
        <v>75</v>
      </c>
      <c r="W316" s="61" t="s">
        <v>76</v>
      </c>
      <c r="X316" s="28" t="s">
        <v>1033</v>
      </c>
      <c r="Y316" s="64">
        <v>31.0</v>
      </c>
      <c r="Z316" s="65">
        <f t="shared" si="2"/>
        <v>60.45</v>
      </c>
      <c r="AA316" s="65">
        <f t="shared" si="3"/>
        <v>32667.18</v>
      </c>
      <c r="AB316" s="65">
        <f t="shared" si="4"/>
        <v>734.6823325</v>
      </c>
      <c r="AC316" s="66">
        <v>1.0</v>
      </c>
      <c r="AD316" s="70"/>
      <c r="AE316" s="68">
        <f t="shared" si="5"/>
        <v>6557.377049</v>
      </c>
      <c r="AF316" s="69">
        <v>8000.0</v>
      </c>
      <c r="AG316" s="68">
        <f t="shared" si="6"/>
        <v>19672.13115</v>
      </c>
      <c r="AH316" s="70">
        <f t="shared" si="7"/>
        <v>24000</v>
      </c>
      <c r="AI316" s="71"/>
      <c r="AJ316" s="71"/>
      <c r="AK316" s="71"/>
      <c r="AL316" s="71"/>
    </row>
    <row r="317">
      <c r="A317" s="57" t="s">
        <v>1373</v>
      </c>
      <c r="B317" s="58" t="s">
        <v>165</v>
      </c>
      <c r="C317" s="58" t="s">
        <v>169</v>
      </c>
      <c r="D317" s="58" t="s">
        <v>1374</v>
      </c>
      <c r="E317" s="58" t="s">
        <v>1375</v>
      </c>
      <c r="F317" s="58" t="s">
        <v>103</v>
      </c>
      <c r="G317" s="59">
        <v>45952.0</v>
      </c>
      <c r="H317" s="58" t="s">
        <v>104</v>
      </c>
      <c r="I317" s="60" t="s">
        <v>1376</v>
      </c>
      <c r="J317" s="61" t="s">
        <v>1383</v>
      </c>
      <c r="K317" s="61" t="s">
        <v>1384</v>
      </c>
      <c r="L317" s="61" t="s">
        <v>1385</v>
      </c>
      <c r="M317" s="58">
        <v>2023.0</v>
      </c>
      <c r="N317" s="58">
        <v>20.0</v>
      </c>
      <c r="O317" s="62">
        <v>190.0</v>
      </c>
      <c r="P317" s="62">
        <f t="shared" si="8"/>
        <v>532</v>
      </c>
      <c r="Q317" s="63">
        <v>1.0</v>
      </c>
      <c r="R317" s="58">
        <v>1.0</v>
      </c>
      <c r="S317" s="58">
        <v>1.0</v>
      </c>
      <c r="T317" s="58">
        <v>0.0</v>
      </c>
      <c r="U317" s="58">
        <v>2.0</v>
      </c>
      <c r="V317" s="58" t="s">
        <v>75</v>
      </c>
      <c r="W317" s="61" t="s">
        <v>76</v>
      </c>
      <c r="X317" s="28" t="s">
        <v>1033</v>
      </c>
      <c r="Y317" s="64">
        <v>31.0</v>
      </c>
      <c r="Z317" s="65">
        <f t="shared" si="2"/>
        <v>20.15</v>
      </c>
      <c r="AA317" s="65">
        <f t="shared" si="3"/>
        <v>10719.8</v>
      </c>
      <c r="AB317" s="65">
        <f t="shared" si="4"/>
        <v>746.2825799</v>
      </c>
      <c r="AC317" s="66">
        <v>1.0</v>
      </c>
      <c r="AD317" s="70"/>
      <c r="AE317" s="68">
        <f t="shared" si="5"/>
        <v>6557.377049</v>
      </c>
      <c r="AF317" s="69">
        <v>8000.0</v>
      </c>
      <c r="AG317" s="68">
        <f t="shared" si="6"/>
        <v>6557.377049</v>
      </c>
      <c r="AH317" s="70">
        <f t="shared" si="7"/>
        <v>8000</v>
      </c>
      <c r="AI317" s="71"/>
      <c r="AJ317" s="71"/>
      <c r="AK317" s="71"/>
      <c r="AL317" s="71"/>
    </row>
    <row r="318">
      <c r="A318" s="57" t="s">
        <v>1373</v>
      </c>
      <c r="B318" s="58" t="s">
        <v>165</v>
      </c>
      <c r="C318" s="58" t="s">
        <v>169</v>
      </c>
      <c r="D318" s="58" t="s">
        <v>1386</v>
      </c>
      <c r="E318" s="58" t="s">
        <v>1375</v>
      </c>
      <c r="F318" s="58" t="s">
        <v>103</v>
      </c>
      <c r="G318" s="59">
        <v>45952.0</v>
      </c>
      <c r="H318" s="58" t="s">
        <v>104</v>
      </c>
      <c r="I318" s="60" t="s">
        <v>1376</v>
      </c>
      <c r="J318" s="61" t="s">
        <v>1387</v>
      </c>
      <c r="K318" s="61" t="s">
        <v>1388</v>
      </c>
      <c r="L318" s="61" t="s">
        <v>1389</v>
      </c>
      <c r="M318" s="58">
        <v>2022.0</v>
      </c>
      <c r="N318" s="58">
        <v>18.0</v>
      </c>
      <c r="O318" s="62">
        <v>170.0</v>
      </c>
      <c r="P318" s="62">
        <f t="shared" si="8"/>
        <v>476</v>
      </c>
      <c r="Q318" s="63">
        <v>2.0</v>
      </c>
      <c r="R318" s="58">
        <v>2.0</v>
      </c>
      <c r="S318" s="58">
        <v>2.0</v>
      </c>
      <c r="T318" s="58">
        <v>0.0</v>
      </c>
      <c r="U318" s="58">
        <v>4.0</v>
      </c>
      <c r="V318" s="58" t="s">
        <v>75</v>
      </c>
      <c r="W318" s="61" t="s">
        <v>76</v>
      </c>
      <c r="X318" s="28" t="s">
        <v>1033</v>
      </c>
      <c r="Y318" s="64">
        <v>31.0</v>
      </c>
      <c r="Z318" s="65">
        <f t="shared" si="2"/>
        <v>20.15</v>
      </c>
      <c r="AA318" s="65">
        <f t="shared" si="3"/>
        <v>9591.4</v>
      </c>
      <c r="AB318" s="65">
        <f t="shared" si="4"/>
        <v>1668.161061</v>
      </c>
      <c r="AC318" s="66">
        <v>1.0</v>
      </c>
      <c r="AD318" s="67"/>
      <c r="AE318" s="68">
        <f t="shared" si="5"/>
        <v>6557.377049</v>
      </c>
      <c r="AF318" s="69">
        <v>8000.0</v>
      </c>
      <c r="AG318" s="68">
        <f t="shared" si="6"/>
        <v>13114.7541</v>
      </c>
      <c r="AH318" s="70">
        <f t="shared" si="7"/>
        <v>16000</v>
      </c>
      <c r="AI318" s="71"/>
      <c r="AJ318" s="71"/>
      <c r="AK318" s="71"/>
      <c r="AL318" s="71"/>
    </row>
    <row r="319">
      <c r="A319" s="57" t="s">
        <v>1373</v>
      </c>
      <c r="B319" s="58" t="s">
        <v>165</v>
      </c>
      <c r="C319" s="58" t="s">
        <v>169</v>
      </c>
      <c r="D319" s="58" t="s">
        <v>1375</v>
      </c>
      <c r="E319" s="58" t="s">
        <v>1375</v>
      </c>
      <c r="F319" s="58" t="s">
        <v>103</v>
      </c>
      <c r="G319" s="59">
        <v>45952.0</v>
      </c>
      <c r="H319" s="58" t="s">
        <v>104</v>
      </c>
      <c r="I319" s="60" t="s">
        <v>1376</v>
      </c>
      <c r="J319" s="61" t="s">
        <v>1390</v>
      </c>
      <c r="K319" s="61" t="s">
        <v>1391</v>
      </c>
      <c r="L319" s="61" t="s">
        <v>1392</v>
      </c>
      <c r="M319" s="58">
        <v>2019.0</v>
      </c>
      <c r="N319" s="58">
        <v>21.0</v>
      </c>
      <c r="O319" s="62">
        <v>180.0</v>
      </c>
      <c r="P319" s="62">
        <f t="shared" si="8"/>
        <v>504</v>
      </c>
      <c r="Q319" s="63">
        <v>1.0</v>
      </c>
      <c r="R319" s="58">
        <v>1.0</v>
      </c>
      <c r="S319" s="58">
        <v>1.0</v>
      </c>
      <c r="T319" s="58">
        <v>0.0</v>
      </c>
      <c r="U319" s="58">
        <v>2.0</v>
      </c>
      <c r="V319" s="58" t="s">
        <v>75</v>
      </c>
      <c r="W319" s="61" t="s">
        <v>76</v>
      </c>
      <c r="X319" s="28" t="s">
        <v>1033</v>
      </c>
      <c r="Y319" s="64">
        <v>31.0</v>
      </c>
      <c r="Z319" s="65">
        <f t="shared" si="2"/>
        <v>20.15</v>
      </c>
      <c r="AA319" s="65">
        <f t="shared" si="3"/>
        <v>10155.6</v>
      </c>
      <c r="AB319" s="65">
        <f t="shared" si="4"/>
        <v>787.7427232</v>
      </c>
      <c r="AC319" s="66">
        <v>1.0</v>
      </c>
      <c r="AD319" s="67"/>
      <c r="AE319" s="68">
        <f t="shared" si="5"/>
        <v>6557.377049</v>
      </c>
      <c r="AF319" s="69">
        <v>8000.0</v>
      </c>
      <c r="AG319" s="68">
        <f t="shared" si="6"/>
        <v>6557.377049</v>
      </c>
      <c r="AH319" s="70">
        <f t="shared" si="7"/>
        <v>8000</v>
      </c>
      <c r="AI319" s="71"/>
      <c r="AJ319" s="71"/>
      <c r="AK319" s="71"/>
      <c r="AL319" s="71"/>
    </row>
    <row r="320">
      <c r="A320" s="57" t="s">
        <v>1393</v>
      </c>
      <c r="B320" s="58" t="s">
        <v>165</v>
      </c>
      <c r="C320" s="58" t="s">
        <v>169</v>
      </c>
      <c r="D320" s="58" t="s">
        <v>1375</v>
      </c>
      <c r="E320" s="58" t="s">
        <v>1375</v>
      </c>
      <c r="F320" s="58" t="s">
        <v>103</v>
      </c>
      <c r="G320" s="59">
        <v>46098.0</v>
      </c>
      <c r="H320" s="58" t="s">
        <v>104</v>
      </c>
      <c r="I320" s="60" t="s">
        <v>1394</v>
      </c>
      <c r="J320" s="61" t="s">
        <v>1395</v>
      </c>
      <c r="K320" s="61" t="s">
        <v>1396</v>
      </c>
      <c r="L320" s="61" t="s">
        <v>1397</v>
      </c>
      <c r="M320" s="58">
        <v>2013.0</v>
      </c>
      <c r="N320" s="58">
        <v>18.0</v>
      </c>
      <c r="O320" s="62">
        <v>171.0</v>
      </c>
      <c r="P320" s="62">
        <f t="shared" si="8"/>
        <v>478.8</v>
      </c>
      <c r="Q320" s="63">
        <v>6.0</v>
      </c>
      <c r="R320" s="58">
        <v>2.0</v>
      </c>
      <c r="S320" s="58">
        <v>2.0</v>
      </c>
      <c r="T320" s="58">
        <v>4.0</v>
      </c>
      <c r="U320" s="58">
        <v>4.0</v>
      </c>
      <c r="V320" s="58" t="s">
        <v>75</v>
      </c>
      <c r="W320" s="61" t="s">
        <v>76</v>
      </c>
      <c r="X320" s="28" t="s">
        <v>1033</v>
      </c>
      <c r="Y320" s="64">
        <v>31.0</v>
      </c>
      <c r="Z320" s="65">
        <f t="shared" si="2"/>
        <v>60.45</v>
      </c>
      <c r="AA320" s="65">
        <f t="shared" si="3"/>
        <v>28943.46</v>
      </c>
      <c r="AB320" s="65">
        <f t="shared" si="4"/>
        <v>1658.405733</v>
      </c>
      <c r="AC320" s="66">
        <v>1.0</v>
      </c>
      <c r="AD320" s="70"/>
      <c r="AE320" s="68">
        <f t="shared" si="5"/>
        <v>6557.377049</v>
      </c>
      <c r="AF320" s="69">
        <v>8000.0</v>
      </c>
      <c r="AG320" s="68">
        <f t="shared" si="6"/>
        <v>39344.2623</v>
      </c>
      <c r="AH320" s="70">
        <f t="shared" si="7"/>
        <v>48000</v>
      </c>
      <c r="AI320" s="71"/>
      <c r="AJ320" s="71"/>
      <c r="AK320" s="71"/>
      <c r="AL320" s="71"/>
    </row>
    <row r="321">
      <c r="A321" s="57" t="s">
        <v>1398</v>
      </c>
      <c r="B321" s="58" t="s">
        <v>165</v>
      </c>
      <c r="C321" s="58" t="s">
        <v>169</v>
      </c>
      <c r="D321" s="58" t="s">
        <v>1375</v>
      </c>
      <c r="E321" s="58" t="s">
        <v>1375</v>
      </c>
      <c r="F321" s="58" t="s">
        <v>103</v>
      </c>
      <c r="G321" s="59">
        <v>46148.0</v>
      </c>
      <c r="H321" s="58" t="s">
        <v>104</v>
      </c>
      <c r="I321" s="60" t="s">
        <v>1399</v>
      </c>
      <c r="J321" s="61" t="s">
        <v>1400</v>
      </c>
      <c r="K321" s="61" t="s">
        <v>1401</v>
      </c>
      <c r="L321" s="61" t="s">
        <v>1402</v>
      </c>
      <c r="M321" s="58">
        <v>2020.0</v>
      </c>
      <c r="N321" s="58">
        <v>19.0</v>
      </c>
      <c r="O321" s="62">
        <v>171.0</v>
      </c>
      <c r="P321" s="62">
        <f t="shared" si="8"/>
        <v>478.8</v>
      </c>
      <c r="Q321" s="63">
        <v>2.0</v>
      </c>
      <c r="R321" s="58">
        <v>2.0</v>
      </c>
      <c r="S321" s="58">
        <v>2.0</v>
      </c>
      <c r="T321" s="58">
        <v>0.0</v>
      </c>
      <c r="U321" s="58">
        <v>4.0</v>
      </c>
      <c r="V321" s="58" t="s">
        <v>75</v>
      </c>
      <c r="W321" s="61" t="s">
        <v>76</v>
      </c>
      <c r="X321" s="28" t="s">
        <v>1033</v>
      </c>
      <c r="Y321" s="64">
        <v>31.0</v>
      </c>
      <c r="Z321" s="65">
        <f t="shared" si="2"/>
        <v>20.15</v>
      </c>
      <c r="AA321" s="65">
        <f t="shared" si="3"/>
        <v>9647.82</v>
      </c>
      <c r="AB321" s="65">
        <f t="shared" si="4"/>
        <v>1658.405733</v>
      </c>
      <c r="AC321" s="66">
        <v>1.0</v>
      </c>
      <c r="AD321" s="70"/>
      <c r="AE321" s="68">
        <f t="shared" si="5"/>
        <v>6557.377049</v>
      </c>
      <c r="AF321" s="69">
        <v>8000.0</v>
      </c>
      <c r="AG321" s="68">
        <f t="shared" si="6"/>
        <v>13114.7541</v>
      </c>
      <c r="AH321" s="70">
        <f t="shared" si="7"/>
        <v>16000</v>
      </c>
      <c r="AI321" s="71"/>
      <c r="AJ321" s="71"/>
      <c r="AK321" s="71"/>
      <c r="AL321" s="71"/>
    </row>
    <row r="322">
      <c r="A322" s="57" t="s">
        <v>1398</v>
      </c>
      <c r="B322" s="58" t="s">
        <v>165</v>
      </c>
      <c r="C322" s="58" t="s">
        <v>169</v>
      </c>
      <c r="D322" s="58" t="s">
        <v>1386</v>
      </c>
      <c r="E322" s="58" t="s">
        <v>1375</v>
      </c>
      <c r="F322" s="58" t="s">
        <v>103</v>
      </c>
      <c r="G322" s="59">
        <v>46148.0</v>
      </c>
      <c r="H322" s="58" t="s">
        <v>104</v>
      </c>
      <c r="I322" s="60" t="s">
        <v>1399</v>
      </c>
      <c r="J322" s="61" t="s">
        <v>1403</v>
      </c>
      <c r="K322" s="61" t="s">
        <v>1404</v>
      </c>
      <c r="L322" s="61" t="s">
        <v>1405</v>
      </c>
      <c r="M322" s="58">
        <v>2016.0</v>
      </c>
      <c r="N322" s="58">
        <v>17.0</v>
      </c>
      <c r="O322" s="62">
        <v>164.0</v>
      </c>
      <c r="P322" s="62">
        <f t="shared" si="8"/>
        <v>459.2</v>
      </c>
      <c r="Q322" s="63">
        <v>4.0</v>
      </c>
      <c r="R322" s="58">
        <v>0.0</v>
      </c>
      <c r="S322" s="58">
        <v>2.0</v>
      </c>
      <c r="T322" s="58">
        <v>4.0</v>
      </c>
      <c r="U322" s="58">
        <v>4.0</v>
      </c>
      <c r="V322" s="58" t="s">
        <v>130</v>
      </c>
      <c r="W322" s="61" t="s">
        <v>76</v>
      </c>
      <c r="X322" s="28" t="s">
        <v>1033</v>
      </c>
      <c r="Y322" s="64">
        <v>31.0</v>
      </c>
      <c r="Z322" s="65">
        <f t="shared" si="2"/>
        <v>40.3</v>
      </c>
      <c r="AA322" s="65">
        <f t="shared" si="3"/>
        <v>18505.76</v>
      </c>
      <c r="AB322" s="65">
        <f t="shared" si="4"/>
        <v>1729.191344</v>
      </c>
      <c r="AC322" s="66">
        <v>1.0</v>
      </c>
      <c r="AD322" s="70"/>
      <c r="AE322" s="68">
        <f t="shared" si="5"/>
        <v>6557.377049</v>
      </c>
      <c r="AF322" s="69">
        <v>8000.0</v>
      </c>
      <c r="AG322" s="68">
        <f t="shared" si="6"/>
        <v>26229.5082</v>
      </c>
      <c r="AH322" s="70">
        <f t="shared" si="7"/>
        <v>32000</v>
      </c>
      <c r="AI322" s="71"/>
      <c r="AJ322" s="71"/>
      <c r="AK322" s="71"/>
      <c r="AL322" s="71"/>
    </row>
    <row r="323">
      <c r="A323" s="57" t="s">
        <v>1398</v>
      </c>
      <c r="B323" s="58" t="s">
        <v>165</v>
      </c>
      <c r="C323" s="58" t="s">
        <v>169</v>
      </c>
      <c r="D323" s="58" t="s">
        <v>1386</v>
      </c>
      <c r="E323" s="58" t="s">
        <v>1375</v>
      </c>
      <c r="F323" s="58" t="s">
        <v>103</v>
      </c>
      <c r="G323" s="59">
        <v>46148.0</v>
      </c>
      <c r="H323" s="58" t="s">
        <v>104</v>
      </c>
      <c r="I323" s="60" t="s">
        <v>1399</v>
      </c>
      <c r="J323" s="61" t="s">
        <v>1406</v>
      </c>
      <c r="K323" s="61" t="s">
        <v>1407</v>
      </c>
      <c r="L323" s="61" t="s">
        <v>1408</v>
      </c>
      <c r="M323" s="58">
        <v>2015.0</v>
      </c>
      <c r="N323" s="58">
        <v>17.0</v>
      </c>
      <c r="O323" s="62">
        <v>167.0</v>
      </c>
      <c r="P323" s="62">
        <f t="shared" si="8"/>
        <v>467.6</v>
      </c>
      <c r="Q323" s="63">
        <v>2.0</v>
      </c>
      <c r="R323" s="58">
        <v>2.0</v>
      </c>
      <c r="S323" s="58">
        <v>2.0</v>
      </c>
      <c r="T323" s="58">
        <v>0.0</v>
      </c>
      <c r="U323" s="58">
        <v>4.0</v>
      </c>
      <c r="V323" s="58" t="s">
        <v>130</v>
      </c>
      <c r="W323" s="61" t="s">
        <v>76</v>
      </c>
      <c r="X323" s="28" t="s">
        <v>1033</v>
      </c>
      <c r="Y323" s="64">
        <v>31.0</v>
      </c>
      <c r="Z323" s="65">
        <f t="shared" si="2"/>
        <v>20.15</v>
      </c>
      <c r="AA323" s="65">
        <f t="shared" si="3"/>
        <v>9422.14</v>
      </c>
      <c r="AB323" s="65">
        <f t="shared" si="4"/>
        <v>1698.128026</v>
      </c>
      <c r="AC323" s="66">
        <v>1.0</v>
      </c>
      <c r="AD323" s="67"/>
      <c r="AE323" s="68">
        <f t="shared" si="5"/>
        <v>6557.377049</v>
      </c>
      <c r="AF323" s="69">
        <v>8000.0</v>
      </c>
      <c r="AG323" s="68">
        <f t="shared" si="6"/>
        <v>13114.7541</v>
      </c>
      <c r="AH323" s="70">
        <f t="shared" si="7"/>
        <v>16000</v>
      </c>
      <c r="AI323" s="71"/>
      <c r="AJ323" s="71"/>
      <c r="AK323" s="71"/>
      <c r="AL323" s="71"/>
    </row>
    <row r="324">
      <c r="A324" s="57" t="s">
        <v>1409</v>
      </c>
      <c r="B324" s="58" t="s">
        <v>165</v>
      </c>
      <c r="C324" s="58" t="s">
        <v>169</v>
      </c>
      <c r="D324" s="58" t="s">
        <v>1375</v>
      </c>
      <c r="E324" s="58" t="s">
        <v>1375</v>
      </c>
      <c r="F324" s="58" t="s">
        <v>103</v>
      </c>
      <c r="G324" s="59">
        <v>46210.0</v>
      </c>
      <c r="H324" s="58" t="s">
        <v>104</v>
      </c>
      <c r="I324" s="60" t="s">
        <v>1410</v>
      </c>
      <c r="J324" s="61" t="s">
        <v>1411</v>
      </c>
      <c r="K324" s="61" t="s">
        <v>1412</v>
      </c>
      <c r="L324" s="61" t="s">
        <v>1413</v>
      </c>
      <c r="M324" s="58">
        <v>2014.0</v>
      </c>
      <c r="N324" s="58">
        <v>17.0</v>
      </c>
      <c r="O324" s="62">
        <v>164.0</v>
      </c>
      <c r="P324" s="62">
        <f t="shared" si="8"/>
        <v>459.2</v>
      </c>
      <c r="Q324" s="63">
        <v>6.0</v>
      </c>
      <c r="R324" s="58">
        <v>2.0</v>
      </c>
      <c r="S324" s="58">
        <v>2.0</v>
      </c>
      <c r="T324" s="58">
        <v>4.0</v>
      </c>
      <c r="U324" s="58">
        <v>4.0</v>
      </c>
      <c r="V324" s="58" t="s">
        <v>130</v>
      </c>
      <c r="W324" s="61" t="s">
        <v>76</v>
      </c>
      <c r="X324" s="28" t="s">
        <v>1033</v>
      </c>
      <c r="Y324" s="64">
        <v>31.0</v>
      </c>
      <c r="Z324" s="65">
        <f t="shared" si="2"/>
        <v>60.45</v>
      </c>
      <c r="AA324" s="65">
        <f t="shared" si="3"/>
        <v>27758.64</v>
      </c>
      <c r="AB324" s="65">
        <f t="shared" si="4"/>
        <v>1729.191344</v>
      </c>
      <c r="AC324" s="66">
        <v>1.0</v>
      </c>
      <c r="AD324" s="67"/>
      <c r="AE324" s="68">
        <f t="shared" si="5"/>
        <v>6557.377049</v>
      </c>
      <c r="AF324" s="69">
        <v>8000.0</v>
      </c>
      <c r="AG324" s="68">
        <f t="shared" si="6"/>
        <v>39344.2623</v>
      </c>
      <c r="AH324" s="70">
        <f t="shared" si="7"/>
        <v>48000</v>
      </c>
      <c r="AI324" s="71"/>
      <c r="AJ324" s="71"/>
      <c r="AK324" s="71"/>
      <c r="AL324" s="71"/>
    </row>
    <row r="325">
      <c r="A325" s="57" t="s">
        <v>1414</v>
      </c>
      <c r="B325" s="58" t="s">
        <v>165</v>
      </c>
      <c r="C325" s="58" t="s">
        <v>169</v>
      </c>
      <c r="D325" s="58" t="s">
        <v>1375</v>
      </c>
      <c r="E325" s="58" t="s">
        <v>1375</v>
      </c>
      <c r="F325" s="58" t="s">
        <v>103</v>
      </c>
      <c r="G325" s="59">
        <v>46210.0</v>
      </c>
      <c r="H325" s="58" t="s">
        <v>104</v>
      </c>
      <c r="I325" s="60" t="s">
        <v>1415</v>
      </c>
      <c r="J325" s="61" t="s">
        <v>1416</v>
      </c>
      <c r="K325" s="61" t="s">
        <v>1417</v>
      </c>
      <c r="L325" s="61" t="s">
        <v>1418</v>
      </c>
      <c r="M325" s="58">
        <v>2013.0</v>
      </c>
      <c r="N325" s="58">
        <v>19.0</v>
      </c>
      <c r="O325" s="62">
        <v>180.0</v>
      </c>
      <c r="P325" s="62">
        <f t="shared" si="8"/>
        <v>504</v>
      </c>
      <c r="Q325" s="63">
        <v>3.0</v>
      </c>
      <c r="R325" s="58">
        <v>0.0</v>
      </c>
      <c r="S325" s="58">
        <v>1.0</v>
      </c>
      <c r="T325" s="58">
        <v>3.0</v>
      </c>
      <c r="U325" s="58">
        <v>3.0</v>
      </c>
      <c r="V325" s="58" t="s">
        <v>130</v>
      </c>
      <c r="W325" s="61" t="s">
        <v>76</v>
      </c>
      <c r="X325" s="28" t="s">
        <v>1033</v>
      </c>
      <c r="Y325" s="64">
        <v>31.0</v>
      </c>
      <c r="Z325" s="65">
        <f t="shared" si="2"/>
        <v>40.3</v>
      </c>
      <c r="AA325" s="65">
        <f t="shared" si="3"/>
        <v>20311.2</v>
      </c>
      <c r="AB325" s="65">
        <f t="shared" si="4"/>
        <v>1181.614085</v>
      </c>
      <c r="AC325" s="66">
        <v>1.0</v>
      </c>
      <c r="AD325" s="70"/>
      <c r="AE325" s="68">
        <f t="shared" si="5"/>
        <v>6557.377049</v>
      </c>
      <c r="AF325" s="69">
        <v>8000.0</v>
      </c>
      <c r="AG325" s="68">
        <f t="shared" si="6"/>
        <v>19672.13115</v>
      </c>
      <c r="AH325" s="70">
        <f t="shared" si="7"/>
        <v>24000</v>
      </c>
      <c r="AI325" s="71"/>
      <c r="AJ325" s="71"/>
      <c r="AK325" s="71"/>
      <c r="AL325" s="71"/>
    </row>
    <row r="326">
      <c r="A326" s="57" t="s">
        <v>1419</v>
      </c>
      <c r="B326" s="58" t="s">
        <v>165</v>
      </c>
      <c r="C326" s="58" t="s">
        <v>169</v>
      </c>
      <c r="D326" s="58" t="s">
        <v>1386</v>
      </c>
      <c r="E326" s="58" t="s">
        <v>1420</v>
      </c>
      <c r="F326" s="58" t="s">
        <v>103</v>
      </c>
      <c r="G326" s="59">
        <v>45989.0</v>
      </c>
      <c r="H326" s="58" t="s">
        <v>104</v>
      </c>
      <c r="I326" s="60" t="s">
        <v>1421</v>
      </c>
      <c r="J326" s="61" t="s">
        <v>1422</v>
      </c>
      <c r="K326" s="61" t="s">
        <v>1423</v>
      </c>
      <c r="L326" s="61" t="s">
        <v>1424</v>
      </c>
      <c r="M326" s="58">
        <v>2025.0</v>
      </c>
      <c r="N326" s="58">
        <v>26.0</v>
      </c>
      <c r="O326" s="62">
        <v>293.0</v>
      </c>
      <c r="P326" s="62">
        <f t="shared" si="8"/>
        <v>820.4</v>
      </c>
      <c r="Q326" s="63">
        <v>2.0</v>
      </c>
      <c r="R326" s="58">
        <v>2.0</v>
      </c>
      <c r="S326" s="58">
        <v>2.0</v>
      </c>
      <c r="T326" s="58">
        <v>0.0</v>
      </c>
      <c r="U326" s="58">
        <v>4.0</v>
      </c>
      <c r="V326" s="58" t="s">
        <v>75</v>
      </c>
      <c r="W326" s="61" t="s">
        <v>76</v>
      </c>
      <c r="X326" s="28" t="s">
        <v>1033</v>
      </c>
      <c r="Y326" s="64">
        <v>31.0</v>
      </c>
      <c r="Z326" s="65">
        <f t="shared" si="2"/>
        <v>20.15</v>
      </c>
      <c r="AA326" s="65">
        <f t="shared" si="3"/>
        <v>16531.06</v>
      </c>
      <c r="AB326" s="65">
        <f t="shared" si="4"/>
        <v>967.8750183</v>
      </c>
      <c r="AC326" s="66">
        <v>1.0</v>
      </c>
      <c r="AD326" s="70"/>
      <c r="AE326" s="68">
        <f t="shared" si="5"/>
        <v>6557.377049</v>
      </c>
      <c r="AF326" s="69">
        <v>8000.0</v>
      </c>
      <c r="AG326" s="68">
        <f t="shared" si="6"/>
        <v>13114.7541</v>
      </c>
      <c r="AH326" s="70">
        <f t="shared" si="7"/>
        <v>16000</v>
      </c>
      <c r="AI326" s="71"/>
      <c r="AJ326" s="71"/>
      <c r="AK326" s="71"/>
      <c r="AL326" s="71"/>
    </row>
    <row r="327">
      <c r="A327" s="57" t="s">
        <v>1419</v>
      </c>
      <c r="B327" s="58" t="s">
        <v>165</v>
      </c>
      <c r="C327" s="58" t="s">
        <v>169</v>
      </c>
      <c r="D327" s="58" t="s">
        <v>1386</v>
      </c>
      <c r="E327" s="58" t="s">
        <v>1420</v>
      </c>
      <c r="F327" s="58" t="s">
        <v>103</v>
      </c>
      <c r="G327" s="59">
        <v>45989.0</v>
      </c>
      <c r="H327" s="58" t="s">
        <v>104</v>
      </c>
      <c r="I327" s="60" t="s">
        <v>1421</v>
      </c>
      <c r="J327" s="61" t="s">
        <v>1425</v>
      </c>
      <c r="K327" s="61" t="s">
        <v>1426</v>
      </c>
      <c r="L327" s="61" t="s">
        <v>1427</v>
      </c>
      <c r="M327" s="58">
        <v>2024.0</v>
      </c>
      <c r="N327" s="58">
        <v>11.0</v>
      </c>
      <c r="O327" s="62">
        <v>128.0</v>
      </c>
      <c r="P327" s="62">
        <f t="shared" si="8"/>
        <v>358.4</v>
      </c>
      <c r="Q327" s="63">
        <v>3.0</v>
      </c>
      <c r="R327" s="58">
        <v>3.0</v>
      </c>
      <c r="S327" s="58">
        <v>3.0</v>
      </c>
      <c r="T327" s="58">
        <v>0.0</v>
      </c>
      <c r="U327" s="58">
        <v>3.0</v>
      </c>
      <c r="V327" s="58" t="s">
        <v>75</v>
      </c>
      <c r="W327" s="61" t="s">
        <v>76</v>
      </c>
      <c r="X327" s="28" t="s">
        <v>1033</v>
      </c>
      <c r="Y327" s="64">
        <v>31.0</v>
      </c>
      <c r="Z327" s="65">
        <f t="shared" si="2"/>
        <v>20.15</v>
      </c>
      <c r="AA327" s="65">
        <f t="shared" si="3"/>
        <v>7221.76</v>
      </c>
      <c r="AB327" s="65">
        <f t="shared" si="4"/>
        <v>3323.289614</v>
      </c>
      <c r="AC327" s="66">
        <v>1.0</v>
      </c>
      <c r="AD327" s="70"/>
      <c r="AE327" s="68">
        <f t="shared" si="5"/>
        <v>6557.377049</v>
      </c>
      <c r="AF327" s="69">
        <v>8000.0</v>
      </c>
      <c r="AG327" s="68">
        <f t="shared" si="6"/>
        <v>19672.13115</v>
      </c>
      <c r="AH327" s="70">
        <f t="shared" si="7"/>
        <v>24000</v>
      </c>
      <c r="AI327" s="71"/>
      <c r="AJ327" s="71"/>
      <c r="AK327" s="71"/>
      <c r="AL327" s="71"/>
    </row>
    <row r="328">
      <c r="A328" s="57" t="s">
        <v>1428</v>
      </c>
      <c r="B328" s="58" t="s">
        <v>165</v>
      </c>
      <c r="C328" s="58" t="s">
        <v>169</v>
      </c>
      <c r="D328" s="58" t="s">
        <v>1386</v>
      </c>
      <c r="E328" s="58" t="s">
        <v>1420</v>
      </c>
      <c r="F328" s="58" t="s">
        <v>103</v>
      </c>
      <c r="G328" s="59">
        <v>45989.0</v>
      </c>
      <c r="H328" s="58" t="s">
        <v>104</v>
      </c>
      <c r="I328" s="60" t="s">
        <v>1429</v>
      </c>
      <c r="J328" s="61" t="s">
        <v>1430</v>
      </c>
      <c r="K328" s="61" t="s">
        <v>1431</v>
      </c>
      <c r="L328" s="61" t="s">
        <v>1432</v>
      </c>
      <c r="M328" s="58">
        <v>2023.0</v>
      </c>
      <c r="N328" s="58">
        <v>11.0</v>
      </c>
      <c r="O328" s="62">
        <v>158.0</v>
      </c>
      <c r="P328" s="62">
        <f t="shared" si="8"/>
        <v>442.4</v>
      </c>
      <c r="Q328" s="63">
        <v>3.0</v>
      </c>
      <c r="R328" s="58">
        <v>3.0</v>
      </c>
      <c r="S328" s="58">
        <v>3.0</v>
      </c>
      <c r="T328" s="58">
        <v>0.0</v>
      </c>
      <c r="U328" s="58">
        <v>3.0</v>
      </c>
      <c r="V328" s="58" t="s">
        <v>75</v>
      </c>
      <c r="W328" s="61" t="s">
        <v>76</v>
      </c>
      <c r="X328" s="28" t="s">
        <v>1033</v>
      </c>
      <c r="Y328" s="64">
        <v>31.0</v>
      </c>
      <c r="Z328" s="65">
        <f t="shared" si="2"/>
        <v>20.15</v>
      </c>
      <c r="AA328" s="65">
        <f t="shared" si="3"/>
        <v>8914.36</v>
      </c>
      <c r="AB328" s="65">
        <f t="shared" si="4"/>
        <v>2692.285257</v>
      </c>
      <c r="AC328" s="66">
        <v>1.0</v>
      </c>
      <c r="AD328" s="67"/>
      <c r="AE328" s="68">
        <f t="shared" si="5"/>
        <v>6557.377049</v>
      </c>
      <c r="AF328" s="69">
        <v>8000.0</v>
      </c>
      <c r="AG328" s="68">
        <f t="shared" si="6"/>
        <v>19672.13115</v>
      </c>
      <c r="AH328" s="70">
        <f t="shared" si="7"/>
        <v>24000</v>
      </c>
      <c r="AI328" s="71"/>
      <c r="AJ328" s="71"/>
      <c r="AK328" s="71"/>
      <c r="AL328" s="71"/>
    </row>
    <row r="329">
      <c r="A329" s="57" t="s">
        <v>1428</v>
      </c>
      <c r="B329" s="58" t="s">
        <v>165</v>
      </c>
      <c r="C329" s="58" t="s">
        <v>169</v>
      </c>
      <c r="D329" s="58" t="s">
        <v>162</v>
      </c>
      <c r="E329" s="58" t="s">
        <v>1420</v>
      </c>
      <c r="F329" s="58" t="s">
        <v>103</v>
      </c>
      <c r="G329" s="59">
        <v>45989.0</v>
      </c>
      <c r="H329" s="58" t="s">
        <v>104</v>
      </c>
      <c r="I329" s="60" t="s">
        <v>1429</v>
      </c>
      <c r="J329" s="61" t="s">
        <v>1433</v>
      </c>
      <c r="K329" s="61" t="s">
        <v>1434</v>
      </c>
      <c r="L329" s="61" t="s">
        <v>1435</v>
      </c>
      <c r="M329" s="58">
        <v>2022.0</v>
      </c>
      <c r="N329" s="58">
        <v>19.0</v>
      </c>
      <c r="O329" s="62">
        <v>256.0</v>
      </c>
      <c r="P329" s="62">
        <f t="shared" si="8"/>
        <v>716.8</v>
      </c>
      <c r="Q329" s="63">
        <v>2.0</v>
      </c>
      <c r="R329" s="58">
        <v>2.0</v>
      </c>
      <c r="S329" s="58">
        <v>2.0</v>
      </c>
      <c r="T329" s="58">
        <v>0.0</v>
      </c>
      <c r="U329" s="58">
        <v>4.0</v>
      </c>
      <c r="V329" s="58" t="s">
        <v>75</v>
      </c>
      <c r="W329" s="61" t="s">
        <v>76</v>
      </c>
      <c r="X329" s="28" t="s">
        <v>1033</v>
      </c>
      <c r="Y329" s="64">
        <v>31.0</v>
      </c>
      <c r="Z329" s="65">
        <f t="shared" si="2"/>
        <v>20.15</v>
      </c>
      <c r="AA329" s="65">
        <f t="shared" si="3"/>
        <v>14443.52</v>
      </c>
      <c r="AB329" s="65">
        <f t="shared" si="4"/>
        <v>1107.763205</v>
      </c>
      <c r="AC329" s="66">
        <v>1.0</v>
      </c>
      <c r="AD329" s="67"/>
      <c r="AE329" s="68">
        <f t="shared" si="5"/>
        <v>6557.377049</v>
      </c>
      <c r="AF329" s="69">
        <v>8000.0</v>
      </c>
      <c r="AG329" s="68">
        <f t="shared" si="6"/>
        <v>13114.7541</v>
      </c>
      <c r="AH329" s="70">
        <f t="shared" si="7"/>
        <v>16000</v>
      </c>
      <c r="AI329" s="71"/>
      <c r="AJ329" s="71"/>
      <c r="AK329" s="71"/>
      <c r="AL329" s="71"/>
    </row>
    <row r="330">
      <c r="A330" s="57" t="s">
        <v>1436</v>
      </c>
      <c r="B330" s="58" t="s">
        <v>165</v>
      </c>
      <c r="C330" s="58" t="s">
        <v>169</v>
      </c>
      <c r="D330" s="58" t="s">
        <v>162</v>
      </c>
      <c r="E330" s="58" t="s">
        <v>1420</v>
      </c>
      <c r="F330" s="58" t="s">
        <v>103</v>
      </c>
      <c r="G330" s="59">
        <v>45995.0</v>
      </c>
      <c r="H330" s="58" t="s">
        <v>104</v>
      </c>
      <c r="I330" s="60" t="s">
        <v>1437</v>
      </c>
      <c r="J330" s="61" t="s">
        <v>1438</v>
      </c>
      <c r="K330" s="61" t="s">
        <v>1439</v>
      </c>
      <c r="L330" s="61" t="s">
        <v>1440</v>
      </c>
      <c r="M330" s="58">
        <v>2023.0</v>
      </c>
      <c r="N330" s="58">
        <v>11.0</v>
      </c>
      <c r="O330" s="62">
        <v>215.0</v>
      </c>
      <c r="P330" s="62">
        <f t="shared" si="8"/>
        <v>602</v>
      </c>
      <c r="Q330" s="63">
        <v>5.0</v>
      </c>
      <c r="R330" s="58">
        <v>5.0</v>
      </c>
      <c r="S330" s="58">
        <v>5.0</v>
      </c>
      <c r="T330" s="58">
        <v>0.0</v>
      </c>
      <c r="U330" s="58">
        <v>5.0</v>
      </c>
      <c r="V330" s="58" t="s">
        <v>75</v>
      </c>
      <c r="W330" s="61" t="s">
        <v>76</v>
      </c>
      <c r="X330" s="28" t="s">
        <v>1033</v>
      </c>
      <c r="Y330" s="64">
        <v>31.0</v>
      </c>
      <c r="Z330" s="65">
        <f t="shared" si="2"/>
        <v>20.15</v>
      </c>
      <c r="AA330" s="65">
        <f t="shared" si="3"/>
        <v>12130.3</v>
      </c>
      <c r="AB330" s="65">
        <f t="shared" si="4"/>
        <v>3297.527679</v>
      </c>
      <c r="AC330" s="66">
        <v>1.0</v>
      </c>
      <c r="AD330" s="70"/>
      <c r="AE330" s="68">
        <f t="shared" si="5"/>
        <v>6557.377049</v>
      </c>
      <c r="AF330" s="69">
        <v>8000.0</v>
      </c>
      <c r="AG330" s="68">
        <f t="shared" si="6"/>
        <v>32786.88525</v>
      </c>
      <c r="AH330" s="70">
        <f t="shared" si="7"/>
        <v>40000</v>
      </c>
      <c r="AI330" s="71"/>
      <c r="AJ330" s="71"/>
      <c r="AK330" s="71"/>
      <c r="AL330" s="71"/>
    </row>
    <row r="331">
      <c r="A331" s="57" t="s">
        <v>1441</v>
      </c>
      <c r="B331" s="58" t="s">
        <v>165</v>
      </c>
      <c r="C331" s="58" t="s">
        <v>169</v>
      </c>
      <c r="D331" s="58" t="s">
        <v>162</v>
      </c>
      <c r="E331" s="58" t="s">
        <v>1420</v>
      </c>
      <c r="F331" s="58" t="s">
        <v>103</v>
      </c>
      <c r="G331" s="59">
        <v>46044.0</v>
      </c>
      <c r="H331" s="58" t="s">
        <v>104</v>
      </c>
      <c r="I331" s="60" t="s">
        <v>1442</v>
      </c>
      <c r="J331" s="61" t="s">
        <v>1443</v>
      </c>
      <c r="K331" s="61" t="s">
        <v>1444</v>
      </c>
      <c r="L331" s="61" t="s">
        <v>1445</v>
      </c>
      <c r="M331" s="58">
        <v>2021.0</v>
      </c>
      <c r="N331" s="58">
        <v>11.0</v>
      </c>
      <c r="O331" s="62">
        <v>110.0</v>
      </c>
      <c r="P331" s="62">
        <f t="shared" si="8"/>
        <v>308</v>
      </c>
      <c r="Q331" s="63">
        <v>2.0</v>
      </c>
      <c r="R331" s="58">
        <v>2.0</v>
      </c>
      <c r="S331" s="58">
        <v>2.0</v>
      </c>
      <c r="T331" s="58">
        <v>0.0</v>
      </c>
      <c r="U331" s="58">
        <v>3.0</v>
      </c>
      <c r="V331" s="58" t="s">
        <v>75</v>
      </c>
      <c r="W331" s="61" t="s">
        <v>76</v>
      </c>
      <c r="X331" s="28" t="s">
        <v>1033</v>
      </c>
      <c r="Y331" s="64">
        <v>31.0</v>
      </c>
      <c r="Z331" s="65">
        <f t="shared" si="2"/>
        <v>20.15</v>
      </c>
      <c r="AA331" s="65">
        <f t="shared" si="3"/>
        <v>6206.2</v>
      </c>
      <c r="AB331" s="65">
        <f t="shared" si="4"/>
        <v>2578.067094</v>
      </c>
      <c r="AC331" s="66">
        <v>1.0</v>
      </c>
      <c r="AD331" s="70"/>
      <c r="AE331" s="68">
        <f t="shared" si="5"/>
        <v>6557.377049</v>
      </c>
      <c r="AF331" s="69">
        <v>8000.0</v>
      </c>
      <c r="AG331" s="68">
        <f t="shared" si="6"/>
        <v>13114.7541</v>
      </c>
      <c r="AH331" s="70">
        <f t="shared" si="7"/>
        <v>16000</v>
      </c>
      <c r="AI331" s="71"/>
      <c r="AJ331" s="71"/>
      <c r="AK331" s="71"/>
      <c r="AL331" s="71"/>
    </row>
    <row r="332">
      <c r="A332" s="57" t="s">
        <v>1441</v>
      </c>
      <c r="B332" s="58" t="s">
        <v>165</v>
      </c>
      <c r="C332" s="58" t="s">
        <v>169</v>
      </c>
      <c r="D332" s="58" t="s">
        <v>162</v>
      </c>
      <c r="E332" s="58" t="s">
        <v>1420</v>
      </c>
      <c r="F332" s="58" t="s">
        <v>103</v>
      </c>
      <c r="G332" s="59">
        <v>46044.0</v>
      </c>
      <c r="H332" s="58" t="s">
        <v>104</v>
      </c>
      <c r="I332" s="60" t="s">
        <v>1442</v>
      </c>
      <c r="J332" s="61" t="s">
        <v>1446</v>
      </c>
      <c r="K332" s="61" t="s">
        <v>1447</v>
      </c>
      <c r="L332" s="61" t="s">
        <v>1448</v>
      </c>
      <c r="M332" s="58">
        <v>2023.0</v>
      </c>
      <c r="N332" s="58">
        <v>11.0</v>
      </c>
      <c r="O332" s="62">
        <v>109.0</v>
      </c>
      <c r="P332" s="62">
        <f t="shared" si="8"/>
        <v>305.2</v>
      </c>
      <c r="Q332" s="63">
        <v>2.0</v>
      </c>
      <c r="R332" s="58">
        <v>2.0</v>
      </c>
      <c r="S332" s="58">
        <v>2.0</v>
      </c>
      <c r="T332" s="58">
        <v>0.0</v>
      </c>
      <c r="U332" s="58">
        <v>4.0</v>
      </c>
      <c r="V332" s="58" t="s">
        <v>75</v>
      </c>
      <c r="W332" s="61" t="s">
        <v>76</v>
      </c>
      <c r="X332" s="28" t="s">
        <v>1033</v>
      </c>
      <c r="Y332" s="64">
        <v>31.0</v>
      </c>
      <c r="Z332" s="65">
        <f t="shared" si="2"/>
        <v>20.15</v>
      </c>
      <c r="AA332" s="65">
        <f t="shared" si="3"/>
        <v>6149.78</v>
      </c>
      <c r="AB332" s="65">
        <f t="shared" si="4"/>
        <v>2601.719086</v>
      </c>
      <c r="AC332" s="66">
        <v>1.0</v>
      </c>
      <c r="AD332" s="70"/>
      <c r="AE332" s="68">
        <f t="shared" si="5"/>
        <v>6557.377049</v>
      </c>
      <c r="AF332" s="69">
        <v>8000.0</v>
      </c>
      <c r="AG332" s="68">
        <f t="shared" si="6"/>
        <v>13114.7541</v>
      </c>
      <c r="AH332" s="70">
        <f t="shared" si="7"/>
        <v>16000</v>
      </c>
      <c r="AI332" s="71"/>
      <c r="AJ332" s="71"/>
      <c r="AK332" s="71"/>
      <c r="AL332" s="71"/>
    </row>
    <row r="333">
      <c r="A333" s="57" t="s">
        <v>1449</v>
      </c>
      <c r="B333" s="58" t="s">
        <v>165</v>
      </c>
      <c r="C333" s="58" t="s">
        <v>169</v>
      </c>
      <c r="D333" s="58" t="s">
        <v>804</v>
      </c>
      <c r="E333" s="58" t="s">
        <v>1420</v>
      </c>
      <c r="F333" s="58" t="s">
        <v>103</v>
      </c>
      <c r="G333" s="59">
        <v>46086.0</v>
      </c>
      <c r="H333" s="58" t="s">
        <v>104</v>
      </c>
      <c r="I333" s="60" t="s">
        <v>1450</v>
      </c>
      <c r="J333" s="61" t="s">
        <v>1451</v>
      </c>
      <c r="K333" s="61" t="s">
        <v>1452</v>
      </c>
      <c r="L333" s="61" t="s">
        <v>1453</v>
      </c>
      <c r="M333" s="58">
        <v>2021.0</v>
      </c>
      <c r="N333" s="58">
        <v>11.0</v>
      </c>
      <c r="O333" s="62">
        <v>219.0</v>
      </c>
      <c r="P333" s="62">
        <f t="shared" si="8"/>
        <v>613.2</v>
      </c>
      <c r="Q333" s="63">
        <v>6.0</v>
      </c>
      <c r="R333" s="58">
        <v>6.0</v>
      </c>
      <c r="S333" s="58">
        <v>6.0</v>
      </c>
      <c r="T333" s="58">
        <v>0.0</v>
      </c>
      <c r="U333" s="58">
        <v>6.0</v>
      </c>
      <c r="V333" s="58" t="s">
        <v>75</v>
      </c>
      <c r="W333" s="61" t="s">
        <v>76</v>
      </c>
      <c r="X333" s="28" t="s">
        <v>1033</v>
      </c>
      <c r="Y333" s="64">
        <v>31.0</v>
      </c>
      <c r="Z333" s="65">
        <f t="shared" si="2"/>
        <v>20.15</v>
      </c>
      <c r="AA333" s="65">
        <f t="shared" si="3"/>
        <v>12355.98</v>
      </c>
      <c r="AB333" s="65">
        <f t="shared" si="4"/>
        <v>3884.758635</v>
      </c>
      <c r="AC333" s="66">
        <v>1.0</v>
      </c>
      <c r="AD333" s="67"/>
      <c r="AE333" s="68">
        <f t="shared" si="5"/>
        <v>6557.377049</v>
      </c>
      <c r="AF333" s="69">
        <v>8000.0</v>
      </c>
      <c r="AG333" s="68">
        <f t="shared" si="6"/>
        <v>39344.2623</v>
      </c>
      <c r="AH333" s="70">
        <f t="shared" si="7"/>
        <v>48000</v>
      </c>
      <c r="AI333" s="71"/>
      <c r="AJ333" s="71"/>
      <c r="AK333" s="71"/>
      <c r="AL333" s="71"/>
    </row>
    <row r="334">
      <c r="A334" s="57" t="s">
        <v>1454</v>
      </c>
      <c r="B334" s="58" t="s">
        <v>165</v>
      </c>
      <c r="C334" s="58" t="s">
        <v>169</v>
      </c>
      <c r="D334" s="58" t="s">
        <v>1386</v>
      </c>
      <c r="E334" s="58" t="s">
        <v>1420</v>
      </c>
      <c r="F334" s="58" t="s">
        <v>103</v>
      </c>
      <c r="G334" s="59">
        <v>46086.0</v>
      </c>
      <c r="H334" s="58" t="s">
        <v>104</v>
      </c>
      <c r="I334" s="60" t="s">
        <v>1455</v>
      </c>
      <c r="J334" s="61" t="s">
        <v>1456</v>
      </c>
      <c r="K334" s="61" t="s">
        <v>1457</v>
      </c>
      <c r="L334" s="61" t="s">
        <v>1458</v>
      </c>
      <c r="M334" s="58">
        <v>2021.0</v>
      </c>
      <c r="N334" s="58">
        <v>11.0</v>
      </c>
      <c r="O334" s="62">
        <v>109.0</v>
      </c>
      <c r="P334" s="62">
        <f t="shared" si="8"/>
        <v>305.2</v>
      </c>
      <c r="Q334" s="63">
        <v>2.0</v>
      </c>
      <c r="R334" s="58">
        <v>2.0</v>
      </c>
      <c r="S334" s="58">
        <v>2.0</v>
      </c>
      <c r="T334" s="58">
        <v>0.0</v>
      </c>
      <c r="U334" s="58">
        <v>3.0</v>
      </c>
      <c r="V334" s="58" t="s">
        <v>75</v>
      </c>
      <c r="W334" s="61" t="s">
        <v>76</v>
      </c>
      <c r="X334" s="28" t="s">
        <v>1033</v>
      </c>
      <c r="Y334" s="64">
        <v>31.0</v>
      </c>
      <c r="Z334" s="65">
        <f t="shared" si="2"/>
        <v>20.15</v>
      </c>
      <c r="AA334" s="65">
        <f t="shared" si="3"/>
        <v>6149.78</v>
      </c>
      <c r="AB334" s="65">
        <f t="shared" si="4"/>
        <v>2601.719086</v>
      </c>
      <c r="AC334" s="66">
        <v>1.0</v>
      </c>
      <c r="AD334" s="67"/>
      <c r="AE334" s="68">
        <f t="shared" si="5"/>
        <v>6557.377049</v>
      </c>
      <c r="AF334" s="69">
        <v>8000.0</v>
      </c>
      <c r="AG334" s="68">
        <f t="shared" si="6"/>
        <v>13114.7541</v>
      </c>
      <c r="AH334" s="70">
        <f t="shared" si="7"/>
        <v>16000</v>
      </c>
      <c r="AI334" s="71"/>
      <c r="AJ334" s="71"/>
      <c r="AK334" s="71"/>
      <c r="AL334" s="71"/>
    </row>
    <row r="335">
      <c r="A335" s="57" t="s">
        <v>1454</v>
      </c>
      <c r="B335" s="58" t="s">
        <v>165</v>
      </c>
      <c r="C335" s="58" t="s">
        <v>169</v>
      </c>
      <c r="D335" s="58" t="s">
        <v>162</v>
      </c>
      <c r="E335" s="58" t="s">
        <v>1420</v>
      </c>
      <c r="F335" s="58" t="s">
        <v>103</v>
      </c>
      <c r="G335" s="59">
        <v>46086.0</v>
      </c>
      <c r="H335" s="58" t="s">
        <v>104</v>
      </c>
      <c r="I335" s="60" t="s">
        <v>1455</v>
      </c>
      <c r="J335" s="61" t="s">
        <v>1459</v>
      </c>
      <c r="K335" s="61" t="s">
        <v>1460</v>
      </c>
      <c r="L335" s="61" t="s">
        <v>1461</v>
      </c>
      <c r="M335" s="58">
        <v>2023.0</v>
      </c>
      <c r="N335" s="58">
        <v>11.0</v>
      </c>
      <c r="O335" s="62">
        <v>224.0</v>
      </c>
      <c r="P335" s="62">
        <f t="shared" si="8"/>
        <v>627.2</v>
      </c>
      <c r="Q335" s="63">
        <v>5.0</v>
      </c>
      <c r="R335" s="58">
        <v>5.0</v>
      </c>
      <c r="S335" s="58">
        <v>5.0</v>
      </c>
      <c r="T335" s="58">
        <v>0.0</v>
      </c>
      <c r="U335" s="58">
        <v>5.0</v>
      </c>
      <c r="V335" s="58" t="s">
        <v>75</v>
      </c>
      <c r="W335" s="61" t="s">
        <v>76</v>
      </c>
      <c r="X335" s="28" t="s">
        <v>1033</v>
      </c>
      <c r="Y335" s="64">
        <v>31.0</v>
      </c>
      <c r="Z335" s="65">
        <f t="shared" si="2"/>
        <v>20.15</v>
      </c>
      <c r="AA335" s="65">
        <f t="shared" si="3"/>
        <v>12638.08</v>
      </c>
      <c r="AB335" s="65">
        <f t="shared" si="4"/>
        <v>3165.037727</v>
      </c>
      <c r="AC335" s="66">
        <v>1.0</v>
      </c>
      <c r="AD335" s="70"/>
      <c r="AE335" s="68">
        <f t="shared" si="5"/>
        <v>6557.377049</v>
      </c>
      <c r="AF335" s="69">
        <v>8000.0</v>
      </c>
      <c r="AG335" s="68">
        <f t="shared" si="6"/>
        <v>32786.88525</v>
      </c>
      <c r="AH335" s="70">
        <f t="shared" si="7"/>
        <v>40000</v>
      </c>
      <c r="AI335" s="71"/>
      <c r="AJ335" s="71"/>
      <c r="AK335" s="71"/>
      <c r="AL335" s="71"/>
    </row>
    <row r="336">
      <c r="A336" s="57" t="s">
        <v>1462</v>
      </c>
      <c r="B336" s="58" t="s">
        <v>165</v>
      </c>
      <c r="C336" s="58" t="s">
        <v>169</v>
      </c>
      <c r="D336" s="58" t="s">
        <v>1386</v>
      </c>
      <c r="E336" s="58" t="s">
        <v>1420</v>
      </c>
      <c r="F336" s="58" t="s">
        <v>103</v>
      </c>
      <c r="G336" s="59">
        <v>46086.0</v>
      </c>
      <c r="H336" s="58" t="s">
        <v>104</v>
      </c>
      <c r="I336" s="60" t="s">
        <v>1463</v>
      </c>
      <c r="J336" s="61" t="s">
        <v>1464</v>
      </c>
      <c r="K336" s="61" t="s">
        <v>1465</v>
      </c>
      <c r="L336" s="61" t="s">
        <v>1466</v>
      </c>
      <c r="M336" s="58">
        <v>2020.0</v>
      </c>
      <c r="N336" s="58">
        <v>11.0</v>
      </c>
      <c r="O336" s="62">
        <v>238.0</v>
      </c>
      <c r="P336" s="62">
        <f t="shared" si="8"/>
        <v>666.4</v>
      </c>
      <c r="Q336" s="63">
        <v>6.0</v>
      </c>
      <c r="R336" s="58">
        <v>6.0</v>
      </c>
      <c r="S336" s="58">
        <v>6.0</v>
      </c>
      <c r="T336" s="58">
        <v>0.0</v>
      </c>
      <c r="U336" s="58">
        <v>6.0</v>
      </c>
      <c r="V336" s="58" t="s">
        <v>75</v>
      </c>
      <c r="W336" s="61" t="s">
        <v>76</v>
      </c>
      <c r="X336" s="28" t="s">
        <v>1033</v>
      </c>
      <c r="Y336" s="64">
        <v>31.0</v>
      </c>
      <c r="Z336" s="65">
        <f t="shared" si="2"/>
        <v>20.15</v>
      </c>
      <c r="AA336" s="65">
        <f t="shared" si="3"/>
        <v>13427.96</v>
      </c>
      <c r="AB336" s="65">
        <f t="shared" si="4"/>
        <v>3574.630845</v>
      </c>
      <c r="AC336" s="66">
        <v>1.0</v>
      </c>
      <c r="AD336" s="70"/>
      <c r="AE336" s="68">
        <f t="shared" si="5"/>
        <v>6557.377049</v>
      </c>
      <c r="AF336" s="69">
        <v>8000.0</v>
      </c>
      <c r="AG336" s="68">
        <f t="shared" si="6"/>
        <v>39344.2623</v>
      </c>
      <c r="AH336" s="70">
        <f t="shared" si="7"/>
        <v>48000</v>
      </c>
      <c r="AI336" s="71"/>
      <c r="AJ336" s="71"/>
      <c r="AK336" s="71"/>
      <c r="AL336" s="71"/>
    </row>
    <row r="337">
      <c r="A337" s="57" t="s">
        <v>1462</v>
      </c>
      <c r="B337" s="58" t="s">
        <v>165</v>
      </c>
      <c r="C337" s="58" t="s">
        <v>169</v>
      </c>
      <c r="D337" s="58" t="s">
        <v>1386</v>
      </c>
      <c r="E337" s="58" t="s">
        <v>1420</v>
      </c>
      <c r="F337" s="58" t="s">
        <v>103</v>
      </c>
      <c r="G337" s="59">
        <v>46086.0</v>
      </c>
      <c r="H337" s="58" t="s">
        <v>104</v>
      </c>
      <c r="I337" s="60" t="s">
        <v>1463</v>
      </c>
      <c r="J337" s="61" t="s">
        <v>1467</v>
      </c>
      <c r="K337" s="61" t="s">
        <v>1468</v>
      </c>
      <c r="L337" s="61" t="s">
        <v>1469</v>
      </c>
      <c r="M337" s="58">
        <v>2020.0</v>
      </c>
      <c r="N337" s="58">
        <v>19.0</v>
      </c>
      <c r="O337" s="62">
        <v>143.0</v>
      </c>
      <c r="P337" s="62">
        <f t="shared" si="8"/>
        <v>400.4</v>
      </c>
      <c r="Q337" s="63">
        <v>6.0</v>
      </c>
      <c r="R337" s="58">
        <v>2.0</v>
      </c>
      <c r="S337" s="58">
        <v>2.0</v>
      </c>
      <c r="T337" s="58">
        <v>4.0</v>
      </c>
      <c r="U337" s="58">
        <v>3.0</v>
      </c>
      <c r="V337" s="58" t="s">
        <v>75</v>
      </c>
      <c r="W337" s="61" t="s">
        <v>76</v>
      </c>
      <c r="X337" s="28" t="s">
        <v>1033</v>
      </c>
      <c r="Y337" s="64">
        <v>31.0</v>
      </c>
      <c r="Z337" s="65">
        <f t="shared" si="2"/>
        <v>73.88333333</v>
      </c>
      <c r="AA337" s="65">
        <f t="shared" si="3"/>
        <v>29582.88667</v>
      </c>
      <c r="AB337" s="65">
        <f t="shared" si="4"/>
        <v>1622.55971</v>
      </c>
      <c r="AC337" s="66">
        <v>1.0</v>
      </c>
      <c r="AD337" s="70"/>
      <c r="AE337" s="68">
        <f t="shared" si="5"/>
        <v>6557.377049</v>
      </c>
      <c r="AF337" s="69">
        <v>8000.0</v>
      </c>
      <c r="AG337" s="68">
        <f t="shared" si="6"/>
        <v>39344.2623</v>
      </c>
      <c r="AH337" s="70">
        <f t="shared" si="7"/>
        <v>48000</v>
      </c>
      <c r="AI337" s="71"/>
      <c r="AJ337" s="71"/>
      <c r="AK337" s="71"/>
      <c r="AL337" s="71"/>
    </row>
    <row r="338">
      <c r="A338" s="57" t="s">
        <v>1471</v>
      </c>
      <c r="B338" s="58" t="s">
        <v>165</v>
      </c>
      <c r="C338" s="58" t="s">
        <v>169</v>
      </c>
      <c r="D338" s="58" t="s">
        <v>1472</v>
      </c>
      <c r="E338" s="58" t="s">
        <v>1473</v>
      </c>
      <c r="F338" s="58" t="s">
        <v>103</v>
      </c>
      <c r="G338" s="59">
        <v>45989.0</v>
      </c>
      <c r="H338" s="58" t="s">
        <v>104</v>
      </c>
      <c r="I338" s="60" t="s">
        <v>1474</v>
      </c>
      <c r="J338" s="61" t="s">
        <v>1475</v>
      </c>
      <c r="K338" s="61" t="s">
        <v>1476</v>
      </c>
      <c r="L338" s="61" t="s">
        <v>1477</v>
      </c>
      <c r="M338" s="58">
        <v>2017.0</v>
      </c>
      <c r="N338" s="58">
        <v>14.0</v>
      </c>
      <c r="O338" s="62">
        <v>117.0</v>
      </c>
      <c r="P338" s="62">
        <f t="shared" si="8"/>
        <v>327.6</v>
      </c>
      <c r="Q338" s="63">
        <v>1.0</v>
      </c>
      <c r="R338" s="58">
        <v>1.0</v>
      </c>
      <c r="S338" s="58">
        <v>1.0</v>
      </c>
      <c r="T338" s="58">
        <v>0.0</v>
      </c>
      <c r="U338" s="58">
        <v>2.0</v>
      </c>
      <c r="V338" s="58" t="s">
        <v>75</v>
      </c>
      <c r="W338" s="61" t="s">
        <v>76</v>
      </c>
      <c r="X338" s="28" t="s">
        <v>1033</v>
      </c>
      <c r="Y338" s="64">
        <v>31.0</v>
      </c>
      <c r="Z338" s="65">
        <f t="shared" si="2"/>
        <v>20.15</v>
      </c>
      <c r="AA338" s="65">
        <f t="shared" si="3"/>
        <v>6601.14</v>
      </c>
      <c r="AB338" s="65">
        <f t="shared" si="4"/>
        <v>1211.911882</v>
      </c>
      <c r="AC338" s="66">
        <v>1.0</v>
      </c>
      <c r="AD338" s="67"/>
      <c r="AE338" s="68">
        <f t="shared" si="5"/>
        <v>6557.377049</v>
      </c>
      <c r="AF338" s="69">
        <v>8000.0</v>
      </c>
      <c r="AG338" s="68">
        <f t="shared" si="6"/>
        <v>6557.377049</v>
      </c>
      <c r="AH338" s="70">
        <f t="shared" si="7"/>
        <v>8000</v>
      </c>
      <c r="AI338" s="71"/>
      <c r="AJ338" s="71"/>
      <c r="AK338" s="71"/>
      <c r="AL338" s="71"/>
    </row>
    <row r="339">
      <c r="A339" s="57" t="s">
        <v>1471</v>
      </c>
      <c r="B339" s="58" t="s">
        <v>165</v>
      </c>
      <c r="C339" s="58" t="s">
        <v>169</v>
      </c>
      <c r="D339" s="58" t="s">
        <v>1472</v>
      </c>
      <c r="E339" s="58" t="s">
        <v>1473</v>
      </c>
      <c r="F339" s="58" t="s">
        <v>103</v>
      </c>
      <c r="G339" s="59">
        <v>45989.0</v>
      </c>
      <c r="H339" s="58" t="s">
        <v>104</v>
      </c>
      <c r="I339" s="60" t="s">
        <v>1474</v>
      </c>
      <c r="J339" s="61" t="s">
        <v>1479</v>
      </c>
      <c r="K339" s="61" t="s">
        <v>1480</v>
      </c>
      <c r="L339" s="61" t="s">
        <v>1481</v>
      </c>
      <c r="M339" s="58">
        <v>2021.0</v>
      </c>
      <c r="N339" s="58">
        <v>14.0</v>
      </c>
      <c r="O339" s="62">
        <v>120.0</v>
      </c>
      <c r="P339" s="62">
        <f t="shared" si="8"/>
        <v>336</v>
      </c>
      <c r="Q339" s="63">
        <v>1.0</v>
      </c>
      <c r="R339" s="58">
        <v>1.0</v>
      </c>
      <c r="S339" s="58">
        <v>1.0</v>
      </c>
      <c r="T339" s="58">
        <v>0.0</v>
      </c>
      <c r="U339" s="58">
        <v>2.0</v>
      </c>
      <c r="V339" s="58" t="s">
        <v>75</v>
      </c>
      <c r="W339" s="61" t="s">
        <v>76</v>
      </c>
      <c r="X339" s="28" t="s">
        <v>1033</v>
      </c>
      <c r="Y339" s="64">
        <v>31.0</v>
      </c>
      <c r="Z339" s="65">
        <f t="shared" si="2"/>
        <v>20.15</v>
      </c>
      <c r="AA339" s="65">
        <f t="shared" si="3"/>
        <v>6770.4</v>
      </c>
      <c r="AB339" s="65">
        <f t="shared" si="4"/>
        <v>1181.614085</v>
      </c>
      <c r="AC339" s="66">
        <v>1.0</v>
      </c>
      <c r="AD339" s="67"/>
      <c r="AE339" s="68">
        <f t="shared" si="5"/>
        <v>6557.377049</v>
      </c>
      <c r="AF339" s="69">
        <v>8000.0</v>
      </c>
      <c r="AG339" s="68">
        <f t="shared" si="6"/>
        <v>6557.377049</v>
      </c>
      <c r="AH339" s="70">
        <f t="shared" si="7"/>
        <v>8000</v>
      </c>
      <c r="AI339" s="71"/>
      <c r="AJ339" s="71"/>
      <c r="AK339" s="71"/>
      <c r="AL339" s="71"/>
    </row>
    <row r="340">
      <c r="A340" s="57" t="s">
        <v>1471</v>
      </c>
      <c r="B340" s="58" t="s">
        <v>165</v>
      </c>
      <c r="C340" s="58" t="s">
        <v>169</v>
      </c>
      <c r="D340" s="58" t="s">
        <v>1472</v>
      </c>
      <c r="E340" s="58" t="s">
        <v>1473</v>
      </c>
      <c r="F340" s="58" t="s">
        <v>103</v>
      </c>
      <c r="G340" s="59">
        <v>45989.0</v>
      </c>
      <c r="H340" s="58" t="s">
        <v>104</v>
      </c>
      <c r="I340" s="60" t="s">
        <v>1474</v>
      </c>
      <c r="J340" s="61" t="s">
        <v>1489</v>
      </c>
      <c r="K340" s="61" t="s">
        <v>1490</v>
      </c>
      <c r="L340" s="61" t="s">
        <v>1491</v>
      </c>
      <c r="M340" s="58">
        <v>2018.0</v>
      </c>
      <c r="N340" s="58">
        <v>14.0</v>
      </c>
      <c r="O340" s="62">
        <v>190.0</v>
      </c>
      <c r="P340" s="62">
        <f t="shared" si="8"/>
        <v>532</v>
      </c>
      <c r="Q340" s="63">
        <v>1.0</v>
      </c>
      <c r="R340" s="58">
        <v>1.0</v>
      </c>
      <c r="S340" s="58">
        <v>1.0</v>
      </c>
      <c r="T340" s="58">
        <v>0.0</v>
      </c>
      <c r="U340" s="58">
        <v>2.0</v>
      </c>
      <c r="V340" s="58" t="s">
        <v>75</v>
      </c>
      <c r="W340" s="61" t="s">
        <v>76</v>
      </c>
      <c r="X340" s="28" t="s">
        <v>1033</v>
      </c>
      <c r="Y340" s="64">
        <v>31.0</v>
      </c>
      <c r="Z340" s="65">
        <f t="shared" si="2"/>
        <v>20.15</v>
      </c>
      <c r="AA340" s="65">
        <f t="shared" si="3"/>
        <v>10719.8</v>
      </c>
      <c r="AB340" s="65">
        <f t="shared" si="4"/>
        <v>746.2825799</v>
      </c>
      <c r="AC340" s="66">
        <v>1.0</v>
      </c>
      <c r="AD340" s="70"/>
      <c r="AE340" s="68">
        <f t="shared" si="5"/>
        <v>6557.377049</v>
      </c>
      <c r="AF340" s="69">
        <v>8000.0</v>
      </c>
      <c r="AG340" s="68">
        <f t="shared" si="6"/>
        <v>6557.377049</v>
      </c>
      <c r="AH340" s="70">
        <f t="shared" si="7"/>
        <v>8000</v>
      </c>
      <c r="AI340" s="71"/>
      <c r="AJ340" s="71"/>
      <c r="AK340" s="71"/>
      <c r="AL340" s="71"/>
    </row>
    <row r="341">
      <c r="A341" s="57" t="s">
        <v>1471</v>
      </c>
      <c r="B341" s="58" t="s">
        <v>165</v>
      </c>
      <c r="C341" s="58" t="s">
        <v>169</v>
      </c>
      <c r="D341" s="58" t="s">
        <v>1472</v>
      </c>
      <c r="E341" s="58" t="s">
        <v>1473</v>
      </c>
      <c r="F341" s="58" t="s">
        <v>103</v>
      </c>
      <c r="G341" s="59">
        <v>45989.0</v>
      </c>
      <c r="H341" s="58" t="s">
        <v>104</v>
      </c>
      <c r="I341" s="60" t="s">
        <v>1474</v>
      </c>
      <c r="J341" s="61" t="s">
        <v>1495</v>
      </c>
      <c r="K341" s="61" t="s">
        <v>1496</v>
      </c>
      <c r="L341" s="61" t="s">
        <v>1497</v>
      </c>
      <c r="M341" s="58">
        <v>2018.0</v>
      </c>
      <c r="N341" s="58">
        <v>16.0</v>
      </c>
      <c r="O341" s="62">
        <v>290.0</v>
      </c>
      <c r="P341" s="62">
        <f t="shared" si="8"/>
        <v>812</v>
      </c>
      <c r="Q341" s="63">
        <v>2.0</v>
      </c>
      <c r="R341" s="58">
        <v>2.0</v>
      </c>
      <c r="S341" s="58">
        <v>1.0</v>
      </c>
      <c r="T341" s="58">
        <v>0.0</v>
      </c>
      <c r="U341" s="58">
        <v>4.0</v>
      </c>
      <c r="V341" s="58" t="s">
        <v>75</v>
      </c>
      <c r="W341" s="61" t="s">
        <v>76</v>
      </c>
      <c r="X341" s="28" t="s">
        <v>1033</v>
      </c>
      <c r="Y341" s="64">
        <v>31.0</v>
      </c>
      <c r="Z341" s="65">
        <f t="shared" si="2"/>
        <v>40.3</v>
      </c>
      <c r="AA341" s="65">
        <f t="shared" si="3"/>
        <v>32723.6</v>
      </c>
      <c r="AB341" s="65">
        <f t="shared" si="4"/>
        <v>488.9437592</v>
      </c>
      <c r="AC341" s="66">
        <v>1.0</v>
      </c>
      <c r="AD341" s="70"/>
      <c r="AE341" s="68">
        <f t="shared" si="5"/>
        <v>6557.377049</v>
      </c>
      <c r="AF341" s="69">
        <v>8000.0</v>
      </c>
      <c r="AG341" s="68">
        <f t="shared" si="6"/>
        <v>13114.7541</v>
      </c>
      <c r="AH341" s="70">
        <f t="shared" si="7"/>
        <v>16000</v>
      </c>
      <c r="AI341" s="71"/>
      <c r="AJ341" s="71"/>
      <c r="AK341" s="71"/>
      <c r="AL341" s="71"/>
    </row>
    <row r="342">
      <c r="A342" s="57" t="s">
        <v>1471</v>
      </c>
      <c r="B342" s="58" t="s">
        <v>165</v>
      </c>
      <c r="C342" s="58" t="s">
        <v>169</v>
      </c>
      <c r="D342" s="58" t="s">
        <v>1472</v>
      </c>
      <c r="E342" s="58" t="s">
        <v>1473</v>
      </c>
      <c r="F342" s="58" t="s">
        <v>103</v>
      </c>
      <c r="G342" s="59">
        <v>45989.0</v>
      </c>
      <c r="H342" s="58" t="s">
        <v>104</v>
      </c>
      <c r="I342" s="60" t="s">
        <v>1474</v>
      </c>
      <c r="J342" s="61" t="s">
        <v>1498</v>
      </c>
      <c r="K342" s="61" t="s">
        <v>1499</v>
      </c>
      <c r="L342" s="61" t="s">
        <v>1500</v>
      </c>
      <c r="M342" s="58">
        <v>2019.0</v>
      </c>
      <c r="N342" s="58">
        <v>16.0</v>
      </c>
      <c r="O342" s="62">
        <v>150.0</v>
      </c>
      <c r="P342" s="62">
        <f t="shared" si="8"/>
        <v>420</v>
      </c>
      <c r="Q342" s="63">
        <v>1.0</v>
      </c>
      <c r="R342" s="58">
        <v>1.0</v>
      </c>
      <c r="S342" s="58">
        <v>1.0</v>
      </c>
      <c r="T342" s="58">
        <v>0.0</v>
      </c>
      <c r="U342" s="58">
        <v>2.0</v>
      </c>
      <c r="V342" s="58" t="s">
        <v>75</v>
      </c>
      <c r="W342" s="61" t="s">
        <v>76</v>
      </c>
      <c r="X342" s="28" t="s">
        <v>1033</v>
      </c>
      <c r="Y342" s="64">
        <v>31.0</v>
      </c>
      <c r="Z342" s="65">
        <f t="shared" si="2"/>
        <v>20.15</v>
      </c>
      <c r="AA342" s="65">
        <f t="shared" si="3"/>
        <v>8463</v>
      </c>
      <c r="AB342" s="65">
        <f t="shared" si="4"/>
        <v>945.2912679</v>
      </c>
      <c r="AC342" s="66">
        <v>1.0</v>
      </c>
      <c r="AD342" s="70"/>
      <c r="AE342" s="68">
        <f t="shared" si="5"/>
        <v>6557.377049</v>
      </c>
      <c r="AF342" s="69">
        <v>8000.0</v>
      </c>
      <c r="AG342" s="68">
        <f t="shared" si="6"/>
        <v>6557.377049</v>
      </c>
      <c r="AH342" s="70">
        <f t="shared" si="7"/>
        <v>8000</v>
      </c>
      <c r="AI342" s="71"/>
      <c r="AJ342" s="71"/>
      <c r="AK342" s="71"/>
      <c r="AL342" s="71"/>
    </row>
    <row r="343">
      <c r="A343" s="57" t="s">
        <v>1471</v>
      </c>
      <c r="B343" s="58" t="s">
        <v>165</v>
      </c>
      <c r="C343" s="58" t="s">
        <v>169</v>
      </c>
      <c r="D343" s="58" t="s">
        <v>1472</v>
      </c>
      <c r="E343" s="58" t="s">
        <v>1473</v>
      </c>
      <c r="F343" s="58" t="s">
        <v>103</v>
      </c>
      <c r="G343" s="59">
        <v>45989.0</v>
      </c>
      <c r="H343" s="58" t="s">
        <v>104</v>
      </c>
      <c r="I343" s="60" t="s">
        <v>1474</v>
      </c>
      <c r="J343" s="61" t="s">
        <v>1501</v>
      </c>
      <c r="K343" s="61" t="s">
        <v>1502</v>
      </c>
      <c r="L343" s="61" t="s">
        <v>1503</v>
      </c>
      <c r="M343" s="58">
        <v>2020.0</v>
      </c>
      <c r="N343" s="58">
        <v>16.0</v>
      </c>
      <c r="O343" s="62">
        <v>160.0</v>
      </c>
      <c r="P343" s="62">
        <f t="shared" si="8"/>
        <v>448</v>
      </c>
      <c r="Q343" s="63">
        <v>1.0</v>
      </c>
      <c r="R343" s="58">
        <v>1.0</v>
      </c>
      <c r="S343" s="58">
        <v>1.0</v>
      </c>
      <c r="T343" s="58">
        <v>0.0</v>
      </c>
      <c r="U343" s="58">
        <v>3.0</v>
      </c>
      <c r="V343" s="58" t="s">
        <v>75</v>
      </c>
      <c r="W343" s="61" t="s">
        <v>76</v>
      </c>
      <c r="X343" s="28" t="s">
        <v>1033</v>
      </c>
      <c r="Y343" s="64">
        <v>31.0</v>
      </c>
      <c r="Z343" s="65">
        <f t="shared" si="2"/>
        <v>20.15</v>
      </c>
      <c r="AA343" s="65">
        <f t="shared" si="3"/>
        <v>9027.2</v>
      </c>
      <c r="AB343" s="65">
        <f t="shared" si="4"/>
        <v>886.2105636</v>
      </c>
      <c r="AC343" s="66">
        <v>1.0</v>
      </c>
      <c r="AD343" s="67"/>
      <c r="AE343" s="68">
        <f t="shared" si="5"/>
        <v>6557.377049</v>
      </c>
      <c r="AF343" s="69">
        <v>8000.0</v>
      </c>
      <c r="AG343" s="68">
        <f t="shared" si="6"/>
        <v>6557.377049</v>
      </c>
      <c r="AH343" s="70">
        <f t="shared" si="7"/>
        <v>8000</v>
      </c>
      <c r="AI343" s="71"/>
      <c r="AJ343" s="71"/>
      <c r="AK343" s="71"/>
      <c r="AL343" s="71"/>
    </row>
    <row r="344">
      <c r="A344" s="57" t="s">
        <v>1471</v>
      </c>
      <c r="B344" s="58" t="s">
        <v>165</v>
      </c>
      <c r="C344" s="58" t="s">
        <v>169</v>
      </c>
      <c r="D344" s="58" t="s">
        <v>1472</v>
      </c>
      <c r="E344" s="58" t="s">
        <v>1473</v>
      </c>
      <c r="F344" s="58" t="s">
        <v>103</v>
      </c>
      <c r="G344" s="59">
        <v>45989.0</v>
      </c>
      <c r="H344" s="58" t="s">
        <v>104</v>
      </c>
      <c r="I344" s="60" t="s">
        <v>1474</v>
      </c>
      <c r="J344" s="61" t="s">
        <v>1504</v>
      </c>
      <c r="K344" s="61" t="s">
        <v>1505</v>
      </c>
      <c r="L344" s="61" t="s">
        <v>1506</v>
      </c>
      <c r="M344" s="58">
        <v>2021.0</v>
      </c>
      <c r="N344" s="58">
        <v>14.0</v>
      </c>
      <c r="O344" s="62">
        <v>154.0</v>
      </c>
      <c r="P344" s="62">
        <f t="shared" si="8"/>
        <v>431.2</v>
      </c>
      <c r="Q344" s="63">
        <v>1.0</v>
      </c>
      <c r="R344" s="58">
        <v>1.0</v>
      </c>
      <c r="S344" s="58">
        <v>1.0</v>
      </c>
      <c r="T344" s="58">
        <v>0.0</v>
      </c>
      <c r="U344" s="58">
        <v>2.0</v>
      </c>
      <c r="V344" s="58" t="s">
        <v>75</v>
      </c>
      <c r="W344" s="61" t="s">
        <v>76</v>
      </c>
      <c r="X344" s="28" t="s">
        <v>1033</v>
      </c>
      <c r="Y344" s="64">
        <v>31.0</v>
      </c>
      <c r="Z344" s="65">
        <f t="shared" si="2"/>
        <v>20.15</v>
      </c>
      <c r="AA344" s="65">
        <f t="shared" si="3"/>
        <v>8688.68</v>
      </c>
      <c r="AB344" s="65">
        <f t="shared" si="4"/>
        <v>920.7382479</v>
      </c>
      <c r="AC344" s="66">
        <v>1.0</v>
      </c>
      <c r="AD344" s="67"/>
      <c r="AE344" s="68">
        <f t="shared" si="5"/>
        <v>6557.377049</v>
      </c>
      <c r="AF344" s="69">
        <v>8000.0</v>
      </c>
      <c r="AG344" s="68">
        <f t="shared" si="6"/>
        <v>6557.377049</v>
      </c>
      <c r="AH344" s="70">
        <f t="shared" si="7"/>
        <v>8000</v>
      </c>
      <c r="AI344" s="71"/>
      <c r="AJ344" s="71"/>
      <c r="AK344" s="71"/>
      <c r="AL344" s="71"/>
    </row>
    <row r="345">
      <c r="A345" s="57" t="s">
        <v>1471</v>
      </c>
      <c r="B345" s="58" t="s">
        <v>165</v>
      </c>
      <c r="C345" s="58" t="s">
        <v>169</v>
      </c>
      <c r="D345" s="58" t="s">
        <v>1472</v>
      </c>
      <c r="E345" s="58" t="s">
        <v>1473</v>
      </c>
      <c r="F345" s="58" t="s">
        <v>103</v>
      </c>
      <c r="G345" s="59">
        <v>45989.0</v>
      </c>
      <c r="H345" s="58" t="s">
        <v>104</v>
      </c>
      <c r="I345" s="60" t="s">
        <v>1474</v>
      </c>
      <c r="J345" s="61" t="s">
        <v>1507</v>
      </c>
      <c r="K345" s="61" t="s">
        <v>1508</v>
      </c>
      <c r="L345" s="61" t="s">
        <v>1509</v>
      </c>
      <c r="M345" s="58">
        <v>2022.0</v>
      </c>
      <c r="N345" s="58">
        <v>9.0</v>
      </c>
      <c r="O345" s="62">
        <v>284.0</v>
      </c>
      <c r="P345" s="62">
        <f t="shared" si="8"/>
        <v>795.2</v>
      </c>
      <c r="Q345" s="63">
        <v>4.0</v>
      </c>
      <c r="R345" s="58">
        <v>4.0</v>
      </c>
      <c r="S345" s="58">
        <v>1.0</v>
      </c>
      <c r="T345" s="58">
        <v>0.0</v>
      </c>
      <c r="U345" s="58">
        <v>4.0</v>
      </c>
      <c r="V345" s="58" t="s">
        <v>75</v>
      </c>
      <c r="W345" s="61" t="s">
        <v>76</v>
      </c>
      <c r="X345" s="28" t="s">
        <v>1033</v>
      </c>
      <c r="Y345" s="64">
        <v>31.0</v>
      </c>
      <c r="Z345" s="65">
        <f t="shared" si="2"/>
        <v>80.6</v>
      </c>
      <c r="AA345" s="65">
        <f t="shared" si="3"/>
        <v>64093.12</v>
      </c>
      <c r="AB345" s="65">
        <f t="shared" si="4"/>
        <v>499.273557</v>
      </c>
      <c r="AC345" s="66">
        <v>1.0</v>
      </c>
      <c r="AD345" s="70"/>
      <c r="AE345" s="68">
        <f t="shared" si="5"/>
        <v>6557.377049</v>
      </c>
      <c r="AF345" s="69">
        <v>8000.0</v>
      </c>
      <c r="AG345" s="68">
        <f t="shared" si="6"/>
        <v>26229.5082</v>
      </c>
      <c r="AH345" s="70">
        <f t="shared" si="7"/>
        <v>32000</v>
      </c>
      <c r="AI345" s="71"/>
      <c r="AJ345" s="71"/>
      <c r="AK345" s="71"/>
      <c r="AL345" s="71"/>
    </row>
    <row r="346">
      <c r="A346" s="57" t="s">
        <v>1471</v>
      </c>
      <c r="B346" s="58" t="s">
        <v>165</v>
      </c>
      <c r="C346" s="58" t="s">
        <v>169</v>
      </c>
      <c r="D346" s="58" t="s">
        <v>1472</v>
      </c>
      <c r="E346" s="58" t="s">
        <v>1473</v>
      </c>
      <c r="F346" s="58" t="s">
        <v>103</v>
      </c>
      <c r="G346" s="59">
        <v>45989.0</v>
      </c>
      <c r="H346" s="58" t="s">
        <v>104</v>
      </c>
      <c r="I346" s="60" t="s">
        <v>1474</v>
      </c>
      <c r="J346" s="61" t="s">
        <v>1510</v>
      </c>
      <c r="K346" s="61" t="s">
        <v>1511</v>
      </c>
      <c r="L346" s="61" t="s">
        <v>1512</v>
      </c>
      <c r="M346" s="58">
        <v>2025.0</v>
      </c>
      <c r="N346" s="58">
        <v>11.0</v>
      </c>
      <c r="O346" s="62">
        <v>120.0</v>
      </c>
      <c r="P346" s="62">
        <f t="shared" si="8"/>
        <v>336</v>
      </c>
      <c r="Q346" s="63">
        <v>1.0</v>
      </c>
      <c r="R346" s="58">
        <v>1.0</v>
      </c>
      <c r="S346" s="58">
        <v>1.0</v>
      </c>
      <c r="T346" s="58">
        <v>0.0</v>
      </c>
      <c r="U346" s="58">
        <v>3.0</v>
      </c>
      <c r="V346" s="58" t="s">
        <v>75</v>
      </c>
      <c r="W346" s="61" t="s">
        <v>76</v>
      </c>
      <c r="X346" s="28" t="s">
        <v>1033</v>
      </c>
      <c r="Y346" s="64">
        <v>31.0</v>
      </c>
      <c r="Z346" s="65">
        <f t="shared" si="2"/>
        <v>20.15</v>
      </c>
      <c r="AA346" s="65">
        <f t="shared" si="3"/>
        <v>6770.4</v>
      </c>
      <c r="AB346" s="65">
        <f t="shared" si="4"/>
        <v>1181.614085</v>
      </c>
      <c r="AC346" s="66">
        <v>1.0</v>
      </c>
      <c r="AD346" s="70"/>
      <c r="AE346" s="68">
        <f t="shared" si="5"/>
        <v>6557.377049</v>
      </c>
      <c r="AF346" s="69">
        <v>8000.0</v>
      </c>
      <c r="AG346" s="68">
        <f t="shared" si="6"/>
        <v>6557.377049</v>
      </c>
      <c r="AH346" s="70">
        <f t="shared" si="7"/>
        <v>8000</v>
      </c>
      <c r="AI346" s="71"/>
      <c r="AJ346" s="71"/>
      <c r="AK346" s="71"/>
      <c r="AL346" s="71"/>
    </row>
    <row r="347">
      <c r="A347" s="57" t="s">
        <v>1513</v>
      </c>
      <c r="B347" s="58" t="s">
        <v>165</v>
      </c>
      <c r="C347" s="58" t="s">
        <v>169</v>
      </c>
      <c r="D347" s="58" t="s">
        <v>1386</v>
      </c>
      <c r="E347" s="58" t="s">
        <v>1514</v>
      </c>
      <c r="F347" s="58" t="s">
        <v>103</v>
      </c>
      <c r="G347" s="59">
        <v>46085.0</v>
      </c>
      <c r="H347" s="58" t="s">
        <v>65</v>
      </c>
      <c r="I347" s="58" t="s">
        <v>1515</v>
      </c>
      <c r="J347" s="61" t="s">
        <v>1516</v>
      </c>
      <c r="K347" s="61" t="s">
        <v>1517</v>
      </c>
      <c r="L347" s="61" t="s">
        <v>1518</v>
      </c>
      <c r="M347" s="58">
        <v>2004.0</v>
      </c>
      <c r="N347" s="58">
        <v>9.0</v>
      </c>
      <c r="O347" s="62">
        <v>45.0</v>
      </c>
      <c r="P347" s="62">
        <f t="shared" si="8"/>
        <v>126</v>
      </c>
      <c r="Q347" s="63">
        <v>2.0</v>
      </c>
      <c r="R347" s="58">
        <v>2.0</v>
      </c>
      <c r="S347" s="58">
        <v>2.0</v>
      </c>
      <c r="T347" s="58">
        <v>0.0</v>
      </c>
      <c r="U347" s="58">
        <v>2.0</v>
      </c>
      <c r="V347" s="58" t="s">
        <v>75</v>
      </c>
      <c r="W347" s="61" t="s">
        <v>76</v>
      </c>
      <c r="X347" s="28" t="s">
        <v>1033</v>
      </c>
      <c r="Y347" s="64">
        <v>31.0</v>
      </c>
      <c r="Z347" s="65">
        <f t="shared" si="2"/>
        <v>20.15</v>
      </c>
      <c r="AA347" s="65">
        <f t="shared" si="3"/>
        <v>2538.9</v>
      </c>
      <c r="AB347" s="65">
        <f t="shared" si="4"/>
        <v>6301.941786</v>
      </c>
      <c r="AC347" s="66">
        <v>1.0</v>
      </c>
      <c r="AD347" s="70"/>
      <c r="AE347" s="68">
        <f t="shared" si="5"/>
        <v>6557.377049</v>
      </c>
      <c r="AF347" s="69">
        <v>8000.0</v>
      </c>
      <c r="AG347" s="68">
        <f t="shared" si="6"/>
        <v>13114.7541</v>
      </c>
      <c r="AH347" s="70">
        <f t="shared" si="7"/>
        <v>16000</v>
      </c>
      <c r="AI347" s="71"/>
      <c r="AJ347" s="71"/>
      <c r="AK347" s="71"/>
      <c r="AL347" s="71"/>
    </row>
    <row r="348">
      <c r="A348" s="57" t="s">
        <v>1513</v>
      </c>
      <c r="B348" s="58" t="s">
        <v>165</v>
      </c>
      <c r="C348" s="58" t="s">
        <v>169</v>
      </c>
      <c r="D348" s="58" t="s">
        <v>1386</v>
      </c>
      <c r="E348" s="58" t="s">
        <v>1514</v>
      </c>
      <c r="F348" s="58" t="s">
        <v>103</v>
      </c>
      <c r="G348" s="59">
        <v>46085.0</v>
      </c>
      <c r="H348" s="58" t="s">
        <v>65</v>
      </c>
      <c r="I348" s="60" t="s">
        <v>1515</v>
      </c>
      <c r="J348" s="61" t="s">
        <v>1519</v>
      </c>
      <c r="K348" s="61" t="s">
        <v>1520</v>
      </c>
      <c r="L348" s="61" t="s">
        <v>1521</v>
      </c>
      <c r="M348" s="58">
        <v>2007.0</v>
      </c>
      <c r="N348" s="58">
        <v>10.0</v>
      </c>
      <c r="O348" s="62">
        <v>107.0</v>
      </c>
      <c r="P348" s="62">
        <f t="shared" si="8"/>
        <v>299.6</v>
      </c>
      <c r="Q348" s="63">
        <v>3.0</v>
      </c>
      <c r="R348" s="58">
        <v>3.0</v>
      </c>
      <c r="S348" s="58">
        <v>2.0</v>
      </c>
      <c r="T348" s="58">
        <v>0.0</v>
      </c>
      <c r="U348" s="58">
        <v>2.0</v>
      </c>
      <c r="V348" s="58" t="s">
        <v>75</v>
      </c>
      <c r="W348" s="61" t="s">
        <v>76</v>
      </c>
      <c r="X348" s="28" t="s">
        <v>1033</v>
      </c>
      <c r="Y348" s="64">
        <v>31.0</v>
      </c>
      <c r="Z348" s="65">
        <f t="shared" si="2"/>
        <v>30.225</v>
      </c>
      <c r="AA348" s="65">
        <f t="shared" si="3"/>
        <v>9055.41</v>
      </c>
      <c r="AB348" s="65">
        <f t="shared" si="4"/>
        <v>2650.349349</v>
      </c>
      <c r="AC348" s="66">
        <v>1.0</v>
      </c>
      <c r="AD348" s="70"/>
      <c r="AE348" s="68">
        <f t="shared" si="5"/>
        <v>6557.377049</v>
      </c>
      <c r="AF348" s="69">
        <v>8000.0</v>
      </c>
      <c r="AG348" s="68">
        <f t="shared" si="6"/>
        <v>19672.13115</v>
      </c>
      <c r="AH348" s="70">
        <f t="shared" si="7"/>
        <v>24000</v>
      </c>
      <c r="AI348" s="71"/>
      <c r="AJ348" s="71"/>
      <c r="AK348" s="71"/>
      <c r="AL348" s="71"/>
    </row>
    <row r="349">
      <c r="A349" s="57" t="s">
        <v>1513</v>
      </c>
      <c r="B349" s="58" t="s">
        <v>165</v>
      </c>
      <c r="C349" s="58" t="s">
        <v>169</v>
      </c>
      <c r="D349" s="58" t="s">
        <v>1386</v>
      </c>
      <c r="E349" s="58" t="s">
        <v>1514</v>
      </c>
      <c r="F349" s="58" t="s">
        <v>103</v>
      </c>
      <c r="G349" s="59">
        <v>46085.0</v>
      </c>
      <c r="H349" s="58" t="s">
        <v>65</v>
      </c>
      <c r="I349" s="60" t="s">
        <v>1515</v>
      </c>
      <c r="J349" s="61" t="s">
        <v>1522</v>
      </c>
      <c r="K349" s="61" t="s">
        <v>1523</v>
      </c>
      <c r="L349" s="61" t="s">
        <v>1524</v>
      </c>
      <c r="M349" s="58">
        <v>2007.0</v>
      </c>
      <c r="N349" s="58">
        <v>9.0</v>
      </c>
      <c r="O349" s="62">
        <v>75.0</v>
      </c>
      <c r="P349" s="62">
        <f t="shared" si="8"/>
        <v>210</v>
      </c>
      <c r="Q349" s="63">
        <v>2.0</v>
      </c>
      <c r="R349" s="58">
        <v>2.0</v>
      </c>
      <c r="S349" s="58">
        <v>2.0</v>
      </c>
      <c r="T349" s="58">
        <v>0.0</v>
      </c>
      <c r="U349" s="58">
        <v>2.0</v>
      </c>
      <c r="V349" s="58" t="s">
        <v>75</v>
      </c>
      <c r="W349" s="61" t="s">
        <v>76</v>
      </c>
      <c r="X349" s="28" t="s">
        <v>1033</v>
      </c>
      <c r="Y349" s="64">
        <v>31.0</v>
      </c>
      <c r="Z349" s="65">
        <f t="shared" si="2"/>
        <v>20.15</v>
      </c>
      <c r="AA349" s="65">
        <f t="shared" si="3"/>
        <v>4231.5</v>
      </c>
      <c r="AB349" s="65">
        <f t="shared" si="4"/>
        <v>3781.165071</v>
      </c>
      <c r="AC349" s="66">
        <v>1.0</v>
      </c>
      <c r="AD349" s="67"/>
      <c r="AE349" s="68">
        <f t="shared" si="5"/>
        <v>6557.377049</v>
      </c>
      <c r="AF349" s="69">
        <v>8000.0</v>
      </c>
      <c r="AG349" s="68">
        <f t="shared" si="6"/>
        <v>13114.7541</v>
      </c>
      <c r="AH349" s="70">
        <f t="shared" si="7"/>
        <v>16000</v>
      </c>
      <c r="AI349" s="71"/>
      <c r="AJ349" s="71"/>
      <c r="AK349" s="71"/>
      <c r="AL349" s="71"/>
    </row>
    <row r="350">
      <c r="A350" s="57" t="s">
        <v>1513</v>
      </c>
      <c r="B350" s="58" t="s">
        <v>165</v>
      </c>
      <c r="C350" s="58" t="s">
        <v>169</v>
      </c>
      <c r="D350" s="58" t="s">
        <v>1386</v>
      </c>
      <c r="E350" s="58" t="s">
        <v>1514</v>
      </c>
      <c r="F350" s="58" t="s">
        <v>103</v>
      </c>
      <c r="G350" s="59">
        <v>46085.0</v>
      </c>
      <c r="H350" s="58" t="s">
        <v>65</v>
      </c>
      <c r="I350" s="60" t="s">
        <v>1515</v>
      </c>
      <c r="J350" s="61" t="s">
        <v>1525</v>
      </c>
      <c r="K350" s="61" t="s">
        <v>1526</v>
      </c>
      <c r="L350" s="61" t="s">
        <v>1527</v>
      </c>
      <c r="M350" s="58">
        <v>2012.0</v>
      </c>
      <c r="N350" s="58">
        <v>10.0</v>
      </c>
      <c r="O350" s="62">
        <v>83.0</v>
      </c>
      <c r="P350" s="62">
        <f t="shared" si="8"/>
        <v>232.4</v>
      </c>
      <c r="Q350" s="63">
        <v>3.0</v>
      </c>
      <c r="R350" s="58">
        <v>3.0</v>
      </c>
      <c r="S350" s="58">
        <v>2.0</v>
      </c>
      <c r="T350" s="58">
        <v>0.0</v>
      </c>
      <c r="U350" s="58">
        <v>2.0</v>
      </c>
      <c r="V350" s="58" t="s">
        <v>75</v>
      </c>
      <c r="W350" s="61" t="s">
        <v>76</v>
      </c>
      <c r="X350" s="28" t="s">
        <v>1033</v>
      </c>
      <c r="Y350" s="64">
        <v>31.0</v>
      </c>
      <c r="Z350" s="65">
        <f t="shared" si="2"/>
        <v>30.225</v>
      </c>
      <c r="AA350" s="65">
        <f t="shared" si="3"/>
        <v>7024.29</v>
      </c>
      <c r="AB350" s="65">
        <f t="shared" si="4"/>
        <v>3416.715426</v>
      </c>
      <c r="AC350" s="66">
        <v>1.0</v>
      </c>
      <c r="AD350" s="67"/>
      <c r="AE350" s="68">
        <f t="shared" si="5"/>
        <v>6557.377049</v>
      </c>
      <c r="AF350" s="69">
        <v>8000.0</v>
      </c>
      <c r="AG350" s="68">
        <f t="shared" si="6"/>
        <v>19672.13115</v>
      </c>
      <c r="AH350" s="70">
        <f t="shared" si="7"/>
        <v>24000</v>
      </c>
      <c r="AI350" s="71"/>
      <c r="AJ350" s="71"/>
      <c r="AK350" s="71"/>
      <c r="AL350" s="71"/>
    </row>
    <row r="351">
      <c r="A351" s="57" t="s">
        <v>1528</v>
      </c>
      <c r="B351" s="58" t="s">
        <v>165</v>
      </c>
      <c r="C351" s="58" t="s">
        <v>169</v>
      </c>
      <c r="D351" s="58" t="s">
        <v>1386</v>
      </c>
      <c r="E351" s="58" t="s">
        <v>1514</v>
      </c>
      <c r="F351" s="58" t="s">
        <v>103</v>
      </c>
      <c r="G351" s="59">
        <v>46086.0</v>
      </c>
      <c r="H351" s="58" t="s">
        <v>65</v>
      </c>
      <c r="I351" s="60" t="s">
        <v>1529</v>
      </c>
      <c r="J351" s="61" t="s">
        <v>1530</v>
      </c>
      <c r="K351" s="61" t="s">
        <v>1531</v>
      </c>
      <c r="L351" s="61" t="s">
        <v>1532</v>
      </c>
      <c r="M351" s="58">
        <v>2014.0</v>
      </c>
      <c r="N351" s="58">
        <v>10.0</v>
      </c>
      <c r="O351" s="62">
        <v>60.0</v>
      </c>
      <c r="P351" s="62">
        <f t="shared" si="8"/>
        <v>168</v>
      </c>
      <c r="Q351" s="63">
        <v>2.0</v>
      </c>
      <c r="R351" s="58">
        <v>2.0</v>
      </c>
      <c r="S351" s="58">
        <v>2.0</v>
      </c>
      <c r="T351" s="58">
        <v>0.0</v>
      </c>
      <c r="U351" s="58">
        <v>2.0</v>
      </c>
      <c r="V351" s="58" t="s">
        <v>75</v>
      </c>
      <c r="W351" s="61" t="s">
        <v>76</v>
      </c>
      <c r="X351" s="28" t="s">
        <v>1033</v>
      </c>
      <c r="Y351" s="64">
        <v>31.0</v>
      </c>
      <c r="Z351" s="65">
        <f t="shared" si="2"/>
        <v>20.15</v>
      </c>
      <c r="AA351" s="65">
        <f t="shared" si="3"/>
        <v>3385.2</v>
      </c>
      <c r="AB351" s="65">
        <f t="shared" si="4"/>
        <v>4726.456339</v>
      </c>
      <c r="AC351" s="66">
        <v>1.0</v>
      </c>
      <c r="AD351" s="70"/>
      <c r="AE351" s="68">
        <f t="shared" si="5"/>
        <v>6557.377049</v>
      </c>
      <c r="AF351" s="69">
        <v>8000.0</v>
      </c>
      <c r="AG351" s="68">
        <f t="shared" si="6"/>
        <v>13114.7541</v>
      </c>
      <c r="AH351" s="70">
        <f t="shared" si="7"/>
        <v>16000</v>
      </c>
      <c r="AI351" s="71"/>
      <c r="AJ351" s="71"/>
      <c r="AK351" s="71"/>
      <c r="AL351" s="71"/>
    </row>
    <row r="352">
      <c r="A352" s="57" t="s">
        <v>1528</v>
      </c>
      <c r="B352" s="58" t="s">
        <v>165</v>
      </c>
      <c r="C352" s="58" t="s">
        <v>169</v>
      </c>
      <c r="D352" s="58" t="s">
        <v>1386</v>
      </c>
      <c r="E352" s="58" t="s">
        <v>1514</v>
      </c>
      <c r="F352" s="58" t="s">
        <v>103</v>
      </c>
      <c r="G352" s="59">
        <v>46086.0</v>
      </c>
      <c r="H352" s="58" t="s">
        <v>65</v>
      </c>
      <c r="I352" s="60" t="s">
        <v>1529</v>
      </c>
      <c r="J352" s="61" t="s">
        <v>1533</v>
      </c>
      <c r="K352" s="61" t="s">
        <v>1534</v>
      </c>
      <c r="L352" s="61" t="s">
        <v>1535</v>
      </c>
      <c r="M352" s="58">
        <v>2011.0</v>
      </c>
      <c r="N352" s="58">
        <v>10.0</v>
      </c>
      <c r="O352" s="62">
        <v>89.0</v>
      </c>
      <c r="P352" s="62">
        <f t="shared" si="8"/>
        <v>249.2</v>
      </c>
      <c r="Q352" s="63">
        <v>3.0</v>
      </c>
      <c r="R352" s="58">
        <v>3.0</v>
      </c>
      <c r="S352" s="58">
        <v>2.0</v>
      </c>
      <c r="T352" s="58">
        <v>0.0</v>
      </c>
      <c r="U352" s="58">
        <v>2.0</v>
      </c>
      <c r="V352" s="58" t="s">
        <v>75</v>
      </c>
      <c r="W352" s="61" t="s">
        <v>76</v>
      </c>
      <c r="X352" s="28" t="s">
        <v>1033</v>
      </c>
      <c r="Y352" s="64">
        <v>31.0</v>
      </c>
      <c r="Z352" s="65">
        <f t="shared" si="2"/>
        <v>30.225</v>
      </c>
      <c r="AA352" s="65">
        <f t="shared" si="3"/>
        <v>7532.07</v>
      </c>
      <c r="AB352" s="65">
        <f t="shared" si="4"/>
        <v>3186.37506</v>
      </c>
      <c r="AC352" s="66">
        <v>1.0</v>
      </c>
      <c r="AD352" s="70"/>
      <c r="AE352" s="68">
        <f t="shared" si="5"/>
        <v>6557.377049</v>
      </c>
      <c r="AF352" s="69">
        <v>8000.0</v>
      </c>
      <c r="AG352" s="68">
        <f t="shared" si="6"/>
        <v>19672.13115</v>
      </c>
      <c r="AH352" s="70">
        <f t="shared" si="7"/>
        <v>24000</v>
      </c>
      <c r="AI352" s="71"/>
      <c r="AJ352" s="71"/>
      <c r="AK352" s="71"/>
      <c r="AL352" s="71"/>
    </row>
    <row r="353">
      <c r="A353" s="57" t="s">
        <v>1528</v>
      </c>
      <c r="B353" s="58" t="s">
        <v>165</v>
      </c>
      <c r="C353" s="58" t="s">
        <v>169</v>
      </c>
      <c r="D353" s="58" t="s">
        <v>1386</v>
      </c>
      <c r="E353" s="58" t="s">
        <v>1514</v>
      </c>
      <c r="F353" s="58" t="s">
        <v>103</v>
      </c>
      <c r="G353" s="59">
        <v>46086.0</v>
      </c>
      <c r="H353" s="58" t="s">
        <v>65</v>
      </c>
      <c r="I353" s="60" t="s">
        <v>1529</v>
      </c>
      <c r="J353" s="61" t="s">
        <v>1536</v>
      </c>
      <c r="K353" s="61" t="s">
        <v>1537</v>
      </c>
      <c r="L353" s="61" t="s">
        <v>1538</v>
      </c>
      <c r="M353" s="58">
        <v>2011.0</v>
      </c>
      <c r="N353" s="58">
        <v>10.0</v>
      </c>
      <c r="O353" s="62">
        <v>63.0</v>
      </c>
      <c r="P353" s="62">
        <f t="shared" si="8"/>
        <v>176.4</v>
      </c>
      <c r="Q353" s="63">
        <v>2.0</v>
      </c>
      <c r="R353" s="58">
        <v>2.0</v>
      </c>
      <c r="S353" s="58">
        <v>2.0</v>
      </c>
      <c r="T353" s="58">
        <v>0.0</v>
      </c>
      <c r="U353" s="58">
        <v>2.0</v>
      </c>
      <c r="V353" s="58" t="s">
        <v>75</v>
      </c>
      <c r="W353" s="61" t="s">
        <v>76</v>
      </c>
      <c r="X353" s="28" t="s">
        <v>1033</v>
      </c>
      <c r="Y353" s="64">
        <v>31.0</v>
      </c>
      <c r="Z353" s="65">
        <f t="shared" si="2"/>
        <v>20.15</v>
      </c>
      <c r="AA353" s="65">
        <f t="shared" si="3"/>
        <v>3554.46</v>
      </c>
      <c r="AB353" s="65">
        <f t="shared" si="4"/>
        <v>4501.38699</v>
      </c>
      <c r="AC353" s="66">
        <v>1.0</v>
      </c>
      <c r="AD353" s="70"/>
      <c r="AE353" s="68">
        <f t="shared" si="5"/>
        <v>6557.377049</v>
      </c>
      <c r="AF353" s="69">
        <v>8000.0</v>
      </c>
      <c r="AG353" s="68">
        <f t="shared" si="6"/>
        <v>13114.7541</v>
      </c>
      <c r="AH353" s="70">
        <f t="shared" si="7"/>
        <v>16000</v>
      </c>
      <c r="AI353" s="71"/>
      <c r="AJ353" s="71"/>
      <c r="AK353" s="71"/>
      <c r="AL353" s="71"/>
    </row>
    <row r="354">
      <c r="A354" s="57" t="s">
        <v>1539</v>
      </c>
      <c r="B354" s="58" t="s">
        <v>165</v>
      </c>
      <c r="C354" s="58" t="s">
        <v>169</v>
      </c>
      <c r="D354" s="58" t="s">
        <v>1386</v>
      </c>
      <c r="E354" s="58" t="s">
        <v>1514</v>
      </c>
      <c r="F354" s="58" t="s">
        <v>103</v>
      </c>
      <c r="G354" s="59">
        <v>46188.0</v>
      </c>
      <c r="H354" s="58" t="s">
        <v>118</v>
      </c>
      <c r="I354" s="60" t="s">
        <v>1540</v>
      </c>
      <c r="J354" s="61" t="s">
        <v>1541</v>
      </c>
      <c r="K354" s="61" t="s">
        <v>1542</v>
      </c>
      <c r="L354" s="61" t="s">
        <v>1543</v>
      </c>
      <c r="M354" s="58">
        <v>1990.0</v>
      </c>
      <c r="N354" s="58">
        <v>9.0</v>
      </c>
      <c r="O354" s="62">
        <v>252.0</v>
      </c>
      <c r="P354" s="62">
        <f t="shared" si="8"/>
        <v>705.6</v>
      </c>
      <c r="Q354" s="63">
        <v>7.0</v>
      </c>
      <c r="R354" s="58">
        <v>7.0</v>
      </c>
      <c r="S354" s="58">
        <v>7.0</v>
      </c>
      <c r="T354" s="58">
        <v>0.0</v>
      </c>
      <c r="U354" s="58">
        <v>7.0</v>
      </c>
      <c r="V354" s="58" t="s">
        <v>130</v>
      </c>
      <c r="W354" s="61" t="s">
        <v>76</v>
      </c>
      <c r="X354" s="28" t="s">
        <v>1033</v>
      </c>
      <c r="Y354" s="64">
        <v>31.0</v>
      </c>
      <c r="Z354" s="65">
        <f t="shared" si="2"/>
        <v>20.15</v>
      </c>
      <c r="AA354" s="65">
        <f t="shared" si="3"/>
        <v>14217.84</v>
      </c>
      <c r="AB354" s="65">
        <f t="shared" si="4"/>
        <v>3938.713616</v>
      </c>
      <c r="AC354" s="66">
        <v>1.0</v>
      </c>
      <c r="AD354" s="67"/>
      <c r="AE354" s="68">
        <f t="shared" si="5"/>
        <v>6557.377049</v>
      </c>
      <c r="AF354" s="69">
        <v>8000.0</v>
      </c>
      <c r="AG354" s="68">
        <f t="shared" si="6"/>
        <v>45901.63934</v>
      </c>
      <c r="AH354" s="70">
        <f t="shared" si="7"/>
        <v>56000</v>
      </c>
      <c r="AI354" s="71"/>
      <c r="AJ354" s="71"/>
      <c r="AK354" s="71"/>
      <c r="AL354" s="71"/>
    </row>
    <row r="355">
      <c r="A355" s="57" t="s">
        <v>1544</v>
      </c>
      <c r="B355" s="58" t="s">
        <v>165</v>
      </c>
      <c r="C355" s="58" t="s">
        <v>169</v>
      </c>
      <c r="D355" s="58" t="s">
        <v>804</v>
      </c>
      <c r="E355" s="58" t="s">
        <v>1514</v>
      </c>
      <c r="F355" s="58" t="s">
        <v>103</v>
      </c>
      <c r="G355" s="59">
        <v>46204.0</v>
      </c>
      <c r="H355" s="58" t="s">
        <v>104</v>
      </c>
      <c r="I355" s="58" t="s">
        <v>1545</v>
      </c>
      <c r="J355" s="61" t="s">
        <v>1546</v>
      </c>
      <c r="K355" s="61" t="s">
        <v>1547</v>
      </c>
      <c r="L355" s="61" t="s">
        <v>1548</v>
      </c>
      <c r="M355" s="58">
        <v>2006.0</v>
      </c>
      <c r="N355" s="58">
        <v>9.0</v>
      </c>
      <c r="O355" s="62">
        <v>89.0</v>
      </c>
      <c r="P355" s="62">
        <f t="shared" si="8"/>
        <v>249.2</v>
      </c>
      <c r="Q355" s="63">
        <v>3.0</v>
      </c>
      <c r="R355" s="58">
        <v>0.0</v>
      </c>
      <c r="S355" s="58">
        <v>4.0</v>
      </c>
      <c r="T355" s="58">
        <v>3.0</v>
      </c>
      <c r="U355" s="58">
        <v>3.0</v>
      </c>
      <c r="V355" s="58" t="s">
        <v>130</v>
      </c>
      <c r="W355" s="61" t="s">
        <v>76</v>
      </c>
      <c r="X355" s="28" t="s">
        <v>1033</v>
      </c>
      <c r="Y355" s="148">
        <v>31.0</v>
      </c>
      <c r="Z355" s="149">
        <f t="shared" si="2"/>
        <v>40.3</v>
      </c>
      <c r="AA355" s="149">
        <f t="shared" si="3"/>
        <v>10042.76</v>
      </c>
      <c r="AB355" s="149">
        <f t="shared" si="4"/>
        <v>2389.781295</v>
      </c>
      <c r="AC355" s="150">
        <v>1.0</v>
      </c>
      <c r="AD355" s="151"/>
      <c r="AE355" s="152">
        <f t="shared" si="5"/>
        <v>6557.377049</v>
      </c>
      <c r="AF355" s="153">
        <v>8000.0</v>
      </c>
      <c r="AG355" s="152">
        <f t="shared" si="6"/>
        <v>19672.13115</v>
      </c>
      <c r="AH355" s="154">
        <f t="shared" si="7"/>
        <v>24000</v>
      </c>
      <c r="AI355" s="155"/>
      <c r="AJ355" s="155"/>
      <c r="AK355" s="155"/>
      <c r="AL355" s="155"/>
    </row>
    <row r="356">
      <c r="A356" s="76" t="s">
        <v>1549</v>
      </c>
      <c r="B356" s="74" t="s">
        <v>165</v>
      </c>
      <c r="C356" s="74" t="s">
        <v>169</v>
      </c>
      <c r="D356" s="74" t="s">
        <v>804</v>
      </c>
      <c r="E356" s="78"/>
      <c r="F356" s="58" t="s">
        <v>103</v>
      </c>
      <c r="G356" s="59">
        <v>46251.0</v>
      </c>
      <c r="H356" s="58" t="s">
        <v>104</v>
      </c>
      <c r="I356" s="77" t="s">
        <v>1550</v>
      </c>
      <c r="J356" s="75" t="s">
        <v>1551</v>
      </c>
      <c r="K356" s="75" t="s">
        <v>1552</v>
      </c>
      <c r="L356" s="75" t="s">
        <v>1553</v>
      </c>
      <c r="M356" s="74">
        <v>2003.0</v>
      </c>
      <c r="N356" s="74">
        <v>12.0</v>
      </c>
      <c r="O356" s="79">
        <v>58.0</v>
      </c>
      <c r="P356" s="79">
        <f t="shared" si="8"/>
        <v>162.4</v>
      </c>
      <c r="Q356" s="76">
        <v>2.0</v>
      </c>
      <c r="R356" s="74">
        <v>2.0</v>
      </c>
      <c r="S356" s="74">
        <v>2.0</v>
      </c>
      <c r="T356" s="74">
        <v>0.0</v>
      </c>
      <c r="U356" s="74">
        <v>3.0</v>
      </c>
      <c r="V356" s="74" t="s">
        <v>130</v>
      </c>
      <c r="W356" s="75" t="s">
        <v>76</v>
      </c>
      <c r="X356" s="28" t="s">
        <v>1033</v>
      </c>
      <c r="Y356" s="64">
        <v>31.0</v>
      </c>
      <c r="Z356" s="65">
        <f t="shared" si="2"/>
        <v>20.15</v>
      </c>
      <c r="AA356" s="65">
        <f t="shared" si="3"/>
        <v>3272.36</v>
      </c>
      <c r="AB356" s="65">
        <f t="shared" si="4"/>
        <v>4889.437592</v>
      </c>
      <c r="AC356" s="66">
        <v>1.0</v>
      </c>
      <c r="AD356" s="67"/>
      <c r="AE356" s="68">
        <f t="shared" si="5"/>
        <v>6557.377049</v>
      </c>
      <c r="AF356" s="69">
        <v>8000.0</v>
      </c>
      <c r="AG356" s="68">
        <f t="shared" si="6"/>
        <v>13114.7541</v>
      </c>
      <c r="AH356" s="70">
        <f t="shared" si="7"/>
        <v>16000</v>
      </c>
      <c r="AI356" s="71"/>
      <c r="AJ356" s="71"/>
      <c r="AK356" s="71"/>
      <c r="AL356" s="71"/>
    </row>
    <row r="357">
      <c r="A357" s="57" t="s">
        <v>1554</v>
      </c>
      <c r="B357" s="58" t="s">
        <v>165</v>
      </c>
      <c r="C357" s="58" t="s">
        <v>169</v>
      </c>
      <c r="D357" s="58" t="s">
        <v>1472</v>
      </c>
      <c r="E357" s="58" t="s">
        <v>1473</v>
      </c>
      <c r="F357" s="58" t="s">
        <v>103</v>
      </c>
      <c r="G357" s="59">
        <v>46090.0</v>
      </c>
      <c r="H357" s="58" t="s">
        <v>104</v>
      </c>
      <c r="I357" s="60" t="s">
        <v>1555</v>
      </c>
      <c r="J357" s="61" t="s">
        <v>1556</v>
      </c>
      <c r="K357" s="61" t="s">
        <v>1557</v>
      </c>
      <c r="L357" s="61" t="s">
        <v>1558</v>
      </c>
      <c r="M357" s="58">
        <v>2010.0</v>
      </c>
      <c r="N357" s="58">
        <v>17.0</v>
      </c>
      <c r="O357" s="62">
        <v>236.0</v>
      </c>
      <c r="P357" s="62">
        <f t="shared" si="8"/>
        <v>660.8</v>
      </c>
      <c r="Q357" s="63">
        <v>6.0</v>
      </c>
      <c r="R357" s="58">
        <v>0.0</v>
      </c>
      <c r="S357" s="58">
        <v>3.0</v>
      </c>
      <c r="T357" s="58">
        <v>6.0</v>
      </c>
      <c r="U357" s="58">
        <v>6.0</v>
      </c>
      <c r="V357" s="58" t="s">
        <v>75</v>
      </c>
      <c r="W357" s="61" t="s">
        <v>76</v>
      </c>
      <c r="X357" s="28" t="s">
        <v>1033</v>
      </c>
      <c r="Y357" s="64">
        <v>31.0</v>
      </c>
      <c r="Z357" s="65">
        <f t="shared" si="2"/>
        <v>40.3</v>
      </c>
      <c r="AA357" s="65">
        <f t="shared" si="3"/>
        <v>26630.24</v>
      </c>
      <c r="AB357" s="65">
        <f t="shared" si="4"/>
        <v>1802.462163</v>
      </c>
      <c r="AC357" s="66">
        <v>1.0</v>
      </c>
      <c r="AD357" s="70"/>
      <c r="AE357" s="68">
        <f t="shared" si="5"/>
        <v>6557.377049</v>
      </c>
      <c r="AF357" s="69">
        <v>8000.0</v>
      </c>
      <c r="AG357" s="68">
        <f t="shared" si="6"/>
        <v>39344.2623</v>
      </c>
      <c r="AH357" s="70">
        <f t="shared" si="7"/>
        <v>48000</v>
      </c>
      <c r="AI357" s="71"/>
      <c r="AJ357" s="71"/>
      <c r="AK357" s="71"/>
      <c r="AL357" s="71"/>
    </row>
    <row r="358">
      <c r="A358" s="57" t="s">
        <v>1554</v>
      </c>
      <c r="B358" s="58" t="s">
        <v>165</v>
      </c>
      <c r="C358" s="58" t="s">
        <v>169</v>
      </c>
      <c r="D358" s="58" t="s">
        <v>1472</v>
      </c>
      <c r="E358" s="58" t="s">
        <v>1473</v>
      </c>
      <c r="F358" s="58" t="s">
        <v>103</v>
      </c>
      <c r="G358" s="59">
        <v>46090.0</v>
      </c>
      <c r="H358" s="58" t="s">
        <v>104</v>
      </c>
      <c r="I358" s="60" t="s">
        <v>1555</v>
      </c>
      <c r="J358" s="61" t="s">
        <v>1559</v>
      </c>
      <c r="K358" s="61" t="s">
        <v>1560</v>
      </c>
      <c r="L358" s="61" t="s">
        <v>1561</v>
      </c>
      <c r="M358" s="58">
        <v>2010.0</v>
      </c>
      <c r="N358" s="58">
        <v>17.0</v>
      </c>
      <c r="O358" s="62">
        <v>221.0</v>
      </c>
      <c r="P358" s="62">
        <f t="shared" si="8"/>
        <v>618.8</v>
      </c>
      <c r="Q358" s="63">
        <v>6.0</v>
      </c>
      <c r="R358" s="58">
        <v>0.0</v>
      </c>
      <c r="S358" s="58">
        <v>3.0</v>
      </c>
      <c r="T358" s="58">
        <v>6.0</v>
      </c>
      <c r="U358" s="58">
        <v>6.0</v>
      </c>
      <c r="V358" s="58" t="s">
        <v>75</v>
      </c>
      <c r="W358" s="61" t="s">
        <v>76</v>
      </c>
      <c r="X358" s="28" t="s">
        <v>1033</v>
      </c>
      <c r="Y358" s="64">
        <v>31.0</v>
      </c>
      <c r="Z358" s="65">
        <f t="shared" si="2"/>
        <v>40.3</v>
      </c>
      <c r="AA358" s="65">
        <f t="shared" si="3"/>
        <v>24937.64</v>
      </c>
      <c r="AB358" s="65">
        <f t="shared" si="4"/>
        <v>1924.801224</v>
      </c>
      <c r="AC358" s="66">
        <v>1.0</v>
      </c>
      <c r="AD358" s="70"/>
      <c r="AE358" s="68">
        <f t="shared" si="5"/>
        <v>6557.377049</v>
      </c>
      <c r="AF358" s="69">
        <v>8000.0</v>
      </c>
      <c r="AG358" s="68">
        <f t="shared" si="6"/>
        <v>39344.2623</v>
      </c>
      <c r="AH358" s="70">
        <f t="shared" si="7"/>
        <v>48000</v>
      </c>
      <c r="AI358" s="71"/>
      <c r="AJ358" s="71"/>
      <c r="AK358" s="71"/>
      <c r="AL358" s="71"/>
    </row>
    <row r="359">
      <c r="A359" s="57" t="s">
        <v>1562</v>
      </c>
      <c r="B359" s="58" t="s">
        <v>165</v>
      </c>
      <c r="C359" s="58" t="s">
        <v>169</v>
      </c>
      <c r="D359" s="58" t="s">
        <v>1472</v>
      </c>
      <c r="E359" s="58" t="s">
        <v>1473</v>
      </c>
      <c r="F359" s="58" t="s">
        <v>103</v>
      </c>
      <c r="G359" s="59">
        <v>46107.0</v>
      </c>
      <c r="H359" s="58" t="s">
        <v>104</v>
      </c>
      <c r="I359" s="60" t="s">
        <v>1563</v>
      </c>
      <c r="J359" s="61" t="s">
        <v>1564</v>
      </c>
      <c r="K359" s="61" t="s">
        <v>1565</v>
      </c>
      <c r="L359" s="61" t="s">
        <v>1566</v>
      </c>
      <c r="M359" s="58">
        <v>2008.0</v>
      </c>
      <c r="N359" s="58">
        <v>17.0</v>
      </c>
      <c r="O359" s="62">
        <v>221.0</v>
      </c>
      <c r="P359" s="62">
        <f t="shared" si="8"/>
        <v>618.8</v>
      </c>
      <c r="Q359" s="63">
        <v>9.0</v>
      </c>
      <c r="R359" s="58">
        <v>3.0</v>
      </c>
      <c r="S359" s="58">
        <v>3.0</v>
      </c>
      <c r="T359" s="58">
        <v>6.0</v>
      </c>
      <c r="U359" s="58">
        <v>6.0</v>
      </c>
      <c r="V359" s="58" t="s">
        <v>75</v>
      </c>
      <c r="W359" s="61" t="s">
        <v>76</v>
      </c>
      <c r="X359" s="28" t="s">
        <v>1033</v>
      </c>
      <c r="Y359" s="64">
        <v>31.0</v>
      </c>
      <c r="Z359" s="65">
        <f t="shared" si="2"/>
        <v>60.45</v>
      </c>
      <c r="AA359" s="65">
        <f t="shared" si="3"/>
        <v>37406.46</v>
      </c>
      <c r="AB359" s="65">
        <f t="shared" si="4"/>
        <v>1924.801224</v>
      </c>
      <c r="AC359" s="66">
        <v>1.0</v>
      </c>
      <c r="AD359" s="70"/>
      <c r="AE359" s="68">
        <f t="shared" si="5"/>
        <v>6557.377049</v>
      </c>
      <c r="AF359" s="69">
        <v>8000.0</v>
      </c>
      <c r="AG359" s="68">
        <f t="shared" si="6"/>
        <v>59016.39344</v>
      </c>
      <c r="AH359" s="70">
        <f t="shared" si="7"/>
        <v>72000</v>
      </c>
      <c r="AI359" s="71"/>
      <c r="AJ359" s="71"/>
      <c r="AK359" s="71"/>
      <c r="AL359" s="71"/>
    </row>
    <row r="360">
      <c r="A360" s="57" t="s">
        <v>1562</v>
      </c>
      <c r="B360" s="58" t="s">
        <v>165</v>
      </c>
      <c r="C360" s="58" t="s">
        <v>169</v>
      </c>
      <c r="D360" s="58" t="s">
        <v>1472</v>
      </c>
      <c r="E360" s="58" t="s">
        <v>1473</v>
      </c>
      <c r="F360" s="58" t="s">
        <v>103</v>
      </c>
      <c r="G360" s="59">
        <v>46107.0</v>
      </c>
      <c r="H360" s="58" t="s">
        <v>104</v>
      </c>
      <c r="I360" s="60" t="s">
        <v>1563</v>
      </c>
      <c r="J360" s="61" t="s">
        <v>1567</v>
      </c>
      <c r="K360" s="61" t="s">
        <v>1568</v>
      </c>
      <c r="L360" s="61" t="s">
        <v>1569</v>
      </c>
      <c r="M360" s="58">
        <v>2002.0</v>
      </c>
      <c r="N360" s="58">
        <v>9.0</v>
      </c>
      <c r="O360" s="62">
        <v>169.0</v>
      </c>
      <c r="P360" s="62">
        <f t="shared" si="8"/>
        <v>473.2</v>
      </c>
      <c r="Q360" s="63">
        <v>5.0</v>
      </c>
      <c r="R360" s="58">
        <v>5.0</v>
      </c>
      <c r="S360" s="58">
        <v>5.0</v>
      </c>
      <c r="T360" s="58">
        <v>0.0</v>
      </c>
      <c r="U360" s="58">
        <v>6.0</v>
      </c>
      <c r="V360" s="58" t="s">
        <v>75</v>
      </c>
      <c r="W360" s="61" t="s">
        <v>76</v>
      </c>
      <c r="X360" s="28" t="s">
        <v>1033</v>
      </c>
      <c r="Y360" s="64">
        <v>31.0</v>
      </c>
      <c r="Z360" s="65">
        <f t="shared" si="2"/>
        <v>20.15</v>
      </c>
      <c r="AA360" s="65">
        <f t="shared" si="3"/>
        <v>9534.98</v>
      </c>
      <c r="AB360" s="65">
        <f t="shared" si="4"/>
        <v>4195.079591</v>
      </c>
      <c r="AC360" s="66">
        <v>1.0</v>
      </c>
      <c r="AD360" s="67"/>
      <c r="AE360" s="68">
        <f t="shared" si="5"/>
        <v>6557.377049</v>
      </c>
      <c r="AF360" s="69">
        <v>8000.0</v>
      </c>
      <c r="AG360" s="68">
        <f t="shared" si="6"/>
        <v>32786.88525</v>
      </c>
      <c r="AH360" s="70">
        <f t="shared" si="7"/>
        <v>40000</v>
      </c>
      <c r="AI360" s="71"/>
      <c r="AJ360" s="71"/>
      <c r="AK360" s="71"/>
      <c r="AL360" s="71"/>
    </row>
    <row r="361">
      <c r="A361" s="57" t="s">
        <v>1570</v>
      </c>
      <c r="B361" s="58" t="s">
        <v>165</v>
      </c>
      <c r="C361" s="58" t="s">
        <v>169</v>
      </c>
      <c r="D361" s="58" t="s">
        <v>1472</v>
      </c>
      <c r="E361" s="58" t="s">
        <v>1473</v>
      </c>
      <c r="F361" s="58" t="s">
        <v>103</v>
      </c>
      <c r="G361" s="59">
        <v>46203.0</v>
      </c>
      <c r="H361" s="58" t="s">
        <v>104</v>
      </c>
      <c r="I361" s="60" t="s">
        <v>1571</v>
      </c>
      <c r="J361" s="61" t="s">
        <v>1572</v>
      </c>
      <c r="K361" s="61" t="s">
        <v>1573</v>
      </c>
      <c r="L361" s="61" t="s">
        <v>1574</v>
      </c>
      <c r="M361" s="58">
        <v>2012.0</v>
      </c>
      <c r="N361" s="58">
        <v>17.0</v>
      </c>
      <c r="O361" s="62">
        <v>202.0</v>
      </c>
      <c r="P361" s="62">
        <f t="shared" si="8"/>
        <v>565.6</v>
      </c>
      <c r="Q361" s="63">
        <v>6.0</v>
      </c>
      <c r="R361" s="58">
        <v>0.0</v>
      </c>
      <c r="S361" s="58">
        <v>3.0</v>
      </c>
      <c r="T361" s="58">
        <v>6.0</v>
      </c>
      <c r="U361" s="58">
        <v>6.0</v>
      </c>
      <c r="V361" s="58" t="s">
        <v>130</v>
      </c>
      <c r="W361" s="61" t="s">
        <v>76</v>
      </c>
      <c r="X361" s="28" t="s">
        <v>1033</v>
      </c>
      <c r="Y361" s="64">
        <v>31.0</v>
      </c>
      <c r="Z361" s="65">
        <f t="shared" si="2"/>
        <v>40.3</v>
      </c>
      <c r="AA361" s="65">
        <f t="shared" si="3"/>
        <v>22793.68</v>
      </c>
      <c r="AB361" s="65">
        <f t="shared" si="4"/>
        <v>2105.846884</v>
      </c>
      <c r="AC361" s="66">
        <v>1.0</v>
      </c>
      <c r="AD361" s="67"/>
      <c r="AE361" s="68">
        <f t="shared" si="5"/>
        <v>6557.377049</v>
      </c>
      <c r="AF361" s="69">
        <v>8000.0</v>
      </c>
      <c r="AG361" s="68">
        <f t="shared" si="6"/>
        <v>39344.2623</v>
      </c>
      <c r="AH361" s="70">
        <f t="shared" si="7"/>
        <v>48000</v>
      </c>
      <c r="AI361" s="71"/>
      <c r="AJ361" s="71"/>
      <c r="AK361" s="71"/>
      <c r="AL361" s="71"/>
    </row>
    <row r="362">
      <c r="A362" s="57" t="s">
        <v>1575</v>
      </c>
      <c r="B362" s="58" t="s">
        <v>165</v>
      </c>
      <c r="C362" s="58" t="s">
        <v>169</v>
      </c>
      <c r="D362" s="58" t="s">
        <v>1386</v>
      </c>
      <c r="E362" s="58" t="s">
        <v>1420</v>
      </c>
      <c r="F362" s="58" t="s">
        <v>103</v>
      </c>
      <c r="G362" s="59">
        <v>46088.0</v>
      </c>
      <c r="H362" s="58" t="s">
        <v>118</v>
      </c>
      <c r="I362" s="60" t="s">
        <v>1576</v>
      </c>
      <c r="J362" s="61" t="s">
        <v>1577</v>
      </c>
      <c r="K362" s="61" t="s">
        <v>1578</v>
      </c>
      <c r="L362" s="61" t="s">
        <v>1579</v>
      </c>
      <c r="M362" s="58">
        <v>2015.0</v>
      </c>
      <c r="N362" s="58">
        <v>20.0</v>
      </c>
      <c r="O362" s="62">
        <v>126.0</v>
      </c>
      <c r="P362" s="62">
        <f t="shared" si="8"/>
        <v>352.8</v>
      </c>
      <c r="Q362" s="63">
        <v>1.0</v>
      </c>
      <c r="R362" s="58">
        <v>1.0</v>
      </c>
      <c r="S362" s="58">
        <v>1.0</v>
      </c>
      <c r="T362" s="58">
        <v>0.0</v>
      </c>
      <c r="U362" s="58">
        <v>2.0</v>
      </c>
      <c r="V362" s="58" t="s">
        <v>75</v>
      </c>
      <c r="W362" s="61" t="s">
        <v>76</v>
      </c>
      <c r="X362" s="28" t="s">
        <v>1033</v>
      </c>
      <c r="Y362" s="64">
        <v>31.0</v>
      </c>
      <c r="Z362" s="65">
        <f t="shared" si="2"/>
        <v>20.15</v>
      </c>
      <c r="AA362" s="65">
        <f t="shared" si="3"/>
        <v>7108.92</v>
      </c>
      <c r="AB362" s="65">
        <f t="shared" si="4"/>
        <v>1125.346747</v>
      </c>
      <c r="AC362" s="66">
        <v>1.0</v>
      </c>
      <c r="AD362" s="70"/>
      <c r="AE362" s="68">
        <f t="shared" si="5"/>
        <v>6557.377049</v>
      </c>
      <c r="AF362" s="69">
        <v>8000.0</v>
      </c>
      <c r="AG362" s="68">
        <f t="shared" si="6"/>
        <v>6557.377049</v>
      </c>
      <c r="AH362" s="70">
        <f t="shared" si="7"/>
        <v>8000</v>
      </c>
      <c r="AI362" s="71"/>
      <c r="AJ362" s="71"/>
      <c r="AK362" s="71"/>
      <c r="AL362" s="71"/>
    </row>
    <row r="363">
      <c r="A363" s="57" t="s">
        <v>1575</v>
      </c>
      <c r="B363" s="58" t="s">
        <v>165</v>
      </c>
      <c r="C363" s="58" t="s">
        <v>169</v>
      </c>
      <c r="D363" s="58" t="s">
        <v>1386</v>
      </c>
      <c r="E363" s="58" t="s">
        <v>1420</v>
      </c>
      <c r="F363" s="58" t="s">
        <v>103</v>
      </c>
      <c r="G363" s="59">
        <v>46088.0</v>
      </c>
      <c r="H363" s="58" t="s">
        <v>118</v>
      </c>
      <c r="I363" s="60" t="s">
        <v>1576</v>
      </c>
      <c r="J363" s="61" t="s">
        <v>1580</v>
      </c>
      <c r="K363" s="61" t="s">
        <v>1581</v>
      </c>
      <c r="L363" s="61" t="s">
        <v>1582</v>
      </c>
      <c r="M363" s="58">
        <v>2013.0</v>
      </c>
      <c r="N363" s="58">
        <v>20.0</v>
      </c>
      <c r="O363" s="62">
        <v>126.0</v>
      </c>
      <c r="P363" s="62">
        <f t="shared" si="8"/>
        <v>352.8</v>
      </c>
      <c r="Q363" s="63">
        <v>1.0</v>
      </c>
      <c r="R363" s="58">
        <v>1.0</v>
      </c>
      <c r="S363" s="58">
        <v>1.0</v>
      </c>
      <c r="T363" s="58">
        <v>0.0</v>
      </c>
      <c r="U363" s="58">
        <v>2.0</v>
      </c>
      <c r="V363" s="58" t="s">
        <v>75</v>
      </c>
      <c r="W363" s="61" t="s">
        <v>76</v>
      </c>
      <c r="X363" s="28" t="s">
        <v>1033</v>
      </c>
      <c r="Y363" s="64">
        <v>31.0</v>
      </c>
      <c r="Z363" s="65">
        <f t="shared" si="2"/>
        <v>20.15</v>
      </c>
      <c r="AA363" s="65">
        <f t="shared" si="3"/>
        <v>7108.92</v>
      </c>
      <c r="AB363" s="65">
        <f t="shared" si="4"/>
        <v>1125.346747</v>
      </c>
      <c r="AC363" s="66">
        <v>1.0</v>
      </c>
      <c r="AD363" s="70"/>
      <c r="AE363" s="68">
        <f t="shared" si="5"/>
        <v>6557.377049</v>
      </c>
      <c r="AF363" s="69">
        <v>8000.0</v>
      </c>
      <c r="AG363" s="68">
        <f t="shared" si="6"/>
        <v>6557.377049</v>
      </c>
      <c r="AH363" s="70">
        <f t="shared" si="7"/>
        <v>8000</v>
      </c>
      <c r="AI363" s="71"/>
      <c r="AJ363" s="71"/>
      <c r="AK363" s="71"/>
      <c r="AL363" s="71"/>
    </row>
    <row r="364">
      <c r="A364" s="57" t="s">
        <v>1575</v>
      </c>
      <c r="B364" s="58" t="s">
        <v>165</v>
      </c>
      <c r="C364" s="58" t="s">
        <v>169</v>
      </c>
      <c r="D364" s="58" t="s">
        <v>804</v>
      </c>
      <c r="E364" s="58" t="s">
        <v>1420</v>
      </c>
      <c r="F364" s="58" t="s">
        <v>103</v>
      </c>
      <c r="G364" s="59">
        <v>46088.0</v>
      </c>
      <c r="H364" s="58" t="s">
        <v>118</v>
      </c>
      <c r="I364" s="60" t="s">
        <v>1576</v>
      </c>
      <c r="J364" s="61" t="s">
        <v>1583</v>
      </c>
      <c r="K364" s="61" t="s">
        <v>1584</v>
      </c>
      <c r="L364" s="61" t="s">
        <v>1585</v>
      </c>
      <c r="M364" s="58">
        <v>2012.0</v>
      </c>
      <c r="N364" s="58">
        <v>19.0</v>
      </c>
      <c r="O364" s="62">
        <v>126.0</v>
      </c>
      <c r="P364" s="62">
        <f>126*2.8</f>
        <v>352.8</v>
      </c>
      <c r="Q364" s="63">
        <v>3.0</v>
      </c>
      <c r="R364" s="58">
        <v>1.0</v>
      </c>
      <c r="S364" s="58">
        <v>1.0</v>
      </c>
      <c r="T364" s="58">
        <v>2.0</v>
      </c>
      <c r="U364" s="58">
        <v>2.0</v>
      </c>
      <c r="V364" s="58" t="s">
        <v>130</v>
      </c>
      <c r="W364" s="61" t="s">
        <v>76</v>
      </c>
      <c r="X364" s="28" t="s">
        <v>1033</v>
      </c>
      <c r="Y364" s="64">
        <v>31.0</v>
      </c>
      <c r="Z364" s="65">
        <f t="shared" si="2"/>
        <v>60.45</v>
      </c>
      <c r="AA364" s="65">
        <f t="shared" si="3"/>
        <v>21326.76</v>
      </c>
      <c r="AB364" s="65">
        <f t="shared" si="4"/>
        <v>1125.346747</v>
      </c>
      <c r="AC364" s="66">
        <v>1.0</v>
      </c>
      <c r="AD364" s="70"/>
      <c r="AE364" s="68">
        <f t="shared" si="5"/>
        <v>6557.377049</v>
      </c>
      <c r="AF364" s="69">
        <v>8000.0</v>
      </c>
      <c r="AG364" s="68">
        <f t="shared" si="6"/>
        <v>19672.13115</v>
      </c>
      <c r="AH364" s="70">
        <f t="shared" si="7"/>
        <v>24000</v>
      </c>
      <c r="AI364" s="71"/>
      <c r="AJ364" s="71"/>
      <c r="AK364" s="71"/>
      <c r="AL364" s="71"/>
    </row>
    <row r="365">
      <c r="A365" s="57" t="s">
        <v>1587</v>
      </c>
      <c r="B365" s="58" t="s">
        <v>165</v>
      </c>
      <c r="C365" s="58" t="s">
        <v>169</v>
      </c>
      <c r="D365" s="58" t="s">
        <v>1386</v>
      </c>
      <c r="E365" s="58" t="s">
        <v>1514</v>
      </c>
      <c r="F365" s="58" t="s">
        <v>103</v>
      </c>
      <c r="G365" s="59">
        <v>46092.0</v>
      </c>
      <c r="H365" s="58" t="s">
        <v>65</v>
      </c>
      <c r="I365" s="60" t="s">
        <v>1588</v>
      </c>
      <c r="J365" s="61" t="s">
        <v>1589</v>
      </c>
      <c r="K365" s="61" t="s">
        <v>1590</v>
      </c>
      <c r="L365" s="61" t="s">
        <v>1591</v>
      </c>
      <c r="M365" s="58">
        <v>2023.0</v>
      </c>
      <c r="N365" s="58">
        <v>22.0</v>
      </c>
      <c r="O365" s="62">
        <v>197.0</v>
      </c>
      <c r="P365" s="62">
        <f t="shared" ref="P365:P413" si="9">O365*2.8</f>
        <v>551.6</v>
      </c>
      <c r="Q365" s="63">
        <v>2.0</v>
      </c>
      <c r="R365" s="58">
        <v>2.0</v>
      </c>
      <c r="S365" s="58">
        <v>2.0</v>
      </c>
      <c r="T365" s="58">
        <v>0.0</v>
      </c>
      <c r="U365" s="58">
        <v>4.0</v>
      </c>
      <c r="V365" s="58" t="s">
        <v>75</v>
      </c>
      <c r="W365" s="61" t="s">
        <v>76</v>
      </c>
      <c r="X365" s="28" t="s">
        <v>1033</v>
      </c>
      <c r="Y365" s="64">
        <v>31.0</v>
      </c>
      <c r="Z365" s="65">
        <f t="shared" si="2"/>
        <v>20.15</v>
      </c>
      <c r="AA365" s="65">
        <f t="shared" si="3"/>
        <v>11114.74</v>
      </c>
      <c r="AB365" s="65">
        <f t="shared" si="4"/>
        <v>1439.52985</v>
      </c>
      <c r="AC365" s="66">
        <v>1.0</v>
      </c>
      <c r="AD365" s="67"/>
      <c r="AE365" s="68">
        <f t="shared" si="5"/>
        <v>6557.377049</v>
      </c>
      <c r="AF365" s="69">
        <v>8000.0</v>
      </c>
      <c r="AG365" s="68">
        <f t="shared" si="6"/>
        <v>13114.7541</v>
      </c>
      <c r="AH365" s="70">
        <f t="shared" si="7"/>
        <v>16000</v>
      </c>
      <c r="AI365" s="71"/>
      <c r="AJ365" s="71"/>
      <c r="AK365" s="71"/>
      <c r="AL365" s="71"/>
    </row>
    <row r="366">
      <c r="A366" s="57" t="s">
        <v>1587</v>
      </c>
      <c r="B366" s="58" t="s">
        <v>165</v>
      </c>
      <c r="C366" s="58" t="s">
        <v>169</v>
      </c>
      <c r="D366" s="58" t="s">
        <v>1386</v>
      </c>
      <c r="E366" s="58" t="s">
        <v>1514</v>
      </c>
      <c r="F366" s="58" t="s">
        <v>103</v>
      </c>
      <c r="G366" s="59">
        <v>46092.0</v>
      </c>
      <c r="H366" s="58" t="s">
        <v>65</v>
      </c>
      <c r="I366" s="60" t="s">
        <v>1588</v>
      </c>
      <c r="J366" s="61" t="s">
        <v>1592</v>
      </c>
      <c r="K366" s="61" t="s">
        <v>1593</v>
      </c>
      <c r="L366" s="61" t="s">
        <v>1594</v>
      </c>
      <c r="M366" s="58">
        <v>2014.0</v>
      </c>
      <c r="N366" s="58">
        <v>11.0</v>
      </c>
      <c r="O366" s="62">
        <v>30.0</v>
      </c>
      <c r="P366" s="62">
        <f t="shared" si="9"/>
        <v>84</v>
      </c>
      <c r="Q366" s="63">
        <v>1.0</v>
      </c>
      <c r="R366" s="58">
        <v>1.0</v>
      </c>
      <c r="S366" s="58">
        <v>2.0</v>
      </c>
      <c r="T366" s="58">
        <v>0.0</v>
      </c>
      <c r="U366" s="58">
        <v>4.0</v>
      </c>
      <c r="V366" s="58" t="s">
        <v>130</v>
      </c>
      <c r="W366" s="61" t="s">
        <v>76</v>
      </c>
      <c r="X366" s="28" t="s">
        <v>1033</v>
      </c>
      <c r="Y366" s="64">
        <v>31.0</v>
      </c>
      <c r="Z366" s="65">
        <f t="shared" si="2"/>
        <v>10.075</v>
      </c>
      <c r="AA366" s="65">
        <f t="shared" si="3"/>
        <v>846.3</v>
      </c>
      <c r="AB366" s="65">
        <f t="shared" si="4"/>
        <v>9452.912679</v>
      </c>
      <c r="AC366" s="66">
        <v>1.0</v>
      </c>
      <c r="AD366" s="67"/>
      <c r="AE366" s="68">
        <f t="shared" si="5"/>
        <v>6557.377049</v>
      </c>
      <c r="AF366" s="69">
        <v>8000.0</v>
      </c>
      <c r="AG366" s="68">
        <f t="shared" si="6"/>
        <v>6557.377049</v>
      </c>
      <c r="AH366" s="70">
        <f t="shared" si="7"/>
        <v>8000</v>
      </c>
      <c r="AI366" s="71"/>
      <c r="AJ366" s="71"/>
      <c r="AK366" s="71"/>
      <c r="AL366" s="71"/>
    </row>
    <row r="367">
      <c r="A367" s="57" t="s">
        <v>1595</v>
      </c>
      <c r="B367" s="58" t="s">
        <v>165</v>
      </c>
      <c r="C367" s="58" t="s">
        <v>169</v>
      </c>
      <c r="D367" s="58" t="s">
        <v>1472</v>
      </c>
      <c r="E367" s="58" t="s">
        <v>1473</v>
      </c>
      <c r="F367" s="58" t="s">
        <v>103</v>
      </c>
      <c r="G367" s="59">
        <v>46127.0</v>
      </c>
      <c r="H367" s="58" t="s">
        <v>104</v>
      </c>
      <c r="I367" s="60" t="s">
        <v>1596</v>
      </c>
      <c r="J367" s="61" t="s">
        <v>1597</v>
      </c>
      <c r="K367" s="61" t="s">
        <v>1598</v>
      </c>
      <c r="L367" s="61" t="s">
        <v>1599</v>
      </c>
      <c r="M367" s="58">
        <v>2019.0</v>
      </c>
      <c r="N367" s="58">
        <v>10.0</v>
      </c>
      <c r="O367" s="62">
        <v>223.0</v>
      </c>
      <c r="P367" s="62">
        <f t="shared" si="9"/>
        <v>624.4</v>
      </c>
      <c r="Q367" s="63">
        <v>4.0</v>
      </c>
      <c r="R367" s="58">
        <v>0.0</v>
      </c>
      <c r="S367" s="58">
        <v>4.0</v>
      </c>
      <c r="T367" s="58">
        <v>4.0</v>
      </c>
      <c r="U367" s="58">
        <v>8.0</v>
      </c>
      <c r="V367" s="58" t="s">
        <v>75</v>
      </c>
      <c r="W367" s="61" t="s">
        <v>76</v>
      </c>
      <c r="X367" s="28" t="s">
        <v>1033</v>
      </c>
      <c r="Y367" s="64">
        <v>31.0</v>
      </c>
      <c r="Z367" s="65">
        <f t="shared" si="2"/>
        <v>20.15</v>
      </c>
      <c r="AA367" s="65">
        <f t="shared" si="3"/>
        <v>12581.66</v>
      </c>
      <c r="AB367" s="65">
        <f t="shared" si="4"/>
        <v>2543.384577</v>
      </c>
      <c r="AC367" s="66">
        <v>1.0</v>
      </c>
      <c r="AD367" s="67"/>
      <c r="AE367" s="68">
        <f t="shared" si="5"/>
        <v>6557.377049</v>
      </c>
      <c r="AF367" s="69">
        <v>8000.0</v>
      </c>
      <c r="AG367" s="68">
        <f t="shared" si="6"/>
        <v>26229.5082</v>
      </c>
      <c r="AH367" s="70">
        <f t="shared" si="7"/>
        <v>32000</v>
      </c>
      <c r="AI367" s="71"/>
      <c r="AJ367" s="71"/>
      <c r="AK367" s="71"/>
      <c r="AL367" s="71"/>
    </row>
    <row r="368">
      <c r="A368" s="57" t="s">
        <v>1595</v>
      </c>
      <c r="B368" s="58" t="s">
        <v>165</v>
      </c>
      <c r="C368" s="58" t="s">
        <v>169</v>
      </c>
      <c r="D368" s="58" t="s">
        <v>1472</v>
      </c>
      <c r="E368" s="58" t="s">
        <v>1473</v>
      </c>
      <c r="F368" s="58" t="s">
        <v>103</v>
      </c>
      <c r="G368" s="59">
        <v>46127.0</v>
      </c>
      <c r="H368" s="58" t="s">
        <v>104</v>
      </c>
      <c r="I368" s="60" t="s">
        <v>1596</v>
      </c>
      <c r="J368" s="61" t="s">
        <v>1597</v>
      </c>
      <c r="K368" s="61" t="s">
        <v>1598</v>
      </c>
      <c r="L368" s="61" t="s">
        <v>1599</v>
      </c>
      <c r="M368" s="58">
        <v>2019.0</v>
      </c>
      <c r="N368" s="58">
        <v>10.0</v>
      </c>
      <c r="O368" s="62">
        <v>223.0</v>
      </c>
      <c r="P368" s="62">
        <f t="shared" si="9"/>
        <v>624.4</v>
      </c>
      <c r="Q368" s="63">
        <v>3.0</v>
      </c>
      <c r="R368" s="58">
        <v>0.0</v>
      </c>
      <c r="S368" s="58">
        <v>4.0</v>
      </c>
      <c r="T368" s="58">
        <v>3.0</v>
      </c>
      <c r="U368" s="58">
        <v>8.0</v>
      </c>
      <c r="V368" s="58" t="s">
        <v>130</v>
      </c>
      <c r="W368" s="61" t="s">
        <v>76</v>
      </c>
      <c r="X368" s="28" t="s">
        <v>1033</v>
      </c>
      <c r="Y368" s="64">
        <v>31.0</v>
      </c>
      <c r="Z368" s="65">
        <f t="shared" si="2"/>
        <v>15.1125</v>
      </c>
      <c r="AA368" s="65">
        <f t="shared" si="3"/>
        <v>9436.245</v>
      </c>
      <c r="AB368" s="65">
        <f t="shared" si="4"/>
        <v>2543.384577</v>
      </c>
      <c r="AC368" s="66">
        <v>1.0</v>
      </c>
      <c r="AD368" s="70"/>
      <c r="AE368" s="68">
        <f t="shared" si="5"/>
        <v>6557.377049</v>
      </c>
      <c r="AF368" s="69">
        <v>8000.0</v>
      </c>
      <c r="AG368" s="68">
        <f t="shared" si="6"/>
        <v>19672.13115</v>
      </c>
      <c r="AH368" s="70">
        <f t="shared" si="7"/>
        <v>24000</v>
      </c>
      <c r="AI368" s="71"/>
      <c r="AJ368" s="71"/>
      <c r="AK368" s="71"/>
      <c r="AL368" s="71"/>
    </row>
    <row r="369">
      <c r="A369" s="57" t="s">
        <v>1600</v>
      </c>
      <c r="B369" s="58" t="s">
        <v>165</v>
      </c>
      <c r="C369" s="58" t="s">
        <v>169</v>
      </c>
      <c r="D369" s="58" t="s">
        <v>1472</v>
      </c>
      <c r="E369" s="58" t="s">
        <v>1473</v>
      </c>
      <c r="F369" s="58" t="s">
        <v>103</v>
      </c>
      <c r="G369" s="59">
        <v>46192.0</v>
      </c>
      <c r="H369" s="58" t="s">
        <v>104</v>
      </c>
      <c r="I369" s="60" t="s">
        <v>1601</v>
      </c>
      <c r="J369" s="61" t="s">
        <v>1602</v>
      </c>
      <c r="K369" s="61" t="s">
        <v>1603</v>
      </c>
      <c r="L369" s="61" t="s">
        <v>1604</v>
      </c>
      <c r="M369" s="58">
        <v>2009.0</v>
      </c>
      <c r="N369" s="58">
        <v>10.0</v>
      </c>
      <c r="O369" s="62">
        <v>72.0</v>
      </c>
      <c r="P369" s="62">
        <f t="shared" si="9"/>
        <v>201.6</v>
      </c>
      <c r="Q369" s="63">
        <v>2.0</v>
      </c>
      <c r="R369" s="58">
        <v>2.0</v>
      </c>
      <c r="S369" s="58">
        <v>2.0</v>
      </c>
      <c r="T369" s="58">
        <v>0.0</v>
      </c>
      <c r="U369" s="58">
        <v>2.0</v>
      </c>
      <c r="V369" s="58" t="s">
        <v>130</v>
      </c>
      <c r="W369" s="61" t="s">
        <v>76</v>
      </c>
      <c r="X369" s="28" t="s">
        <v>1033</v>
      </c>
      <c r="Y369" s="64">
        <v>31.0</v>
      </c>
      <c r="Z369" s="65">
        <f t="shared" si="2"/>
        <v>20.15</v>
      </c>
      <c r="AA369" s="65">
        <f t="shared" si="3"/>
        <v>4062.24</v>
      </c>
      <c r="AB369" s="65">
        <f t="shared" si="4"/>
        <v>3938.713616</v>
      </c>
      <c r="AC369" s="66">
        <v>1.0</v>
      </c>
      <c r="AD369" s="70"/>
      <c r="AE369" s="68">
        <f t="shared" si="5"/>
        <v>6557.377049</v>
      </c>
      <c r="AF369" s="69">
        <v>8000.0</v>
      </c>
      <c r="AG369" s="68">
        <f t="shared" si="6"/>
        <v>13114.7541</v>
      </c>
      <c r="AH369" s="70">
        <f t="shared" si="7"/>
        <v>16000</v>
      </c>
      <c r="AI369" s="71"/>
      <c r="AJ369" s="71"/>
      <c r="AK369" s="71"/>
      <c r="AL369" s="71"/>
    </row>
    <row r="370">
      <c r="A370" s="57" t="s">
        <v>1605</v>
      </c>
      <c r="B370" s="58" t="s">
        <v>165</v>
      </c>
      <c r="C370" s="58" t="s">
        <v>169</v>
      </c>
      <c r="D370" s="58" t="s">
        <v>162</v>
      </c>
      <c r="E370" s="58" t="s">
        <v>1420</v>
      </c>
      <c r="F370" s="58" t="s">
        <v>103</v>
      </c>
      <c r="G370" s="59">
        <v>46156.0</v>
      </c>
      <c r="H370" s="58" t="s">
        <v>104</v>
      </c>
      <c r="I370" s="60" t="s">
        <v>1606</v>
      </c>
      <c r="J370" s="61" t="s">
        <v>1607</v>
      </c>
      <c r="K370" s="61" t="s">
        <v>1608</v>
      </c>
      <c r="L370" s="61" t="s">
        <v>1609</v>
      </c>
      <c r="M370" s="58">
        <v>2017.0</v>
      </c>
      <c r="N370" s="58">
        <v>26.0</v>
      </c>
      <c r="O370" s="62">
        <v>150.0</v>
      </c>
      <c r="P370" s="62">
        <f t="shared" si="9"/>
        <v>420</v>
      </c>
      <c r="Q370" s="63">
        <v>3.0</v>
      </c>
      <c r="R370" s="58">
        <v>0.0</v>
      </c>
      <c r="S370" s="58">
        <v>1.0</v>
      </c>
      <c r="T370" s="58">
        <v>3.0</v>
      </c>
      <c r="U370" s="58">
        <v>3.0</v>
      </c>
      <c r="V370" s="58" t="s">
        <v>130</v>
      </c>
      <c r="W370" s="61" t="s">
        <v>76</v>
      </c>
      <c r="X370" s="28" t="s">
        <v>1033</v>
      </c>
      <c r="Y370" s="64">
        <v>31.0</v>
      </c>
      <c r="Z370" s="65">
        <f t="shared" si="2"/>
        <v>40.3</v>
      </c>
      <c r="AA370" s="65">
        <f t="shared" si="3"/>
        <v>16926</v>
      </c>
      <c r="AB370" s="65">
        <f t="shared" si="4"/>
        <v>1417.936902</v>
      </c>
      <c r="AC370" s="66">
        <v>1.0</v>
      </c>
      <c r="AD370" s="70"/>
      <c r="AE370" s="68">
        <f t="shared" si="5"/>
        <v>6557.377049</v>
      </c>
      <c r="AF370" s="69">
        <v>8000.0</v>
      </c>
      <c r="AG370" s="68">
        <f t="shared" si="6"/>
        <v>19672.13115</v>
      </c>
      <c r="AH370" s="70">
        <f t="shared" si="7"/>
        <v>24000</v>
      </c>
      <c r="AI370" s="71"/>
      <c r="AJ370" s="71"/>
      <c r="AK370" s="71"/>
      <c r="AL370" s="71"/>
    </row>
    <row r="371">
      <c r="A371" s="57" t="s">
        <v>1610</v>
      </c>
      <c r="B371" s="58" t="s">
        <v>165</v>
      </c>
      <c r="C371" s="58" t="s">
        <v>169</v>
      </c>
      <c r="D371" s="58" t="s">
        <v>162</v>
      </c>
      <c r="E371" s="58" t="s">
        <v>1420</v>
      </c>
      <c r="F371" s="58" t="s">
        <v>103</v>
      </c>
      <c r="G371" s="59">
        <v>46164.0</v>
      </c>
      <c r="H371" s="58" t="s">
        <v>118</v>
      </c>
      <c r="I371" s="60" t="s">
        <v>1611</v>
      </c>
      <c r="J371" s="61" t="s">
        <v>1612</v>
      </c>
      <c r="K371" s="61" t="s">
        <v>1613</v>
      </c>
      <c r="L371" s="61" t="s">
        <v>1614</v>
      </c>
      <c r="M371" s="58">
        <v>2013.0</v>
      </c>
      <c r="N371" s="58">
        <v>18.0</v>
      </c>
      <c r="O371" s="62">
        <v>102.0</v>
      </c>
      <c r="P371" s="62">
        <f t="shared" si="9"/>
        <v>285.6</v>
      </c>
      <c r="Q371" s="63">
        <v>4.0</v>
      </c>
      <c r="R371" s="58">
        <v>1.0</v>
      </c>
      <c r="S371" s="58">
        <v>1.0</v>
      </c>
      <c r="T371" s="58">
        <v>3.0</v>
      </c>
      <c r="U371" s="58">
        <v>3.0</v>
      </c>
      <c r="V371" s="58" t="s">
        <v>130</v>
      </c>
      <c r="W371" s="61" t="s">
        <v>76</v>
      </c>
      <c r="X371" s="28" t="s">
        <v>1033</v>
      </c>
      <c r="Y371" s="64">
        <v>31.0</v>
      </c>
      <c r="Z371" s="65">
        <f t="shared" si="2"/>
        <v>60.45</v>
      </c>
      <c r="AA371" s="65">
        <f t="shared" si="3"/>
        <v>17264.52</v>
      </c>
      <c r="AB371" s="65">
        <f t="shared" si="4"/>
        <v>1853.51229</v>
      </c>
      <c r="AC371" s="66">
        <v>1.0</v>
      </c>
      <c r="AD371" s="70"/>
      <c r="AE371" s="68">
        <f t="shared" si="5"/>
        <v>6557.377049</v>
      </c>
      <c r="AF371" s="69">
        <v>8000.0</v>
      </c>
      <c r="AG371" s="68">
        <f t="shared" si="6"/>
        <v>26229.5082</v>
      </c>
      <c r="AH371" s="70">
        <f t="shared" si="7"/>
        <v>32000</v>
      </c>
      <c r="AI371" s="71"/>
      <c r="AJ371" s="71"/>
      <c r="AK371" s="71"/>
      <c r="AL371" s="71"/>
    </row>
    <row r="372">
      <c r="A372" s="57" t="s">
        <v>1616</v>
      </c>
      <c r="B372" s="58" t="s">
        <v>165</v>
      </c>
      <c r="C372" s="58" t="s">
        <v>169</v>
      </c>
      <c r="D372" s="58" t="s">
        <v>1472</v>
      </c>
      <c r="E372" s="58" t="s">
        <v>1473</v>
      </c>
      <c r="F372" s="58" t="s">
        <v>103</v>
      </c>
      <c r="G372" s="59">
        <v>46164.0</v>
      </c>
      <c r="H372" s="58" t="s">
        <v>104</v>
      </c>
      <c r="I372" s="60" t="s">
        <v>1617</v>
      </c>
      <c r="J372" s="61" t="s">
        <v>1618</v>
      </c>
      <c r="K372" s="61" t="s">
        <v>1619</v>
      </c>
      <c r="L372" s="61" t="s">
        <v>1620</v>
      </c>
      <c r="M372" s="58">
        <v>2013.0</v>
      </c>
      <c r="N372" s="58">
        <v>17.0</v>
      </c>
      <c r="O372" s="62">
        <v>160.0</v>
      </c>
      <c r="P372" s="62">
        <f t="shared" si="9"/>
        <v>448</v>
      </c>
      <c r="Q372" s="63">
        <v>6.0</v>
      </c>
      <c r="R372" s="58">
        <v>2.0</v>
      </c>
      <c r="S372" s="58">
        <v>2.0</v>
      </c>
      <c r="T372" s="58">
        <v>4.0</v>
      </c>
      <c r="U372" s="58">
        <v>4.0</v>
      </c>
      <c r="V372" s="58" t="s">
        <v>130</v>
      </c>
      <c r="W372" s="61" t="s">
        <v>76</v>
      </c>
      <c r="X372" s="28" t="s">
        <v>1033</v>
      </c>
      <c r="Y372" s="64">
        <v>31.0</v>
      </c>
      <c r="Z372" s="65">
        <f t="shared" si="2"/>
        <v>60.45</v>
      </c>
      <c r="AA372" s="65">
        <f t="shared" si="3"/>
        <v>27081.6</v>
      </c>
      <c r="AB372" s="65">
        <f t="shared" si="4"/>
        <v>1772.421127</v>
      </c>
      <c r="AC372" s="66">
        <v>1.0</v>
      </c>
      <c r="AD372" s="67"/>
      <c r="AE372" s="68">
        <f t="shared" si="5"/>
        <v>6557.377049</v>
      </c>
      <c r="AF372" s="69">
        <v>8000.0</v>
      </c>
      <c r="AG372" s="68">
        <f t="shared" si="6"/>
        <v>39344.2623</v>
      </c>
      <c r="AH372" s="70">
        <f t="shared" si="7"/>
        <v>48000</v>
      </c>
      <c r="AI372" s="71"/>
      <c r="AJ372" s="71"/>
      <c r="AK372" s="71"/>
      <c r="AL372" s="71"/>
    </row>
    <row r="373">
      <c r="A373" s="57" t="s">
        <v>1621</v>
      </c>
      <c r="B373" s="58" t="s">
        <v>165</v>
      </c>
      <c r="C373" s="58" t="s">
        <v>169</v>
      </c>
      <c r="D373" s="58" t="s">
        <v>162</v>
      </c>
      <c r="E373" s="58" t="s">
        <v>1420</v>
      </c>
      <c r="F373" s="58" t="s">
        <v>103</v>
      </c>
      <c r="G373" s="59">
        <v>46181.0</v>
      </c>
      <c r="H373" s="58" t="s">
        <v>118</v>
      </c>
      <c r="I373" s="60" t="s">
        <v>1622</v>
      </c>
      <c r="J373" s="61" t="s">
        <v>1623</v>
      </c>
      <c r="K373" s="61" t="s">
        <v>1624</v>
      </c>
      <c r="L373" s="61" t="s">
        <v>1625</v>
      </c>
      <c r="M373" s="58">
        <v>2013.0</v>
      </c>
      <c r="N373" s="58">
        <v>18.0</v>
      </c>
      <c r="O373" s="62">
        <v>102.0</v>
      </c>
      <c r="P373" s="62">
        <f t="shared" si="9"/>
        <v>285.6</v>
      </c>
      <c r="Q373" s="63">
        <v>4.0</v>
      </c>
      <c r="R373" s="58">
        <v>1.0</v>
      </c>
      <c r="S373" s="58">
        <v>1.0</v>
      </c>
      <c r="T373" s="58">
        <v>3.0</v>
      </c>
      <c r="U373" s="58">
        <v>3.0</v>
      </c>
      <c r="V373" s="58" t="s">
        <v>130</v>
      </c>
      <c r="W373" s="61" t="s">
        <v>76</v>
      </c>
      <c r="X373" s="28" t="s">
        <v>1033</v>
      </c>
      <c r="Y373" s="64">
        <v>31.0</v>
      </c>
      <c r="Z373" s="65">
        <f t="shared" si="2"/>
        <v>60.45</v>
      </c>
      <c r="AA373" s="65">
        <f t="shared" si="3"/>
        <v>17264.52</v>
      </c>
      <c r="AB373" s="65">
        <f t="shared" si="4"/>
        <v>1853.51229</v>
      </c>
      <c r="AC373" s="66">
        <v>1.0</v>
      </c>
      <c r="AD373" s="67"/>
      <c r="AE373" s="68">
        <f t="shared" si="5"/>
        <v>6557.377049</v>
      </c>
      <c r="AF373" s="69">
        <v>8000.0</v>
      </c>
      <c r="AG373" s="68">
        <f t="shared" si="6"/>
        <v>26229.5082</v>
      </c>
      <c r="AH373" s="70">
        <f t="shared" si="7"/>
        <v>32000</v>
      </c>
      <c r="AI373" s="71"/>
      <c r="AJ373" s="71"/>
      <c r="AK373" s="71"/>
      <c r="AL373" s="71"/>
    </row>
    <row r="374">
      <c r="A374" s="57" t="s">
        <v>1626</v>
      </c>
      <c r="B374" s="58" t="s">
        <v>165</v>
      </c>
      <c r="C374" s="58" t="s">
        <v>169</v>
      </c>
      <c r="D374" s="58" t="s">
        <v>1472</v>
      </c>
      <c r="E374" s="58" t="s">
        <v>1473</v>
      </c>
      <c r="F374" s="58" t="s">
        <v>103</v>
      </c>
      <c r="G374" s="59">
        <v>46156.0</v>
      </c>
      <c r="H374" s="58" t="s">
        <v>104</v>
      </c>
      <c r="I374" s="60" t="s">
        <v>1627</v>
      </c>
      <c r="J374" s="61" t="s">
        <v>1628</v>
      </c>
      <c r="K374" s="61" t="s">
        <v>1629</v>
      </c>
      <c r="L374" s="61" t="s">
        <v>1630</v>
      </c>
      <c r="M374" s="58">
        <v>2007.0</v>
      </c>
      <c r="N374" s="58">
        <v>18.0</v>
      </c>
      <c r="O374" s="62">
        <v>102.0</v>
      </c>
      <c r="P374" s="62">
        <f t="shared" si="9"/>
        <v>285.6</v>
      </c>
      <c r="Q374" s="63">
        <v>3.0</v>
      </c>
      <c r="R374" s="58">
        <v>1.0</v>
      </c>
      <c r="S374" s="58">
        <v>2.0</v>
      </c>
      <c r="T374" s="58">
        <v>2.0</v>
      </c>
      <c r="U374" s="58">
        <v>4.0</v>
      </c>
      <c r="V374" s="58" t="s">
        <v>130</v>
      </c>
      <c r="W374" s="61" t="s">
        <v>76</v>
      </c>
      <c r="X374" s="28" t="s">
        <v>1033</v>
      </c>
      <c r="Y374" s="64">
        <v>31.0</v>
      </c>
      <c r="Z374" s="65">
        <f t="shared" si="2"/>
        <v>30.225</v>
      </c>
      <c r="AA374" s="65">
        <f t="shared" si="3"/>
        <v>8632.26</v>
      </c>
      <c r="AB374" s="65">
        <f t="shared" si="4"/>
        <v>2780.268435</v>
      </c>
      <c r="AC374" s="66">
        <v>1.0</v>
      </c>
      <c r="AD374" s="70"/>
      <c r="AE374" s="68">
        <f t="shared" si="5"/>
        <v>6557.377049</v>
      </c>
      <c r="AF374" s="69">
        <v>8000.0</v>
      </c>
      <c r="AG374" s="68">
        <f t="shared" si="6"/>
        <v>19672.13115</v>
      </c>
      <c r="AH374" s="70">
        <f t="shared" si="7"/>
        <v>24000</v>
      </c>
      <c r="AI374" s="71"/>
      <c r="AJ374" s="71"/>
      <c r="AK374" s="71"/>
      <c r="AL374" s="71"/>
    </row>
    <row r="375">
      <c r="A375" s="57" t="s">
        <v>1626</v>
      </c>
      <c r="B375" s="58" t="s">
        <v>165</v>
      </c>
      <c r="C375" s="58" t="s">
        <v>169</v>
      </c>
      <c r="D375" s="58" t="s">
        <v>1472</v>
      </c>
      <c r="E375" s="58" t="s">
        <v>1473</v>
      </c>
      <c r="F375" s="58" t="s">
        <v>103</v>
      </c>
      <c r="G375" s="59">
        <v>46156.0</v>
      </c>
      <c r="H375" s="58" t="s">
        <v>104</v>
      </c>
      <c r="I375" s="60" t="s">
        <v>1627</v>
      </c>
      <c r="J375" s="61" t="s">
        <v>1631</v>
      </c>
      <c r="K375" s="61" t="s">
        <v>1632</v>
      </c>
      <c r="L375" s="61" t="s">
        <v>1633</v>
      </c>
      <c r="M375" s="58">
        <v>2005.0</v>
      </c>
      <c r="N375" s="58">
        <v>10.0</v>
      </c>
      <c r="O375" s="62">
        <v>50.0</v>
      </c>
      <c r="P375" s="62">
        <f t="shared" si="9"/>
        <v>140</v>
      </c>
      <c r="Q375" s="63">
        <v>2.0</v>
      </c>
      <c r="R375" s="58">
        <v>1.0</v>
      </c>
      <c r="S375" s="58">
        <v>1.0</v>
      </c>
      <c r="T375" s="58">
        <v>1.0</v>
      </c>
      <c r="U375" s="58">
        <v>1.0</v>
      </c>
      <c r="V375" s="58" t="s">
        <v>130</v>
      </c>
      <c r="W375" s="61" t="s">
        <v>76</v>
      </c>
      <c r="X375" s="28" t="s">
        <v>1033</v>
      </c>
      <c r="Y375" s="64">
        <v>31.0</v>
      </c>
      <c r="Z375" s="65">
        <f t="shared" si="2"/>
        <v>60.45</v>
      </c>
      <c r="AA375" s="65">
        <f t="shared" si="3"/>
        <v>8463</v>
      </c>
      <c r="AB375" s="65">
        <f t="shared" si="4"/>
        <v>1890.582536</v>
      </c>
      <c r="AC375" s="66">
        <v>1.0</v>
      </c>
      <c r="AD375" s="70"/>
      <c r="AE375" s="68">
        <f t="shared" si="5"/>
        <v>6557.377049</v>
      </c>
      <c r="AF375" s="69">
        <v>8000.0</v>
      </c>
      <c r="AG375" s="68">
        <f t="shared" si="6"/>
        <v>13114.7541</v>
      </c>
      <c r="AH375" s="70">
        <f t="shared" si="7"/>
        <v>16000</v>
      </c>
      <c r="AI375" s="71"/>
      <c r="AJ375" s="71"/>
      <c r="AK375" s="71"/>
      <c r="AL375" s="71"/>
    </row>
    <row r="376">
      <c r="A376" s="57" t="s">
        <v>1634</v>
      </c>
      <c r="B376" s="58" t="s">
        <v>165</v>
      </c>
      <c r="C376" s="58" t="s">
        <v>169</v>
      </c>
      <c r="D376" s="58" t="s">
        <v>1472</v>
      </c>
      <c r="E376" s="58" t="s">
        <v>1473</v>
      </c>
      <c r="F376" s="58" t="s">
        <v>103</v>
      </c>
      <c r="G376" s="59">
        <v>46161.0</v>
      </c>
      <c r="H376" s="58" t="s">
        <v>118</v>
      </c>
      <c r="I376" s="60" t="s">
        <v>1635</v>
      </c>
      <c r="J376" s="61" t="s">
        <v>1636</v>
      </c>
      <c r="K376" s="61" t="s">
        <v>1637</v>
      </c>
      <c r="L376" s="61" t="s">
        <v>1638</v>
      </c>
      <c r="M376" s="58">
        <v>2003.0</v>
      </c>
      <c r="N376" s="58">
        <v>16.0</v>
      </c>
      <c r="O376" s="62">
        <v>181.0</v>
      </c>
      <c r="P376" s="62">
        <f t="shared" si="9"/>
        <v>506.8</v>
      </c>
      <c r="Q376" s="63">
        <v>6.0</v>
      </c>
      <c r="R376" s="58">
        <v>0.0</v>
      </c>
      <c r="S376" s="58">
        <v>5.0</v>
      </c>
      <c r="T376" s="58">
        <v>6.0</v>
      </c>
      <c r="U376" s="58">
        <v>6.0</v>
      </c>
      <c r="V376" s="58" t="s">
        <v>130</v>
      </c>
      <c r="W376" s="61" t="s">
        <v>76</v>
      </c>
      <c r="X376" s="28" t="s">
        <v>1033</v>
      </c>
      <c r="Y376" s="64">
        <v>31.0</v>
      </c>
      <c r="Z376" s="65">
        <f t="shared" si="2"/>
        <v>40.3</v>
      </c>
      <c r="AA376" s="65">
        <f t="shared" si="3"/>
        <v>20424.04</v>
      </c>
      <c r="AB376" s="65">
        <f t="shared" si="4"/>
        <v>2350.17166</v>
      </c>
      <c r="AC376" s="66">
        <v>1.0</v>
      </c>
      <c r="AD376" s="70"/>
      <c r="AE376" s="68">
        <f t="shared" si="5"/>
        <v>6557.377049</v>
      </c>
      <c r="AF376" s="69">
        <v>8000.0</v>
      </c>
      <c r="AG376" s="68">
        <f t="shared" si="6"/>
        <v>39344.2623</v>
      </c>
      <c r="AH376" s="70">
        <f t="shared" si="7"/>
        <v>48000</v>
      </c>
      <c r="AI376" s="71"/>
      <c r="AJ376" s="71"/>
      <c r="AK376" s="71"/>
      <c r="AL376" s="71"/>
    </row>
    <row r="377">
      <c r="A377" s="57" t="s">
        <v>1634</v>
      </c>
      <c r="B377" s="58" t="s">
        <v>165</v>
      </c>
      <c r="C377" s="58" t="s">
        <v>169</v>
      </c>
      <c r="D377" s="58" t="s">
        <v>1472</v>
      </c>
      <c r="E377" s="58" t="s">
        <v>1473</v>
      </c>
      <c r="F377" s="58" t="s">
        <v>103</v>
      </c>
      <c r="G377" s="59">
        <v>46161.0</v>
      </c>
      <c r="H377" s="58" t="s">
        <v>118</v>
      </c>
      <c r="I377" s="60" t="s">
        <v>1635</v>
      </c>
      <c r="J377" s="61" t="s">
        <v>1639</v>
      </c>
      <c r="K377" s="61" t="s">
        <v>1640</v>
      </c>
      <c r="L377" s="61" t="s">
        <v>1641</v>
      </c>
      <c r="M377" s="58">
        <v>2010.0</v>
      </c>
      <c r="N377" s="58">
        <v>17.0</v>
      </c>
      <c r="O377" s="62">
        <v>160.0</v>
      </c>
      <c r="P377" s="62">
        <f t="shared" si="9"/>
        <v>448</v>
      </c>
      <c r="Q377" s="63">
        <v>4.0</v>
      </c>
      <c r="R377" s="58">
        <v>2.0</v>
      </c>
      <c r="S377" s="58">
        <v>2.0</v>
      </c>
      <c r="T377" s="58">
        <v>2.0</v>
      </c>
      <c r="U377" s="58">
        <v>4.0</v>
      </c>
      <c r="V377" s="58" t="s">
        <v>130</v>
      </c>
      <c r="W377" s="61" t="s">
        <v>76</v>
      </c>
      <c r="X377" s="28" t="s">
        <v>1033</v>
      </c>
      <c r="Y377" s="64">
        <v>31.0</v>
      </c>
      <c r="Z377" s="65">
        <f t="shared" si="2"/>
        <v>40.3</v>
      </c>
      <c r="AA377" s="65">
        <f t="shared" si="3"/>
        <v>18054.4</v>
      </c>
      <c r="AB377" s="65">
        <f t="shared" si="4"/>
        <v>1772.421127</v>
      </c>
      <c r="AC377" s="66">
        <v>1.0</v>
      </c>
      <c r="AD377" s="67"/>
      <c r="AE377" s="68">
        <f t="shared" si="5"/>
        <v>6557.377049</v>
      </c>
      <c r="AF377" s="69">
        <v>8000.0</v>
      </c>
      <c r="AG377" s="68">
        <f t="shared" si="6"/>
        <v>26229.5082</v>
      </c>
      <c r="AH377" s="70">
        <f t="shared" si="7"/>
        <v>32000</v>
      </c>
      <c r="AI377" s="71"/>
      <c r="AJ377" s="71"/>
      <c r="AK377" s="71"/>
      <c r="AL377" s="71"/>
    </row>
    <row r="378">
      <c r="A378" s="57" t="s">
        <v>1642</v>
      </c>
      <c r="B378" s="58" t="s">
        <v>165</v>
      </c>
      <c r="C378" s="58" t="s">
        <v>169</v>
      </c>
      <c r="D378" s="58" t="s">
        <v>1472</v>
      </c>
      <c r="E378" s="58" t="s">
        <v>1473</v>
      </c>
      <c r="F378" s="58" t="s">
        <v>103</v>
      </c>
      <c r="G378" s="59">
        <v>46186.0</v>
      </c>
      <c r="H378" s="58" t="s">
        <v>118</v>
      </c>
      <c r="I378" s="60" t="s">
        <v>1643</v>
      </c>
      <c r="J378" s="61" t="s">
        <v>1644</v>
      </c>
      <c r="K378" s="61" t="s">
        <v>1645</v>
      </c>
      <c r="L378" s="61" t="s">
        <v>1646</v>
      </c>
      <c r="M378" s="58">
        <v>2009.0</v>
      </c>
      <c r="N378" s="58">
        <v>17.0</v>
      </c>
      <c r="O378" s="62">
        <v>167.0</v>
      </c>
      <c r="P378" s="62">
        <f t="shared" si="9"/>
        <v>467.6</v>
      </c>
      <c r="Q378" s="63">
        <v>6.0</v>
      </c>
      <c r="R378" s="58">
        <v>2.0</v>
      </c>
      <c r="S378" s="58">
        <v>2.0</v>
      </c>
      <c r="T378" s="58">
        <v>4.0</v>
      </c>
      <c r="U378" s="58">
        <v>4.0</v>
      </c>
      <c r="V378" s="58" t="s">
        <v>130</v>
      </c>
      <c r="W378" s="61" t="s">
        <v>76</v>
      </c>
      <c r="X378" s="28" t="s">
        <v>1033</v>
      </c>
      <c r="Y378" s="64">
        <v>31.0</v>
      </c>
      <c r="Z378" s="65">
        <f t="shared" si="2"/>
        <v>60.45</v>
      </c>
      <c r="AA378" s="65">
        <f t="shared" si="3"/>
        <v>28266.42</v>
      </c>
      <c r="AB378" s="65">
        <f t="shared" si="4"/>
        <v>1698.128026</v>
      </c>
      <c r="AC378" s="66">
        <v>1.0</v>
      </c>
      <c r="AD378" s="67"/>
      <c r="AE378" s="68">
        <f t="shared" si="5"/>
        <v>6557.377049</v>
      </c>
      <c r="AF378" s="69">
        <v>8000.0</v>
      </c>
      <c r="AG378" s="68">
        <f t="shared" si="6"/>
        <v>39344.2623</v>
      </c>
      <c r="AH378" s="70">
        <f t="shared" si="7"/>
        <v>48000</v>
      </c>
      <c r="AI378" s="71"/>
      <c r="AJ378" s="71"/>
      <c r="AK378" s="71"/>
      <c r="AL378" s="71"/>
    </row>
    <row r="379">
      <c r="A379" s="57" t="s">
        <v>1647</v>
      </c>
      <c r="B379" s="58" t="s">
        <v>165</v>
      </c>
      <c r="C379" s="58" t="s">
        <v>169</v>
      </c>
      <c r="D379" s="58" t="s">
        <v>1375</v>
      </c>
      <c r="E379" s="58" t="s">
        <v>1375</v>
      </c>
      <c r="F379" s="58" t="s">
        <v>103</v>
      </c>
      <c r="G379" s="59">
        <v>46161.0</v>
      </c>
      <c r="H379" s="58" t="s">
        <v>118</v>
      </c>
      <c r="I379" s="60" t="s">
        <v>1648</v>
      </c>
      <c r="J379" s="61" t="s">
        <v>1649</v>
      </c>
      <c r="K379" s="61" t="s">
        <v>1650</v>
      </c>
      <c r="L379" s="61" t="s">
        <v>1651</v>
      </c>
      <c r="M379" s="58">
        <v>2013.0</v>
      </c>
      <c r="N379" s="58">
        <v>10.0</v>
      </c>
      <c r="O379" s="62">
        <v>301.0</v>
      </c>
      <c r="P379" s="62">
        <f t="shared" si="9"/>
        <v>842.8</v>
      </c>
      <c r="Q379" s="63">
        <v>4.0</v>
      </c>
      <c r="R379" s="58">
        <v>4.0</v>
      </c>
      <c r="S379" s="58">
        <v>4.0</v>
      </c>
      <c r="T379" s="58">
        <v>0.0</v>
      </c>
      <c r="U379" s="58">
        <v>8.0</v>
      </c>
      <c r="V379" s="58" t="s">
        <v>130</v>
      </c>
      <c r="W379" s="61" t="s">
        <v>76</v>
      </c>
      <c r="X379" s="28" t="s">
        <v>1033</v>
      </c>
      <c r="Y379" s="64">
        <v>31.0</v>
      </c>
      <c r="Z379" s="65">
        <f t="shared" si="2"/>
        <v>20.15</v>
      </c>
      <c r="AA379" s="65">
        <f t="shared" si="3"/>
        <v>16982.42</v>
      </c>
      <c r="AB379" s="65">
        <f t="shared" si="4"/>
        <v>1884.301531</v>
      </c>
      <c r="AC379" s="66">
        <v>1.0</v>
      </c>
      <c r="AD379" s="70"/>
      <c r="AE379" s="68">
        <f t="shared" si="5"/>
        <v>6557.377049</v>
      </c>
      <c r="AF379" s="69">
        <v>8000.0</v>
      </c>
      <c r="AG379" s="68">
        <f t="shared" si="6"/>
        <v>26229.5082</v>
      </c>
      <c r="AH379" s="70">
        <f t="shared" si="7"/>
        <v>32000</v>
      </c>
      <c r="AI379" s="71"/>
      <c r="AJ379" s="71"/>
      <c r="AK379" s="71"/>
      <c r="AL379" s="71"/>
    </row>
    <row r="380">
      <c r="A380" s="57" t="s">
        <v>1652</v>
      </c>
      <c r="B380" s="58" t="s">
        <v>165</v>
      </c>
      <c r="C380" s="58" t="s">
        <v>169</v>
      </c>
      <c r="D380" s="58" t="s">
        <v>1375</v>
      </c>
      <c r="E380" s="58" t="s">
        <v>1375</v>
      </c>
      <c r="F380" s="58" t="s">
        <v>103</v>
      </c>
      <c r="G380" s="59">
        <v>46161.0</v>
      </c>
      <c r="H380" s="58" t="s">
        <v>118</v>
      </c>
      <c r="I380" s="60" t="s">
        <v>1653</v>
      </c>
      <c r="J380" s="61" t="s">
        <v>1654</v>
      </c>
      <c r="K380" s="61" t="s">
        <v>1655</v>
      </c>
      <c r="L380" s="61" t="s">
        <v>1656</v>
      </c>
      <c r="M380" s="58">
        <v>2013.0</v>
      </c>
      <c r="N380" s="58">
        <v>10.0</v>
      </c>
      <c r="O380" s="62">
        <v>137.0</v>
      </c>
      <c r="P380" s="62">
        <f t="shared" si="9"/>
        <v>383.6</v>
      </c>
      <c r="Q380" s="63">
        <v>2.0</v>
      </c>
      <c r="R380" s="58">
        <v>2.0</v>
      </c>
      <c r="S380" s="58">
        <v>2.0</v>
      </c>
      <c r="T380" s="58">
        <v>0.0</v>
      </c>
      <c r="U380" s="58">
        <v>2.0</v>
      </c>
      <c r="V380" s="58" t="s">
        <v>130</v>
      </c>
      <c r="W380" s="61" t="s">
        <v>76</v>
      </c>
      <c r="X380" s="28" t="s">
        <v>1033</v>
      </c>
      <c r="Y380" s="64">
        <v>31.0</v>
      </c>
      <c r="Z380" s="65">
        <f t="shared" si="2"/>
        <v>20.15</v>
      </c>
      <c r="AA380" s="65">
        <f t="shared" si="3"/>
        <v>7729.54</v>
      </c>
      <c r="AB380" s="65">
        <f t="shared" si="4"/>
        <v>2069.980879</v>
      </c>
      <c r="AC380" s="66">
        <v>1.0</v>
      </c>
      <c r="AD380" s="70"/>
      <c r="AE380" s="68">
        <f t="shared" si="5"/>
        <v>6557.377049</v>
      </c>
      <c r="AF380" s="69">
        <v>8000.0</v>
      </c>
      <c r="AG380" s="68">
        <f t="shared" si="6"/>
        <v>13114.7541</v>
      </c>
      <c r="AH380" s="70">
        <f t="shared" si="7"/>
        <v>16000</v>
      </c>
      <c r="AI380" s="71"/>
      <c r="AJ380" s="71"/>
      <c r="AK380" s="71"/>
      <c r="AL380" s="71"/>
    </row>
    <row r="381">
      <c r="A381" s="57" t="s">
        <v>1657</v>
      </c>
      <c r="B381" s="58" t="s">
        <v>165</v>
      </c>
      <c r="C381" s="58" t="s">
        <v>169</v>
      </c>
      <c r="D381" s="58" t="s">
        <v>1472</v>
      </c>
      <c r="E381" s="58" t="s">
        <v>1473</v>
      </c>
      <c r="F381" s="58" t="s">
        <v>103</v>
      </c>
      <c r="G381" s="59">
        <v>46188.0</v>
      </c>
      <c r="H381" s="58" t="s">
        <v>118</v>
      </c>
      <c r="I381" s="60" t="s">
        <v>1658</v>
      </c>
      <c r="J381" s="61" t="s">
        <v>1659</v>
      </c>
      <c r="K381" s="61" t="s">
        <v>1660</v>
      </c>
      <c r="L381" s="61" t="s">
        <v>1661</v>
      </c>
      <c r="M381" s="58">
        <v>2005.0</v>
      </c>
      <c r="N381" s="58">
        <v>10.0</v>
      </c>
      <c r="O381" s="62">
        <v>90.0</v>
      </c>
      <c r="P381" s="62">
        <f t="shared" si="9"/>
        <v>252</v>
      </c>
      <c r="Q381" s="63">
        <v>2.0</v>
      </c>
      <c r="R381" s="58">
        <v>2.0</v>
      </c>
      <c r="S381" s="58">
        <v>2.0</v>
      </c>
      <c r="T381" s="58">
        <v>0.0</v>
      </c>
      <c r="U381" s="58">
        <v>2.0</v>
      </c>
      <c r="V381" s="58" t="s">
        <v>130</v>
      </c>
      <c r="W381" s="61" t="s">
        <v>76</v>
      </c>
      <c r="X381" s="28" t="s">
        <v>1033</v>
      </c>
      <c r="Y381" s="64">
        <v>31.0</v>
      </c>
      <c r="Z381" s="65">
        <f t="shared" si="2"/>
        <v>20.15</v>
      </c>
      <c r="AA381" s="65">
        <f t="shared" si="3"/>
        <v>5077.8</v>
      </c>
      <c r="AB381" s="65">
        <f t="shared" si="4"/>
        <v>3150.970893</v>
      </c>
      <c r="AC381" s="66">
        <v>1.0</v>
      </c>
      <c r="AD381" s="70"/>
      <c r="AE381" s="68">
        <f t="shared" si="5"/>
        <v>6557.377049</v>
      </c>
      <c r="AF381" s="69">
        <v>8000.0</v>
      </c>
      <c r="AG381" s="68">
        <f t="shared" si="6"/>
        <v>13114.7541</v>
      </c>
      <c r="AH381" s="70">
        <f t="shared" si="7"/>
        <v>16000</v>
      </c>
      <c r="AI381" s="71"/>
      <c r="AJ381" s="71"/>
      <c r="AK381" s="71"/>
      <c r="AL381" s="71"/>
    </row>
    <row r="382">
      <c r="A382" s="57" t="s">
        <v>1662</v>
      </c>
      <c r="B382" s="58" t="s">
        <v>165</v>
      </c>
      <c r="C382" s="58" t="s">
        <v>169</v>
      </c>
      <c r="D382" s="58" t="s">
        <v>1472</v>
      </c>
      <c r="E382" s="58" t="s">
        <v>1473</v>
      </c>
      <c r="F382" s="58" t="s">
        <v>103</v>
      </c>
      <c r="G382" s="59">
        <v>46176.0</v>
      </c>
      <c r="H382" s="58" t="s">
        <v>104</v>
      </c>
      <c r="I382" s="60" t="s">
        <v>1663</v>
      </c>
      <c r="J382" s="61" t="s">
        <v>1664</v>
      </c>
      <c r="K382" s="61" t="s">
        <v>1665</v>
      </c>
      <c r="L382" s="61" t="s">
        <v>1666</v>
      </c>
      <c r="M382" s="58">
        <v>2007.0</v>
      </c>
      <c r="N382" s="58">
        <v>10.0</v>
      </c>
      <c r="O382" s="62">
        <v>280.0</v>
      </c>
      <c r="P382" s="62">
        <f t="shared" si="9"/>
        <v>784</v>
      </c>
      <c r="Q382" s="63">
        <v>4.0</v>
      </c>
      <c r="R382" s="58">
        <v>4.0</v>
      </c>
      <c r="S382" s="58">
        <v>6.0</v>
      </c>
      <c r="T382" s="58">
        <v>0.0</v>
      </c>
      <c r="U382" s="58">
        <v>6.0</v>
      </c>
      <c r="V382" s="58" t="s">
        <v>130</v>
      </c>
      <c r="W382" s="61" t="s">
        <v>76</v>
      </c>
      <c r="X382" s="28" t="s">
        <v>1033</v>
      </c>
      <c r="Y382" s="64">
        <v>31.0</v>
      </c>
      <c r="Z382" s="65">
        <f t="shared" si="2"/>
        <v>13.43333333</v>
      </c>
      <c r="AA382" s="65">
        <f t="shared" si="3"/>
        <v>10531.73333</v>
      </c>
      <c r="AB382" s="65">
        <f t="shared" si="4"/>
        <v>3038.436218</v>
      </c>
      <c r="AC382" s="66">
        <v>1.0</v>
      </c>
      <c r="AD382" s="67"/>
      <c r="AE382" s="68">
        <f t="shared" si="5"/>
        <v>6557.377049</v>
      </c>
      <c r="AF382" s="69">
        <v>8000.0</v>
      </c>
      <c r="AG382" s="68">
        <f t="shared" si="6"/>
        <v>26229.5082</v>
      </c>
      <c r="AH382" s="70">
        <f t="shared" si="7"/>
        <v>32000</v>
      </c>
      <c r="AI382" s="71"/>
      <c r="AJ382" s="71"/>
      <c r="AK382" s="71"/>
      <c r="AL382" s="71"/>
    </row>
    <row r="383">
      <c r="A383" s="57" t="s">
        <v>1662</v>
      </c>
      <c r="B383" s="58" t="s">
        <v>165</v>
      </c>
      <c r="C383" s="58" t="s">
        <v>169</v>
      </c>
      <c r="D383" s="58" t="s">
        <v>1472</v>
      </c>
      <c r="E383" s="58" t="s">
        <v>1473</v>
      </c>
      <c r="F383" s="58" t="s">
        <v>103</v>
      </c>
      <c r="G383" s="59">
        <v>46176.0</v>
      </c>
      <c r="H383" s="58" t="s">
        <v>104</v>
      </c>
      <c r="I383" s="60" t="s">
        <v>1663</v>
      </c>
      <c r="J383" s="61" t="s">
        <v>1664</v>
      </c>
      <c r="K383" s="61" t="s">
        <v>1665</v>
      </c>
      <c r="L383" s="61" t="s">
        <v>1666</v>
      </c>
      <c r="M383" s="58">
        <v>2007.0</v>
      </c>
      <c r="N383" s="58">
        <v>10.0</v>
      </c>
      <c r="O383" s="62">
        <v>280.0</v>
      </c>
      <c r="P383" s="62">
        <f t="shared" si="9"/>
        <v>784</v>
      </c>
      <c r="Q383" s="63">
        <v>2.0</v>
      </c>
      <c r="R383" s="58">
        <v>2.0</v>
      </c>
      <c r="S383" s="58">
        <v>6.0</v>
      </c>
      <c r="T383" s="58">
        <v>0.0</v>
      </c>
      <c r="U383" s="58">
        <v>6.0</v>
      </c>
      <c r="V383" s="58" t="s">
        <v>75</v>
      </c>
      <c r="W383" s="61" t="s">
        <v>76</v>
      </c>
      <c r="X383" s="28" t="s">
        <v>1033</v>
      </c>
      <c r="Y383" s="64">
        <v>31.0</v>
      </c>
      <c r="Z383" s="65">
        <f t="shared" si="2"/>
        <v>6.716666667</v>
      </c>
      <c r="AA383" s="65">
        <f t="shared" si="3"/>
        <v>5265.866667</v>
      </c>
      <c r="AB383" s="65">
        <f t="shared" si="4"/>
        <v>3038.436218</v>
      </c>
      <c r="AC383" s="66">
        <v>1.0</v>
      </c>
      <c r="AD383" s="67"/>
      <c r="AE383" s="68">
        <f t="shared" si="5"/>
        <v>6557.377049</v>
      </c>
      <c r="AF383" s="69">
        <v>8000.0</v>
      </c>
      <c r="AG383" s="68">
        <f t="shared" si="6"/>
        <v>13114.7541</v>
      </c>
      <c r="AH383" s="70">
        <f t="shared" si="7"/>
        <v>16000</v>
      </c>
      <c r="AI383" s="71"/>
      <c r="AJ383" s="71"/>
      <c r="AK383" s="71"/>
      <c r="AL383" s="71"/>
    </row>
    <row r="384">
      <c r="A384" s="57" t="s">
        <v>1667</v>
      </c>
      <c r="B384" s="58" t="s">
        <v>165</v>
      </c>
      <c r="C384" s="58" t="s">
        <v>169</v>
      </c>
      <c r="D384" s="58" t="s">
        <v>1472</v>
      </c>
      <c r="E384" s="58" t="s">
        <v>1473</v>
      </c>
      <c r="F384" s="58" t="s">
        <v>103</v>
      </c>
      <c r="G384" s="59">
        <v>46164.0</v>
      </c>
      <c r="H384" s="58" t="s">
        <v>104</v>
      </c>
      <c r="I384" s="60" t="s">
        <v>1668</v>
      </c>
      <c r="J384" s="61" t="s">
        <v>1669</v>
      </c>
      <c r="K384" s="61" t="s">
        <v>1670</v>
      </c>
      <c r="L384" s="61" t="s">
        <v>1671</v>
      </c>
      <c r="M384" s="58">
        <v>2013.0</v>
      </c>
      <c r="N384" s="58">
        <v>9.0</v>
      </c>
      <c r="O384" s="62">
        <v>224.0</v>
      </c>
      <c r="P384" s="62">
        <f t="shared" si="9"/>
        <v>627.2</v>
      </c>
      <c r="Q384" s="63">
        <v>6.0</v>
      </c>
      <c r="R384" s="58">
        <v>6.0</v>
      </c>
      <c r="S384" s="58">
        <v>6.0</v>
      </c>
      <c r="T384" s="58">
        <v>0.0</v>
      </c>
      <c r="U384" s="58">
        <v>6.0</v>
      </c>
      <c r="V384" s="58" t="s">
        <v>130</v>
      </c>
      <c r="W384" s="61" t="s">
        <v>76</v>
      </c>
      <c r="X384" s="28" t="s">
        <v>1033</v>
      </c>
      <c r="Y384" s="64">
        <v>31.0</v>
      </c>
      <c r="Z384" s="65">
        <f t="shared" si="2"/>
        <v>20.15</v>
      </c>
      <c r="AA384" s="65">
        <f t="shared" si="3"/>
        <v>12638.08</v>
      </c>
      <c r="AB384" s="65">
        <f t="shared" si="4"/>
        <v>3798.045273</v>
      </c>
      <c r="AC384" s="66">
        <v>1.0</v>
      </c>
      <c r="AD384" s="70"/>
      <c r="AE384" s="68">
        <f t="shared" si="5"/>
        <v>6557.377049</v>
      </c>
      <c r="AF384" s="69">
        <v>8000.0</v>
      </c>
      <c r="AG384" s="68">
        <f t="shared" si="6"/>
        <v>39344.2623</v>
      </c>
      <c r="AH384" s="70">
        <f t="shared" si="7"/>
        <v>48000</v>
      </c>
      <c r="AI384" s="71"/>
      <c r="AJ384" s="71"/>
      <c r="AK384" s="71"/>
      <c r="AL384" s="71"/>
    </row>
    <row r="385">
      <c r="A385" s="57" t="s">
        <v>1672</v>
      </c>
      <c r="B385" s="58" t="s">
        <v>165</v>
      </c>
      <c r="C385" s="58" t="s">
        <v>169</v>
      </c>
      <c r="D385" s="58" t="s">
        <v>1472</v>
      </c>
      <c r="E385" s="58" t="s">
        <v>1473</v>
      </c>
      <c r="F385" s="58" t="s">
        <v>103</v>
      </c>
      <c r="G385" s="59">
        <v>46176.0</v>
      </c>
      <c r="H385" s="58" t="s">
        <v>104</v>
      </c>
      <c r="I385" s="60" t="s">
        <v>1673</v>
      </c>
      <c r="J385" s="61" t="s">
        <v>1664</v>
      </c>
      <c r="K385" s="61" t="s">
        <v>1665</v>
      </c>
      <c r="L385" s="61" t="s">
        <v>1666</v>
      </c>
      <c r="M385" s="58">
        <v>2007.0</v>
      </c>
      <c r="N385" s="58">
        <v>10.0</v>
      </c>
      <c r="O385" s="62">
        <v>280.0</v>
      </c>
      <c r="P385" s="62">
        <f t="shared" si="9"/>
        <v>784</v>
      </c>
      <c r="Q385" s="63">
        <v>6.0</v>
      </c>
      <c r="R385" s="58">
        <v>0.0</v>
      </c>
      <c r="S385" s="58">
        <v>6.0</v>
      </c>
      <c r="T385" s="58">
        <v>6.0</v>
      </c>
      <c r="U385" s="58">
        <v>6.0</v>
      </c>
      <c r="V385" s="58" t="s">
        <v>130</v>
      </c>
      <c r="W385" s="61" t="s">
        <v>76</v>
      </c>
      <c r="X385" s="28" t="s">
        <v>1033</v>
      </c>
      <c r="Y385" s="64">
        <v>31.0</v>
      </c>
      <c r="Z385" s="65">
        <f t="shared" si="2"/>
        <v>40.3</v>
      </c>
      <c r="AA385" s="65">
        <f t="shared" si="3"/>
        <v>31595.2</v>
      </c>
      <c r="AB385" s="65">
        <f t="shared" si="4"/>
        <v>1519.218109</v>
      </c>
      <c r="AC385" s="66">
        <v>1.0</v>
      </c>
      <c r="AD385" s="70"/>
      <c r="AE385" s="68">
        <f t="shared" si="5"/>
        <v>6557.377049</v>
      </c>
      <c r="AF385" s="69">
        <v>8000.0</v>
      </c>
      <c r="AG385" s="68">
        <f t="shared" si="6"/>
        <v>39344.2623</v>
      </c>
      <c r="AH385" s="70">
        <f t="shared" si="7"/>
        <v>48000</v>
      </c>
      <c r="AI385" s="71"/>
      <c r="AJ385" s="71"/>
      <c r="AK385" s="71"/>
      <c r="AL385" s="71"/>
    </row>
    <row r="386">
      <c r="A386" s="57" t="s">
        <v>1674</v>
      </c>
      <c r="B386" s="58" t="s">
        <v>165</v>
      </c>
      <c r="C386" s="58" t="s">
        <v>169</v>
      </c>
      <c r="D386" s="58" t="s">
        <v>162</v>
      </c>
      <c r="E386" s="58" t="s">
        <v>1514</v>
      </c>
      <c r="F386" s="58" t="s">
        <v>103</v>
      </c>
      <c r="G386" s="59">
        <v>46164.0</v>
      </c>
      <c r="H386" s="58" t="s">
        <v>65</v>
      </c>
      <c r="I386" s="60" t="s">
        <v>1675</v>
      </c>
      <c r="J386" s="61" t="s">
        <v>1676</v>
      </c>
      <c r="K386" s="61" t="s">
        <v>1677</v>
      </c>
      <c r="L386" s="61" t="s">
        <v>1678</v>
      </c>
      <c r="M386" s="58">
        <v>2010.0</v>
      </c>
      <c r="N386" s="58">
        <v>10.0</v>
      </c>
      <c r="O386" s="62">
        <v>244.0</v>
      </c>
      <c r="P386" s="62">
        <f t="shared" si="9"/>
        <v>683.2</v>
      </c>
      <c r="Q386" s="63">
        <v>7.0</v>
      </c>
      <c r="R386" s="58">
        <v>0.0</v>
      </c>
      <c r="S386" s="58">
        <v>7.0</v>
      </c>
      <c r="T386" s="58">
        <v>7.0</v>
      </c>
      <c r="U386" s="58">
        <v>7.0</v>
      </c>
      <c r="V386" s="58" t="s">
        <v>130</v>
      </c>
      <c r="W386" s="61" t="s">
        <v>76</v>
      </c>
      <c r="X386" s="28" t="s">
        <v>1033</v>
      </c>
      <c r="Y386" s="64">
        <v>31.0</v>
      </c>
      <c r="Z386" s="65">
        <f t="shared" si="2"/>
        <v>40.3</v>
      </c>
      <c r="AA386" s="65">
        <f t="shared" si="3"/>
        <v>27532.96</v>
      </c>
      <c r="AB386" s="65">
        <f t="shared" si="4"/>
        <v>2033.925884</v>
      </c>
      <c r="AC386" s="66">
        <v>1.0</v>
      </c>
      <c r="AD386" s="70"/>
      <c r="AE386" s="68">
        <f t="shared" si="5"/>
        <v>6557.377049</v>
      </c>
      <c r="AF386" s="69">
        <v>8000.0</v>
      </c>
      <c r="AG386" s="68">
        <f t="shared" si="6"/>
        <v>45901.63934</v>
      </c>
      <c r="AH386" s="70">
        <f t="shared" si="7"/>
        <v>56000</v>
      </c>
      <c r="AI386" s="71"/>
      <c r="AJ386" s="71"/>
      <c r="AK386" s="71"/>
      <c r="AL386" s="71"/>
    </row>
    <row r="387">
      <c r="A387" s="57" t="s">
        <v>1679</v>
      </c>
      <c r="B387" s="58" t="s">
        <v>165</v>
      </c>
      <c r="C387" s="58" t="s">
        <v>169</v>
      </c>
      <c r="D387" s="58" t="s">
        <v>1472</v>
      </c>
      <c r="E387" s="58" t="s">
        <v>1473</v>
      </c>
      <c r="F387" s="58" t="s">
        <v>103</v>
      </c>
      <c r="G387" s="59">
        <v>46164.0</v>
      </c>
      <c r="H387" s="58" t="s">
        <v>65</v>
      </c>
      <c r="I387" s="60" t="s">
        <v>1680</v>
      </c>
      <c r="J387" s="61" t="s">
        <v>1681</v>
      </c>
      <c r="K387" s="61" t="s">
        <v>1682</v>
      </c>
      <c r="L387" s="61" t="s">
        <v>1683</v>
      </c>
      <c r="M387" s="58">
        <v>2010.0</v>
      </c>
      <c r="N387" s="58">
        <v>17.0</v>
      </c>
      <c r="O387" s="62">
        <v>194.0</v>
      </c>
      <c r="P387" s="62">
        <f t="shared" si="9"/>
        <v>543.2</v>
      </c>
      <c r="Q387" s="63">
        <v>4.0</v>
      </c>
      <c r="R387" s="58">
        <v>0.0</v>
      </c>
      <c r="S387" s="58">
        <v>2.0</v>
      </c>
      <c r="T387" s="58">
        <v>4.0</v>
      </c>
      <c r="U387" s="58">
        <v>4.0</v>
      </c>
      <c r="V387" s="58" t="s">
        <v>130</v>
      </c>
      <c r="W387" s="61" t="s">
        <v>76</v>
      </c>
      <c r="X387" s="28" t="s">
        <v>1033</v>
      </c>
      <c r="Y387" s="64">
        <v>31.0</v>
      </c>
      <c r="Z387" s="65">
        <f t="shared" si="2"/>
        <v>40.3</v>
      </c>
      <c r="AA387" s="65">
        <f t="shared" si="3"/>
        <v>21890.96</v>
      </c>
      <c r="AB387" s="65">
        <f t="shared" si="4"/>
        <v>1461.79062</v>
      </c>
      <c r="AC387" s="66">
        <v>1.0</v>
      </c>
      <c r="AD387" s="67"/>
      <c r="AE387" s="68">
        <f t="shared" si="5"/>
        <v>6557.377049</v>
      </c>
      <c r="AF387" s="69">
        <v>8000.0</v>
      </c>
      <c r="AG387" s="68">
        <f t="shared" si="6"/>
        <v>26229.5082</v>
      </c>
      <c r="AH387" s="70">
        <f t="shared" si="7"/>
        <v>32000</v>
      </c>
      <c r="AI387" s="71"/>
      <c r="AJ387" s="71"/>
      <c r="AK387" s="71"/>
      <c r="AL387" s="71"/>
    </row>
    <row r="388">
      <c r="A388" s="57" t="s">
        <v>1679</v>
      </c>
      <c r="B388" s="58" t="s">
        <v>165</v>
      </c>
      <c r="C388" s="58" t="s">
        <v>169</v>
      </c>
      <c r="D388" s="58" t="s">
        <v>1472</v>
      </c>
      <c r="E388" s="58" t="s">
        <v>1473</v>
      </c>
      <c r="F388" s="58" t="s">
        <v>103</v>
      </c>
      <c r="G388" s="59">
        <v>46164.0</v>
      </c>
      <c r="H388" s="58" t="s">
        <v>65</v>
      </c>
      <c r="I388" s="60" t="s">
        <v>1680</v>
      </c>
      <c r="J388" s="61" t="s">
        <v>1684</v>
      </c>
      <c r="K388" s="61" t="s">
        <v>1685</v>
      </c>
      <c r="L388" s="61" t="s">
        <v>1686</v>
      </c>
      <c r="M388" s="58">
        <v>2010.0</v>
      </c>
      <c r="N388" s="58">
        <v>11.0</v>
      </c>
      <c r="O388" s="62">
        <v>32.0</v>
      </c>
      <c r="P388" s="62">
        <f t="shared" si="9"/>
        <v>89.6</v>
      </c>
      <c r="Q388" s="63">
        <v>1.0</v>
      </c>
      <c r="R388" s="58">
        <v>0.0</v>
      </c>
      <c r="S388" s="58">
        <v>1.0</v>
      </c>
      <c r="T388" s="58">
        <v>1.0</v>
      </c>
      <c r="U388" s="58">
        <v>1.0</v>
      </c>
      <c r="V388" s="58" t="s">
        <v>130</v>
      </c>
      <c r="W388" s="61" t="s">
        <v>76</v>
      </c>
      <c r="X388" s="28" t="s">
        <v>1033</v>
      </c>
      <c r="Y388" s="64">
        <v>31.0</v>
      </c>
      <c r="Z388" s="65">
        <f t="shared" si="2"/>
        <v>40.3</v>
      </c>
      <c r="AA388" s="65">
        <f t="shared" si="3"/>
        <v>3610.88</v>
      </c>
      <c r="AB388" s="65">
        <f t="shared" si="4"/>
        <v>2215.526409</v>
      </c>
      <c r="AC388" s="66">
        <v>1.0</v>
      </c>
      <c r="AD388" s="67"/>
      <c r="AE388" s="68">
        <f t="shared" si="5"/>
        <v>6557.377049</v>
      </c>
      <c r="AF388" s="69">
        <v>8000.0</v>
      </c>
      <c r="AG388" s="68">
        <f t="shared" si="6"/>
        <v>6557.377049</v>
      </c>
      <c r="AH388" s="70">
        <f t="shared" si="7"/>
        <v>8000</v>
      </c>
      <c r="AI388" s="71"/>
      <c r="AJ388" s="71"/>
      <c r="AK388" s="71"/>
      <c r="AL388" s="71"/>
    </row>
    <row r="389">
      <c r="A389" s="57" t="s">
        <v>1687</v>
      </c>
      <c r="B389" s="58" t="s">
        <v>165</v>
      </c>
      <c r="C389" s="58" t="s">
        <v>169</v>
      </c>
      <c r="D389" s="58" t="s">
        <v>1375</v>
      </c>
      <c r="E389" s="58" t="s">
        <v>1375</v>
      </c>
      <c r="F389" s="58" t="s">
        <v>103</v>
      </c>
      <c r="G389" s="59">
        <v>46177.0</v>
      </c>
      <c r="H389" s="58" t="s">
        <v>104</v>
      </c>
      <c r="I389" s="60" t="s">
        <v>1688</v>
      </c>
      <c r="J389" s="61" t="s">
        <v>1689</v>
      </c>
      <c r="K389" s="61" t="s">
        <v>1690</v>
      </c>
      <c r="L389" s="61" t="s">
        <v>1691</v>
      </c>
      <c r="M389" s="58">
        <v>2024.0</v>
      </c>
      <c r="N389" s="58">
        <v>16.0</v>
      </c>
      <c r="O389" s="62">
        <v>180.0</v>
      </c>
      <c r="P389" s="62">
        <f t="shared" si="9"/>
        <v>504</v>
      </c>
      <c r="Q389" s="63">
        <v>4.0</v>
      </c>
      <c r="R389" s="58">
        <v>0.0</v>
      </c>
      <c r="S389" s="58">
        <v>3.0</v>
      </c>
      <c r="T389" s="58">
        <v>4.0</v>
      </c>
      <c r="U389" s="58">
        <v>6.0</v>
      </c>
      <c r="V389" s="58" t="s">
        <v>130</v>
      </c>
      <c r="W389" s="61" t="s">
        <v>76</v>
      </c>
      <c r="X389" s="28" t="s">
        <v>1033</v>
      </c>
      <c r="Y389" s="64">
        <v>31.0</v>
      </c>
      <c r="Z389" s="65">
        <f t="shared" si="2"/>
        <v>26.86666667</v>
      </c>
      <c r="AA389" s="65">
        <f t="shared" si="3"/>
        <v>13540.8</v>
      </c>
      <c r="AB389" s="65">
        <f t="shared" si="4"/>
        <v>2363.22817</v>
      </c>
      <c r="AC389" s="66">
        <v>1.0</v>
      </c>
      <c r="AD389" s="70"/>
      <c r="AE389" s="68">
        <f t="shared" si="5"/>
        <v>6557.377049</v>
      </c>
      <c r="AF389" s="69">
        <v>8000.0</v>
      </c>
      <c r="AG389" s="68">
        <f t="shared" si="6"/>
        <v>26229.5082</v>
      </c>
      <c r="AH389" s="70">
        <f t="shared" si="7"/>
        <v>32000</v>
      </c>
      <c r="AI389" s="71"/>
      <c r="AJ389" s="71"/>
      <c r="AK389" s="71"/>
      <c r="AL389" s="71"/>
    </row>
    <row r="390">
      <c r="A390" s="57" t="s">
        <v>1692</v>
      </c>
      <c r="B390" s="58" t="s">
        <v>165</v>
      </c>
      <c r="C390" s="58" t="s">
        <v>169</v>
      </c>
      <c r="D390" s="58" t="s">
        <v>1693</v>
      </c>
      <c r="E390" s="58" t="s">
        <v>1693</v>
      </c>
      <c r="F390" s="58" t="s">
        <v>103</v>
      </c>
      <c r="G390" s="59">
        <v>46181.0</v>
      </c>
      <c r="H390" s="58" t="s">
        <v>118</v>
      </c>
      <c r="I390" s="60" t="s">
        <v>1694</v>
      </c>
      <c r="J390" s="61" t="s">
        <v>1695</v>
      </c>
      <c r="K390" s="61" t="s">
        <v>1696</v>
      </c>
      <c r="L390" s="61" t="s">
        <v>1697</v>
      </c>
      <c r="M390" s="58">
        <v>2010.0</v>
      </c>
      <c r="N390" s="58">
        <v>17.0</v>
      </c>
      <c r="O390" s="62">
        <v>160.0</v>
      </c>
      <c r="P390" s="62">
        <f t="shared" si="9"/>
        <v>448</v>
      </c>
      <c r="Q390" s="63">
        <v>4.0</v>
      </c>
      <c r="R390" s="58">
        <v>0.0</v>
      </c>
      <c r="S390" s="58">
        <v>2.0</v>
      </c>
      <c r="T390" s="58">
        <v>4.0</v>
      </c>
      <c r="U390" s="58">
        <v>4.0</v>
      </c>
      <c r="V390" s="58" t="s">
        <v>130</v>
      </c>
      <c r="W390" s="61" t="s">
        <v>76</v>
      </c>
      <c r="X390" s="28" t="s">
        <v>1033</v>
      </c>
      <c r="Y390" s="64">
        <v>31.0</v>
      </c>
      <c r="Z390" s="65">
        <f t="shared" si="2"/>
        <v>40.3</v>
      </c>
      <c r="AA390" s="65">
        <f t="shared" si="3"/>
        <v>18054.4</v>
      </c>
      <c r="AB390" s="65">
        <f t="shared" si="4"/>
        <v>1772.421127</v>
      </c>
      <c r="AC390" s="66">
        <v>1.0</v>
      </c>
      <c r="AD390" s="70"/>
      <c r="AE390" s="68">
        <f t="shared" si="5"/>
        <v>6557.377049</v>
      </c>
      <c r="AF390" s="69">
        <v>8000.0</v>
      </c>
      <c r="AG390" s="68">
        <f t="shared" si="6"/>
        <v>26229.5082</v>
      </c>
      <c r="AH390" s="70">
        <f t="shared" si="7"/>
        <v>32000</v>
      </c>
      <c r="AI390" s="71"/>
      <c r="AJ390" s="71"/>
      <c r="AK390" s="71"/>
      <c r="AL390" s="71"/>
    </row>
    <row r="391">
      <c r="A391" s="57" t="s">
        <v>1698</v>
      </c>
      <c r="B391" s="58" t="s">
        <v>165</v>
      </c>
      <c r="C391" s="58" t="s">
        <v>169</v>
      </c>
      <c r="D391" s="58" t="s">
        <v>1693</v>
      </c>
      <c r="E391" s="58" t="s">
        <v>1693</v>
      </c>
      <c r="F391" s="58" t="s">
        <v>103</v>
      </c>
      <c r="G391" s="59">
        <v>46188.0</v>
      </c>
      <c r="H391" s="58" t="s">
        <v>118</v>
      </c>
      <c r="I391" s="60" t="s">
        <v>1699</v>
      </c>
      <c r="J391" s="61" t="s">
        <v>1700</v>
      </c>
      <c r="K391" s="61" t="s">
        <v>1701</v>
      </c>
      <c r="L391" s="61" t="s">
        <v>1702</v>
      </c>
      <c r="M391" s="58">
        <v>2010.0</v>
      </c>
      <c r="N391" s="58">
        <v>17.0</v>
      </c>
      <c r="O391" s="62">
        <v>160.0</v>
      </c>
      <c r="P391" s="62">
        <f t="shared" si="9"/>
        <v>448</v>
      </c>
      <c r="Q391" s="63">
        <v>4.0</v>
      </c>
      <c r="R391" s="58">
        <v>0.0</v>
      </c>
      <c r="S391" s="58">
        <v>2.0</v>
      </c>
      <c r="T391" s="58">
        <v>4.0</v>
      </c>
      <c r="U391" s="58">
        <v>4.0</v>
      </c>
      <c r="V391" s="58" t="s">
        <v>130</v>
      </c>
      <c r="W391" s="61" t="s">
        <v>76</v>
      </c>
      <c r="X391" s="28" t="s">
        <v>1033</v>
      </c>
      <c r="Y391" s="64">
        <v>31.0</v>
      </c>
      <c r="Z391" s="65">
        <f t="shared" si="2"/>
        <v>40.3</v>
      </c>
      <c r="AA391" s="65">
        <f t="shared" si="3"/>
        <v>18054.4</v>
      </c>
      <c r="AB391" s="65">
        <f t="shared" si="4"/>
        <v>1772.421127</v>
      </c>
      <c r="AC391" s="66">
        <v>1.0</v>
      </c>
      <c r="AD391" s="70"/>
      <c r="AE391" s="68">
        <f t="shared" si="5"/>
        <v>6557.377049</v>
      </c>
      <c r="AF391" s="69">
        <v>8000.0</v>
      </c>
      <c r="AG391" s="68">
        <f t="shared" si="6"/>
        <v>26229.5082</v>
      </c>
      <c r="AH391" s="70">
        <f t="shared" si="7"/>
        <v>32000</v>
      </c>
      <c r="AI391" s="71"/>
      <c r="AJ391" s="71"/>
      <c r="AK391" s="71"/>
      <c r="AL391" s="71"/>
    </row>
    <row r="392">
      <c r="A392" s="57" t="s">
        <v>1698</v>
      </c>
      <c r="B392" s="58" t="s">
        <v>165</v>
      </c>
      <c r="C392" s="58" t="s">
        <v>169</v>
      </c>
      <c r="D392" s="58" t="s">
        <v>1693</v>
      </c>
      <c r="E392" s="58" t="s">
        <v>1693</v>
      </c>
      <c r="F392" s="58" t="s">
        <v>103</v>
      </c>
      <c r="G392" s="59">
        <v>46188.0</v>
      </c>
      <c r="H392" s="58" t="s">
        <v>118</v>
      </c>
      <c r="I392" s="60" t="s">
        <v>1699</v>
      </c>
      <c r="J392" s="61" t="s">
        <v>1703</v>
      </c>
      <c r="K392" s="61" t="s">
        <v>1704</v>
      </c>
      <c r="L392" s="61" t="s">
        <v>1705</v>
      </c>
      <c r="M392" s="58">
        <v>2009.0</v>
      </c>
      <c r="N392" s="58">
        <v>17.0</v>
      </c>
      <c r="O392" s="62">
        <v>160.0</v>
      </c>
      <c r="P392" s="62">
        <f t="shared" si="9"/>
        <v>448</v>
      </c>
      <c r="Q392" s="63">
        <v>4.0</v>
      </c>
      <c r="R392" s="58">
        <v>0.0</v>
      </c>
      <c r="S392" s="58">
        <v>2.0</v>
      </c>
      <c r="T392" s="58">
        <v>4.0</v>
      </c>
      <c r="U392" s="58">
        <v>4.0</v>
      </c>
      <c r="V392" s="58" t="s">
        <v>130</v>
      </c>
      <c r="W392" s="61" t="s">
        <v>76</v>
      </c>
      <c r="X392" s="28" t="s">
        <v>1033</v>
      </c>
      <c r="Y392" s="64">
        <v>31.0</v>
      </c>
      <c r="Z392" s="65">
        <f t="shared" si="2"/>
        <v>40.3</v>
      </c>
      <c r="AA392" s="65">
        <f t="shared" si="3"/>
        <v>18054.4</v>
      </c>
      <c r="AB392" s="65">
        <f t="shared" si="4"/>
        <v>1772.421127</v>
      </c>
      <c r="AC392" s="66">
        <v>1.0</v>
      </c>
      <c r="AD392" s="67"/>
      <c r="AE392" s="68">
        <f t="shared" si="5"/>
        <v>6557.377049</v>
      </c>
      <c r="AF392" s="69">
        <v>8000.0</v>
      </c>
      <c r="AG392" s="68">
        <f t="shared" si="6"/>
        <v>26229.5082</v>
      </c>
      <c r="AH392" s="70">
        <f t="shared" si="7"/>
        <v>32000</v>
      </c>
      <c r="AI392" s="71"/>
      <c r="AJ392" s="71"/>
      <c r="AK392" s="71"/>
      <c r="AL392" s="71"/>
    </row>
    <row r="393">
      <c r="A393" s="57" t="s">
        <v>1706</v>
      </c>
      <c r="B393" s="58" t="s">
        <v>165</v>
      </c>
      <c r="C393" s="58" t="s">
        <v>169</v>
      </c>
      <c r="D393" s="58" t="s">
        <v>1693</v>
      </c>
      <c r="E393" s="58" t="s">
        <v>1693</v>
      </c>
      <c r="F393" s="58" t="s">
        <v>103</v>
      </c>
      <c r="G393" s="59">
        <v>46188.0</v>
      </c>
      <c r="H393" s="58" t="s">
        <v>118</v>
      </c>
      <c r="I393" s="60" t="s">
        <v>1707</v>
      </c>
      <c r="J393" s="61" t="s">
        <v>1708</v>
      </c>
      <c r="K393" s="61" t="s">
        <v>1709</v>
      </c>
      <c r="L393" s="61" t="s">
        <v>1710</v>
      </c>
      <c r="M393" s="58">
        <v>2008.0</v>
      </c>
      <c r="N393" s="58">
        <v>17.0</v>
      </c>
      <c r="O393" s="62">
        <v>160.0</v>
      </c>
      <c r="P393" s="62">
        <f t="shared" si="9"/>
        <v>448</v>
      </c>
      <c r="Q393" s="63">
        <v>4.0</v>
      </c>
      <c r="R393" s="58">
        <v>0.0</v>
      </c>
      <c r="S393" s="58">
        <v>2.0</v>
      </c>
      <c r="T393" s="58">
        <v>4.0</v>
      </c>
      <c r="U393" s="58">
        <v>4.0</v>
      </c>
      <c r="V393" s="58" t="s">
        <v>130</v>
      </c>
      <c r="W393" s="61" t="s">
        <v>76</v>
      </c>
      <c r="X393" s="28" t="s">
        <v>1033</v>
      </c>
      <c r="Y393" s="64">
        <v>31.0</v>
      </c>
      <c r="Z393" s="65">
        <f t="shared" si="2"/>
        <v>40.3</v>
      </c>
      <c r="AA393" s="65">
        <f t="shared" si="3"/>
        <v>18054.4</v>
      </c>
      <c r="AB393" s="65">
        <f t="shared" si="4"/>
        <v>1772.421127</v>
      </c>
      <c r="AC393" s="66">
        <v>1.0</v>
      </c>
      <c r="AD393" s="67"/>
      <c r="AE393" s="68">
        <f t="shared" si="5"/>
        <v>6557.377049</v>
      </c>
      <c r="AF393" s="69">
        <v>8000.0</v>
      </c>
      <c r="AG393" s="68">
        <f t="shared" si="6"/>
        <v>26229.5082</v>
      </c>
      <c r="AH393" s="70">
        <f t="shared" si="7"/>
        <v>32000</v>
      </c>
      <c r="AI393" s="71"/>
      <c r="AJ393" s="71"/>
      <c r="AK393" s="71"/>
      <c r="AL393" s="71"/>
    </row>
    <row r="394">
      <c r="A394" s="57" t="s">
        <v>1711</v>
      </c>
      <c r="B394" s="58" t="s">
        <v>165</v>
      </c>
      <c r="C394" s="58" t="s">
        <v>169</v>
      </c>
      <c r="D394" s="58" t="s">
        <v>1693</v>
      </c>
      <c r="E394" s="58" t="s">
        <v>1693</v>
      </c>
      <c r="F394" s="58" t="s">
        <v>103</v>
      </c>
      <c r="G394" s="59">
        <v>46188.0</v>
      </c>
      <c r="H394" s="58" t="s">
        <v>118</v>
      </c>
      <c r="I394" s="60" t="s">
        <v>1707</v>
      </c>
      <c r="J394" s="61" t="s">
        <v>1712</v>
      </c>
      <c r="K394" s="61" t="s">
        <v>1713</v>
      </c>
      <c r="L394" s="61" t="s">
        <v>1714</v>
      </c>
      <c r="M394" s="58">
        <v>2009.0</v>
      </c>
      <c r="N394" s="58">
        <v>17.0</v>
      </c>
      <c r="O394" s="62">
        <v>160.0</v>
      </c>
      <c r="P394" s="62">
        <f t="shared" si="9"/>
        <v>448</v>
      </c>
      <c r="Q394" s="63">
        <v>4.0</v>
      </c>
      <c r="R394" s="58">
        <v>0.0</v>
      </c>
      <c r="S394" s="58">
        <v>2.0</v>
      </c>
      <c r="T394" s="58">
        <v>4.0</v>
      </c>
      <c r="U394" s="58">
        <v>4.0</v>
      </c>
      <c r="V394" s="58" t="s">
        <v>130</v>
      </c>
      <c r="W394" s="61" t="s">
        <v>76</v>
      </c>
      <c r="X394" s="28" t="s">
        <v>1033</v>
      </c>
      <c r="Y394" s="64">
        <v>31.0</v>
      </c>
      <c r="Z394" s="65">
        <f t="shared" si="2"/>
        <v>40.3</v>
      </c>
      <c r="AA394" s="65">
        <f t="shared" si="3"/>
        <v>18054.4</v>
      </c>
      <c r="AB394" s="65">
        <f t="shared" si="4"/>
        <v>1772.421127</v>
      </c>
      <c r="AC394" s="66">
        <v>1.0</v>
      </c>
      <c r="AD394" s="70"/>
      <c r="AE394" s="68">
        <f t="shared" si="5"/>
        <v>6557.377049</v>
      </c>
      <c r="AF394" s="69">
        <v>8000.0</v>
      </c>
      <c r="AG394" s="68">
        <f t="shared" si="6"/>
        <v>26229.5082</v>
      </c>
      <c r="AH394" s="70">
        <f t="shared" si="7"/>
        <v>32000</v>
      </c>
      <c r="AI394" s="71"/>
      <c r="AJ394" s="71"/>
      <c r="AK394" s="71"/>
      <c r="AL394" s="71"/>
    </row>
    <row r="395">
      <c r="A395" s="57" t="s">
        <v>1715</v>
      </c>
      <c r="B395" s="58" t="s">
        <v>165</v>
      </c>
      <c r="C395" s="58" t="s">
        <v>169</v>
      </c>
      <c r="D395" s="58" t="s">
        <v>1693</v>
      </c>
      <c r="E395" s="58" t="s">
        <v>1693</v>
      </c>
      <c r="F395" s="58" t="s">
        <v>103</v>
      </c>
      <c r="G395" s="59">
        <v>46188.0</v>
      </c>
      <c r="H395" s="58" t="s">
        <v>118</v>
      </c>
      <c r="I395" s="60" t="s">
        <v>1716</v>
      </c>
      <c r="J395" s="61" t="s">
        <v>1717</v>
      </c>
      <c r="K395" s="61" t="s">
        <v>1718</v>
      </c>
      <c r="L395" s="61" t="s">
        <v>1719</v>
      </c>
      <c r="M395" s="58">
        <v>2009.0</v>
      </c>
      <c r="N395" s="58">
        <v>17.0</v>
      </c>
      <c r="O395" s="62">
        <v>160.0</v>
      </c>
      <c r="P395" s="62">
        <f t="shared" si="9"/>
        <v>448</v>
      </c>
      <c r="Q395" s="63">
        <v>4.0</v>
      </c>
      <c r="R395" s="58">
        <v>0.0</v>
      </c>
      <c r="S395" s="58">
        <v>2.0</v>
      </c>
      <c r="T395" s="58">
        <v>4.0</v>
      </c>
      <c r="U395" s="58">
        <v>4.0</v>
      </c>
      <c r="V395" s="58" t="s">
        <v>130</v>
      </c>
      <c r="W395" s="61" t="s">
        <v>76</v>
      </c>
      <c r="X395" s="28" t="s">
        <v>1033</v>
      </c>
      <c r="Y395" s="64">
        <v>31.0</v>
      </c>
      <c r="Z395" s="65">
        <f t="shared" si="2"/>
        <v>40.3</v>
      </c>
      <c r="AA395" s="65">
        <f t="shared" si="3"/>
        <v>18054.4</v>
      </c>
      <c r="AB395" s="65">
        <f t="shared" si="4"/>
        <v>1772.421127</v>
      </c>
      <c r="AC395" s="66">
        <v>1.0</v>
      </c>
      <c r="AD395" s="70"/>
      <c r="AE395" s="68">
        <f t="shared" si="5"/>
        <v>6557.377049</v>
      </c>
      <c r="AF395" s="69">
        <v>8000.0</v>
      </c>
      <c r="AG395" s="68">
        <f t="shared" si="6"/>
        <v>26229.5082</v>
      </c>
      <c r="AH395" s="70">
        <f t="shared" si="7"/>
        <v>32000</v>
      </c>
      <c r="AI395" s="71"/>
      <c r="AJ395" s="71"/>
      <c r="AK395" s="71"/>
      <c r="AL395" s="71"/>
    </row>
    <row r="396">
      <c r="A396" s="57" t="s">
        <v>1715</v>
      </c>
      <c r="B396" s="58" t="s">
        <v>165</v>
      </c>
      <c r="C396" s="58" t="s">
        <v>169</v>
      </c>
      <c r="D396" s="58" t="s">
        <v>1693</v>
      </c>
      <c r="E396" s="58" t="s">
        <v>1693</v>
      </c>
      <c r="F396" s="58" t="s">
        <v>103</v>
      </c>
      <c r="G396" s="59">
        <v>46188.0</v>
      </c>
      <c r="H396" s="58" t="s">
        <v>118</v>
      </c>
      <c r="I396" s="60" t="s">
        <v>1716</v>
      </c>
      <c r="J396" s="61" t="s">
        <v>1720</v>
      </c>
      <c r="K396" s="61" t="s">
        <v>1721</v>
      </c>
      <c r="L396" s="61" t="s">
        <v>1722</v>
      </c>
      <c r="M396" s="58">
        <v>2009.0</v>
      </c>
      <c r="N396" s="58">
        <v>17.0</v>
      </c>
      <c r="O396" s="62">
        <v>160.0</v>
      </c>
      <c r="P396" s="62">
        <f t="shared" si="9"/>
        <v>448</v>
      </c>
      <c r="Q396" s="63">
        <v>4.0</v>
      </c>
      <c r="R396" s="58">
        <v>0.0</v>
      </c>
      <c r="S396" s="58">
        <v>2.0</v>
      </c>
      <c r="T396" s="58">
        <v>4.0</v>
      </c>
      <c r="U396" s="58">
        <v>4.0</v>
      </c>
      <c r="V396" s="58" t="s">
        <v>130</v>
      </c>
      <c r="W396" s="61" t="s">
        <v>76</v>
      </c>
      <c r="X396" s="28" t="s">
        <v>1033</v>
      </c>
      <c r="Y396" s="64">
        <v>31.0</v>
      </c>
      <c r="Z396" s="65">
        <f t="shared" si="2"/>
        <v>40.3</v>
      </c>
      <c r="AA396" s="65">
        <f t="shared" si="3"/>
        <v>18054.4</v>
      </c>
      <c r="AB396" s="65">
        <f t="shared" si="4"/>
        <v>1772.421127</v>
      </c>
      <c r="AC396" s="66">
        <v>1.0</v>
      </c>
      <c r="AD396" s="70"/>
      <c r="AE396" s="68">
        <f t="shared" si="5"/>
        <v>6557.377049</v>
      </c>
      <c r="AF396" s="69">
        <v>8000.0</v>
      </c>
      <c r="AG396" s="68">
        <f t="shared" si="6"/>
        <v>26229.5082</v>
      </c>
      <c r="AH396" s="70">
        <f t="shared" si="7"/>
        <v>32000</v>
      </c>
      <c r="AI396" s="71"/>
      <c r="AJ396" s="71"/>
      <c r="AK396" s="71"/>
      <c r="AL396" s="71"/>
    </row>
    <row r="397">
      <c r="A397" s="57" t="s">
        <v>1723</v>
      </c>
      <c r="B397" s="58" t="s">
        <v>165</v>
      </c>
      <c r="C397" s="58" t="s">
        <v>169</v>
      </c>
      <c r="D397" s="58" t="s">
        <v>1724</v>
      </c>
      <c r="E397" s="58" t="s">
        <v>1724</v>
      </c>
      <c r="F397" s="58" t="s">
        <v>103</v>
      </c>
      <c r="G397" s="59">
        <v>46188.0</v>
      </c>
      <c r="H397" s="58" t="s">
        <v>104</v>
      </c>
      <c r="I397" s="60" t="s">
        <v>1725</v>
      </c>
      <c r="J397" s="61" t="s">
        <v>1726</v>
      </c>
      <c r="K397" s="61" t="s">
        <v>1727</v>
      </c>
      <c r="L397" s="61" t="s">
        <v>1728</v>
      </c>
      <c r="M397" s="58">
        <v>2015.0</v>
      </c>
      <c r="N397" s="58">
        <v>12.0</v>
      </c>
      <c r="O397" s="62">
        <v>121.0</v>
      </c>
      <c r="P397" s="62">
        <f t="shared" si="9"/>
        <v>338.8</v>
      </c>
      <c r="Q397" s="63">
        <v>2.0</v>
      </c>
      <c r="R397" s="58">
        <v>0.0</v>
      </c>
      <c r="S397" s="58">
        <v>1.0</v>
      </c>
      <c r="T397" s="58">
        <v>2.0</v>
      </c>
      <c r="U397" s="58">
        <v>2.0</v>
      </c>
      <c r="V397" s="58" t="s">
        <v>130</v>
      </c>
      <c r="W397" s="61" t="s">
        <v>76</v>
      </c>
      <c r="X397" s="28" t="s">
        <v>1033</v>
      </c>
      <c r="Y397" s="64">
        <v>31.0</v>
      </c>
      <c r="Z397" s="65">
        <f t="shared" si="2"/>
        <v>40.3</v>
      </c>
      <c r="AA397" s="65">
        <f t="shared" si="3"/>
        <v>13653.64</v>
      </c>
      <c r="AB397" s="65">
        <f t="shared" si="4"/>
        <v>1171.848679</v>
      </c>
      <c r="AC397" s="66">
        <v>1.0</v>
      </c>
      <c r="AD397" s="67"/>
      <c r="AE397" s="68">
        <f t="shared" si="5"/>
        <v>6557.377049</v>
      </c>
      <c r="AF397" s="69">
        <v>8000.0</v>
      </c>
      <c r="AG397" s="68">
        <f t="shared" si="6"/>
        <v>13114.7541</v>
      </c>
      <c r="AH397" s="70">
        <f t="shared" si="7"/>
        <v>16000</v>
      </c>
      <c r="AI397" s="71"/>
      <c r="AJ397" s="71"/>
      <c r="AK397" s="71"/>
      <c r="AL397" s="71"/>
    </row>
    <row r="398">
      <c r="A398" s="57" t="s">
        <v>1723</v>
      </c>
      <c r="B398" s="58" t="s">
        <v>165</v>
      </c>
      <c r="C398" s="58" t="s">
        <v>169</v>
      </c>
      <c r="D398" s="58" t="s">
        <v>1724</v>
      </c>
      <c r="E398" s="58" t="s">
        <v>1724</v>
      </c>
      <c r="F398" s="58" t="s">
        <v>103</v>
      </c>
      <c r="G398" s="59">
        <v>46188.0</v>
      </c>
      <c r="H398" s="58" t="s">
        <v>104</v>
      </c>
      <c r="I398" s="60" t="s">
        <v>1725</v>
      </c>
      <c r="J398" s="61" t="s">
        <v>1729</v>
      </c>
      <c r="K398" s="61" t="s">
        <v>1730</v>
      </c>
      <c r="L398" s="61" t="s">
        <v>1731</v>
      </c>
      <c r="M398" s="58">
        <v>2015.0</v>
      </c>
      <c r="N398" s="58">
        <v>12.0</v>
      </c>
      <c r="O398" s="62">
        <v>121.0</v>
      </c>
      <c r="P398" s="62">
        <f t="shared" si="9"/>
        <v>338.8</v>
      </c>
      <c r="Q398" s="63">
        <v>2.0</v>
      </c>
      <c r="R398" s="58">
        <v>0.0</v>
      </c>
      <c r="S398" s="58">
        <v>1.0</v>
      </c>
      <c r="T398" s="58">
        <v>2.0</v>
      </c>
      <c r="U398" s="58">
        <v>2.0</v>
      </c>
      <c r="V398" s="58" t="s">
        <v>130</v>
      </c>
      <c r="W398" s="61" t="s">
        <v>76</v>
      </c>
      <c r="X398" s="28" t="s">
        <v>1033</v>
      </c>
      <c r="Y398" s="64">
        <v>31.0</v>
      </c>
      <c r="Z398" s="65">
        <f t="shared" si="2"/>
        <v>40.3</v>
      </c>
      <c r="AA398" s="65">
        <f t="shared" si="3"/>
        <v>13653.64</v>
      </c>
      <c r="AB398" s="65">
        <f t="shared" si="4"/>
        <v>1171.848679</v>
      </c>
      <c r="AC398" s="66">
        <v>1.0</v>
      </c>
      <c r="AD398" s="67"/>
      <c r="AE398" s="68">
        <f t="shared" si="5"/>
        <v>6557.377049</v>
      </c>
      <c r="AF398" s="69">
        <v>8000.0</v>
      </c>
      <c r="AG398" s="68">
        <f t="shared" si="6"/>
        <v>13114.7541</v>
      </c>
      <c r="AH398" s="70">
        <f t="shared" si="7"/>
        <v>16000</v>
      </c>
      <c r="AI398" s="71"/>
      <c r="AJ398" s="71"/>
      <c r="AK398" s="71"/>
      <c r="AL398" s="71"/>
    </row>
    <row r="399">
      <c r="A399" s="57" t="s">
        <v>1732</v>
      </c>
      <c r="B399" s="58" t="s">
        <v>165</v>
      </c>
      <c r="C399" s="58" t="s">
        <v>169</v>
      </c>
      <c r="D399" s="58" t="s">
        <v>1724</v>
      </c>
      <c r="E399" s="58" t="s">
        <v>1724</v>
      </c>
      <c r="F399" s="58" t="s">
        <v>103</v>
      </c>
      <c r="G399" s="59">
        <v>46205.0</v>
      </c>
      <c r="H399" s="58" t="s">
        <v>104</v>
      </c>
      <c r="I399" s="60" t="s">
        <v>1733</v>
      </c>
      <c r="J399" s="61" t="s">
        <v>1734</v>
      </c>
      <c r="K399" s="61" t="s">
        <v>1735</v>
      </c>
      <c r="L399" s="61" t="s">
        <v>1736</v>
      </c>
      <c r="M399" s="58">
        <v>2012.0</v>
      </c>
      <c r="N399" s="58">
        <v>17.0</v>
      </c>
      <c r="O399" s="62">
        <v>121.0</v>
      </c>
      <c r="P399" s="62">
        <f t="shared" si="9"/>
        <v>338.8</v>
      </c>
      <c r="Q399" s="63">
        <v>2.0</v>
      </c>
      <c r="R399" s="58">
        <v>0.0</v>
      </c>
      <c r="S399" s="58">
        <v>1.0</v>
      </c>
      <c r="T399" s="58">
        <v>2.0</v>
      </c>
      <c r="U399" s="58">
        <v>2.0</v>
      </c>
      <c r="V399" s="58" t="s">
        <v>130</v>
      </c>
      <c r="W399" s="61" t="s">
        <v>76</v>
      </c>
      <c r="X399" s="28" t="s">
        <v>1033</v>
      </c>
      <c r="Y399" s="64">
        <v>31.0</v>
      </c>
      <c r="Z399" s="65">
        <f t="shared" si="2"/>
        <v>40.3</v>
      </c>
      <c r="AA399" s="65">
        <f t="shared" si="3"/>
        <v>13653.64</v>
      </c>
      <c r="AB399" s="65">
        <f t="shared" si="4"/>
        <v>1171.848679</v>
      </c>
      <c r="AC399" s="66">
        <v>1.0</v>
      </c>
      <c r="AD399" s="70"/>
      <c r="AE399" s="68">
        <f t="shared" si="5"/>
        <v>6557.377049</v>
      </c>
      <c r="AF399" s="69">
        <v>8000.0</v>
      </c>
      <c r="AG399" s="68">
        <f t="shared" si="6"/>
        <v>13114.7541</v>
      </c>
      <c r="AH399" s="70">
        <f t="shared" si="7"/>
        <v>16000</v>
      </c>
      <c r="AI399" s="71"/>
      <c r="AJ399" s="71"/>
      <c r="AK399" s="71"/>
      <c r="AL399" s="71"/>
    </row>
    <row r="400">
      <c r="A400" s="57" t="s">
        <v>1732</v>
      </c>
      <c r="B400" s="58" t="s">
        <v>165</v>
      </c>
      <c r="C400" s="58" t="s">
        <v>169</v>
      </c>
      <c r="D400" s="58" t="s">
        <v>1724</v>
      </c>
      <c r="E400" s="58" t="s">
        <v>1724</v>
      </c>
      <c r="F400" s="58" t="s">
        <v>103</v>
      </c>
      <c r="G400" s="59">
        <v>46205.0</v>
      </c>
      <c r="H400" s="58" t="s">
        <v>104</v>
      </c>
      <c r="I400" s="60" t="s">
        <v>1733</v>
      </c>
      <c r="J400" s="61" t="s">
        <v>1737</v>
      </c>
      <c r="K400" s="61" t="s">
        <v>1738</v>
      </c>
      <c r="L400" s="61" t="s">
        <v>1739</v>
      </c>
      <c r="M400" s="58">
        <v>2015.0</v>
      </c>
      <c r="N400" s="58">
        <v>12.0</v>
      </c>
      <c r="O400" s="62">
        <v>121.0</v>
      </c>
      <c r="P400" s="62">
        <f t="shared" si="9"/>
        <v>338.8</v>
      </c>
      <c r="Q400" s="63">
        <v>2.0</v>
      </c>
      <c r="R400" s="58">
        <v>0.0</v>
      </c>
      <c r="S400" s="58">
        <v>1.0</v>
      </c>
      <c r="T400" s="58">
        <v>2.0</v>
      </c>
      <c r="U400" s="58">
        <v>2.0</v>
      </c>
      <c r="V400" s="58" t="s">
        <v>130</v>
      </c>
      <c r="W400" s="61" t="s">
        <v>76</v>
      </c>
      <c r="X400" s="28" t="s">
        <v>1033</v>
      </c>
      <c r="Y400" s="64">
        <v>31.0</v>
      </c>
      <c r="Z400" s="65">
        <f t="shared" si="2"/>
        <v>40.3</v>
      </c>
      <c r="AA400" s="65">
        <f t="shared" si="3"/>
        <v>13653.64</v>
      </c>
      <c r="AB400" s="65">
        <f t="shared" si="4"/>
        <v>1171.848679</v>
      </c>
      <c r="AC400" s="66">
        <v>1.0</v>
      </c>
      <c r="AD400" s="70"/>
      <c r="AE400" s="68">
        <f t="shared" si="5"/>
        <v>6557.377049</v>
      </c>
      <c r="AF400" s="69">
        <v>8000.0</v>
      </c>
      <c r="AG400" s="68">
        <f t="shared" si="6"/>
        <v>13114.7541</v>
      </c>
      <c r="AH400" s="70">
        <f t="shared" si="7"/>
        <v>16000</v>
      </c>
      <c r="AI400" s="71"/>
      <c r="AJ400" s="71"/>
      <c r="AK400" s="71"/>
      <c r="AL400" s="71"/>
    </row>
    <row r="401">
      <c r="A401" s="57" t="s">
        <v>1740</v>
      </c>
      <c r="B401" s="58" t="s">
        <v>165</v>
      </c>
      <c r="C401" s="58" t="s">
        <v>169</v>
      </c>
      <c r="D401" s="58" t="s">
        <v>1724</v>
      </c>
      <c r="E401" s="58" t="s">
        <v>1724</v>
      </c>
      <c r="F401" s="58" t="s">
        <v>103</v>
      </c>
      <c r="G401" s="59">
        <v>46199.0</v>
      </c>
      <c r="H401" s="58" t="s">
        <v>104</v>
      </c>
      <c r="I401" s="60" t="s">
        <v>1741</v>
      </c>
      <c r="J401" s="61" t="s">
        <v>1742</v>
      </c>
      <c r="K401" s="61" t="s">
        <v>1743</v>
      </c>
      <c r="L401" s="61" t="s">
        <v>1744</v>
      </c>
      <c r="M401" s="58">
        <v>2007.0</v>
      </c>
      <c r="N401" s="58">
        <v>10.0</v>
      </c>
      <c r="O401" s="62">
        <v>120.0</v>
      </c>
      <c r="P401" s="62">
        <f t="shared" si="9"/>
        <v>336</v>
      </c>
      <c r="Q401" s="63">
        <v>3.0</v>
      </c>
      <c r="R401" s="58">
        <v>3.0</v>
      </c>
      <c r="S401" s="58">
        <v>3.0</v>
      </c>
      <c r="T401" s="58">
        <v>0.0</v>
      </c>
      <c r="U401" s="58">
        <v>3.0</v>
      </c>
      <c r="V401" s="58" t="s">
        <v>130</v>
      </c>
      <c r="W401" s="61" t="s">
        <v>76</v>
      </c>
      <c r="X401" s="28" t="s">
        <v>1033</v>
      </c>
      <c r="Y401" s="64">
        <v>31.0</v>
      </c>
      <c r="Z401" s="65">
        <f t="shared" si="2"/>
        <v>20.15</v>
      </c>
      <c r="AA401" s="65">
        <f t="shared" si="3"/>
        <v>6770.4</v>
      </c>
      <c r="AB401" s="65">
        <f t="shared" si="4"/>
        <v>3544.842255</v>
      </c>
      <c r="AC401" s="66">
        <v>1.0</v>
      </c>
      <c r="AD401" s="70"/>
      <c r="AE401" s="68">
        <f t="shared" si="5"/>
        <v>6557.377049</v>
      </c>
      <c r="AF401" s="69">
        <v>8000.0</v>
      </c>
      <c r="AG401" s="68">
        <f t="shared" si="6"/>
        <v>19672.13115</v>
      </c>
      <c r="AH401" s="70">
        <f t="shared" si="7"/>
        <v>24000</v>
      </c>
      <c r="AI401" s="71"/>
      <c r="AJ401" s="71"/>
      <c r="AK401" s="71"/>
      <c r="AL401" s="71"/>
    </row>
    <row r="402">
      <c r="A402" s="57" t="s">
        <v>1740</v>
      </c>
      <c r="B402" s="58" t="s">
        <v>165</v>
      </c>
      <c r="C402" s="58" t="s">
        <v>169</v>
      </c>
      <c r="D402" s="58" t="s">
        <v>1724</v>
      </c>
      <c r="E402" s="58" t="s">
        <v>1724</v>
      </c>
      <c r="F402" s="58" t="s">
        <v>103</v>
      </c>
      <c r="G402" s="59">
        <v>46199.0</v>
      </c>
      <c r="H402" s="58" t="s">
        <v>104</v>
      </c>
      <c r="I402" s="60" t="s">
        <v>1741</v>
      </c>
      <c r="J402" s="61" t="s">
        <v>1745</v>
      </c>
      <c r="K402" s="61" t="s">
        <v>1746</v>
      </c>
      <c r="L402" s="61" t="s">
        <v>1747</v>
      </c>
      <c r="M402" s="58">
        <v>2008.0</v>
      </c>
      <c r="N402" s="58">
        <v>10.0</v>
      </c>
      <c r="O402" s="62">
        <v>169.0</v>
      </c>
      <c r="P402" s="62">
        <f t="shared" si="9"/>
        <v>473.2</v>
      </c>
      <c r="Q402" s="63">
        <v>3.0</v>
      </c>
      <c r="R402" s="58">
        <v>3.0</v>
      </c>
      <c r="S402" s="58">
        <v>4.0</v>
      </c>
      <c r="T402" s="58">
        <v>0.0</v>
      </c>
      <c r="U402" s="58">
        <v>4.0</v>
      </c>
      <c r="V402" s="58" t="s">
        <v>130</v>
      </c>
      <c r="W402" s="61" t="s">
        <v>76</v>
      </c>
      <c r="X402" s="28" t="s">
        <v>1033</v>
      </c>
      <c r="Y402" s="64">
        <v>31.0</v>
      </c>
      <c r="Z402" s="65">
        <f t="shared" si="2"/>
        <v>15.1125</v>
      </c>
      <c r="AA402" s="65">
        <f t="shared" si="3"/>
        <v>7151.235</v>
      </c>
      <c r="AB402" s="65">
        <f t="shared" si="4"/>
        <v>3356.063673</v>
      </c>
      <c r="AC402" s="66">
        <v>1.0</v>
      </c>
      <c r="AD402" s="67"/>
      <c r="AE402" s="68">
        <f t="shared" si="5"/>
        <v>6557.377049</v>
      </c>
      <c r="AF402" s="69">
        <v>8000.0</v>
      </c>
      <c r="AG402" s="68">
        <f t="shared" si="6"/>
        <v>19672.13115</v>
      </c>
      <c r="AH402" s="70">
        <f t="shared" si="7"/>
        <v>24000</v>
      </c>
      <c r="AI402" s="71"/>
      <c r="AJ402" s="71"/>
      <c r="AK402" s="71"/>
      <c r="AL402" s="71"/>
    </row>
    <row r="403">
      <c r="A403" s="57" t="s">
        <v>1740</v>
      </c>
      <c r="B403" s="58" t="s">
        <v>165</v>
      </c>
      <c r="C403" s="58" t="s">
        <v>169</v>
      </c>
      <c r="D403" s="58" t="s">
        <v>1724</v>
      </c>
      <c r="E403" s="58" t="s">
        <v>1724</v>
      </c>
      <c r="F403" s="58" t="s">
        <v>103</v>
      </c>
      <c r="G403" s="59">
        <v>46199.0</v>
      </c>
      <c r="H403" s="58" t="s">
        <v>104</v>
      </c>
      <c r="I403" s="60" t="s">
        <v>1741</v>
      </c>
      <c r="J403" s="61" t="s">
        <v>1745</v>
      </c>
      <c r="K403" s="61" t="s">
        <v>1746</v>
      </c>
      <c r="L403" s="61" t="s">
        <v>1747</v>
      </c>
      <c r="M403" s="58">
        <v>2008.0</v>
      </c>
      <c r="N403" s="58">
        <v>10.0</v>
      </c>
      <c r="O403" s="62">
        <v>169.0</v>
      </c>
      <c r="P403" s="62">
        <f t="shared" si="9"/>
        <v>473.2</v>
      </c>
      <c r="Q403" s="63">
        <v>1.0</v>
      </c>
      <c r="R403" s="58">
        <v>1.0</v>
      </c>
      <c r="S403" s="58">
        <v>4.0</v>
      </c>
      <c r="T403" s="58">
        <v>0.0</v>
      </c>
      <c r="U403" s="58">
        <v>4.0</v>
      </c>
      <c r="V403" s="58" t="s">
        <v>130</v>
      </c>
      <c r="W403" s="61" t="s">
        <v>76</v>
      </c>
      <c r="X403" s="28" t="s">
        <v>1033</v>
      </c>
      <c r="Y403" s="64">
        <v>31.0</v>
      </c>
      <c r="Z403" s="65">
        <f t="shared" si="2"/>
        <v>5.0375</v>
      </c>
      <c r="AA403" s="65">
        <f t="shared" si="3"/>
        <v>2383.745</v>
      </c>
      <c r="AB403" s="65">
        <f t="shared" si="4"/>
        <v>3356.063673</v>
      </c>
      <c r="AC403" s="66">
        <v>1.0</v>
      </c>
      <c r="AD403" s="67"/>
      <c r="AE403" s="68">
        <f t="shared" si="5"/>
        <v>6557.377049</v>
      </c>
      <c r="AF403" s="69">
        <v>8000.0</v>
      </c>
      <c r="AG403" s="68">
        <f t="shared" si="6"/>
        <v>6557.377049</v>
      </c>
      <c r="AH403" s="70">
        <f t="shared" si="7"/>
        <v>8000</v>
      </c>
      <c r="AI403" s="71"/>
      <c r="AJ403" s="71"/>
      <c r="AK403" s="71"/>
      <c r="AL403" s="71"/>
    </row>
    <row r="404">
      <c r="A404" s="57" t="s">
        <v>1748</v>
      </c>
      <c r="B404" s="58" t="s">
        <v>165</v>
      </c>
      <c r="C404" s="58" t="s">
        <v>169</v>
      </c>
      <c r="D404" s="58" t="s">
        <v>1724</v>
      </c>
      <c r="E404" s="58" t="s">
        <v>1724</v>
      </c>
      <c r="F404" s="58" t="s">
        <v>103</v>
      </c>
      <c r="G404" s="59">
        <v>46199.0</v>
      </c>
      <c r="H404" s="58" t="s">
        <v>104</v>
      </c>
      <c r="I404" s="60" t="s">
        <v>1749</v>
      </c>
      <c r="J404" s="61" t="s">
        <v>1750</v>
      </c>
      <c r="K404" s="61" t="s">
        <v>1751</v>
      </c>
      <c r="L404" s="61" t="s">
        <v>1752</v>
      </c>
      <c r="M404" s="58">
        <v>2008.0</v>
      </c>
      <c r="N404" s="58">
        <v>10.0</v>
      </c>
      <c r="O404" s="62">
        <v>110.0</v>
      </c>
      <c r="P404" s="62">
        <f t="shared" si="9"/>
        <v>308</v>
      </c>
      <c r="Q404" s="63">
        <v>3.0</v>
      </c>
      <c r="R404" s="58">
        <v>3.0</v>
      </c>
      <c r="S404" s="58">
        <v>3.0</v>
      </c>
      <c r="T404" s="58">
        <v>0.0</v>
      </c>
      <c r="U404" s="58">
        <v>3.0</v>
      </c>
      <c r="V404" s="58" t="s">
        <v>130</v>
      </c>
      <c r="W404" s="61" t="s">
        <v>76</v>
      </c>
      <c r="X404" s="28" t="s">
        <v>1033</v>
      </c>
      <c r="Y404" s="64">
        <v>31.0</v>
      </c>
      <c r="Z404" s="65">
        <f t="shared" si="2"/>
        <v>20.15</v>
      </c>
      <c r="AA404" s="65">
        <f t="shared" si="3"/>
        <v>6206.2</v>
      </c>
      <c r="AB404" s="65">
        <f t="shared" si="4"/>
        <v>3867.100641</v>
      </c>
      <c r="AC404" s="66">
        <v>1.0</v>
      </c>
      <c r="AD404" s="70"/>
      <c r="AE404" s="68">
        <f t="shared" si="5"/>
        <v>6557.377049</v>
      </c>
      <c r="AF404" s="69">
        <v>8000.0</v>
      </c>
      <c r="AG404" s="68">
        <f t="shared" si="6"/>
        <v>19672.13115</v>
      </c>
      <c r="AH404" s="70">
        <f t="shared" si="7"/>
        <v>24000</v>
      </c>
      <c r="AI404" s="71"/>
      <c r="AJ404" s="71"/>
      <c r="AK404" s="71"/>
      <c r="AL404" s="71"/>
    </row>
    <row r="405">
      <c r="A405" s="57" t="s">
        <v>1748</v>
      </c>
      <c r="B405" s="58" t="s">
        <v>165</v>
      </c>
      <c r="C405" s="58" t="s">
        <v>169</v>
      </c>
      <c r="D405" s="58" t="s">
        <v>1724</v>
      </c>
      <c r="E405" s="58" t="s">
        <v>1724</v>
      </c>
      <c r="F405" s="58" t="s">
        <v>103</v>
      </c>
      <c r="G405" s="59">
        <v>46199.0</v>
      </c>
      <c r="H405" s="58" t="s">
        <v>104</v>
      </c>
      <c r="I405" s="60" t="s">
        <v>1749</v>
      </c>
      <c r="J405" s="61" t="s">
        <v>1753</v>
      </c>
      <c r="K405" s="61" t="s">
        <v>1754</v>
      </c>
      <c r="L405" s="61" t="s">
        <v>1755</v>
      </c>
      <c r="M405" s="58">
        <v>2007.0</v>
      </c>
      <c r="N405" s="58">
        <v>10.0</v>
      </c>
      <c r="O405" s="62">
        <v>119.0</v>
      </c>
      <c r="P405" s="62">
        <f t="shared" si="9"/>
        <v>333.2</v>
      </c>
      <c r="Q405" s="63">
        <v>3.0</v>
      </c>
      <c r="R405" s="58">
        <v>3.0</v>
      </c>
      <c r="S405" s="58">
        <v>3.0</v>
      </c>
      <c r="T405" s="58">
        <v>0.0</v>
      </c>
      <c r="U405" s="58">
        <v>3.0</v>
      </c>
      <c r="V405" s="58" t="s">
        <v>130</v>
      </c>
      <c r="W405" s="61" t="s">
        <v>76</v>
      </c>
      <c r="X405" s="28" t="s">
        <v>1033</v>
      </c>
      <c r="Y405" s="64">
        <v>31.0</v>
      </c>
      <c r="Z405" s="65">
        <f t="shared" si="2"/>
        <v>20.15</v>
      </c>
      <c r="AA405" s="65">
        <f t="shared" si="3"/>
        <v>6713.98</v>
      </c>
      <c r="AB405" s="65">
        <f t="shared" si="4"/>
        <v>3574.630845</v>
      </c>
      <c r="AC405" s="66">
        <v>1.0</v>
      </c>
      <c r="AD405" s="70"/>
      <c r="AE405" s="68">
        <f t="shared" si="5"/>
        <v>6557.377049</v>
      </c>
      <c r="AF405" s="69">
        <v>8000.0</v>
      </c>
      <c r="AG405" s="68">
        <f t="shared" si="6"/>
        <v>19672.13115</v>
      </c>
      <c r="AH405" s="70">
        <f t="shared" si="7"/>
        <v>24000</v>
      </c>
      <c r="AI405" s="71"/>
      <c r="AJ405" s="71"/>
      <c r="AK405" s="71"/>
      <c r="AL405" s="71"/>
    </row>
    <row r="406">
      <c r="A406" s="57" t="s">
        <v>1756</v>
      </c>
      <c r="B406" s="58" t="s">
        <v>165</v>
      </c>
      <c r="C406" s="58" t="s">
        <v>169</v>
      </c>
      <c r="D406" s="58" t="s">
        <v>1724</v>
      </c>
      <c r="E406" s="58" t="s">
        <v>1724</v>
      </c>
      <c r="F406" s="58" t="s">
        <v>103</v>
      </c>
      <c r="G406" s="59">
        <v>46199.0</v>
      </c>
      <c r="H406" s="58" t="s">
        <v>118</v>
      </c>
      <c r="I406" s="60" t="s">
        <v>1757</v>
      </c>
      <c r="J406" s="61" t="s">
        <v>1758</v>
      </c>
      <c r="K406" s="61" t="s">
        <v>1759</v>
      </c>
      <c r="L406" s="61" t="s">
        <v>1760</v>
      </c>
      <c r="M406" s="58">
        <v>2004.0</v>
      </c>
      <c r="N406" s="58">
        <v>10.0</v>
      </c>
      <c r="O406" s="62">
        <v>118.0</v>
      </c>
      <c r="P406" s="62">
        <f t="shared" si="9"/>
        <v>330.4</v>
      </c>
      <c r="Q406" s="63">
        <v>3.0</v>
      </c>
      <c r="R406" s="58">
        <v>3.0</v>
      </c>
      <c r="S406" s="58">
        <v>3.0</v>
      </c>
      <c r="T406" s="58">
        <v>3.0</v>
      </c>
      <c r="U406" s="58">
        <v>3.0</v>
      </c>
      <c r="V406" s="58" t="s">
        <v>130</v>
      </c>
      <c r="W406" s="61" t="s">
        <v>76</v>
      </c>
      <c r="X406" s="28" t="s">
        <v>1033</v>
      </c>
      <c r="Y406" s="64">
        <v>31.0</v>
      </c>
      <c r="Z406" s="65">
        <f t="shared" si="2"/>
        <v>60.45</v>
      </c>
      <c r="AA406" s="65">
        <f t="shared" si="3"/>
        <v>19972.68</v>
      </c>
      <c r="AB406" s="65">
        <f t="shared" si="4"/>
        <v>1201.641442</v>
      </c>
      <c r="AC406" s="66">
        <v>1.0</v>
      </c>
      <c r="AD406" s="67"/>
      <c r="AE406" s="68">
        <f t="shared" si="5"/>
        <v>6557.377049</v>
      </c>
      <c r="AF406" s="69">
        <v>8000.0</v>
      </c>
      <c r="AG406" s="68">
        <f t="shared" si="6"/>
        <v>19672.13115</v>
      </c>
      <c r="AH406" s="70">
        <f t="shared" si="7"/>
        <v>24000</v>
      </c>
      <c r="AI406" s="71"/>
      <c r="AJ406" s="71"/>
      <c r="AK406" s="71"/>
      <c r="AL406" s="71"/>
    </row>
    <row r="407">
      <c r="A407" s="57" t="s">
        <v>1756</v>
      </c>
      <c r="B407" s="58" t="s">
        <v>165</v>
      </c>
      <c r="C407" s="58" t="s">
        <v>169</v>
      </c>
      <c r="D407" s="58" t="s">
        <v>1724</v>
      </c>
      <c r="E407" s="58" t="s">
        <v>1724</v>
      </c>
      <c r="F407" s="58" t="s">
        <v>103</v>
      </c>
      <c r="G407" s="59">
        <v>46199.0</v>
      </c>
      <c r="H407" s="58" t="s">
        <v>118</v>
      </c>
      <c r="I407" s="60" t="s">
        <v>1757</v>
      </c>
      <c r="J407" s="61" t="s">
        <v>1761</v>
      </c>
      <c r="K407" s="61" t="s">
        <v>1762</v>
      </c>
      <c r="L407" s="61" t="s">
        <v>1763</v>
      </c>
      <c r="M407" s="58">
        <v>2004.0</v>
      </c>
      <c r="N407" s="58">
        <v>10.0</v>
      </c>
      <c r="O407" s="62">
        <v>79.0</v>
      </c>
      <c r="P407" s="62">
        <f t="shared" si="9"/>
        <v>221.2</v>
      </c>
      <c r="Q407" s="63">
        <v>2.0</v>
      </c>
      <c r="R407" s="58">
        <v>2.0</v>
      </c>
      <c r="S407" s="58">
        <v>2.0</v>
      </c>
      <c r="T407" s="58">
        <v>0.0</v>
      </c>
      <c r="U407" s="58">
        <v>2.0</v>
      </c>
      <c r="V407" s="58" t="s">
        <v>130</v>
      </c>
      <c r="W407" s="61" t="s">
        <v>76</v>
      </c>
      <c r="X407" s="28" t="s">
        <v>1033</v>
      </c>
      <c r="Y407" s="64">
        <v>31.0</v>
      </c>
      <c r="Z407" s="65">
        <f t="shared" si="2"/>
        <v>20.15</v>
      </c>
      <c r="AA407" s="65">
        <f t="shared" si="3"/>
        <v>4457.18</v>
      </c>
      <c r="AB407" s="65">
        <f t="shared" si="4"/>
        <v>3589.713675</v>
      </c>
      <c r="AC407" s="66">
        <v>1.0</v>
      </c>
      <c r="AD407" s="67"/>
      <c r="AE407" s="68">
        <f t="shared" si="5"/>
        <v>6557.377049</v>
      </c>
      <c r="AF407" s="69">
        <v>8000.0</v>
      </c>
      <c r="AG407" s="68">
        <f t="shared" si="6"/>
        <v>13114.7541</v>
      </c>
      <c r="AH407" s="70">
        <f t="shared" si="7"/>
        <v>16000</v>
      </c>
      <c r="AI407" s="71"/>
      <c r="AJ407" s="71"/>
      <c r="AK407" s="71"/>
      <c r="AL407" s="71"/>
    </row>
    <row r="408">
      <c r="A408" s="57" t="s">
        <v>1764</v>
      </c>
      <c r="B408" s="58" t="s">
        <v>165</v>
      </c>
      <c r="C408" s="58" t="s">
        <v>169</v>
      </c>
      <c r="D408" s="58" t="s">
        <v>1724</v>
      </c>
      <c r="E408" s="58" t="s">
        <v>1724</v>
      </c>
      <c r="F408" s="58" t="s">
        <v>103</v>
      </c>
      <c r="G408" s="59">
        <v>46199.0</v>
      </c>
      <c r="H408" s="58" t="s">
        <v>118</v>
      </c>
      <c r="I408" s="60" t="s">
        <v>1765</v>
      </c>
      <c r="J408" s="61" t="s">
        <v>1766</v>
      </c>
      <c r="K408" s="61" t="s">
        <v>1767</v>
      </c>
      <c r="L408" s="61" t="s">
        <v>1768</v>
      </c>
      <c r="M408" s="58">
        <v>2005.0</v>
      </c>
      <c r="N408" s="58">
        <v>10.0</v>
      </c>
      <c r="O408" s="62">
        <v>80.0</v>
      </c>
      <c r="P408" s="62">
        <f t="shared" si="9"/>
        <v>224</v>
      </c>
      <c r="Q408" s="63">
        <v>2.0</v>
      </c>
      <c r="R408" s="58">
        <v>2.0</v>
      </c>
      <c r="S408" s="58">
        <v>2.0</v>
      </c>
      <c r="T408" s="58">
        <v>0.0</v>
      </c>
      <c r="U408" s="58">
        <v>2.0</v>
      </c>
      <c r="V408" s="58" t="s">
        <v>130</v>
      </c>
      <c r="W408" s="61" t="s">
        <v>76</v>
      </c>
      <c r="X408" s="28" t="s">
        <v>1033</v>
      </c>
      <c r="Y408" s="64">
        <v>31.0</v>
      </c>
      <c r="Z408" s="65">
        <f t="shared" si="2"/>
        <v>20.15</v>
      </c>
      <c r="AA408" s="65">
        <f t="shared" si="3"/>
        <v>4513.6</v>
      </c>
      <c r="AB408" s="65">
        <f t="shared" si="4"/>
        <v>3544.842255</v>
      </c>
      <c r="AC408" s="66">
        <v>1.0</v>
      </c>
      <c r="AD408" s="70"/>
      <c r="AE408" s="68">
        <f t="shared" si="5"/>
        <v>6557.377049</v>
      </c>
      <c r="AF408" s="69">
        <v>8000.0</v>
      </c>
      <c r="AG408" s="68">
        <f t="shared" si="6"/>
        <v>13114.7541</v>
      </c>
      <c r="AH408" s="70">
        <f t="shared" si="7"/>
        <v>16000</v>
      </c>
      <c r="AI408" s="71"/>
      <c r="AJ408" s="71"/>
      <c r="AK408" s="71"/>
      <c r="AL408" s="71"/>
    </row>
    <row r="409">
      <c r="A409" s="57" t="s">
        <v>1764</v>
      </c>
      <c r="B409" s="58" t="s">
        <v>165</v>
      </c>
      <c r="C409" s="58" t="s">
        <v>169</v>
      </c>
      <c r="D409" s="58" t="s">
        <v>1724</v>
      </c>
      <c r="E409" s="58" t="s">
        <v>1724</v>
      </c>
      <c r="F409" s="58" t="s">
        <v>103</v>
      </c>
      <c r="G409" s="59">
        <v>46199.0</v>
      </c>
      <c r="H409" s="58" t="s">
        <v>118</v>
      </c>
      <c r="I409" s="60" t="s">
        <v>1765</v>
      </c>
      <c r="J409" s="61" t="s">
        <v>1769</v>
      </c>
      <c r="K409" s="61" t="s">
        <v>1770</v>
      </c>
      <c r="L409" s="61" t="s">
        <v>1771</v>
      </c>
      <c r="M409" s="58">
        <v>2001.0</v>
      </c>
      <c r="N409" s="58">
        <v>10.0</v>
      </c>
      <c r="O409" s="62">
        <v>80.0</v>
      </c>
      <c r="P409" s="62">
        <f t="shared" si="9"/>
        <v>224</v>
      </c>
      <c r="Q409" s="63">
        <v>2.0</v>
      </c>
      <c r="R409" s="58">
        <v>2.0</v>
      </c>
      <c r="S409" s="58">
        <v>2.0</v>
      </c>
      <c r="T409" s="58">
        <v>0.0</v>
      </c>
      <c r="U409" s="58">
        <v>2.0</v>
      </c>
      <c r="V409" s="58" t="s">
        <v>130</v>
      </c>
      <c r="W409" s="61" t="s">
        <v>76</v>
      </c>
      <c r="X409" s="28" t="s">
        <v>1033</v>
      </c>
      <c r="Y409" s="64">
        <v>31.0</v>
      </c>
      <c r="Z409" s="65">
        <f t="shared" si="2"/>
        <v>20.15</v>
      </c>
      <c r="AA409" s="65">
        <f t="shared" si="3"/>
        <v>4513.6</v>
      </c>
      <c r="AB409" s="65">
        <f t="shared" si="4"/>
        <v>3544.842255</v>
      </c>
      <c r="AC409" s="66">
        <v>1.0</v>
      </c>
      <c r="AD409" s="70"/>
      <c r="AE409" s="68">
        <f t="shared" si="5"/>
        <v>6557.377049</v>
      </c>
      <c r="AF409" s="69">
        <v>8000.0</v>
      </c>
      <c r="AG409" s="68">
        <f t="shared" si="6"/>
        <v>13114.7541</v>
      </c>
      <c r="AH409" s="70">
        <f t="shared" si="7"/>
        <v>16000</v>
      </c>
      <c r="AI409" s="71"/>
      <c r="AJ409" s="71"/>
      <c r="AK409" s="71"/>
      <c r="AL409" s="71"/>
    </row>
    <row r="410">
      <c r="A410" s="57" t="s">
        <v>1772</v>
      </c>
      <c r="B410" s="58" t="s">
        <v>165</v>
      </c>
      <c r="C410" s="58" t="s">
        <v>169</v>
      </c>
      <c r="D410" s="58" t="s">
        <v>1724</v>
      </c>
      <c r="E410" s="58" t="s">
        <v>1724</v>
      </c>
      <c r="F410" s="58" t="s">
        <v>103</v>
      </c>
      <c r="G410" s="59">
        <v>46199.0</v>
      </c>
      <c r="H410" s="58" t="s">
        <v>118</v>
      </c>
      <c r="I410" s="60" t="s">
        <v>1773</v>
      </c>
      <c r="J410" s="61" t="s">
        <v>1774</v>
      </c>
      <c r="K410" s="61" t="s">
        <v>1775</v>
      </c>
      <c r="L410" s="61" t="s">
        <v>1776</v>
      </c>
      <c r="M410" s="58">
        <v>2003.0</v>
      </c>
      <c r="N410" s="58">
        <v>10.0</v>
      </c>
      <c r="O410" s="62">
        <v>119.0</v>
      </c>
      <c r="P410" s="62">
        <f t="shared" si="9"/>
        <v>333.2</v>
      </c>
      <c r="Q410" s="63">
        <v>3.0</v>
      </c>
      <c r="R410" s="58">
        <v>3.0</v>
      </c>
      <c r="S410" s="58">
        <v>3.0</v>
      </c>
      <c r="T410" s="58">
        <v>0.0</v>
      </c>
      <c r="U410" s="58">
        <v>3.0</v>
      </c>
      <c r="V410" s="58" t="s">
        <v>130</v>
      </c>
      <c r="W410" s="61" t="s">
        <v>76</v>
      </c>
      <c r="X410" s="28" t="s">
        <v>1033</v>
      </c>
      <c r="Y410" s="17">
        <v>31.0</v>
      </c>
      <c r="Z410" s="30">
        <f t="shared" si="2"/>
        <v>20.15</v>
      </c>
      <c r="AA410" s="30">
        <f t="shared" si="3"/>
        <v>6713.98</v>
      </c>
      <c r="AB410" s="30">
        <f t="shared" si="4"/>
        <v>3574.630845</v>
      </c>
      <c r="AC410" s="34">
        <v>1.0</v>
      </c>
      <c r="AD410" s="98"/>
      <c r="AE410" s="97">
        <f t="shared" si="5"/>
        <v>6557.377049</v>
      </c>
      <c r="AF410" s="28">
        <v>8000.0</v>
      </c>
      <c r="AG410" s="97">
        <f t="shared" si="6"/>
        <v>19672.13115</v>
      </c>
      <c r="AH410" s="98">
        <f t="shared" si="7"/>
        <v>24000</v>
      </c>
      <c r="AI410" s="99"/>
      <c r="AJ410" s="99"/>
      <c r="AK410" s="99"/>
      <c r="AL410" s="99"/>
    </row>
    <row r="411">
      <c r="A411" s="57" t="s">
        <v>1772</v>
      </c>
      <c r="B411" s="58" t="s">
        <v>165</v>
      </c>
      <c r="C411" s="58" t="s">
        <v>169</v>
      </c>
      <c r="D411" s="58" t="s">
        <v>1724</v>
      </c>
      <c r="E411" s="58" t="s">
        <v>1724</v>
      </c>
      <c r="F411" s="58" t="s">
        <v>103</v>
      </c>
      <c r="G411" s="59">
        <v>46199.0</v>
      </c>
      <c r="H411" s="58" t="s">
        <v>118</v>
      </c>
      <c r="I411" s="60" t="s">
        <v>1773</v>
      </c>
      <c r="J411" s="61" t="s">
        <v>1777</v>
      </c>
      <c r="K411" s="61" t="s">
        <v>1778</v>
      </c>
      <c r="L411" s="61" t="s">
        <v>1779</v>
      </c>
      <c r="M411" s="58">
        <v>2003.0</v>
      </c>
      <c r="N411" s="58">
        <v>10.0</v>
      </c>
      <c r="O411" s="62">
        <v>82.0</v>
      </c>
      <c r="P411" s="62">
        <f t="shared" si="9"/>
        <v>229.6</v>
      </c>
      <c r="Q411" s="63">
        <v>2.0</v>
      </c>
      <c r="R411" s="58">
        <v>2.0</v>
      </c>
      <c r="S411" s="58">
        <v>2.0</v>
      </c>
      <c r="T411" s="58">
        <v>0.0</v>
      </c>
      <c r="U411" s="58">
        <v>2.0</v>
      </c>
      <c r="V411" s="58" t="s">
        <v>130</v>
      </c>
      <c r="W411" s="61" t="s">
        <v>76</v>
      </c>
      <c r="X411" s="28" t="s">
        <v>1033</v>
      </c>
      <c r="Y411" s="17">
        <v>31.0</v>
      </c>
      <c r="Z411" s="30">
        <f t="shared" si="2"/>
        <v>20.15</v>
      </c>
      <c r="AA411" s="30">
        <f t="shared" si="3"/>
        <v>4626.44</v>
      </c>
      <c r="AB411" s="30">
        <f t="shared" si="4"/>
        <v>3458.382687</v>
      </c>
      <c r="AC411" s="34">
        <v>1.0</v>
      </c>
      <c r="AD411" s="36"/>
      <c r="AE411" s="97">
        <f t="shared" si="5"/>
        <v>6557.377049</v>
      </c>
      <c r="AF411" s="28">
        <v>8000.0</v>
      </c>
      <c r="AG411" s="97">
        <f t="shared" si="6"/>
        <v>13114.7541</v>
      </c>
      <c r="AH411" s="98">
        <f t="shared" si="7"/>
        <v>16000</v>
      </c>
      <c r="AI411" s="99"/>
      <c r="AJ411" s="99"/>
      <c r="AK411" s="99"/>
      <c r="AL411" s="99"/>
    </row>
    <row r="412">
      <c r="A412" s="57" t="s">
        <v>1780</v>
      </c>
      <c r="B412" s="58" t="s">
        <v>165</v>
      </c>
      <c r="C412" s="58" t="s">
        <v>169</v>
      </c>
      <c r="D412" s="58" t="s">
        <v>1724</v>
      </c>
      <c r="E412" s="58" t="s">
        <v>1724</v>
      </c>
      <c r="F412" s="58" t="s">
        <v>103</v>
      </c>
      <c r="G412" s="59">
        <v>46205.0</v>
      </c>
      <c r="H412" s="58" t="s">
        <v>104</v>
      </c>
      <c r="I412" s="60" t="s">
        <v>1781</v>
      </c>
      <c r="J412" s="61" t="s">
        <v>1782</v>
      </c>
      <c r="K412" s="61" t="s">
        <v>1783</v>
      </c>
      <c r="L412" s="61" t="s">
        <v>1784</v>
      </c>
      <c r="M412" s="58">
        <v>2022.0</v>
      </c>
      <c r="N412" s="58">
        <v>10.0</v>
      </c>
      <c r="O412" s="62">
        <v>195.0</v>
      </c>
      <c r="P412" s="62">
        <f t="shared" si="9"/>
        <v>546</v>
      </c>
      <c r="Q412" s="63">
        <v>3.0</v>
      </c>
      <c r="R412" s="58">
        <v>0.0</v>
      </c>
      <c r="S412" s="58">
        <v>3.0</v>
      </c>
      <c r="T412" s="58">
        <v>3.0</v>
      </c>
      <c r="U412" s="58">
        <v>3.0</v>
      </c>
      <c r="V412" s="58" t="s">
        <v>130</v>
      </c>
      <c r="W412" s="61" t="s">
        <v>76</v>
      </c>
      <c r="X412" s="28" t="s">
        <v>1033</v>
      </c>
      <c r="Y412" s="64">
        <v>31.0</v>
      </c>
      <c r="Z412" s="65">
        <f t="shared" si="2"/>
        <v>40.3</v>
      </c>
      <c r="AA412" s="65">
        <f t="shared" si="3"/>
        <v>22003.8</v>
      </c>
      <c r="AB412" s="65">
        <f t="shared" si="4"/>
        <v>1090.720694</v>
      </c>
      <c r="AC412" s="66">
        <v>1.0</v>
      </c>
      <c r="AD412" s="67"/>
      <c r="AE412" s="68">
        <f t="shared" si="5"/>
        <v>6557.377049</v>
      </c>
      <c r="AF412" s="69">
        <v>8000.0</v>
      </c>
      <c r="AG412" s="68">
        <f t="shared" si="6"/>
        <v>19672.13115</v>
      </c>
      <c r="AH412" s="70">
        <f t="shared" si="7"/>
        <v>24000</v>
      </c>
      <c r="AI412" s="71"/>
      <c r="AJ412" s="71"/>
      <c r="AK412" s="71"/>
      <c r="AL412" s="71"/>
    </row>
    <row r="413">
      <c r="A413" s="57" t="s">
        <v>1785</v>
      </c>
      <c r="B413" s="58" t="s">
        <v>165</v>
      </c>
      <c r="C413" s="58" t="s">
        <v>169</v>
      </c>
      <c r="D413" s="58" t="s">
        <v>1724</v>
      </c>
      <c r="E413" s="58" t="s">
        <v>1724</v>
      </c>
      <c r="F413" s="58" t="s">
        <v>103</v>
      </c>
      <c r="G413" s="59">
        <v>46205.0</v>
      </c>
      <c r="H413" s="58" t="s">
        <v>104</v>
      </c>
      <c r="I413" s="60" t="s">
        <v>1786</v>
      </c>
      <c r="J413" s="61" t="s">
        <v>1787</v>
      </c>
      <c r="K413" s="61" t="s">
        <v>1788</v>
      </c>
      <c r="L413" s="61" t="s">
        <v>1789</v>
      </c>
      <c r="M413" s="58">
        <v>2022.0</v>
      </c>
      <c r="N413" s="58">
        <v>10.0</v>
      </c>
      <c r="O413" s="62">
        <v>195.0</v>
      </c>
      <c r="P413" s="62">
        <f t="shared" si="9"/>
        <v>546</v>
      </c>
      <c r="Q413" s="63">
        <v>3.0</v>
      </c>
      <c r="R413" s="58">
        <v>0.0</v>
      </c>
      <c r="S413" s="58">
        <v>3.0</v>
      </c>
      <c r="T413" s="58">
        <v>3.0</v>
      </c>
      <c r="U413" s="58">
        <v>3.0</v>
      </c>
      <c r="V413" s="58" t="s">
        <v>130</v>
      </c>
      <c r="W413" s="61" t="s">
        <v>76</v>
      </c>
      <c r="X413" s="28" t="s">
        <v>1033</v>
      </c>
      <c r="Y413" s="64">
        <v>31.0</v>
      </c>
      <c r="Z413" s="65">
        <f t="shared" si="2"/>
        <v>40.3</v>
      </c>
      <c r="AA413" s="65">
        <f t="shared" si="3"/>
        <v>22003.8</v>
      </c>
      <c r="AB413" s="65">
        <f t="shared" si="4"/>
        <v>1090.720694</v>
      </c>
      <c r="AC413" s="66">
        <v>1.0</v>
      </c>
      <c r="AD413" s="70"/>
      <c r="AE413" s="68">
        <f t="shared" si="5"/>
        <v>6557.377049</v>
      </c>
      <c r="AF413" s="69">
        <v>8000.0</v>
      </c>
      <c r="AG413" s="68">
        <f t="shared" si="6"/>
        <v>19672.13115</v>
      </c>
      <c r="AH413" s="70">
        <f t="shared" si="7"/>
        <v>24000</v>
      </c>
      <c r="AI413" s="71"/>
      <c r="AJ413" s="71"/>
      <c r="AK413" s="71"/>
      <c r="AL413" s="71"/>
    </row>
    <row r="414">
      <c r="A414" s="57" t="s">
        <v>1790</v>
      </c>
      <c r="B414" s="58" t="s">
        <v>165</v>
      </c>
      <c r="C414" s="58" t="s">
        <v>169</v>
      </c>
      <c r="D414" s="58" t="s">
        <v>1791</v>
      </c>
      <c r="E414" s="58" t="s">
        <v>1792</v>
      </c>
      <c r="F414" s="58" t="s">
        <v>103</v>
      </c>
      <c r="G414" s="59">
        <v>46205.0</v>
      </c>
      <c r="H414" s="58" t="s">
        <v>104</v>
      </c>
      <c r="I414" s="58" t="s">
        <v>1793</v>
      </c>
      <c r="J414" s="61" t="s">
        <v>1794</v>
      </c>
      <c r="K414" s="61" t="s">
        <v>1795</v>
      </c>
      <c r="L414" s="61" t="s">
        <v>1796</v>
      </c>
      <c r="M414" s="58">
        <v>2026.0</v>
      </c>
      <c r="N414" s="58">
        <v>21.0</v>
      </c>
      <c r="O414" s="62">
        <v>180.0</v>
      </c>
      <c r="P414" s="62">
        <f t="shared" ref="P414:P415" si="10">180*2.8</f>
        <v>504</v>
      </c>
      <c r="Q414" s="63">
        <v>3.0</v>
      </c>
      <c r="R414" s="58">
        <v>1.0</v>
      </c>
      <c r="S414" s="58">
        <v>1.0</v>
      </c>
      <c r="T414" s="58">
        <v>2.0</v>
      </c>
      <c r="U414" s="58">
        <v>2.0</v>
      </c>
      <c r="V414" s="58" t="s">
        <v>130</v>
      </c>
      <c r="W414" s="61" t="s">
        <v>76</v>
      </c>
      <c r="X414" s="28" t="s">
        <v>1033</v>
      </c>
      <c r="Y414" s="17">
        <v>31.0</v>
      </c>
      <c r="Z414" s="30">
        <f t="shared" si="2"/>
        <v>60.45</v>
      </c>
      <c r="AA414" s="30">
        <f t="shared" si="3"/>
        <v>30466.8</v>
      </c>
      <c r="AB414" s="30">
        <f t="shared" si="4"/>
        <v>787.7427232</v>
      </c>
      <c r="AC414" s="34">
        <v>1.0</v>
      </c>
      <c r="AD414" s="36"/>
      <c r="AE414" s="97">
        <f t="shared" si="5"/>
        <v>6557.377049</v>
      </c>
      <c r="AF414" s="28">
        <v>8000.0</v>
      </c>
      <c r="AG414" s="97">
        <f t="shared" si="6"/>
        <v>19672.13115</v>
      </c>
      <c r="AH414" s="98">
        <f t="shared" si="7"/>
        <v>24000</v>
      </c>
      <c r="AI414" s="99"/>
      <c r="AJ414" s="99"/>
      <c r="AK414" s="99"/>
      <c r="AL414" s="99"/>
    </row>
    <row r="415">
      <c r="A415" s="57" t="s">
        <v>1790</v>
      </c>
      <c r="B415" s="58" t="s">
        <v>165</v>
      </c>
      <c r="C415" s="58" t="s">
        <v>169</v>
      </c>
      <c r="D415" s="58" t="s">
        <v>1791</v>
      </c>
      <c r="E415" s="58" t="s">
        <v>1792</v>
      </c>
      <c r="F415" s="58" t="s">
        <v>103</v>
      </c>
      <c r="G415" s="59">
        <v>46205.0</v>
      </c>
      <c r="H415" s="58" t="s">
        <v>104</v>
      </c>
      <c r="I415" s="58" t="s">
        <v>1793</v>
      </c>
      <c r="J415" s="61" t="s">
        <v>1797</v>
      </c>
      <c r="K415" s="61" t="s">
        <v>1798</v>
      </c>
      <c r="L415" s="61" t="s">
        <v>1799</v>
      </c>
      <c r="M415" s="58">
        <v>2026.0</v>
      </c>
      <c r="N415" s="58">
        <v>21.0</v>
      </c>
      <c r="O415" s="62">
        <v>180.0</v>
      </c>
      <c r="P415" s="62">
        <f t="shared" si="10"/>
        <v>504</v>
      </c>
      <c r="Q415" s="63">
        <v>3.0</v>
      </c>
      <c r="R415" s="58">
        <v>1.0</v>
      </c>
      <c r="S415" s="58">
        <v>1.0</v>
      </c>
      <c r="T415" s="58">
        <v>2.0</v>
      </c>
      <c r="U415" s="58">
        <v>2.0</v>
      </c>
      <c r="V415" s="58" t="s">
        <v>130</v>
      </c>
      <c r="W415" s="61" t="s">
        <v>76</v>
      </c>
      <c r="X415" s="28" t="s">
        <v>1033</v>
      </c>
      <c r="Y415" s="64">
        <v>31.0</v>
      </c>
      <c r="Z415" s="65">
        <f t="shared" si="2"/>
        <v>60.45</v>
      </c>
      <c r="AA415" s="65">
        <f t="shared" si="3"/>
        <v>30466.8</v>
      </c>
      <c r="AB415" s="65">
        <f t="shared" si="4"/>
        <v>787.7427232</v>
      </c>
      <c r="AC415" s="66">
        <v>1.0</v>
      </c>
      <c r="AD415" s="67"/>
      <c r="AE415" s="68">
        <f t="shared" si="5"/>
        <v>6557.377049</v>
      </c>
      <c r="AF415" s="69">
        <v>8000.0</v>
      </c>
      <c r="AG415" s="68">
        <f t="shared" si="6"/>
        <v>19672.13115</v>
      </c>
      <c r="AH415" s="70">
        <f t="shared" si="7"/>
        <v>24000</v>
      </c>
      <c r="AI415" s="71"/>
      <c r="AJ415" s="71"/>
      <c r="AK415" s="71"/>
      <c r="AL415" s="71"/>
    </row>
    <row r="416">
      <c r="A416" s="57" t="s">
        <v>1800</v>
      </c>
      <c r="B416" s="58" t="s">
        <v>165</v>
      </c>
      <c r="C416" s="58" t="s">
        <v>169</v>
      </c>
      <c r="D416" s="58" t="s">
        <v>1724</v>
      </c>
      <c r="E416" s="58" t="s">
        <v>1724</v>
      </c>
      <c r="F416" s="58" t="s">
        <v>103</v>
      </c>
      <c r="G416" s="59">
        <v>46205.0</v>
      </c>
      <c r="H416" s="58" t="s">
        <v>104</v>
      </c>
      <c r="I416" s="58" t="s">
        <v>1801</v>
      </c>
      <c r="J416" s="61" t="s">
        <v>1802</v>
      </c>
      <c r="K416" s="61" t="s">
        <v>1803</v>
      </c>
      <c r="L416" s="61" t="s">
        <v>1804</v>
      </c>
      <c r="M416" s="58">
        <v>2021.0</v>
      </c>
      <c r="N416" s="58">
        <v>10.0</v>
      </c>
      <c r="O416" s="62">
        <v>216.0</v>
      </c>
      <c r="P416" s="62">
        <f>216*2.8</f>
        <v>604.8</v>
      </c>
      <c r="Q416" s="63">
        <v>5.0</v>
      </c>
      <c r="R416" s="58">
        <v>5.0</v>
      </c>
      <c r="S416" s="58">
        <v>3.0</v>
      </c>
      <c r="T416" s="58">
        <v>0.0</v>
      </c>
      <c r="U416" s="58">
        <v>3.0</v>
      </c>
      <c r="V416" s="58" t="s">
        <v>130</v>
      </c>
      <c r="W416" s="61" t="s">
        <v>76</v>
      </c>
      <c r="X416" s="28" t="s">
        <v>1033</v>
      </c>
      <c r="Y416" s="64">
        <v>31.0</v>
      </c>
      <c r="Z416" s="65">
        <f t="shared" si="2"/>
        <v>33.58333333</v>
      </c>
      <c r="AA416" s="65">
        <f t="shared" si="3"/>
        <v>20311.2</v>
      </c>
      <c r="AB416" s="65">
        <f t="shared" si="4"/>
        <v>1969.356808</v>
      </c>
      <c r="AC416" s="66">
        <v>1.0</v>
      </c>
      <c r="AD416" s="70"/>
      <c r="AE416" s="68">
        <f t="shared" si="5"/>
        <v>6557.377049</v>
      </c>
      <c r="AF416" s="69">
        <v>8000.0</v>
      </c>
      <c r="AG416" s="68">
        <f t="shared" si="6"/>
        <v>32786.88525</v>
      </c>
      <c r="AH416" s="70">
        <f t="shared" si="7"/>
        <v>40000</v>
      </c>
      <c r="AI416" s="71"/>
      <c r="AJ416" s="71"/>
      <c r="AK416" s="71"/>
      <c r="AL416" s="71"/>
    </row>
    <row r="417">
      <c r="A417" s="57" t="s">
        <v>1805</v>
      </c>
      <c r="B417" s="58" t="s">
        <v>165</v>
      </c>
      <c r="C417" s="58" t="s">
        <v>169</v>
      </c>
      <c r="D417" s="58" t="s">
        <v>1791</v>
      </c>
      <c r="E417" s="58" t="s">
        <v>1792</v>
      </c>
      <c r="F417" s="58" t="s">
        <v>103</v>
      </c>
      <c r="G417" s="59">
        <v>46205.0</v>
      </c>
      <c r="H417" s="58" t="s">
        <v>104</v>
      </c>
      <c r="I417" s="58" t="s">
        <v>1806</v>
      </c>
      <c r="J417" s="61" t="s">
        <v>1807</v>
      </c>
      <c r="K417" s="61" t="s">
        <v>1808</v>
      </c>
      <c r="L417" s="61" t="s">
        <v>1809</v>
      </c>
      <c r="M417" s="58">
        <v>2025.0</v>
      </c>
      <c r="N417" s="58">
        <v>27.0</v>
      </c>
      <c r="O417" s="62">
        <v>188.0</v>
      </c>
      <c r="P417" s="62">
        <f>188*2.8</f>
        <v>526.4</v>
      </c>
      <c r="Q417" s="63">
        <v>4.0</v>
      </c>
      <c r="R417" s="58">
        <v>1.0</v>
      </c>
      <c r="S417" s="58">
        <v>1.0</v>
      </c>
      <c r="T417" s="58">
        <v>3.0</v>
      </c>
      <c r="U417" s="58">
        <v>3.0</v>
      </c>
      <c r="V417" s="58" t="s">
        <v>130</v>
      </c>
      <c r="W417" s="61" t="s">
        <v>76</v>
      </c>
      <c r="X417" s="28" t="s">
        <v>1033</v>
      </c>
      <c r="Y417" s="64">
        <v>31.0</v>
      </c>
      <c r="Z417" s="65">
        <f t="shared" si="2"/>
        <v>60.45</v>
      </c>
      <c r="AA417" s="65">
        <f t="shared" si="3"/>
        <v>31820.88</v>
      </c>
      <c r="AB417" s="65">
        <f t="shared" si="4"/>
        <v>1005.629008</v>
      </c>
      <c r="AC417" s="66">
        <v>1.0</v>
      </c>
      <c r="AD417" s="70"/>
      <c r="AE417" s="68">
        <f t="shared" si="5"/>
        <v>6557.377049</v>
      </c>
      <c r="AF417" s="69">
        <v>8000.0</v>
      </c>
      <c r="AG417" s="68">
        <f t="shared" si="6"/>
        <v>26229.5082</v>
      </c>
      <c r="AH417" s="70">
        <f t="shared" si="7"/>
        <v>32000</v>
      </c>
      <c r="AI417" s="71"/>
      <c r="AJ417" s="71"/>
      <c r="AK417" s="71"/>
      <c r="AL417" s="71"/>
    </row>
    <row r="418">
      <c r="A418" s="57" t="s">
        <v>1810</v>
      </c>
      <c r="B418" s="58" t="s">
        <v>165</v>
      </c>
      <c r="C418" s="58" t="s">
        <v>169</v>
      </c>
      <c r="D418" s="58" t="s">
        <v>1791</v>
      </c>
      <c r="E418" s="58" t="s">
        <v>1792</v>
      </c>
      <c r="F418" s="58" t="s">
        <v>103</v>
      </c>
      <c r="G418" s="59">
        <v>46205.0</v>
      </c>
      <c r="H418" s="58" t="s">
        <v>104</v>
      </c>
      <c r="I418" s="58" t="s">
        <v>1811</v>
      </c>
      <c r="J418" s="61" t="s">
        <v>1812</v>
      </c>
      <c r="K418" s="61" t="s">
        <v>1813</v>
      </c>
      <c r="L418" s="61" t="s">
        <v>1814</v>
      </c>
      <c r="M418" s="58">
        <v>2025.0</v>
      </c>
      <c r="N418" s="58">
        <v>27.0</v>
      </c>
      <c r="O418" s="62">
        <v>185.0</v>
      </c>
      <c r="P418" s="62">
        <f>185*2.8</f>
        <v>518</v>
      </c>
      <c r="Q418" s="63">
        <v>4.0</v>
      </c>
      <c r="R418" s="58">
        <v>1.0</v>
      </c>
      <c r="S418" s="58">
        <v>1.0</v>
      </c>
      <c r="T418" s="58">
        <v>3.0</v>
      </c>
      <c r="U418" s="58">
        <v>3.0</v>
      </c>
      <c r="V418" s="58" t="s">
        <v>130</v>
      </c>
      <c r="W418" s="61" t="s">
        <v>76</v>
      </c>
      <c r="X418" s="28" t="s">
        <v>1033</v>
      </c>
      <c r="Y418" s="64">
        <v>31.0</v>
      </c>
      <c r="Z418" s="65">
        <f t="shared" si="2"/>
        <v>60.45</v>
      </c>
      <c r="AA418" s="65">
        <f t="shared" si="3"/>
        <v>31313.1</v>
      </c>
      <c r="AB418" s="65">
        <f t="shared" si="4"/>
        <v>1021.936506</v>
      </c>
      <c r="AC418" s="66">
        <v>1.0</v>
      </c>
      <c r="AD418" s="70"/>
      <c r="AE418" s="68">
        <f t="shared" si="5"/>
        <v>6557.377049</v>
      </c>
      <c r="AF418" s="69">
        <v>8000.0</v>
      </c>
      <c r="AG418" s="68">
        <f t="shared" si="6"/>
        <v>26229.5082</v>
      </c>
      <c r="AH418" s="70">
        <f t="shared" si="7"/>
        <v>32000</v>
      </c>
      <c r="AI418" s="71"/>
      <c r="AJ418" s="71"/>
      <c r="AK418" s="71"/>
      <c r="AL418" s="71"/>
    </row>
    <row r="419">
      <c r="A419" s="57" t="s">
        <v>1815</v>
      </c>
      <c r="B419" s="58" t="s">
        <v>165</v>
      </c>
      <c r="C419" s="58" t="s">
        <v>169</v>
      </c>
      <c r="D419" s="58" t="s">
        <v>1791</v>
      </c>
      <c r="E419" s="58" t="s">
        <v>1792</v>
      </c>
      <c r="F419" s="58" t="s">
        <v>103</v>
      </c>
      <c r="G419" s="59">
        <v>46205.0</v>
      </c>
      <c r="H419" s="58" t="s">
        <v>104</v>
      </c>
      <c r="I419" s="58" t="s">
        <v>1816</v>
      </c>
      <c r="J419" s="61" t="s">
        <v>1817</v>
      </c>
      <c r="K419" s="61" t="s">
        <v>1818</v>
      </c>
      <c r="L419" s="61" t="s">
        <v>1819</v>
      </c>
      <c r="M419" s="58">
        <v>2008.0</v>
      </c>
      <c r="N419" s="58">
        <v>10.0</v>
      </c>
      <c r="O419" s="62">
        <v>120.0</v>
      </c>
      <c r="P419" s="62">
        <f>120*2.8</f>
        <v>336</v>
      </c>
      <c r="Q419" s="63">
        <v>3.0</v>
      </c>
      <c r="R419" s="58">
        <v>0.0</v>
      </c>
      <c r="S419" s="58">
        <v>3.0</v>
      </c>
      <c r="T419" s="58">
        <v>3.0</v>
      </c>
      <c r="U419" s="58">
        <v>3.0</v>
      </c>
      <c r="V419" s="58" t="s">
        <v>130</v>
      </c>
      <c r="W419" s="61" t="s">
        <v>76</v>
      </c>
      <c r="X419" s="28" t="s">
        <v>1033</v>
      </c>
      <c r="Y419" s="64">
        <v>31.0</v>
      </c>
      <c r="Z419" s="65">
        <f t="shared" si="2"/>
        <v>40.3</v>
      </c>
      <c r="AA419" s="65">
        <f t="shared" si="3"/>
        <v>13540.8</v>
      </c>
      <c r="AB419" s="65">
        <f t="shared" si="4"/>
        <v>1772.421127</v>
      </c>
      <c r="AC419" s="66">
        <v>1.0</v>
      </c>
      <c r="AD419" s="70"/>
      <c r="AE419" s="68">
        <f t="shared" si="5"/>
        <v>6557.377049</v>
      </c>
      <c r="AF419" s="69">
        <v>8000.0</v>
      </c>
      <c r="AG419" s="68">
        <f t="shared" si="6"/>
        <v>19672.13115</v>
      </c>
      <c r="AH419" s="70">
        <f t="shared" si="7"/>
        <v>24000</v>
      </c>
      <c r="AI419" s="71"/>
      <c r="AJ419" s="71"/>
      <c r="AK419" s="71"/>
      <c r="AL419" s="71"/>
    </row>
    <row r="420">
      <c r="A420" s="63" t="s">
        <v>1820</v>
      </c>
      <c r="B420" s="58" t="s">
        <v>165</v>
      </c>
      <c r="C420" s="58" t="s">
        <v>169</v>
      </c>
      <c r="D420" s="58" t="s">
        <v>1792</v>
      </c>
      <c r="E420" s="58" t="s">
        <v>1792</v>
      </c>
      <c r="F420" s="58" t="s">
        <v>103</v>
      </c>
      <c r="G420" s="59">
        <v>46205.0</v>
      </c>
      <c r="H420" s="58" t="s">
        <v>104</v>
      </c>
      <c r="I420" s="58" t="s">
        <v>1821</v>
      </c>
      <c r="J420" s="61" t="s">
        <v>1822</v>
      </c>
      <c r="K420" s="61" t="s">
        <v>1823</v>
      </c>
      <c r="L420" s="61" t="s">
        <v>1824</v>
      </c>
      <c r="M420" s="58">
        <v>2015.0</v>
      </c>
      <c r="N420" s="58">
        <v>12.0</v>
      </c>
      <c r="O420" s="62">
        <v>143.0</v>
      </c>
      <c r="P420" s="62">
        <f>143*2.8</f>
        <v>400.4</v>
      </c>
      <c r="Q420" s="63">
        <v>2.0</v>
      </c>
      <c r="R420" s="58">
        <v>0.0</v>
      </c>
      <c r="S420" s="58">
        <v>1.0</v>
      </c>
      <c r="T420" s="58">
        <v>2.0</v>
      </c>
      <c r="U420" s="58">
        <v>2.0</v>
      </c>
      <c r="V420" s="58" t="s">
        <v>130</v>
      </c>
      <c r="W420" s="61" t="s">
        <v>76</v>
      </c>
      <c r="X420" s="28" t="s">
        <v>1033</v>
      </c>
      <c r="Y420" s="64">
        <v>31.0</v>
      </c>
      <c r="Z420" s="65">
        <f t="shared" si="2"/>
        <v>40.3</v>
      </c>
      <c r="AA420" s="65">
        <f t="shared" si="3"/>
        <v>16136.12</v>
      </c>
      <c r="AB420" s="65">
        <f t="shared" si="4"/>
        <v>991.564267</v>
      </c>
      <c r="AC420" s="66">
        <v>1.0</v>
      </c>
      <c r="AD420" s="70"/>
      <c r="AE420" s="68">
        <f t="shared" si="5"/>
        <v>6557.377049</v>
      </c>
      <c r="AF420" s="69">
        <v>8000.0</v>
      </c>
      <c r="AG420" s="68">
        <f t="shared" si="6"/>
        <v>13114.7541</v>
      </c>
      <c r="AH420" s="70">
        <f t="shared" si="7"/>
        <v>16000</v>
      </c>
      <c r="AI420" s="71"/>
      <c r="AJ420" s="71"/>
      <c r="AK420" s="71"/>
      <c r="AL420" s="71"/>
    </row>
    <row r="421">
      <c r="A421" s="63" t="s">
        <v>1820</v>
      </c>
      <c r="B421" s="58" t="s">
        <v>165</v>
      </c>
      <c r="C421" s="58" t="s">
        <v>169</v>
      </c>
      <c r="D421" s="58" t="s">
        <v>1792</v>
      </c>
      <c r="E421" s="58" t="s">
        <v>1792</v>
      </c>
      <c r="F421" s="58" t="s">
        <v>103</v>
      </c>
      <c r="G421" s="59">
        <v>46205.0</v>
      </c>
      <c r="H421" s="58" t="s">
        <v>104</v>
      </c>
      <c r="I421" s="58" t="s">
        <v>1821</v>
      </c>
      <c r="J421" s="61" t="s">
        <v>1825</v>
      </c>
      <c r="K421" s="61" t="s">
        <v>1826</v>
      </c>
      <c r="L421" s="61" t="s">
        <v>1827</v>
      </c>
      <c r="M421" s="58">
        <v>2014.0</v>
      </c>
      <c r="N421" s="58">
        <v>12.0</v>
      </c>
      <c r="O421" s="62">
        <v>110.0</v>
      </c>
      <c r="P421" s="62">
        <f>110*2.8</f>
        <v>308</v>
      </c>
      <c r="Q421" s="63">
        <v>2.0</v>
      </c>
      <c r="R421" s="58">
        <v>0.0</v>
      </c>
      <c r="S421" s="58">
        <v>1.0</v>
      </c>
      <c r="T421" s="58">
        <v>2.0</v>
      </c>
      <c r="U421" s="58">
        <v>2.0</v>
      </c>
      <c r="V421" s="58" t="s">
        <v>130</v>
      </c>
      <c r="W421" s="61" t="s">
        <v>76</v>
      </c>
      <c r="X421" s="28" t="s">
        <v>1033</v>
      </c>
      <c r="Y421" s="64">
        <v>31.0</v>
      </c>
      <c r="Z421" s="65">
        <f t="shared" si="2"/>
        <v>40.3</v>
      </c>
      <c r="AA421" s="65">
        <f t="shared" si="3"/>
        <v>12412.4</v>
      </c>
      <c r="AB421" s="65">
        <f t="shared" si="4"/>
        <v>1289.033547</v>
      </c>
      <c r="AC421" s="66">
        <v>1.0</v>
      </c>
      <c r="AD421" s="70"/>
      <c r="AE421" s="68">
        <f t="shared" si="5"/>
        <v>6557.377049</v>
      </c>
      <c r="AF421" s="69">
        <v>8000.0</v>
      </c>
      <c r="AG421" s="68">
        <f t="shared" si="6"/>
        <v>13114.7541</v>
      </c>
      <c r="AH421" s="70">
        <f t="shared" si="7"/>
        <v>16000</v>
      </c>
      <c r="AI421" s="71"/>
      <c r="AJ421" s="71"/>
      <c r="AK421" s="71"/>
      <c r="AL421" s="71"/>
    </row>
    <row r="422">
      <c r="A422" s="57" t="s">
        <v>1828</v>
      </c>
      <c r="B422" s="58" t="s">
        <v>165</v>
      </c>
      <c r="C422" s="58" t="s">
        <v>169</v>
      </c>
      <c r="D422" s="58" t="s">
        <v>1724</v>
      </c>
      <c r="E422" s="58" t="s">
        <v>1724</v>
      </c>
      <c r="F422" s="58" t="s">
        <v>103</v>
      </c>
      <c r="G422" s="59">
        <v>46205.0</v>
      </c>
      <c r="H422" s="58" t="s">
        <v>104</v>
      </c>
      <c r="I422" s="58" t="s">
        <v>1829</v>
      </c>
      <c r="J422" s="61" t="s">
        <v>1830</v>
      </c>
      <c r="K422" s="61" t="s">
        <v>1831</v>
      </c>
      <c r="L422" s="61" t="s">
        <v>1832</v>
      </c>
      <c r="M422" s="58">
        <v>2004.0</v>
      </c>
      <c r="N422" s="58">
        <v>9.0</v>
      </c>
      <c r="O422" s="62">
        <v>72.0</v>
      </c>
      <c r="P422" s="62">
        <f>72*2.8</f>
        <v>201.6</v>
      </c>
      <c r="Q422" s="63">
        <v>1.0</v>
      </c>
      <c r="R422" s="58">
        <v>1.0</v>
      </c>
      <c r="S422" s="58">
        <v>1.0</v>
      </c>
      <c r="T422" s="58">
        <v>0.0</v>
      </c>
      <c r="U422" s="58">
        <v>1.0</v>
      </c>
      <c r="V422" s="58" t="s">
        <v>130</v>
      </c>
      <c r="W422" s="61" t="s">
        <v>76</v>
      </c>
      <c r="X422" s="28" t="s">
        <v>1033</v>
      </c>
      <c r="Y422" s="64">
        <v>31.0</v>
      </c>
      <c r="Z422" s="65">
        <f t="shared" si="2"/>
        <v>20.15</v>
      </c>
      <c r="AA422" s="65">
        <f t="shared" si="3"/>
        <v>4062.24</v>
      </c>
      <c r="AB422" s="65">
        <f t="shared" si="4"/>
        <v>1969.356808</v>
      </c>
      <c r="AC422" s="66">
        <v>1.0</v>
      </c>
      <c r="AD422" s="70"/>
      <c r="AE422" s="68">
        <f t="shared" si="5"/>
        <v>6557.377049</v>
      </c>
      <c r="AF422" s="69">
        <v>8000.0</v>
      </c>
      <c r="AG422" s="68">
        <f t="shared" si="6"/>
        <v>6557.377049</v>
      </c>
      <c r="AH422" s="70">
        <f t="shared" si="7"/>
        <v>8000</v>
      </c>
      <c r="AI422" s="71"/>
      <c r="AJ422" s="71"/>
      <c r="AK422" s="71"/>
      <c r="AL422" s="71"/>
    </row>
    <row r="423">
      <c r="A423" s="57" t="s">
        <v>1833</v>
      </c>
      <c r="B423" s="58" t="s">
        <v>165</v>
      </c>
      <c r="C423" s="58" t="s">
        <v>169</v>
      </c>
      <c r="D423" s="58" t="s">
        <v>1791</v>
      </c>
      <c r="E423" s="58" t="s">
        <v>1792</v>
      </c>
      <c r="F423" s="58" t="s">
        <v>103</v>
      </c>
      <c r="G423" s="59">
        <v>46205.0</v>
      </c>
      <c r="H423" s="58" t="s">
        <v>104</v>
      </c>
      <c r="I423" s="60" t="s">
        <v>1834</v>
      </c>
      <c r="J423" s="61" t="s">
        <v>1835</v>
      </c>
      <c r="K423" s="61" t="s">
        <v>1836</v>
      </c>
      <c r="L423" s="61" t="s">
        <v>1837</v>
      </c>
      <c r="M423" s="58">
        <v>2008.0</v>
      </c>
      <c r="N423" s="58">
        <v>10.0</v>
      </c>
      <c r="O423" s="62">
        <v>135.0</v>
      </c>
      <c r="P423" s="62">
        <f>135*2.8</f>
        <v>378</v>
      </c>
      <c r="Q423" s="63">
        <v>4.0</v>
      </c>
      <c r="R423" s="58">
        <v>4.0</v>
      </c>
      <c r="S423" s="58">
        <v>4.0</v>
      </c>
      <c r="T423" s="58">
        <v>0.0</v>
      </c>
      <c r="U423" s="58">
        <v>4.0</v>
      </c>
      <c r="V423" s="58" t="s">
        <v>130</v>
      </c>
      <c r="W423" s="61" t="s">
        <v>76</v>
      </c>
      <c r="X423" s="28" t="s">
        <v>1033</v>
      </c>
      <c r="Y423" s="64">
        <v>31.0</v>
      </c>
      <c r="Z423" s="65">
        <f t="shared" si="2"/>
        <v>20.15</v>
      </c>
      <c r="AA423" s="65">
        <f t="shared" si="3"/>
        <v>7616.7</v>
      </c>
      <c r="AB423" s="65">
        <f t="shared" si="4"/>
        <v>4201.294524</v>
      </c>
      <c r="AC423" s="66">
        <v>1.0</v>
      </c>
      <c r="AD423" s="70"/>
      <c r="AE423" s="68">
        <f t="shared" si="5"/>
        <v>6557.377049</v>
      </c>
      <c r="AF423" s="69">
        <v>8000.0</v>
      </c>
      <c r="AG423" s="68">
        <f t="shared" si="6"/>
        <v>26229.5082</v>
      </c>
      <c r="AH423" s="70">
        <f t="shared" si="7"/>
        <v>32000</v>
      </c>
      <c r="AI423" s="71"/>
      <c r="AJ423" s="71"/>
      <c r="AK423" s="71"/>
      <c r="AL423" s="71"/>
    </row>
    <row r="424">
      <c r="A424" s="57" t="s">
        <v>1838</v>
      </c>
      <c r="B424" s="58" t="s">
        <v>165</v>
      </c>
      <c r="C424" s="58" t="s">
        <v>169</v>
      </c>
      <c r="D424" s="58" t="s">
        <v>1791</v>
      </c>
      <c r="E424" s="58" t="s">
        <v>1792</v>
      </c>
      <c r="F424" s="58" t="s">
        <v>103</v>
      </c>
      <c r="G424" s="59">
        <v>46205.0</v>
      </c>
      <c r="H424" s="58" t="s">
        <v>104</v>
      </c>
      <c r="I424" s="60" t="s">
        <v>1839</v>
      </c>
      <c r="J424" s="61" t="s">
        <v>1840</v>
      </c>
      <c r="K424" s="61" t="s">
        <v>1841</v>
      </c>
      <c r="L424" s="61" t="s">
        <v>1842</v>
      </c>
      <c r="M424" s="58">
        <v>2007.0</v>
      </c>
      <c r="N424" s="58">
        <v>19.0</v>
      </c>
      <c r="O424" s="62">
        <v>616.0</v>
      </c>
      <c r="P424" s="62">
        <f t="shared" ref="P424:P426" si="11">616*2.8</f>
        <v>1724.8</v>
      </c>
      <c r="Q424" s="63">
        <v>8.0</v>
      </c>
      <c r="R424" s="58">
        <v>4.0</v>
      </c>
      <c r="S424" s="58">
        <v>11.0</v>
      </c>
      <c r="T424" s="58">
        <v>4.0</v>
      </c>
      <c r="U424" s="58">
        <v>22.0</v>
      </c>
      <c r="V424" s="58" t="s">
        <v>130</v>
      </c>
      <c r="W424" s="61" t="s">
        <v>76</v>
      </c>
      <c r="X424" s="28" t="s">
        <v>1033</v>
      </c>
      <c r="Y424" s="64">
        <v>31.0</v>
      </c>
      <c r="Z424" s="65">
        <f t="shared" si="2"/>
        <v>14.65454545</v>
      </c>
      <c r="AA424" s="65">
        <f t="shared" si="3"/>
        <v>25276.16</v>
      </c>
      <c r="AB424" s="65">
        <f t="shared" si="4"/>
        <v>2532.030182</v>
      </c>
      <c r="AC424" s="66">
        <v>1.0</v>
      </c>
      <c r="AD424" s="70"/>
      <c r="AE424" s="68">
        <f t="shared" si="5"/>
        <v>6557.377049</v>
      </c>
      <c r="AF424" s="69">
        <v>8000.0</v>
      </c>
      <c r="AG424" s="68">
        <f t="shared" si="6"/>
        <v>52459.01639</v>
      </c>
      <c r="AH424" s="70">
        <f t="shared" si="7"/>
        <v>64000</v>
      </c>
      <c r="AI424" s="71"/>
      <c r="AJ424" s="71"/>
      <c r="AK424" s="71"/>
      <c r="AL424" s="71"/>
    </row>
    <row r="425">
      <c r="A425" s="57" t="s">
        <v>1843</v>
      </c>
      <c r="B425" s="58" t="s">
        <v>165</v>
      </c>
      <c r="C425" s="58" t="s">
        <v>169</v>
      </c>
      <c r="D425" s="58" t="s">
        <v>1791</v>
      </c>
      <c r="E425" s="58" t="s">
        <v>1792</v>
      </c>
      <c r="F425" s="58" t="s">
        <v>103</v>
      </c>
      <c r="G425" s="59">
        <v>46205.0</v>
      </c>
      <c r="H425" s="58" t="s">
        <v>104</v>
      </c>
      <c r="I425" s="60" t="s">
        <v>1844</v>
      </c>
      <c r="J425" s="61" t="s">
        <v>1840</v>
      </c>
      <c r="K425" s="61" t="s">
        <v>1841</v>
      </c>
      <c r="L425" s="61" t="s">
        <v>1842</v>
      </c>
      <c r="M425" s="58">
        <v>2007.0</v>
      </c>
      <c r="N425" s="58">
        <v>19.0</v>
      </c>
      <c r="O425" s="62">
        <v>616.0</v>
      </c>
      <c r="P425" s="62">
        <f t="shared" si="11"/>
        <v>1724.8</v>
      </c>
      <c r="Q425" s="63">
        <v>8.0</v>
      </c>
      <c r="R425" s="58">
        <v>4.0</v>
      </c>
      <c r="S425" s="58">
        <v>11.0</v>
      </c>
      <c r="T425" s="58">
        <v>4.0</v>
      </c>
      <c r="U425" s="58">
        <v>22.0</v>
      </c>
      <c r="V425" s="58" t="s">
        <v>130</v>
      </c>
      <c r="W425" s="61" t="s">
        <v>76</v>
      </c>
      <c r="X425" s="28" t="s">
        <v>1033</v>
      </c>
      <c r="Y425" s="64">
        <v>31.0</v>
      </c>
      <c r="Z425" s="65">
        <f t="shared" si="2"/>
        <v>14.65454545</v>
      </c>
      <c r="AA425" s="65">
        <f t="shared" si="3"/>
        <v>25276.16</v>
      </c>
      <c r="AB425" s="65">
        <f t="shared" si="4"/>
        <v>2532.030182</v>
      </c>
      <c r="AC425" s="66">
        <v>1.0</v>
      </c>
      <c r="AD425" s="67"/>
      <c r="AE425" s="68">
        <f t="shared" si="5"/>
        <v>6557.377049</v>
      </c>
      <c r="AF425" s="69">
        <v>8000.0</v>
      </c>
      <c r="AG425" s="68">
        <f t="shared" si="6"/>
        <v>52459.01639</v>
      </c>
      <c r="AH425" s="70">
        <f t="shared" si="7"/>
        <v>64000</v>
      </c>
      <c r="AI425" s="71"/>
      <c r="AJ425" s="71"/>
      <c r="AK425" s="71"/>
      <c r="AL425" s="71"/>
    </row>
    <row r="426">
      <c r="A426" s="57" t="s">
        <v>1845</v>
      </c>
      <c r="B426" s="58" t="s">
        <v>165</v>
      </c>
      <c r="C426" s="58" t="s">
        <v>169</v>
      </c>
      <c r="D426" s="58" t="s">
        <v>1791</v>
      </c>
      <c r="E426" s="58" t="s">
        <v>1792</v>
      </c>
      <c r="F426" s="58" t="s">
        <v>103</v>
      </c>
      <c r="G426" s="59">
        <v>46205.0</v>
      </c>
      <c r="H426" s="58" t="s">
        <v>104</v>
      </c>
      <c r="I426" s="60" t="s">
        <v>1846</v>
      </c>
      <c r="J426" s="61" t="s">
        <v>1840</v>
      </c>
      <c r="K426" s="61" t="s">
        <v>1841</v>
      </c>
      <c r="L426" s="61" t="s">
        <v>1842</v>
      </c>
      <c r="M426" s="58">
        <v>2007.0</v>
      </c>
      <c r="N426" s="58">
        <v>19.0</v>
      </c>
      <c r="O426" s="62">
        <v>616.0</v>
      </c>
      <c r="P426" s="62">
        <f t="shared" si="11"/>
        <v>1724.8</v>
      </c>
      <c r="Q426" s="63">
        <v>6.0</v>
      </c>
      <c r="R426" s="58">
        <v>3.0</v>
      </c>
      <c r="S426" s="58">
        <v>11.0</v>
      </c>
      <c r="T426" s="58">
        <v>3.0</v>
      </c>
      <c r="U426" s="58">
        <v>22.0</v>
      </c>
      <c r="V426" s="58" t="s">
        <v>130</v>
      </c>
      <c r="W426" s="61" t="s">
        <v>76</v>
      </c>
      <c r="X426" s="28" t="s">
        <v>1033</v>
      </c>
      <c r="Y426" s="64">
        <v>31.0</v>
      </c>
      <c r="Z426" s="65">
        <f t="shared" si="2"/>
        <v>10.99090909</v>
      </c>
      <c r="AA426" s="65">
        <f t="shared" si="3"/>
        <v>18957.12</v>
      </c>
      <c r="AB426" s="65">
        <f t="shared" si="4"/>
        <v>2532.030182</v>
      </c>
      <c r="AC426" s="66">
        <v>1.0</v>
      </c>
      <c r="AD426" s="67"/>
      <c r="AE426" s="68">
        <f t="shared" si="5"/>
        <v>6557.377049</v>
      </c>
      <c r="AF426" s="69">
        <v>8000.0</v>
      </c>
      <c r="AG426" s="68">
        <f t="shared" si="6"/>
        <v>39344.2623</v>
      </c>
      <c r="AH426" s="70">
        <f t="shared" si="7"/>
        <v>48000</v>
      </c>
      <c r="AI426" s="71"/>
      <c r="AJ426" s="71"/>
      <c r="AK426" s="71"/>
      <c r="AL426" s="71"/>
    </row>
    <row r="427">
      <c r="A427" s="57" t="s">
        <v>1847</v>
      </c>
      <c r="B427" s="58" t="s">
        <v>165</v>
      </c>
      <c r="C427" s="58" t="s">
        <v>169</v>
      </c>
      <c r="D427" s="58" t="s">
        <v>1375</v>
      </c>
      <c r="E427" s="58" t="s">
        <v>1375</v>
      </c>
      <c r="F427" s="58" t="s">
        <v>103</v>
      </c>
      <c r="G427" s="59">
        <v>46205.0</v>
      </c>
      <c r="H427" s="58" t="s">
        <v>104</v>
      </c>
      <c r="I427" s="60" t="s">
        <v>1848</v>
      </c>
      <c r="J427" s="61" t="s">
        <v>1849</v>
      </c>
      <c r="K427" s="61" t="s">
        <v>1850</v>
      </c>
      <c r="L427" s="61" t="s">
        <v>1851</v>
      </c>
      <c r="M427" s="58">
        <v>2008.0</v>
      </c>
      <c r="N427" s="58">
        <v>14.0</v>
      </c>
      <c r="O427" s="62">
        <v>128.0</v>
      </c>
      <c r="P427" s="62">
        <f>128*2.8</f>
        <v>358.4</v>
      </c>
      <c r="Q427" s="63">
        <v>2.0</v>
      </c>
      <c r="R427" s="58">
        <v>2.0</v>
      </c>
      <c r="S427" s="58">
        <v>2.0</v>
      </c>
      <c r="T427" s="58">
        <v>0.0</v>
      </c>
      <c r="U427" s="58">
        <v>4.0</v>
      </c>
      <c r="V427" s="58" t="s">
        <v>130</v>
      </c>
      <c r="W427" s="61" t="s">
        <v>76</v>
      </c>
      <c r="X427" s="28" t="s">
        <v>1033</v>
      </c>
      <c r="Y427" s="64">
        <v>31.0</v>
      </c>
      <c r="Z427" s="65">
        <f t="shared" si="2"/>
        <v>20.15</v>
      </c>
      <c r="AA427" s="65">
        <f t="shared" si="3"/>
        <v>7221.76</v>
      </c>
      <c r="AB427" s="65">
        <f t="shared" si="4"/>
        <v>2215.526409</v>
      </c>
      <c r="AC427" s="66">
        <v>1.0</v>
      </c>
      <c r="AD427" s="70"/>
      <c r="AE427" s="68">
        <f t="shared" si="5"/>
        <v>6557.377049</v>
      </c>
      <c r="AF427" s="69">
        <v>8000.0</v>
      </c>
      <c r="AG427" s="68">
        <f t="shared" si="6"/>
        <v>13114.7541</v>
      </c>
      <c r="AH427" s="70">
        <f t="shared" si="7"/>
        <v>16000</v>
      </c>
      <c r="AI427" s="71"/>
      <c r="AJ427" s="71"/>
      <c r="AK427" s="71"/>
      <c r="AL427" s="71"/>
    </row>
    <row r="428">
      <c r="A428" s="57" t="s">
        <v>1852</v>
      </c>
      <c r="B428" s="58" t="s">
        <v>165</v>
      </c>
      <c r="C428" s="58" t="s">
        <v>169</v>
      </c>
      <c r="D428" s="58" t="s">
        <v>1791</v>
      </c>
      <c r="E428" s="58" t="s">
        <v>1792</v>
      </c>
      <c r="F428" s="58" t="s">
        <v>103</v>
      </c>
      <c r="G428" s="59">
        <v>46205.0</v>
      </c>
      <c r="H428" s="58" t="s">
        <v>104</v>
      </c>
      <c r="I428" s="60" t="s">
        <v>1853</v>
      </c>
      <c r="J428" s="61" t="s">
        <v>1854</v>
      </c>
      <c r="K428" s="61" t="s">
        <v>1855</v>
      </c>
      <c r="L428" s="61" t="s">
        <v>1856</v>
      </c>
      <c r="M428" s="58">
        <v>2000.0</v>
      </c>
      <c r="N428" s="58">
        <v>12.0</v>
      </c>
      <c r="O428" s="62">
        <v>118.0</v>
      </c>
      <c r="P428" s="62">
        <f>118*2.8</f>
        <v>330.4</v>
      </c>
      <c r="Q428" s="63">
        <v>4.0</v>
      </c>
      <c r="R428" s="58">
        <v>0.0</v>
      </c>
      <c r="S428" s="58">
        <v>2.0</v>
      </c>
      <c r="T428" s="58">
        <v>4.0</v>
      </c>
      <c r="U428" s="58">
        <v>4.0</v>
      </c>
      <c r="V428" s="58" t="s">
        <v>130</v>
      </c>
      <c r="W428" s="61" t="s">
        <v>76</v>
      </c>
      <c r="X428" s="28" t="s">
        <v>1033</v>
      </c>
      <c r="Y428" s="64">
        <v>31.0</v>
      </c>
      <c r="Z428" s="65">
        <f t="shared" si="2"/>
        <v>40.3</v>
      </c>
      <c r="AA428" s="65">
        <f t="shared" si="3"/>
        <v>13315.12</v>
      </c>
      <c r="AB428" s="65">
        <f t="shared" si="4"/>
        <v>2403.282884</v>
      </c>
      <c r="AC428" s="66">
        <v>1.0</v>
      </c>
      <c r="AD428" s="70"/>
      <c r="AE428" s="68">
        <f t="shared" si="5"/>
        <v>6557.377049</v>
      </c>
      <c r="AF428" s="69">
        <v>8000.0</v>
      </c>
      <c r="AG428" s="68">
        <f t="shared" si="6"/>
        <v>26229.5082</v>
      </c>
      <c r="AH428" s="70">
        <f t="shared" si="7"/>
        <v>32000</v>
      </c>
      <c r="AI428" s="71"/>
      <c r="AJ428" s="71"/>
      <c r="AK428" s="71"/>
      <c r="AL428" s="71"/>
    </row>
    <row r="429">
      <c r="A429" s="76" t="s">
        <v>1857</v>
      </c>
      <c r="B429" s="74" t="s">
        <v>165</v>
      </c>
      <c r="C429" s="74" t="s">
        <v>169</v>
      </c>
      <c r="D429" s="74" t="s">
        <v>1472</v>
      </c>
      <c r="E429" s="74" t="s">
        <v>1473</v>
      </c>
      <c r="F429" s="58" t="s">
        <v>103</v>
      </c>
      <c r="G429" s="59">
        <v>46246.0</v>
      </c>
      <c r="H429" s="58" t="s">
        <v>104</v>
      </c>
      <c r="I429" s="77" t="s">
        <v>1858</v>
      </c>
      <c r="J429" s="75" t="s">
        <v>1859</v>
      </c>
      <c r="K429" s="75" t="s">
        <v>1860</v>
      </c>
      <c r="L429" s="75" t="s">
        <v>1861</v>
      </c>
      <c r="M429" s="74">
        <v>2010.0</v>
      </c>
      <c r="N429" s="74">
        <v>11.0</v>
      </c>
      <c r="O429" s="79">
        <v>167.0</v>
      </c>
      <c r="P429" s="79">
        <f>167*2.8</f>
        <v>467.6</v>
      </c>
      <c r="Q429" s="76">
        <v>8.0</v>
      </c>
      <c r="R429" s="74">
        <v>4.0</v>
      </c>
      <c r="S429" s="74">
        <v>4.0</v>
      </c>
      <c r="T429" s="74">
        <v>4.0</v>
      </c>
      <c r="U429" s="74">
        <v>4.0</v>
      </c>
      <c r="V429" s="74" t="s">
        <v>130</v>
      </c>
      <c r="W429" s="75" t="s">
        <v>76</v>
      </c>
      <c r="X429" s="28" t="s">
        <v>1033</v>
      </c>
      <c r="Y429" s="64">
        <v>31.0</v>
      </c>
      <c r="Z429" s="65">
        <f t="shared" si="2"/>
        <v>60.45</v>
      </c>
      <c r="AA429" s="65">
        <f t="shared" si="3"/>
        <v>28266.42</v>
      </c>
      <c r="AB429" s="65">
        <f t="shared" si="4"/>
        <v>2264.170701</v>
      </c>
      <c r="AC429" s="66">
        <v>1.0</v>
      </c>
      <c r="AD429" s="70"/>
      <c r="AE429" s="68">
        <f t="shared" si="5"/>
        <v>6557.377049</v>
      </c>
      <c r="AF429" s="69">
        <v>8000.0</v>
      </c>
      <c r="AG429" s="68">
        <f t="shared" si="6"/>
        <v>52459.01639</v>
      </c>
      <c r="AH429" s="70">
        <f t="shared" si="7"/>
        <v>64000</v>
      </c>
      <c r="AI429" s="71"/>
      <c r="AJ429" s="71"/>
      <c r="AK429" s="71"/>
      <c r="AL429" s="71"/>
    </row>
    <row r="430">
      <c r="A430" s="76" t="s">
        <v>1862</v>
      </c>
      <c r="B430" s="74" t="s">
        <v>165</v>
      </c>
      <c r="C430" s="74" t="s">
        <v>169</v>
      </c>
      <c r="D430" s="74" t="s">
        <v>1375</v>
      </c>
      <c r="E430" s="74" t="s">
        <v>1375</v>
      </c>
      <c r="F430" s="58" t="s">
        <v>103</v>
      </c>
      <c r="G430" s="59">
        <v>46246.0</v>
      </c>
      <c r="H430" s="58" t="s">
        <v>104</v>
      </c>
      <c r="I430" s="77" t="s">
        <v>1863</v>
      </c>
      <c r="J430" s="75" t="s">
        <v>1864</v>
      </c>
      <c r="K430" s="75" t="s">
        <v>1865</v>
      </c>
      <c r="L430" s="75" t="s">
        <v>1866</v>
      </c>
      <c r="M430" s="74">
        <v>2005.0</v>
      </c>
      <c r="N430" s="74">
        <v>9.0</v>
      </c>
      <c r="O430" s="79">
        <v>116.0</v>
      </c>
      <c r="P430" s="79">
        <f>116*2.8</f>
        <v>324.8</v>
      </c>
      <c r="Q430" s="76">
        <v>5.0</v>
      </c>
      <c r="R430" s="74">
        <v>5.0</v>
      </c>
      <c r="S430" s="74">
        <v>5.0</v>
      </c>
      <c r="T430" s="74">
        <v>0.0</v>
      </c>
      <c r="U430" s="74">
        <v>5.0</v>
      </c>
      <c r="V430" s="74" t="s">
        <v>130</v>
      </c>
      <c r="W430" s="75" t="s">
        <v>76</v>
      </c>
      <c r="X430" s="28" t="s">
        <v>1033</v>
      </c>
      <c r="Y430" s="64">
        <v>31.0</v>
      </c>
      <c r="Z430" s="65">
        <f t="shared" si="2"/>
        <v>20.15</v>
      </c>
      <c r="AA430" s="65">
        <f t="shared" si="3"/>
        <v>6544.72</v>
      </c>
      <c r="AB430" s="65">
        <f t="shared" si="4"/>
        <v>6111.796991</v>
      </c>
      <c r="AC430" s="66">
        <v>1.0</v>
      </c>
      <c r="AD430" s="67"/>
      <c r="AE430" s="68">
        <f t="shared" si="5"/>
        <v>6557.377049</v>
      </c>
      <c r="AF430" s="69">
        <v>8000.0</v>
      </c>
      <c r="AG430" s="68">
        <f t="shared" si="6"/>
        <v>32786.88525</v>
      </c>
      <c r="AH430" s="70">
        <f t="shared" si="7"/>
        <v>40000</v>
      </c>
      <c r="AI430" s="71"/>
      <c r="AJ430" s="71"/>
      <c r="AK430" s="71"/>
      <c r="AL430" s="71"/>
    </row>
    <row r="431">
      <c r="A431" s="76" t="s">
        <v>1867</v>
      </c>
      <c r="B431" s="74" t="s">
        <v>165</v>
      </c>
      <c r="C431" s="74" t="s">
        <v>169</v>
      </c>
      <c r="D431" s="74" t="s">
        <v>1791</v>
      </c>
      <c r="E431" s="78"/>
      <c r="F431" s="58" t="s">
        <v>103</v>
      </c>
      <c r="G431" s="59">
        <v>46246.0</v>
      </c>
      <c r="H431" s="58" t="s">
        <v>104</v>
      </c>
      <c r="I431" s="77" t="s">
        <v>1868</v>
      </c>
      <c r="J431" s="75" t="s">
        <v>1869</v>
      </c>
      <c r="K431" s="75" t="s">
        <v>1870</v>
      </c>
      <c r="L431" s="75" t="s">
        <v>1871</v>
      </c>
      <c r="M431" s="74">
        <v>2006.0</v>
      </c>
      <c r="N431" s="74">
        <v>10.0</v>
      </c>
      <c r="O431" s="79">
        <v>216.0</v>
      </c>
      <c r="P431" s="79">
        <f>216*2.8</f>
        <v>604.8</v>
      </c>
      <c r="Q431" s="76">
        <v>12.0</v>
      </c>
      <c r="R431" s="74">
        <v>6.0</v>
      </c>
      <c r="S431" s="74">
        <v>6.0</v>
      </c>
      <c r="T431" s="74">
        <v>6.0</v>
      </c>
      <c r="U431" s="74">
        <v>6.0</v>
      </c>
      <c r="V431" s="74" t="s">
        <v>130</v>
      </c>
      <c r="W431" s="75" t="s">
        <v>76</v>
      </c>
      <c r="X431" s="28" t="s">
        <v>1033</v>
      </c>
      <c r="Y431" s="64">
        <v>31.0</v>
      </c>
      <c r="Z431" s="65">
        <f t="shared" si="2"/>
        <v>60.45</v>
      </c>
      <c r="AA431" s="65">
        <f t="shared" si="3"/>
        <v>36560.16</v>
      </c>
      <c r="AB431" s="65">
        <f t="shared" si="4"/>
        <v>2625.809077</v>
      </c>
      <c r="AC431" s="66">
        <v>1.0</v>
      </c>
      <c r="AD431" s="67"/>
      <c r="AE431" s="68">
        <f t="shared" si="5"/>
        <v>6557.377049</v>
      </c>
      <c r="AF431" s="69">
        <v>8000.0</v>
      </c>
      <c r="AG431" s="68">
        <f t="shared" si="6"/>
        <v>78688.52459</v>
      </c>
      <c r="AH431" s="70">
        <f t="shared" si="7"/>
        <v>96000</v>
      </c>
      <c r="AI431" s="71"/>
      <c r="AJ431" s="71"/>
      <c r="AK431" s="71"/>
      <c r="AL431" s="71"/>
    </row>
    <row r="432">
      <c r="A432" s="76" t="s">
        <v>1872</v>
      </c>
      <c r="B432" s="74" t="s">
        <v>165</v>
      </c>
      <c r="C432" s="74" t="s">
        <v>169</v>
      </c>
      <c r="D432" s="74" t="s">
        <v>1472</v>
      </c>
      <c r="E432" s="78"/>
      <c r="F432" s="58" t="s">
        <v>103</v>
      </c>
      <c r="G432" s="59">
        <v>46246.0</v>
      </c>
      <c r="H432" s="58" t="s">
        <v>104</v>
      </c>
      <c r="I432" s="77" t="s">
        <v>1873</v>
      </c>
      <c r="J432" s="75" t="s">
        <v>1874</v>
      </c>
      <c r="K432" s="75" t="s">
        <v>1875</v>
      </c>
      <c r="L432" s="75" t="s">
        <v>1876</v>
      </c>
      <c r="M432" s="74">
        <v>2005.0</v>
      </c>
      <c r="N432" s="74">
        <v>9.0</v>
      </c>
      <c r="O432" s="79">
        <v>36.0</v>
      </c>
      <c r="P432" s="79">
        <f>36*2.8</f>
        <v>100.8</v>
      </c>
      <c r="Q432" s="76">
        <v>1.0</v>
      </c>
      <c r="R432" s="74">
        <v>1.0</v>
      </c>
      <c r="S432" s="74">
        <v>1.0</v>
      </c>
      <c r="T432" s="74">
        <v>0.0</v>
      </c>
      <c r="U432" s="74">
        <v>1.0</v>
      </c>
      <c r="V432" s="74" t="s">
        <v>130</v>
      </c>
      <c r="W432" s="75" t="s">
        <v>76</v>
      </c>
      <c r="X432" s="28" t="s">
        <v>1033</v>
      </c>
      <c r="Y432" s="64">
        <v>31.0</v>
      </c>
      <c r="Z432" s="65">
        <f t="shared" si="2"/>
        <v>20.15</v>
      </c>
      <c r="AA432" s="65">
        <f t="shared" si="3"/>
        <v>2031.12</v>
      </c>
      <c r="AB432" s="65">
        <f t="shared" si="4"/>
        <v>3938.713616</v>
      </c>
      <c r="AC432" s="66">
        <v>1.0</v>
      </c>
      <c r="AD432" s="70"/>
      <c r="AE432" s="68">
        <f t="shared" si="5"/>
        <v>6557.377049</v>
      </c>
      <c r="AF432" s="69">
        <v>8000.0</v>
      </c>
      <c r="AG432" s="68">
        <f t="shared" si="6"/>
        <v>6557.377049</v>
      </c>
      <c r="AH432" s="70">
        <f t="shared" si="7"/>
        <v>8000</v>
      </c>
      <c r="AI432" s="71"/>
      <c r="AJ432" s="71"/>
      <c r="AK432" s="71"/>
      <c r="AL432" s="71"/>
    </row>
    <row r="433">
      <c r="A433" s="57" t="s">
        <v>1877</v>
      </c>
      <c r="B433" s="58" t="s">
        <v>193</v>
      </c>
      <c r="C433" s="58" t="s">
        <v>194</v>
      </c>
      <c r="D433" s="58" t="s">
        <v>1878</v>
      </c>
      <c r="E433" s="58" t="s">
        <v>1879</v>
      </c>
      <c r="F433" s="58" t="s">
        <v>63</v>
      </c>
      <c r="G433" s="59">
        <v>45961.0</v>
      </c>
      <c r="H433" s="58" t="s">
        <v>65</v>
      </c>
      <c r="I433" s="60" t="s">
        <v>1880</v>
      </c>
      <c r="J433" s="61" t="s">
        <v>1881</v>
      </c>
      <c r="K433" s="61" t="s">
        <v>1882</v>
      </c>
      <c r="L433" s="61" t="s">
        <v>1883</v>
      </c>
      <c r="M433" s="58">
        <v>2019.0</v>
      </c>
      <c r="N433" s="58">
        <v>25.0</v>
      </c>
      <c r="O433" s="62">
        <v>264.0</v>
      </c>
      <c r="P433" s="62">
        <f t="shared" ref="P433:P681" si="12">O433*2.8</f>
        <v>739.2</v>
      </c>
      <c r="Q433" s="63">
        <v>1.0</v>
      </c>
      <c r="R433" s="58">
        <v>1.0</v>
      </c>
      <c r="S433" s="58">
        <v>1.0</v>
      </c>
      <c r="T433" s="58">
        <v>0.0</v>
      </c>
      <c r="U433" s="58">
        <v>4.0</v>
      </c>
      <c r="V433" s="58" t="s">
        <v>75</v>
      </c>
      <c r="W433" s="61" t="s">
        <v>76</v>
      </c>
      <c r="X433" s="28" t="s">
        <v>1033</v>
      </c>
      <c r="Y433" s="64">
        <v>31.0</v>
      </c>
      <c r="Z433" s="65">
        <f t="shared" si="2"/>
        <v>20.15</v>
      </c>
      <c r="AA433" s="65">
        <f t="shared" si="3"/>
        <v>14894.88</v>
      </c>
      <c r="AB433" s="65">
        <f t="shared" si="4"/>
        <v>537.0973113</v>
      </c>
      <c r="AC433" s="66">
        <v>1.0</v>
      </c>
      <c r="AD433" s="70"/>
      <c r="AE433" s="68">
        <f t="shared" si="5"/>
        <v>6557.377049</v>
      </c>
      <c r="AF433" s="69">
        <v>8000.0</v>
      </c>
      <c r="AG433" s="68">
        <f t="shared" si="6"/>
        <v>6557.377049</v>
      </c>
      <c r="AH433" s="70">
        <f t="shared" si="7"/>
        <v>8000</v>
      </c>
      <c r="AI433" s="71"/>
      <c r="AJ433" s="71"/>
      <c r="AK433" s="71"/>
      <c r="AL433" s="71"/>
    </row>
    <row r="434">
      <c r="A434" s="57" t="s">
        <v>1877</v>
      </c>
      <c r="B434" s="58" t="s">
        <v>193</v>
      </c>
      <c r="C434" s="58" t="s">
        <v>194</v>
      </c>
      <c r="D434" s="58" t="s">
        <v>1878</v>
      </c>
      <c r="E434" s="58" t="s">
        <v>1879</v>
      </c>
      <c r="F434" s="58" t="s">
        <v>63</v>
      </c>
      <c r="G434" s="59">
        <v>45961.0</v>
      </c>
      <c r="H434" s="58" t="s">
        <v>65</v>
      </c>
      <c r="I434" s="60" t="s">
        <v>1880</v>
      </c>
      <c r="J434" s="61" t="s">
        <v>1884</v>
      </c>
      <c r="K434" s="61" t="s">
        <v>1885</v>
      </c>
      <c r="L434" s="61" t="s">
        <v>1886</v>
      </c>
      <c r="M434" s="58">
        <v>2021.0</v>
      </c>
      <c r="N434" s="58">
        <v>25.0</v>
      </c>
      <c r="O434" s="62">
        <v>264.0</v>
      </c>
      <c r="P434" s="62">
        <f t="shared" si="12"/>
        <v>739.2</v>
      </c>
      <c r="Q434" s="63">
        <v>1.0</v>
      </c>
      <c r="R434" s="58">
        <v>1.0</v>
      </c>
      <c r="S434" s="58">
        <v>1.0</v>
      </c>
      <c r="T434" s="58">
        <v>0.0</v>
      </c>
      <c r="U434" s="58">
        <v>4.0</v>
      </c>
      <c r="V434" s="58" t="s">
        <v>75</v>
      </c>
      <c r="W434" s="61" t="s">
        <v>76</v>
      </c>
      <c r="X434" s="28" t="s">
        <v>1033</v>
      </c>
      <c r="Y434" s="64">
        <v>31.0</v>
      </c>
      <c r="Z434" s="65">
        <f t="shared" si="2"/>
        <v>20.15</v>
      </c>
      <c r="AA434" s="65">
        <f t="shared" si="3"/>
        <v>14894.88</v>
      </c>
      <c r="AB434" s="65">
        <f t="shared" si="4"/>
        <v>537.0973113</v>
      </c>
      <c r="AC434" s="66">
        <v>1.0</v>
      </c>
      <c r="AD434" s="70"/>
      <c r="AE434" s="68">
        <f t="shared" si="5"/>
        <v>6557.377049</v>
      </c>
      <c r="AF434" s="69">
        <v>8000.0</v>
      </c>
      <c r="AG434" s="68">
        <f t="shared" si="6"/>
        <v>6557.377049</v>
      </c>
      <c r="AH434" s="70">
        <f t="shared" si="7"/>
        <v>8000</v>
      </c>
      <c r="AI434" s="71"/>
      <c r="AJ434" s="71"/>
      <c r="AK434" s="71"/>
      <c r="AL434" s="71"/>
    </row>
    <row r="435">
      <c r="A435" s="57" t="s">
        <v>1887</v>
      </c>
      <c r="B435" s="58" t="s">
        <v>193</v>
      </c>
      <c r="C435" s="58" t="s">
        <v>194</v>
      </c>
      <c r="D435" s="58" t="s">
        <v>1878</v>
      </c>
      <c r="E435" s="58" t="s">
        <v>1879</v>
      </c>
      <c r="F435" s="58" t="s">
        <v>103</v>
      </c>
      <c r="G435" s="59">
        <v>45961.0</v>
      </c>
      <c r="H435" s="58" t="s">
        <v>65</v>
      </c>
      <c r="I435" s="60" t="s">
        <v>1888</v>
      </c>
      <c r="J435" s="61" t="s">
        <v>1889</v>
      </c>
      <c r="K435" s="61" t="s">
        <v>1890</v>
      </c>
      <c r="L435" s="61" t="s">
        <v>1891</v>
      </c>
      <c r="M435" s="58">
        <v>2019.0</v>
      </c>
      <c r="N435" s="58">
        <v>19.0</v>
      </c>
      <c r="O435" s="62">
        <v>162.0</v>
      </c>
      <c r="P435" s="62">
        <f t="shared" si="12"/>
        <v>453.6</v>
      </c>
      <c r="Q435" s="63">
        <v>1.0</v>
      </c>
      <c r="R435" s="58">
        <v>1.0</v>
      </c>
      <c r="S435" s="58">
        <v>1.0</v>
      </c>
      <c r="T435" s="58">
        <v>0.0</v>
      </c>
      <c r="U435" s="58">
        <v>3.0</v>
      </c>
      <c r="V435" s="58" t="s">
        <v>75</v>
      </c>
      <c r="W435" s="61" t="s">
        <v>76</v>
      </c>
      <c r="X435" s="28" t="s">
        <v>1033</v>
      </c>
      <c r="Y435" s="64">
        <v>31.0</v>
      </c>
      <c r="Z435" s="65">
        <f t="shared" si="2"/>
        <v>20.15</v>
      </c>
      <c r="AA435" s="65">
        <f t="shared" si="3"/>
        <v>9140.04</v>
      </c>
      <c r="AB435" s="65">
        <f t="shared" si="4"/>
        <v>875.2696925</v>
      </c>
      <c r="AC435" s="66">
        <v>1.0</v>
      </c>
      <c r="AD435" s="67"/>
      <c r="AE435" s="68">
        <f t="shared" si="5"/>
        <v>6557.377049</v>
      </c>
      <c r="AF435" s="69">
        <v>8000.0</v>
      </c>
      <c r="AG435" s="68">
        <f t="shared" si="6"/>
        <v>6557.377049</v>
      </c>
      <c r="AH435" s="70">
        <f t="shared" si="7"/>
        <v>8000</v>
      </c>
      <c r="AI435" s="71"/>
      <c r="AJ435" s="71"/>
      <c r="AK435" s="71"/>
      <c r="AL435" s="71"/>
    </row>
    <row r="436">
      <c r="A436" s="57" t="s">
        <v>1887</v>
      </c>
      <c r="B436" s="58" t="s">
        <v>193</v>
      </c>
      <c r="C436" s="58" t="s">
        <v>194</v>
      </c>
      <c r="D436" s="58" t="s">
        <v>1878</v>
      </c>
      <c r="E436" s="58" t="s">
        <v>1879</v>
      </c>
      <c r="F436" s="58" t="s">
        <v>103</v>
      </c>
      <c r="G436" s="59">
        <v>45961.0</v>
      </c>
      <c r="H436" s="58" t="s">
        <v>65</v>
      </c>
      <c r="I436" s="60" t="s">
        <v>1888</v>
      </c>
      <c r="J436" s="61" t="s">
        <v>1892</v>
      </c>
      <c r="K436" s="61" t="s">
        <v>1893</v>
      </c>
      <c r="L436" s="61" t="s">
        <v>1894</v>
      </c>
      <c r="M436" s="58">
        <v>2019.0</v>
      </c>
      <c r="N436" s="58">
        <v>19.0</v>
      </c>
      <c r="O436" s="62">
        <v>162.0</v>
      </c>
      <c r="P436" s="62">
        <f t="shared" si="12"/>
        <v>453.6</v>
      </c>
      <c r="Q436" s="63">
        <v>1.0</v>
      </c>
      <c r="R436" s="58">
        <v>1.0</v>
      </c>
      <c r="S436" s="58">
        <v>1.0</v>
      </c>
      <c r="T436" s="58">
        <v>0.0</v>
      </c>
      <c r="U436" s="58">
        <v>3.0</v>
      </c>
      <c r="V436" s="58" t="s">
        <v>75</v>
      </c>
      <c r="W436" s="61" t="s">
        <v>76</v>
      </c>
      <c r="X436" s="28" t="s">
        <v>1033</v>
      </c>
      <c r="Y436" s="64">
        <v>31.0</v>
      </c>
      <c r="Z436" s="65">
        <f t="shared" si="2"/>
        <v>20.15</v>
      </c>
      <c r="AA436" s="65">
        <f t="shared" si="3"/>
        <v>9140.04</v>
      </c>
      <c r="AB436" s="65">
        <f t="shared" si="4"/>
        <v>875.2696925</v>
      </c>
      <c r="AC436" s="66">
        <v>1.0</v>
      </c>
      <c r="AD436" s="67"/>
      <c r="AE436" s="68">
        <f t="shared" si="5"/>
        <v>6557.377049</v>
      </c>
      <c r="AF436" s="69">
        <v>8000.0</v>
      </c>
      <c r="AG436" s="68">
        <f t="shared" si="6"/>
        <v>6557.377049</v>
      </c>
      <c r="AH436" s="70">
        <f t="shared" si="7"/>
        <v>8000</v>
      </c>
      <c r="AI436" s="71"/>
      <c r="AJ436" s="71"/>
      <c r="AK436" s="71"/>
      <c r="AL436" s="71"/>
    </row>
    <row r="437">
      <c r="A437" s="57" t="s">
        <v>1887</v>
      </c>
      <c r="B437" s="58" t="s">
        <v>193</v>
      </c>
      <c r="C437" s="58" t="s">
        <v>194</v>
      </c>
      <c r="D437" s="58" t="s">
        <v>1878</v>
      </c>
      <c r="E437" s="58" t="s">
        <v>1879</v>
      </c>
      <c r="F437" s="58" t="s">
        <v>103</v>
      </c>
      <c r="G437" s="59">
        <v>45961.0</v>
      </c>
      <c r="H437" s="58" t="s">
        <v>65</v>
      </c>
      <c r="I437" s="60" t="s">
        <v>1888</v>
      </c>
      <c r="J437" s="61" t="s">
        <v>1895</v>
      </c>
      <c r="K437" s="61" t="s">
        <v>1896</v>
      </c>
      <c r="L437" s="61" t="s">
        <v>1897</v>
      </c>
      <c r="M437" s="58">
        <v>2019.0</v>
      </c>
      <c r="N437" s="58">
        <v>23.0</v>
      </c>
      <c r="O437" s="62">
        <v>308.0</v>
      </c>
      <c r="P437" s="62">
        <f t="shared" si="12"/>
        <v>862.4</v>
      </c>
      <c r="Q437" s="63">
        <v>1.0</v>
      </c>
      <c r="R437" s="58">
        <v>1.0</v>
      </c>
      <c r="S437" s="58">
        <v>1.0</v>
      </c>
      <c r="T437" s="58">
        <v>0.0</v>
      </c>
      <c r="U437" s="58">
        <v>4.0</v>
      </c>
      <c r="V437" s="58" t="s">
        <v>75</v>
      </c>
      <c r="W437" s="61" t="s">
        <v>76</v>
      </c>
      <c r="X437" s="28" t="s">
        <v>1033</v>
      </c>
      <c r="Y437" s="64">
        <v>31.0</v>
      </c>
      <c r="Z437" s="65">
        <f t="shared" si="2"/>
        <v>20.15</v>
      </c>
      <c r="AA437" s="65">
        <f t="shared" si="3"/>
        <v>17377.36</v>
      </c>
      <c r="AB437" s="65">
        <f t="shared" si="4"/>
        <v>460.369124</v>
      </c>
      <c r="AC437" s="66">
        <v>1.0</v>
      </c>
      <c r="AD437" s="70"/>
      <c r="AE437" s="68">
        <f t="shared" si="5"/>
        <v>6557.377049</v>
      </c>
      <c r="AF437" s="69">
        <v>8000.0</v>
      </c>
      <c r="AG437" s="68">
        <f t="shared" si="6"/>
        <v>6557.377049</v>
      </c>
      <c r="AH437" s="70">
        <f t="shared" si="7"/>
        <v>8000</v>
      </c>
      <c r="AI437" s="71"/>
      <c r="AJ437" s="71"/>
      <c r="AK437" s="71"/>
      <c r="AL437" s="71"/>
    </row>
    <row r="438">
      <c r="A438" s="57" t="s">
        <v>1887</v>
      </c>
      <c r="B438" s="58" t="s">
        <v>193</v>
      </c>
      <c r="C438" s="58" t="s">
        <v>194</v>
      </c>
      <c r="D438" s="58" t="s">
        <v>1878</v>
      </c>
      <c r="E438" s="58" t="s">
        <v>1879</v>
      </c>
      <c r="F438" s="58" t="s">
        <v>103</v>
      </c>
      <c r="G438" s="59">
        <v>45961.0</v>
      </c>
      <c r="H438" s="58" t="s">
        <v>65</v>
      </c>
      <c r="I438" s="60" t="s">
        <v>1888</v>
      </c>
      <c r="J438" s="61" t="s">
        <v>1898</v>
      </c>
      <c r="K438" s="61" t="s">
        <v>1899</v>
      </c>
      <c r="L438" s="61" t="s">
        <v>1900</v>
      </c>
      <c r="M438" s="58">
        <v>2021.0</v>
      </c>
      <c r="N438" s="58">
        <v>25.0</v>
      </c>
      <c r="O438" s="62">
        <v>263.0</v>
      </c>
      <c r="P438" s="62">
        <f t="shared" si="12"/>
        <v>736.4</v>
      </c>
      <c r="Q438" s="63">
        <v>1.0</v>
      </c>
      <c r="R438" s="58">
        <v>1.0</v>
      </c>
      <c r="S438" s="58">
        <v>1.0</v>
      </c>
      <c r="T438" s="58">
        <v>0.0</v>
      </c>
      <c r="U438" s="58">
        <v>4.0</v>
      </c>
      <c r="V438" s="58" t="s">
        <v>75</v>
      </c>
      <c r="W438" s="61" t="s">
        <v>76</v>
      </c>
      <c r="X438" s="28" t="s">
        <v>1033</v>
      </c>
      <c r="Y438" s="64">
        <v>31.0</v>
      </c>
      <c r="Z438" s="65">
        <f t="shared" si="2"/>
        <v>20.15</v>
      </c>
      <c r="AA438" s="65">
        <f t="shared" si="3"/>
        <v>14838.46</v>
      </c>
      <c r="AB438" s="65">
        <f t="shared" si="4"/>
        <v>539.1395064</v>
      </c>
      <c r="AC438" s="66">
        <v>1.0</v>
      </c>
      <c r="AD438" s="70"/>
      <c r="AE438" s="68">
        <f t="shared" si="5"/>
        <v>6557.377049</v>
      </c>
      <c r="AF438" s="69">
        <v>8000.0</v>
      </c>
      <c r="AG438" s="68">
        <f t="shared" si="6"/>
        <v>6557.377049</v>
      </c>
      <c r="AH438" s="70">
        <f t="shared" si="7"/>
        <v>8000</v>
      </c>
      <c r="AI438" s="71"/>
      <c r="AJ438" s="71"/>
      <c r="AK438" s="71"/>
      <c r="AL438" s="71"/>
    </row>
    <row r="439">
      <c r="A439" s="57" t="s">
        <v>1887</v>
      </c>
      <c r="B439" s="58" t="s">
        <v>193</v>
      </c>
      <c r="C439" s="58" t="s">
        <v>194</v>
      </c>
      <c r="D439" s="58" t="s">
        <v>1878</v>
      </c>
      <c r="E439" s="58" t="s">
        <v>1879</v>
      </c>
      <c r="F439" s="58" t="s">
        <v>103</v>
      </c>
      <c r="G439" s="59">
        <v>45961.0</v>
      </c>
      <c r="H439" s="58" t="s">
        <v>65</v>
      </c>
      <c r="I439" s="60" t="s">
        <v>1888</v>
      </c>
      <c r="J439" s="61" t="s">
        <v>1901</v>
      </c>
      <c r="K439" s="61" t="s">
        <v>1902</v>
      </c>
      <c r="L439" s="61" t="s">
        <v>1903</v>
      </c>
      <c r="M439" s="58">
        <v>2018.0</v>
      </c>
      <c r="N439" s="58">
        <v>19.0</v>
      </c>
      <c r="O439" s="62">
        <v>162.0</v>
      </c>
      <c r="P439" s="62">
        <f t="shared" si="12"/>
        <v>453.6</v>
      </c>
      <c r="Q439" s="63">
        <v>1.0</v>
      </c>
      <c r="R439" s="58">
        <v>1.0</v>
      </c>
      <c r="S439" s="58">
        <v>1.0</v>
      </c>
      <c r="T439" s="58">
        <v>0.0</v>
      </c>
      <c r="U439" s="58">
        <v>2.0</v>
      </c>
      <c r="V439" s="58" t="s">
        <v>75</v>
      </c>
      <c r="W439" s="61" t="s">
        <v>76</v>
      </c>
      <c r="X439" s="28" t="s">
        <v>1033</v>
      </c>
      <c r="Y439" s="64">
        <v>31.0</v>
      </c>
      <c r="Z439" s="65">
        <f t="shared" si="2"/>
        <v>20.15</v>
      </c>
      <c r="AA439" s="65">
        <f t="shared" si="3"/>
        <v>9140.04</v>
      </c>
      <c r="AB439" s="65">
        <f t="shared" si="4"/>
        <v>875.2696925</v>
      </c>
      <c r="AC439" s="66">
        <v>1.0</v>
      </c>
      <c r="AD439" s="70"/>
      <c r="AE439" s="68">
        <f t="shared" si="5"/>
        <v>6557.377049</v>
      </c>
      <c r="AF439" s="69">
        <v>8000.0</v>
      </c>
      <c r="AG439" s="68">
        <f t="shared" si="6"/>
        <v>6557.377049</v>
      </c>
      <c r="AH439" s="70">
        <f t="shared" si="7"/>
        <v>8000</v>
      </c>
      <c r="AI439" s="71"/>
      <c r="AJ439" s="71"/>
      <c r="AK439" s="71"/>
      <c r="AL439" s="71"/>
    </row>
    <row r="440">
      <c r="A440" s="57" t="s">
        <v>1887</v>
      </c>
      <c r="B440" s="58" t="s">
        <v>193</v>
      </c>
      <c r="C440" s="58" t="s">
        <v>194</v>
      </c>
      <c r="D440" s="58" t="s">
        <v>1878</v>
      </c>
      <c r="E440" s="58" t="s">
        <v>1879</v>
      </c>
      <c r="F440" s="58" t="s">
        <v>103</v>
      </c>
      <c r="G440" s="59">
        <v>45961.0</v>
      </c>
      <c r="H440" s="58" t="s">
        <v>65</v>
      </c>
      <c r="I440" s="60" t="s">
        <v>1888</v>
      </c>
      <c r="J440" s="61" t="s">
        <v>1904</v>
      </c>
      <c r="K440" s="61" t="s">
        <v>1905</v>
      </c>
      <c r="L440" s="61" t="s">
        <v>1906</v>
      </c>
      <c r="M440" s="58">
        <v>2022.0</v>
      </c>
      <c r="N440" s="58">
        <v>23.0</v>
      </c>
      <c r="O440" s="62">
        <v>308.0</v>
      </c>
      <c r="P440" s="62">
        <f t="shared" si="12"/>
        <v>862.4</v>
      </c>
      <c r="Q440" s="63">
        <v>1.0</v>
      </c>
      <c r="R440" s="58">
        <v>1.0</v>
      </c>
      <c r="S440" s="58">
        <v>1.0</v>
      </c>
      <c r="T440" s="58">
        <v>0.0</v>
      </c>
      <c r="U440" s="58">
        <v>2.0</v>
      </c>
      <c r="V440" s="58" t="s">
        <v>75</v>
      </c>
      <c r="W440" s="61" t="s">
        <v>76</v>
      </c>
      <c r="X440" s="28" t="s">
        <v>1033</v>
      </c>
      <c r="Y440" s="64">
        <v>31.0</v>
      </c>
      <c r="Z440" s="65">
        <f t="shared" si="2"/>
        <v>20.15</v>
      </c>
      <c r="AA440" s="65">
        <f t="shared" si="3"/>
        <v>17377.36</v>
      </c>
      <c r="AB440" s="65">
        <f t="shared" si="4"/>
        <v>460.369124</v>
      </c>
      <c r="AC440" s="66">
        <v>1.0</v>
      </c>
      <c r="AD440" s="67"/>
      <c r="AE440" s="68">
        <f t="shared" si="5"/>
        <v>6557.377049</v>
      </c>
      <c r="AF440" s="69">
        <v>8000.0</v>
      </c>
      <c r="AG440" s="68">
        <f t="shared" si="6"/>
        <v>6557.377049</v>
      </c>
      <c r="AH440" s="70">
        <f t="shared" si="7"/>
        <v>8000</v>
      </c>
      <c r="AI440" s="71"/>
      <c r="AJ440" s="71"/>
      <c r="AK440" s="71"/>
      <c r="AL440" s="71"/>
    </row>
    <row r="441">
      <c r="A441" s="57" t="s">
        <v>1907</v>
      </c>
      <c r="B441" s="58" t="s">
        <v>193</v>
      </c>
      <c r="C441" s="58" t="s">
        <v>194</v>
      </c>
      <c r="D441" s="58" t="s">
        <v>1878</v>
      </c>
      <c r="E441" s="58" t="s">
        <v>1908</v>
      </c>
      <c r="F441" s="58" t="s">
        <v>63</v>
      </c>
      <c r="G441" s="59">
        <v>45974.0</v>
      </c>
      <c r="H441" s="58" t="s">
        <v>65</v>
      </c>
      <c r="I441" s="60" t="s">
        <v>1909</v>
      </c>
      <c r="J441" s="61" t="s">
        <v>1910</v>
      </c>
      <c r="K441" s="61" t="s">
        <v>1911</v>
      </c>
      <c r="L441" s="61" t="s">
        <v>1912</v>
      </c>
      <c r="M441" s="58">
        <v>2018.0</v>
      </c>
      <c r="N441" s="58">
        <v>19.0</v>
      </c>
      <c r="O441" s="62">
        <v>162.0</v>
      </c>
      <c r="P441" s="62">
        <f t="shared" si="12"/>
        <v>453.6</v>
      </c>
      <c r="Q441" s="63">
        <v>1.0</v>
      </c>
      <c r="R441" s="58">
        <v>1.0</v>
      </c>
      <c r="S441" s="58">
        <v>1.0</v>
      </c>
      <c r="T441" s="58">
        <v>0.0</v>
      </c>
      <c r="U441" s="58">
        <v>2.0</v>
      </c>
      <c r="V441" s="58" t="s">
        <v>75</v>
      </c>
      <c r="W441" s="61" t="s">
        <v>76</v>
      </c>
      <c r="X441" s="28" t="s">
        <v>1033</v>
      </c>
      <c r="Y441" s="64">
        <v>31.0</v>
      </c>
      <c r="Z441" s="65">
        <f t="shared" si="2"/>
        <v>20.15</v>
      </c>
      <c r="AA441" s="65">
        <f t="shared" si="3"/>
        <v>9140.04</v>
      </c>
      <c r="AB441" s="65">
        <f t="shared" si="4"/>
        <v>875.2696925</v>
      </c>
      <c r="AC441" s="66">
        <v>1.0</v>
      </c>
      <c r="AD441" s="67"/>
      <c r="AE441" s="68">
        <f t="shared" si="5"/>
        <v>6557.377049</v>
      </c>
      <c r="AF441" s="69">
        <v>8000.0</v>
      </c>
      <c r="AG441" s="68">
        <f t="shared" si="6"/>
        <v>6557.377049</v>
      </c>
      <c r="AH441" s="70">
        <f t="shared" si="7"/>
        <v>8000</v>
      </c>
      <c r="AI441" s="71"/>
      <c r="AJ441" s="71"/>
      <c r="AK441" s="71"/>
      <c r="AL441" s="71"/>
    </row>
    <row r="442">
      <c r="A442" s="57" t="s">
        <v>1913</v>
      </c>
      <c r="B442" s="58" t="s">
        <v>193</v>
      </c>
      <c r="C442" s="58" t="s">
        <v>216</v>
      </c>
      <c r="D442" s="58" t="s">
        <v>1914</v>
      </c>
      <c r="E442" s="58" t="s">
        <v>1908</v>
      </c>
      <c r="F442" s="58" t="s">
        <v>103</v>
      </c>
      <c r="G442" s="59">
        <v>45974.0</v>
      </c>
      <c r="H442" s="58" t="s">
        <v>65</v>
      </c>
      <c r="I442" s="60" t="s">
        <v>1615</v>
      </c>
      <c r="J442" s="61" t="s">
        <v>1915</v>
      </c>
      <c r="K442" s="61" t="s">
        <v>1916</v>
      </c>
      <c r="L442" s="61" t="s">
        <v>1917</v>
      </c>
      <c r="M442" s="58">
        <v>2023.0</v>
      </c>
      <c r="N442" s="58">
        <v>16.0</v>
      </c>
      <c r="O442" s="62">
        <v>176.0</v>
      </c>
      <c r="P442" s="62">
        <f t="shared" si="12"/>
        <v>492.8</v>
      </c>
      <c r="Q442" s="63">
        <v>1.0</v>
      </c>
      <c r="R442" s="58">
        <v>1.0</v>
      </c>
      <c r="S442" s="58">
        <v>1.0</v>
      </c>
      <c r="T442" s="58">
        <v>0.0</v>
      </c>
      <c r="U442" s="58">
        <v>3.0</v>
      </c>
      <c r="V442" s="58" t="s">
        <v>75</v>
      </c>
      <c r="W442" s="61" t="s">
        <v>76</v>
      </c>
      <c r="X442" s="28" t="s">
        <v>1033</v>
      </c>
      <c r="Y442" s="64">
        <v>31.0</v>
      </c>
      <c r="Z442" s="65">
        <f t="shared" si="2"/>
        <v>20.15</v>
      </c>
      <c r="AA442" s="65">
        <f t="shared" si="3"/>
        <v>9929.92</v>
      </c>
      <c r="AB442" s="65">
        <f t="shared" si="4"/>
        <v>805.6459669</v>
      </c>
      <c r="AC442" s="66">
        <v>1.0</v>
      </c>
      <c r="AD442" s="70"/>
      <c r="AE442" s="68">
        <f t="shared" si="5"/>
        <v>6557.377049</v>
      </c>
      <c r="AF442" s="69">
        <v>8000.0</v>
      </c>
      <c r="AG442" s="68">
        <f t="shared" si="6"/>
        <v>6557.377049</v>
      </c>
      <c r="AH442" s="70">
        <f t="shared" si="7"/>
        <v>8000</v>
      </c>
      <c r="AI442" s="71"/>
      <c r="AJ442" s="71"/>
      <c r="AK442" s="71"/>
      <c r="AL442" s="71"/>
    </row>
    <row r="443">
      <c r="A443" s="57" t="s">
        <v>1913</v>
      </c>
      <c r="B443" s="58" t="s">
        <v>193</v>
      </c>
      <c r="C443" s="58" t="s">
        <v>216</v>
      </c>
      <c r="D443" s="58" t="s">
        <v>1914</v>
      </c>
      <c r="E443" s="58" t="s">
        <v>1908</v>
      </c>
      <c r="F443" s="58" t="s">
        <v>103</v>
      </c>
      <c r="G443" s="59">
        <v>45974.0</v>
      </c>
      <c r="H443" s="58" t="s">
        <v>65</v>
      </c>
      <c r="I443" s="60" t="s">
        <v>1615</v>
      </c>
      <c r="J443" s="61" t="s">
        <v>1918</v>
      </c>
      <c r="K443" s="61" t="s">
        <v>1919</v>
      </c>
      <c r="L443" s="61" t="s">
        <v>1920</v>
      </c>
      <c r="M443" s="58">
        <v>2022.0</v>
      </c>
      <c r="N443" s="58">
        <v>9.0</v>
      </c>
      <c r="O443" s="62">
        <v>69.0</v>
      </c>
      <c r="P443" s="62">
        <f t="shared" si="12"/>
        <v>193.2</v>
      </c>
      <c r="Q443" s="63">
        <v>1.0</v>
      </c>
      <c r="R443" s="58">
        <v>1.0</v>
      </c>
      <c r="S443" s="58">
        <v>1.0</v>
      </c>
      <c r="T443" s="58">
        <v>0.0</v>
      </c>
      <c r="U443" s="58">
        <v>2.0</v>
      </c>
      <c r="V443" s="58" t="s">
        <v>75</v>
      </c>
      <c r="W443" s="61" t="s">
        <v>76</v>
      </c>
      <c r="X443" s="28" t="s">
        <v>1033</v>
      </c>
      <c r="Y443" s="64">
        <v>31.0</v>
      </c>
      <c r="Z443" s="65">
        <f t="shared" si="2"/>
        <v>20.15</v>
      </c>
      <c r="AA443" s="65">
        <f t="shared" si="3"/>
        <v>3892.98</v>
      </c>
      <c r="AB443" s="65">
        <f t="shared" si="4"/>
        <v>2054.981017</v>
      </c>
      <c r="AC443" s="66">
        <v>1.0</v>
      </c>
      <c r="AD443" s="70"/>
      <c r="AE443" s="68">
        <f t="shared" si="5"/>
        <v>6557.377049</v>
      </c>
      <c r="AF443" s="69">
        <v>8000.0</v>
      </c>
      <c r="AG443" s="68">
        <f t="shared" si="6"/>
        <v>6557.377049</v>
      </c>
      <c r="AH443" s="70">
        <f t="shared" si="7"/>
        <v>8000</v>
      </c>
      <c r="AI443" s="71"/>
      <c r="AJ443" s="71"/>
      <c r="AK443" s="71"/>
      <c r="AL443" s="71"/>
    </row>
    <row r="444">
      <c r="A444" s="57" t="s">
        <v>1913</v>
      </c>
      <c r="B444" s="58" t="s">
        <v>193</v>
      </c>
      <c r="C444" s="58" t="s">
        <v>216</v>
      </c>
      <c r="D444" s="58" t="s">
        <v>1914</v>
      </c>
      <c r="E444" s="58" t="s">
        <v>1908</v>
      </c>
      <c r="F444" s="58" t="s">
        <v>103</v>
      </c>
      <c r="G444" s="59">
        <v>45974.0</v>
      </c>
      <c r="H444" s="58" t="s">
        <v>65</v>
      </c>
      <c r="I444" s="60" t="s">
        <v>1615</v>
      </c>
      <c r="J444" s="61" t="s">
        <v>1921</v>
      </c>
      <c r="K444" s="61" t="s">
        <v>1922</v>
      </c>
      <c r="L444" s="61" t="s">
        <v>1923</v>
      </c>
      <c r="M444" s="58">
        <v>2019.0</v>
      </c>
      <c r="N444" s="58">
        <v>9.0</v>
      </c>
      <c r="O444" s="62">
        <v>75.0</v>
      </c>
      <c r="P444" s="62">
        <f t="shared" si="12"/>
        <v>210</v>
      </c>
      <c r="Q444" s="63">
        <v>1.0</v>
      </c>
      <c r="R444" s="58">
        <v>1.0</v>
      </c>
      <c r="S444" s="58">
        <v>1.0</v>
      </c>
      <c r="T444" s="58">
        <v>0.0</v>
      </c>
      <c r="U444" s="58">
        <v>2.0</v>
      </c>
      <c r="V444" s="58" t="s">
        <v>75</v>
      </c>
      <c r="W444" s="61" t="s">
        <v>76</v>
      </c>
      <c r="X444" s="28" t="s">
        <v>1033</v>
      </c>
      <c r="Y444" s="64">
        <v>31.0</v>
      </c>
      <c r="Z444" s="65">
        <f t="shared" si="2"/>
        <v>20.15</v>
      </c>
      <c r="AA444" s="65">
        <f t="shared" si="3"/>
        <v>4231.5</v>
      </c>
      <c r="AB444" s="65">
        <f t="shared" si="4"/>
        <v>1890.582536</v>
      </c>
      <c r="AC444" s="66">
        <v>1.0</v>
      </c>
      <c r="AD444" s="70"/>
      <c r="AE444" s="68">
        <f t="shared" si="5"/>
        <v>6557.377049</v>
      </c>
      <c r="AF444" s="69">
        <v>8000.0</v>
      </c>
      <c r="AG444" s="68">
        <f t="shared" si="6"/>
        <v>6557.377049</v>
      </c>
      <c r="AH444" s="70">
        <f t="shared" si="7"/>
        <v>8000</v>
      </c>
      <c r="AI444" s="71"/>
      <c r="AJ444" s="71"/>
      <c r="AK444" s="71"/>
      <c r="AL444" s="71"/>
    </row>
    <row r="445">
      <c r="A445" s="57" t="s">
        <v>1913</v>
      </c>
      <c r="B445" s="58" t="s">
        <v>193</v>
      </c>
      <c r="C445" s="58" t="s">
        <v>216</v>
      </c>
      <c r="D445" s="58" t="s">
        <v>1914</v>
      </c>
      <c r="E445" s="58" t="s">
        <v>1908</v>
      </c>
      <c r="F445" s="58" t="s">
        <v>103</v>
      </c>
      <c r="G445" s="59">
        <v>45974.0</v>
      </c>
      <c r="H445" s="58" t="s">
        <v>65</v>
      </c>
      <c r="I445" s="60" t="s">
        <v>1615</v>
      </c>
      <c r="J445" s="61" t="s">
        <v>1924</v>
      </c>
      <c r="K445" s="61" t="s">
        <v>1925</v>
      </c>
      <c r="L445" s="61" t="s">
        <v>1926</v>
      </c>
      <c r="M445" s="58">
        <v>2022.0</v>
      </c>
      <c r="N445" s="58">
        <v>9.0</v>
      </c>
      <c r="O445" s="62">
        <v>63.0</v>
      </c>
      <c r="P445" s="62">
        <f t="shared" si="12"/>
        <v>176.4</v>
      </c>
      <c r="Q445" s="63">
        <v>1.0</v>
      </c>
      <c r="R445" s="58">
        <v>1.0</v>
      </c>
      <c r="S445" s="58">
        <v>1.0</v>
      </c>
      <c r="T445" s="58">
        <v>0.0</v>
      </c>
      <c r="U445" s="58">
        <v>3.0</v>
      </c>
      <c r="V445" s="58" t="s">
        <v>75</v>
      </c>
      <c r="W445" s="61" t="s">
        <v>76</v>
      </c>
      <c r="X445" s="28" t="s">
        <v>1033</v>
      </c>
      <c r="Y445" s="64">
        <v>31.0</v>
      </c>
      <c r="Z445" s="65">
        <f t="shared" si="2"/>
        <v>20.15</v>
      </c>
      <c r="AA445" s="65">
        <f t="shared" si="3"/>
        <v>3554.46</v>
      </c>
      <c r="AB445" s="65">
        <f t="shared" si="4"/>
        <v>2250.693495</v>
      </c>
      <c r="AC445" s="66">
        <v>1.0</v>
      </c>
      <c r="AD445" s="67"/>
      <c r="AE445" s="68">
        <f t="shared" si="5"/>
        <v>6557.377049</v>
      </c>
      <c r="AF445" s="69">
        <v>8000.0</v>
      </c>
      <c r="AG445" s="68">
        <f t="shared" si="6"/>
        <v>6557.377049</v>
      </c>
      <c r="AH445" s="70">
        <f t="shared" si="7"/>
        <v>8000</v>
      </c>
      <c r="AI445" s="71"/>
      <c r="AJ445" s="71"/>
      <c r="AK445" s="71"/>
      <c r="AL445" s="71"/>
    </row>
    <row r="446">
      <c r="A446" s="57" t="s">
        <v>1913</v>
      </c>
      <c r="B446" s="58" t="s">
        <v>193</v>
      </c>
      <c r="C446" s="58" t="s">
        <v>216</v>
      </c>
      <c r="D446" s="58" t="s">
        <v>1914</v>
      </c>
      <c r="E446" s="58" t="s">
        <v>1908</v>
      </c>
      <c r="F446" s="58" t="s">
        <v>103</v>
      </c>
      <c r="G446" s="59">
        <v>45974.0</v>
      </c>
      <c r="H446" s="58" t="s">
        <v>65</v>
      </c>
      <c r="I446" s="60" t="s">
        <v>1615</v>
      </c>
      <c r="J446" s="61" t="s">
        <v>1927</v>
      </c>
      <c r="K446" s="61" t="s">
        <v>1928</v>
      </c>
      <c r="L446" s="61" t="s">
        <v>1929</v>
      </c>
      <c r="M446" s="58">
        <v>2018.0</v>
      </c>
      <c r="N446" s="58">
        <v>9.0</v>
      </c>
      <c r="O446" s="62">
        <v>72.0</v>
      </c>
      <c r="P446" s="62">
        <f t="shared" si="12"/>
        <v>201.6</v>
      </c>
      <c r="Q446" s="63">
        <v>1.0</v>
      </c>
      <c r="R446" s="58">
        <v>1.0</v>
      </c>
      <c r="S446" s="58">
        <v>1.0</v>
      </c>
      <c r="T446" s="58">
        <v>0.0</v>
      </c>
      <c r="U446" s="58">
        <v>2.0</v>
      </c>
      <c r="V446" s="58" t="s">
        <v>75</v>
      </c>
      <c r="W446" s="61" t="s">
        <v>76</v>
      </c>
      <c r="X446" s="28" t="s">
        <v>1033</v>
      </c>
      <c r="Y446" s="64">
        <v>31.0</v>
      </c>
      <c r="Z446" s="65">
        <f t="shared" si="2"/>
        <v>20.15</v>
      </c>
      <c r="AA446" s="65">
        <f t="shared" si="3"/>
        <v>4062.24</v>
      </c>
      <c r="AB446" s="65">
        <f t="shared" si="4"/>
        <v>1969.356808</v>
      </c>
      <c r="AC446" s="66">
        <v>1.0</v>
      </c>
      <c r="AD446" s="67"/>
      <c r="AE446" s="68">
        <f t="shared" si="5"/>
        <v>6557.377049</v>
      </c>
      <c r="AF446" s="69">
        <v>8000.0</v>
      </c>
      <c r="AG446" s="68">
        <f t="shared" si="6"/>
        <v>6557.377049</v>
      </c>
      <c r="AH446" s="70">
        <f t="shared" si="7"/>
        <v>8000</v>
      </c>
      <c r="AI446" s="71"/>
      <c r="AJ446" s="71"/>
      <c r="AK446" s="71"/>
      <c r="AL446" s="71"/>
    </row>
    <row r="447">
      <c r="A447" s="57" t="s">
        <v>1913</v>
      </c>
      <c r="B447" s="58" t="s">
        <v>193</v>
      </c>
      <c r="C447" s="58" t="s">
        <v>216</v>
      </c>
      <c r="D447" s="58" t="s">
        <v>1914</v>
      </c>
      <c r="E447" s="58" t="s">
        <v>1908</v>
      </c>
      <c r="F447" s="58" t="s">
        <v>103</v>
      </c>
      <c r="G447" s="59">
        <v>45974.0</v>
      </c>
      <c r="H447" s="58" t="s">
        <v>65</v>
      </c>
      <c r="I447" s="60" t="s">
        <v>1615</v>
      </c>
      <c r="J447" s="61" t="s">
        <v>1930</v>
      </c>
      <c r="K447" s="61" t="s">
        <v>1931</v>
      </c>
      <c r="L447" s="61" t="s">
        <v>1932</v>
      </c>
      <c r="M447" s="58">
        <v>2019.0</v>
      </c>
      <c r="N447" s="58">
        <v>14.0</v>
      </c>
      <c r="O447" s="62">
        <v>306.0</v>
      </c>
      <c r="P447" s="62">
        <f t="shared" si="12"/>
        <v>856.8</v>
      </c>
      <c r="Q447" s="63">
        <v>2.0</v>
      </c>
      <c r="R447" s="58">
        <v>2.0</v>
      </c>
      <c r="S447" s="58">
        <v>2.0</v>
      </c>
      <c r="T447" s="58">
        <v>0.0</v>
      </c>
      <c r="U447" s="58">
        <v>3.0</v>
      </c>
      <c r="V447" s="58" t="s">
        <v>75</v>
      </c>
      <c r="W447" s="61" t="s">
        <v>76</v>
      </c>
      <c r="X447" s="28" t="s">
        <v>1033</v>
      </c>
      <c r="Y447" s="64">
        <v>31.0</v>
      </c>
      <c r="Z447" s="65">
        <f t="shared" si="2"/>
        <v>20.15</v>
      </c>
      <c r="AA447" s="65">
        <f t="shared" si="3"/>
        <v>17264.52</v>
      </c>
      <c r="AB447" s="65">
        <f t="shared" si="4"/>
        <v>926.756145</v>
      </c>
      <c r="AC447" s="66">
        <v>1.0</v>
      </c>
      <c r="AD447" s="70"/>
      <c r="AE447" s="68">
        <f t="shared" si="5"/>
        <v>6557.377049</v>
      </c>
      <c r="AF447" s="69">
        <v>8000.0</v>
      </c>
      <c r="AG447" s="68">
        <f t="shared" si="6"/>
        <v>13114.7541</v>
      </c>
      <c r="AH447" s="70">
        <f t="shared" si="7"/>
        <v>16000</v>
      </c>
      <c r="AI447" s="71"/>
      <c r="AJ447" s="71"/>
      <c r="AK447" s="71"/>
      <c r="AL447" s="71"/>
    </row>
    <row r="448">
      <c r="A448" s="57" t="s">
        <v>1913</v>
      </c>
      <c r="B448" s="58" t="s">
        <v>193</v>
      </c>
      <c r="C448" s="58" t="s">
        <v>216</v>
      </c>
      <c r="D448" s="58" t="s">
        <v>1914</v>
      </c>
      <c r="E448" s="58" t="s">
        <v>1908</v>
      </c>
      <c r="F448" s="58" t="s">
        <v>103</v>
      </c>
      <c r="G448" s="59">
        <v>45974.0</v>
      </c>
      <c r="H448" s="58" t="s">
        <v>65</v>
      </c>
      <c r="I448" s="60" t="s">
        <v>1615</v>
      </c>
      <c r="J448" s="61" t="s">
        <v>1933</v>
      </c>
      <c r="K448" s="61" t="s">
        <v>1934</v>
      </c>
      <c r="L448" s="61" t="s">
        <v>1935</v>
      </c>
      <c r="M448" s="58">
        <v>2016.0</v>
      </c>
      <c r="N448" s="58">
        <v>9.0</v>
      </c>
      <c r="O448" s="62">
        <v>308.0</v>
      </c>
      <c r="P448" s="62">
        <f t="shared" si="12"/>
        <v>862.4</v>
      </c>
      <c r="Q448" s="63">
        <v>5.0</v>
      </c>
      <c r="R448" s="58">
        <v>5.0</v>
      </c>
      <c r="S448" s="58">
        <v>5.0</v>
      </c>
      <c r="T448" s="58">
        <v>0.0</v>
      </c>
      <c r="U448" s="58">
        <v>5.0</v>
      </c>
      <c r="V448" s="58" t="s">
        <v>75</v>
      </c>
      <c r="W448" s="61" t="s">
        <v>76</v>
      </c>
      <c r="X448" s="28" t="s">
        <v>1033</v>
      </c>
      <c r="Y448" s="64">
        <v>31.0</v>
      </c>
      <c r="Z448" s="65">
        <f t="shared" si="2"/>
        <v>20.15</v>
      </c>
      <c r="AA448" s="65">
        <f t="shared" si="3"/>
        <v>17377.36</v>
      </c>
      <c r="AB448" s="65">
        <f t="shared" si="4"/>
        <v>2301.84562</v>
      </c>
      <c r="AC448" s="66">
        <v>1.0</v>
      </c>
      <c r="AD448" s="70"/>
      <c r="AE448" s="68">
        <f t="shared" si="5"/>
        <v>6557.377049</v>
      </c>
      <c r="AF448" s="69">
        <v>8000.0</v>
      </c>
      <c r="AG448" s="68">
        <f t="shared" si="6"/>
        <v>32786.88525</v>
      </c>
      <c r="AH448" s="70">
        <f t="shared" si="7"/>
        <v>40000</v>
      </c>
      <c r="AI448" s="71"/>
      <c r="AJ448" s="71"/>
      <c r="AK448" s="71"/>
      <c r="AL448" s="71"/>
    </row>
    <row r="449">
      <c r="A449" s="57" t="s">
        <v>1936</v>
      </c>
      <c r="B449" s="58" t="s">
        <v>193</v>
      </c>
      <c r="C449" s="58" t="s">
        <v>194</v>
      </c>
      <c r="D449" s="58" t="s">
        <v>1878</v>
      </c>
      <c r="E449" s="58" t="s">
        <v>1937</v>
      </c>
      <c r="F449" s="58" t="s">
        <v>103</v>
      </c>
      <c r="G449" s="59">
        <v>45974.0</v>
      </c>
      <c r="H449" s="58" t="s">
        <v>104</v>
      </c>
      <c r="I449" s="60" t="s">
        <v>1938</v>
      </c>
      <c r="J449" s="61" t="s">
        <v>1939</v>
      </c>
      <c r="K449" s="61" t="s">
        <v>1940</v>
      </c>
      <c r="L449" s="61" t="s">
        <v>1941</v>
      </c>
      <c r="M449" s="58">
        <v>2024.0</v>
      </c>
      <c r="N449" s="58">
        <v>24.0</v>
      </c>
      <c r="O449" s="62">
        <v>384.0</v>
      </c>
      <c r="P449" s="62">
        <f t="shared" si="12"/>
        <v>1075.2</v>
      </c>
      <c r="Q449" s="63">
        <v>12.0</v>
      </c>
      <c r="R449" s="58">
        <v>12.0</v>
      </c>
      <c r="S449" s="58">
        <v>12.0</v>
      </c>
      <c r="T449" s="58">
        <v>0.0</v>
      </c>
      <c r="U449" s="58">
        <v>3.0</v>
      </c>
      <c r="V449" s="58" t="s">
        <v>75</v>
      </c>
      <c r="W449" s="61" t="s">
        <v>76</v>
      </c>
      <c r="X449" s="28" t="s">
        <v>1033</v>
      </c>
      <c r="Y449" s="64">
        <v>31.0</v>
      </c>
      <c r="Z449" s="65">
        <f t="shared" si="2"/>
        <v>20.15</v>
      </c>
      <c r="AA449" s="65">
        <f t="shared" si="3"/>
        <v>21665.28</v>
      </c>
      <c r="AB449" s="65">
        <f t="shared" si="4"/>
        <v>4431.052818</v>
      </c>
      <c r="AC449" s="66">
        <v>1.0</v>
      </c>
      <c r="AD449" s="70"/>
      <c r="AE449" s="68">
        <f t="shared" si="5"/>
        <v>6557.377049</v>
      </c>
      <c r="AF449" s="69">
        <v>8000.0</v>
      </c>
      <c r="AG449" s="68">
        <f t="shared" si="6"/>
        <v>78688.52459</v>
      </c>
      <c r="AH449" s="70">
        <f t="shared" si="7"/>
        <v>96000</v>
      </c>
      <c r="AI449" s="71"/>
      <c r="AJ449" s="71"/>
      <c r="AK449" s="71"/>
      <c r="AL449" s="71"/>
    </row>
    <row r="450">
      <c r="A450" s="57" t="s">
        <v>1942</v>
      </c>
      <c r="B450" s="58" t="s">
        <v>193</v>
      </c>
      <c r="C450" s="58" t="s">
        <v>194</v>
      </c>
      <c r="D450" s="58" t="s">
        <v>1878</v>
      </c>
      <c r="E450" s="58" t="s">
        <v>1879</v>
      </c>
      <c r="F450" s="58" t="s">
        <v>103</v>
      </c>
      <c r="G450" s="59">
        <v>45974.0</v>
      </c>
      <c r="H450" s="58" t="s">
        <v>104</v>
      </c>
      <c r="I450" s="60" t="s">
        <v>1943</v>
      </c>
      <c r="J450" s="61" t="s">
        <v>1944</v>
      </c>
      <c r="K450" s="61" t="s">
        <v>1945</v>
      </c>
      <c r="L450" s="61" t="s">
        <v>1946</v>
      </c>
      <c r="M450" s="58">
        <v>2013.0</v>
      </c>
      <c r="N450" s="58">
        <v>9.0</v>
      </c>
      <c r="O450" s="62">
        <v>71.0</v>
      </c>
      <c r="P450" s="62">
        <f t="shared" si="12"/>
        <v>198.8</v>
      </c>
      <c r="Q450" s="63">
        <v>2.0</v>
      </c>
      <c r="R450" s="58">
        <v>1.0</v>
      </c>
      <c r="S450" s="58">
        <v>1.0</v>
      </c>
      <c r="T450" s="58">
        <v>1.0</v>
      </c>
      <c r="U450" s="58">
        <v>1.0</v>
      </c>
      <c r="V450" s="58" t="s">
        <v>75</v>
      </c>
      <c r="W450" s="61" t="s">
        <v>76</v>
      </c>
      <c r="X450" s="28" t="s">
        <v>1033</v>
      </c>
      <c r="Y450" s="64">
        <v>31.0</v>
      </c>
      <c r="Z450" s="65">
        <f t="shared" si="2"/>
        <v>60.45</v>
      </c>
      <c r="AA450" s="65">
        <f t="shared" si="3"/>
        <v>12017.46</v>
      </c>
      <c r="AB450" s="65">
        <f t="shared" si="4"/>
        <v>1331.396152</v>
      </c>
      <c r="AC450" s="66">
        <v>1.0</v>
      </c>
      <c r="AD450" s="67"/>
      <c r="AE450" s="68">
        <f t="shared" si="5"/>
        <v>6557.377049</v>
      </c>
      <c r="AF450" s="69">
        <v>8000.0</v>
      </c>
      <c r="AG450" s="68">
        <f t="shared" si="6"/>
        <v>13114.7541</v>
      </c>
      <c r="AH450" s="70">
        <f t="shared" si="7"/>
        <v>16000</v>
      </c>
      <c r="AI450" s="71"/>
      <c r="AJ450" s="71"/>
      <c r="AK450" s="71"/>
      <c r="AL450" s="71"/>
    </row>
    <row r="451">
      <c r="A451" s="57" t="s">
        <v>1942</v>
      </c>
      <c r="B451" s="58" t="s">
        <v>193</v>
      </c>
      <c r="C451" s="58" t="s">
        <v>194</v>
      </c>
      <c r="D451" s="58" t="s">
        <v>1878</v>
      </c>
      <c r="E451" s="58" t="s">
        <v>1879</v>
      </c>
      <c r="F451" s="58" t="s">
        <v>103</v>
      </c>
      <c r="G451" s="59">
        <v>45974.0</v>
      </c>
      <c r="H451" s="58" t="s">
        <v>104</v>
      </c>
      <c r="I451" s="60" t="s">
        <v>1943</v>
      </c>
      <c r="J451" s="61" t="s">
        <v>1947</v>
      </c>
      <c r="K451" s="61" t="s">
        <v>1948</v>
      </c>
      <c r="L451" s="61" t="s">
        <v>1949</v>
      </c>
      <c r="M451" s="58">
        <v>2014.0</v>
      </c>
      <c r="N451" s="58">
        <v>9.0</v>
      </c>
      <c r="O451" s="62">
        <v>73.0</v>
      </c>
      <c r="P451" s="62">
        <f t="shared" si="12"/>
        <v>204.4</v>
      </c>
      <c r="Q451" s="63">
        <v>2.0</v>
      </c>
      <c r="R451" s="58">
        <v>1.0</v>
      </c>
      <c r="S451" s="58">
        <v>1.0</v>
      </c>
      <c r="T451" s="58">
        <v>1.0</v>
      </c>
      <c r="U451" s="58">
        <v>1.0</v>
      </c>
      <c r="V451" s="58" t="s">
        <v>75</v>
      </c>
      <c r="W451" s="61" t="s">
        <v>76</v>
      </c>
      <c r="X451" s="28" t="s">
        <v>1033</v>
      </c>
      <c r="Y451" s="64">
        <v>31.0</v>
      </c>
      <c r="Z451" s="65">
        <f t="shared" si="2"/>
        <v>60.45</v>
      </c>
      <c r="AA451" s="65">
        <f t="shared" si="3"/>
        <v>12355.98</v>
      </c>
      <c r="AB451" s="65">
        <f t="shared" si="4"/>
        <v>1294.919545</v>
      </c>
      <c r="AC451" s="66">
        <v>1.0</v>
      </c>
      <c r="AD451" s="67"/>
      <c r="AE451" s="68">
        <f t="shared" si="5"/>
        <v>6557.377049</v>
      </c>
      <c r="AF451" s="69">
        <v>8000.0</v>
      </c>
      <c r="AG451" s="68">
        <f t="shared" si="6"/>
        <v>13114.7541</v>
      </c>
      <c r="AH451" s="70">
        <f t="shared" si="7"/>
        <v>16000</v>
      </c>
      <c r="AI451" s="71"/>
      <c r="AJ451" s="71"/>
      <c r="AK451" s="71"/>
      <c r="AL451" s="71"/>
    </row>
    <row r="452">
      <c r="A452" s="57" t="s">
        <v>1942</v>
      </c>
      <c r="B452" s="58" t="s">
        <v>193</v>
      </c>
      <c r="C452" s="58" t="s">
        <v>194</v>
      </c>
      <c r="D452" s="58" t="s">
        <v>1878</v>
      </c>
      <c r="E452" s="58" t="s">
        <v>1879</v>
      </c>
      <c r="F452" s="58" t="s">
        <v>103</v>
      </c>
      <c r="G452" s="59">
        <v>45974.0</v>
      </c>
      <c r="H452" s="58" t="s">
        <v>104</v>
      </c>
      <c r="I452" s="60" t="s">
        <v>1943</v>
      </c>
      <c r="J452" s="61" t="s">
        <v>1950</v>
      </c>
      <c r="K452" s="61" t="s">
        <v>1951</v>
      </c>
      <c r="L452" s="61" t="s">
        <v>1952</v>
      </c>
      <c r="M452" s="58">
        <v>2015.0</v>
      </c>
      <c r="N452" s="58">
        <v>9.0</v>
      </c>
      <c r="O452" s="62">
        <v>68.0</v>
      </c>
      <c r="P452" s="62">
        <f t="shared" si="12"/>
        <v>190.4</v>
      </c>
      <c r="Q452" s="63">
        <v>2.0</v>
      </c>
      <c r="R452" s="58">
        <v>1.0</v>
      </c>
      <c r="S452" s="58">
        <v>1.0</v>
      </c>
      <c r="T452" s="58">
        <v>1.0</v>
      </c>
      <c r="U452" s="58">
        <v>1.0</v>
      </c>
      <c r="V452" s="58" t="s">
        <v>75</v>
      </c>
      <c r="W452" s="61" t="s">
        <v>76</v>
      </c>
      <c r="X452" s="28" t="s">
        <v>1033</v>
      </c>
      <c r="Y452" s="64">
        <v>31.0</v>
      </c>
      <c r="Z452" s="65">
        <f t="shared" si="2"/>
        <v>60.45</v>
      </c>
      <c r="AA452" s="65">
        <f t="shared" si="3"/>
        <v>11509.68</v>
      </c>
      <c r="AB452" s="65">
        <f t="shared" si="4"/>
        <v>1390.134217</v>
      </c>
      <c r="AC452" s="66">
        <v>1.0</v>
      </c>
      <c r="AD452" s="67"/>
      <c r="AE452" s="68">
        <f t="shared" si="5"/>
        <v>6557.377049</v>
      </c>
      <c r="AF452" s="69">
        <v>8000.0</v>
      </c>
      <c r="AG452" s="68">
        <f t="shared" si="6"/>
        <v>13114.7541</v>
      </c>
      <c r="AH452" s="70">
        <f t="shared" si="7"/>
        <v>16000</v>
      </c>
      <c r="AI452" s="71"/>
      <c r="AJ452" s="71"/>
      <c r="AK452" s="71"/>
      <c r="AL452" s="71"/>
    </row>
    <row r="453">
      <c r="A453" s="57" t="s">
        <v>1953</v>
      </c>
      <c r="B453" s="58" t="s">
        <v>193</v>
      </c>
      <c r="C453" s="58" t="s">
        <v>194</v>
      </c>
      <c r="D453" s="58" t="s">
        <v>1878</v>
      </c>
      <c r="E453" s="58" t="s">
        <v>1879</v>
      </c>
      <c r="F453" s="58" t="s">
        <v>103</v>
      </c>
      <c r="G453" s="59">
        <v>45974.0</v>
      </c>
      <c r="H453" s="58" t="s">
        <v>118</v>
      </c>
      <c r="I453" s="60" t="s">
        <v>1954</v>
      </c>
      <c r="J453" s="61" t="s">
        <v>1955</v>
      </c>
      <c r="K453" s="61" t="s">
        <v>1956</v>
      </c>
      <c r="L453" s="61" t="s">
        <v>1957</v>
      </c>
      <c r="M453" s="58">
        <v>2013.0</v>
      </c>
      <c r="N453" s="58">
        <v>22.0</v>
      </c>
      <c r="O453" s="62">
        <v>817.0</v>
      </c>
      <c r="P453" s="62">
        <f t="shared" si="12"/>
        <v>2287.6</v>
      </c>
      <c r="Q453" s="63">
        <v>16.0</v>
      </c>
      <c r="R453" s="58">
        <v>16.0</v>
      </c>
      <c r="S453" s="58">
        <v>16.0</v>
      </c>
      <c r="T453" s="58">
        <v>0.0</v>
      </c>
      <c r="U453" s="58">
        <v>14.0</v>
      </c>
      <c r="V453" s="58" t="s">
        <v>75</v>
      </c>
      <c r="W453" s="61" t="s">
        <v>76</v>
      </c>
      <c r="X453" s="28" t="s">
        <v>1033</v>
      </c>
      <c r="Y453" s="64">
        <v>31.0</v>
      </c>
      <c r="Z453" s="65">
        <f t="shared" si="2"/>
        <v>20.15</v>
      </c>
      <c r="AA453" s="65">
        <f t="shared" si="3"/>
        <v>46095.14</v>
      </c>
      <c r="AB453" s="65">
        <f t="shared" si="4"/>
        <v>2776.865414</v>
      </c>
      <c r="AC453" s="66">
        <v>1.0</v>
      </c>
      <c r="AD453" s="70"/>
      <c r="AE453" s="68">
        <f t="shared" si="5"/>
        <v>6557.377049</v>
      </c>
      <c r="AF453" s="69">
        <v>8000.0</v>
      </c>
      <c r="AG453" s="68">
        <f t="shared" si="6"/>
        <v>104918.0328</v>
      </c>
      <c r="AH453" s="70">
        <f t="shared" si="7"/>
        <v>128000</v>
      </c>
      <c r="AI453" s="71"/>
      <c r="AJ453" s="71"/>
      <c r="AK453" s="71"/>
      <c r="AL453" s="71"/>
    </row>
    <row r="454">
      <c r="A454" s="57" t="s">
        <v>1958</v>
      </c>
      <c r="B454" s="58" t="s">
        <v>193</v>
      </c>
      <c r="C454" s="58" t="s">
        <v>194</v>
      </c>
      <c r="D454" s="58" t="s">
        <v>1878</v>
      </c>
      <c r="E454" s="58" t="s">
        <v>1879</v>
      </c>
      <c r="F454" s="58" t="s">
        <v>103</v>
      </c>
      <c r="G454" s="59">
        <v>45974.0</v>
      </c>
      <c r="H454" s="58" t="s">
        <v>104</v>
      </c>
      <c r="I454" s="60" t="s">
        <v>1959</v>
      </c>
      <c r="J454" s="61" t="s">
        <v>1960</v>
      </c>
      <c r="K454" s="61" t="s">
        <v>1961</v>
      </c>
      <c r="L454" s="61" t="s">
        <v>1962</v>
      </c>
      <c r="M454" s="58">
        <v>2013.0</v>
      </c>
      <c r="N454" s="58">
        <v>22.0</v>
      </c>
      <c r="O454" s="62">
        <v>574.0</v>
      </c>
      <c r="P454" s="62">
        <f t="shared" si="12"/>
        <v>1607.2</v>
      </c>
      <c r="Q454" s="63">
        <v>10.0</v>
      </c>
      <c r="R454" s="58">
        <v>10.0</v>
      </c>
      <c r="S454" s="58">
        <v>10.0</v>
      </c>
      <c r="T454" s="58">
        <v>0.0</v>
      </c>
      <c r="U454" s="58">
        <v>15.0</v>
      </c>
      <c r="V454" s="58" t="s">
        <v>75</v>
      </c>
      <c r="W454" s="61" t="s">
        <v>76</v>
      </c>
      <c r="X454" s="28" t="s">
        <v>1033</v>
      </c>
      <c r="Y454" s="64">
        <v>31.0</v>
      </c>
      <c r="Z454" s="65">
        <f t="shared" si="2"/>
        <v>20.15</v>
      </c>
      <c r="AA454" s="65">
        <f t="shared" si="3"/>
        <v>32385.08</v>
      </c>
      <c r="AB454" s="65">
        <f t="shared" si="4"/>
        <v>2470.273348</v>
      </c>
      <c r="AC454" s="66">
        <v>1.0</v>
      </c>
      <c r="AD454" s="70"/>
      <c r="AE454" s="68">
        <f t="shared" si="5"/>
        <v>6557.377049</v>
      </c>
      <c r="AF454" s="69">
        <v>8000.0</v>
      </c>
      <c r="AG454" s="68">
        <f t="shared" si="6"/>
        <v>65573.77049</v>
      </c>
      <c r="AH454" s="70">
        <f t="shared" si="7"/>
        <v>80000</v>
      </c>
      <c r="AI454" s="71"/>
      <c r="AJ454" s="71"/>
      <c r="AK454" s="71"/>
      <c r="AL454" s="71"/>
    </row>
    <row r="455">
      <c r="A455" s="57" t="s">
        <v>1963</v>
      </c>
      <c r="B455" s="58" t="s">
        <v>193</v>
      </c>
      <c r="C455" s="58" t="s">
        <v>194</v>
      </c>
      <c r="D455" s="58" t="s">
        <v>101</v>
      </c>
      <c r="E455" s="58" t="s">
        <v>1964</v>
      </c>
      <c r="F455" s="58" t="s">
        <v>103</v>
      </c>
      <c r="G455" s="59">
        <v>45974.0</v>
      </c>
      <c r="H455" s="58" t="s">
        <v>104</v>
      </c>
      <c r="I455" s="60" t="s">
        <v>1965</v>
      </c>
      <c r="J455" s="61" t="s">
        <v>1966</v>
      </c>
      <c r="K455" s="61" t="s">
        <v>1967</v>
      </c>
      <c r="L455" s="61" t="s">
        <v>1968</v>
      </c>
      <c r="M455" s="58">
        <v>2023.0</v>
      </c>
      <c r="N455" s="58">
        <v>9.0</v>
      </c>
      <c r="O455" s="62">
        <v>134.0</v>
      </c>
      <c r="P455" s="62">
        <f t="shared" si="12"/>
        <v>375.2</v>
      </c>
      <c r="Q455" s="63">
        <v>4.0</v>
      </c>
      <c r="R455" s="58">
        <v>4.0</v>
      </c>
      <c r="S455" s="58">
        <v>4.0</v>
      </c>
      <c r="T455" s="58">
        <v>0.0</v>
      </c>
      <c r="U455" s="58">
        <v>4.0</v>
      </c>
      <c r="V455" s="58" t="s">
        <v>75</v>
      </c>
      <c r="W455" s="61" t="s">
        <v>76</v>
      </c>
      <c r="X455" s="28" t="s">
        <v>1033</v>
      </c>
      <c r="Y455" s="64">
        <v>31.0</v>
      </c>
      <c r="Z455" s="65">
        <f t="shared" si="2"/>
        <v>20.15</v>
      </c>
      <c r="AA455" s="65">
        <f t="shared" si="3"/>
        <v>7560.28</v>
      </c>
      <c r="AB455" s="65">
        <f t="shared" si="4"/>
        <v>4232.647468</v>
      </c>
      <c r="AC455" s="66">
        <v>1.0</v>
      </c>
      <c r="AD455" s="70"/>
      <c r="AE455" s="68">
        <f t="shared" si="5"/>
        <v>6557.377049</v>
      </c>
      <c r="AF455" s="69">
        <v>8000.0</v>
      </c>
      <c r="AG455" s="68">
        <f t="shared" si="6"/>
        <v>26229.5082</v>
      </c>
      <c r="AH455" s="70">
        <f t="shared" si="7"/>
        <v>32000</v>
      </c>
      <c r="AI455" s="71"/>
      <c r="AJ455" s="71"/>
      <c r="AK455" s="71"/>
      <c r="AL455" s="71"/>
    </row>
    <row r="456">
      <c r="A456" s="57" t="s">
        <v>1963</v>
      </c>
      <c r="B456" s="58" t="s">
        <v>193</v>
      </c>
      <c r="C456" s="58" t="s">
        <v>194</v>
      </c>
      <c r="D456" s="58" t="s">
        <v>101</v>
      </c>
      <c r="E456" s="58" t="s">
        <v>1964</v>
      </c>
      <c r="F456" s="58" t="s">
        <v>103</v>
      </c>
      <c r="G456" s="59">
        <v>45974.0</v>
      </c>
      <c r="H456" s="58" t="s">
        <v>104</v>
      </c>
      <c r="I456" s="60" t="s">
        <v>1965</v>
      </c>
      <c r="J456" s="61" t="s">
        <v>1969</v>
      </c>
      <c r="K456" s="61" t="s">
        <v>1970</v>
      </c>
      <c r="L456" s="61" t="s">
        <v>1971</v>
      </c>
      <c r="M456" s="58">
        <v>2025.0</v>
      </c>
      <c r="N456" s="58">
        <v>9.0</v>
      </c>
      <c r="O456" s="62">
        <v>127.0</v>
      </c>
      <c r="P456" s="62">
        <f t="shared" si="12"/>
        <v>355.6</v>
      </c>
      <c r="Q456" s="63">
        <v>3.0</v>
      </c>
      <c r="R456" s="58">
        <v>3.0</v>
      </c>
      <c r="S456" s="58">
        <v>3.0</v>
      </c>
      <c r="T456" s="58">
        <v>0.0</v>
      </c>
      <c r="U456" s="58">
        <v>3.0</v>
      </c>
      <c r="V456" s="58" t="s">
        <v>75</v>
      </c>
      <c r="W456" s="61" t="s">
        <v>76</v>
      </c>
      <c r="X456" s="28" t="s">
        <v>1033</v>
      </c>
      <c r="Y456" s="64">
        <v>31.0</v>
      </c>
      <c r="Z456" s="65">
        <f t="shared" si="2"/>
        <v>20.15</v>
      </c>
      <c r="AA456" s="65">
        <f t="shared" si="3"/>
        <v>7165.34</v>
      </c>
      <c r="AB456" s="65">
        <f t="shared" si="4"/>
        <v>3349.457248</v>
      </c>
      <c r="AC456" s="66">
        <v>1.0</v>
      </c>
      <c r="AD456" s="67"/>
      <c r="AE456" s="68">
        <f t="shared" si="5"/>
        <v>6557.377049</v>
      </c>
      <c r="AF456" s="69">
        <v>8000.0</v>
      </c>
      <c r="AG456" s="68">
        <f t="shared" si="6"/>
        <v>19672.13115</v>
      </c>
      <c r="AH456" s="70">
        <f t="shared" si="7"/>
        <v>24000</v>
      </c>
      <c r="AI456" s="71"/>
      <c r="AJ456" s="71"/>
      <c r="AK456" s="71"/>
      <c r="AL456" s="71"/>
    </row>
    <row r="457">
      <c r="A457" s="57" t="s">
        <v>1972</v>
      </c>
      <c r="B457" s="58" t="s">
        <v>193</v>
      </c>
      <c r="C457" s="58" t="s">
        <v>194</v>
      </c>
      <c r="D457" s="58" t="s">
        <v>101</v>
      </c>
      <c r="E457" s="58" t="s">
        <v>1964</v>
      </c>
      <c r="F457" s="58" t="s">
        <v>63</v>
      </c>
      <c r="G457" s="59">
        <v>45992.0</v>
      </c>
      <c r="H457" s="58" t="s">
        <v>65</v>
      </c>
      <c r="I457" s="60" t="s">
        <v>1973</v>
      </c>
      <c r="J457" s="61" t="s">
        <v>1974</v>
      </c>
      <c r="K457" s="61" t="s">
        <v>1975</v>
      </c>
      <c r="L457" s="61" t="s">
        <v>1976</v>
      </c>
      <c r="M457" s="58">
        <v>2021.0</v>
      </c>
      <c r="N457" s="58">
        <v>19.0</v>
      </c>
      <c r="O457" s="62">
        <v>108.0</v>
      </c>
      <c r="P457" s="62">
        <f t="shared" si="12"/>
        <v>302.4</v>
      </c>
      <c r="Q457" s="63">
        <v>1.0</v>
      </c>
      <c r="R457" s="58">
        <v>1.0</v>
      </c>
      <c r="S457" s="58">
        <v>1.0</v>
      </c>
      <c r="T457" s="58">
        <v>0.0</v>
      </c>
      <c r="U457" s="58">
        <v>2.0</v>
      </c>
      <c r="V457" s="58" t="s">
        <v>75</v>
      </c>
      <c r="W457" s="61" t="s">
        <v>76</v>
      </c>
      <c r="X457" s="28" t="s">
        <v>1033</v>
      </c>
      <c r="Y457" s="64">
        <v>31.0</v>
      </c>
      <c r="Z457" s="65">
        <f t="shared" si="2"/>
        <v>20.15</v>
      </c>
      <c r="AA457" s="65">
        <f t="shared" si="3"/>
        <v>6093.36</v>
      </c>
      <c r="AB457" s="65">
        <f t="shared" si="4"/>
        <v>1312.904539</v>
      </c>
      <c r="AC457" s="66">
        <v>1.0</v>
      </c>
      <c r="AD457" s="67"/>
      <c r="AE457" s="68">
        <f t="shared" si="5"/>
        <v>6557.377049</v>
      </c>
      <c r="AF457" s="69">
        <v>8000.0</v>
      </c>
      <c r="AG457" s="68">
        <f t="shared" si="6"/>
        <v>6557.377049</v>
      </c>
      <c r="AH457" s="70">
        <f t="shared" si="7"/>
        <v>8000</v>
      </c>
      <c r="AI457" s="71"/>
      <c r="AJ457" s="71"/>
      <c r="AK457" s="71"/>
      <c r="AL457" s="71"/>
    </row>
    <row r="458">
      <c r="A458" s="57" t="s">
        <v>1972</v>
      </c>
      <c r="B458" s="58" t="s">
        <v>193</v>
      </c>
      <c r="C458" s="58" t="s">
        <v>194</v>
      </c>
      <c r="D458" s="58" t="s">
        <v>101</v>
      </c>
      <c r="E458" s="58" t="s">
        <v>1964</v>
      </c>
      <c r="F458" s="58" t="s">
        <v>63</v>
      </c>
      <c r="G458" s="59">
        <v>45992.0</v>
      </c>
      <c r="H458" s="58" t="s">
        <v>65</v>
      </c>
      <c r="I458" s="60" t="s">
        <v>1973</v>
      </c>
      <c r="J458" s="61" t="s">
        <v>1977</v>
      </c>
      <c r="K458" s="61" t="s">
        <v>1978</v>
      </c>
      <c r="L458" s="61" t="s">
        <v>1979</v>
      </c>
      <c r="M458" s="58">
        <v>2022.0</v>
      </c>
      <c r="N458" s="58">
        <v>19.0</v>
      </c>
      <c r="O458" s="62">
        <v>108.0</v>
      </c>
      <c r="P458" s="62">
        <f t="shared" si="12"/>
        <v>302.4</v>
      </c>
      <c r="Q458" s="63">
        <v>1.0</v>
      </c>
      <c r="R458" s="58">
        <v>1.0</v>
      </c>
      <c r="S458" s="58">
        <v>1.0</v>
      </c>
      <c r="T458" s="58">
        <v>0.0</v>
      </c>
      <c r="U458" s="58">
        <v>2.0</v>
      </c>
      <c r="V458" s="58" t="s">
        <v>75</v>
      </c>
      <c r="W458" s="61" t="s">
        <v>76</v>
      </c>
      <c r="X458" s="28" t="s">
        <v>1033</v>
      </c>
      <c r="Y458" s="64">
        <v>31.0</v>
      </c>
      <c r="Z458" s="65">
        <f t="shared" si="2"/>
        <v>20.15</v>
      </c>
      <c r="AA458" s="65">
        <f t="shared" si="3"/>
        <v>6093.36</v>
      </c>
      <c r="AB458" s="65">
        <f t="shared" si="4"/>
        <v>1312.904539</v>
      </c>
      <c r="AC458" s="66">
        <v>1.0</v>
      </c>
      <c r="AD458" s="70"/>
      <c r="AE458" s="68">
        <f t="shared" si="5"/>
        <v>6557.377049</v>
      </c>
      <c r="AF458" s="69">
        <v>8000.0</v>
      </c>
      <c r="AG458" s="68">
        <f t="shared" si="6"/>
        <v>6557.377049</v>
      </c>
      <c r="AH458" s="70">
        <f t="shared" si="7"/>
        <v>8000</v>
      </c>
      <c r="AI458" s="71"/>
      <c r="AJ458" s="71"/>
      <c r="AK458" s="71"/>
      <c r="AL458" s="71"/>
    </row>
    <row r="459">
      <c r="A459" s="57" t="s">
        <v>1980</v>
      </c>
      <c r="B459" s="58" t="s">
        <v>193</v>
      </c>
      <c r="C459" s="58" t="s">
        <v>194</v>
      </c>
      <c r="D459" s="58" t="s">
        <v>1878</v>
      </c>
      <c r="E459" s="58" t="s">
        <v>1937</v>
      </c>
      <c r="F459" s="58" t="s">
        <v>103</v>
      </c>
      <c r="G459" s="59">
        <v>45992.0</v>
      </c>
      <c r="H459" s="58" t="s">
        <v>65</v>
      </c>
      <c r="I459" s="60" t="s">
        <v>1981</v>
      </c>
      <c r="J459" s="61" t="s">
        <v>1982</v>
      </c>
      <c r="K459" s="61" t="s">
        <v>1983</v>
      </c>
      <c r="L459" s="61" t="s">
        <v>1984</v>
      </c>
      <c r="M459" s="58">
        <v>2020.0</v>
      </c>
      <c r="N459" s="58">
        <v>19.0</v>
      </c>
      <c r="O459" s="62">
        <v>324.0</v>
      </c>
      <c r="P459" s="62">
        <f t="shared" si="12"/>
        <v>907.2</v>
      </c>
      <c r="Q459" s="63">
        <v>2.0</v>
      </c>
      <c r="R459" s="58">
        <v>2.0</v>
      </c>
      <c r="S459" s="58">
        <v>2.0</v>
      </c>
      <c r="T459" s="58">
        <v>0.0</v>
      </c>
      <c r="U459" s="58">
        <v>4.0</v>
      </c>
      <c r="V459" s="58" t="s">
        <v>75</v>
      </c>
      <c r="W459" s="61" t="s">
        <v>76</v>
      </c>
      <c r="X459" s="28" t="s">
        <v>1033</v>
      </c>
      <c r="Y459" s="64">
        <v>31.0</v>
      </c>
      <c r="Z459" s="65">
        <f t="shared" si="2"/>
        <v>20.15</v>
      </c>
      <c r="AA459" s="65">
        <f t="shared" si="3"/>
        <v>18280.08</v>
      </c>
      <c r="AB459" s="65">
        <f t="shared" si="4"/>
        <v>875.2696925</v>
      </c>
      <c r="AC459" s="66">
        <v>1.0</v>
      </c>
      <c r="AD459" s="70"/>
      <c r="AE459" s="68">
        <f t="shared" si="5"/>
        <v>6557.377049</v>
      </c>
      <c r="AF459" s="69">
        <v>8000.0</v>
      </c>
      <c r="AG459" s="68">
        <f t="shared" si="6"/>
        <v>13114.7541</v>
      </c>
      <c r="AH459" s="70">
        <f t="shared" si="7"/>
        <v>16000</v>
      </c>
      <c r="AI459" s="71"/>
      <c r="AJ459" s="71"/>
      <c r="AK459" s="71"/>
      <c r="AL459" s="71"/>
    </row>
    <row r="460">
      <c r="A460" s="57" t="s">
        <v>1985</v>
      </c>
      <c r="B460" s="58" t="s">
        <v>193</v>
      </c>
      <c r="C460" s="58" t="s">
        <v>194</v>
      </c>
      <c r="D460" s="58" t="s">
        <v>162</v>
      </c>
      <c r="E460" s="58" t="s">
        <v>1986</v>
      </c>
      <c r="F460" s="58" t="s">
        <v>103</v>
      </c>
      <c r="G460" s="59">
        <v>45993.0</v>
      </c>
      <c r="H460" s="58" t="s">
        <v>118</v>
      </c>
      <c r="I460" s="60" t="s">
        <v>1987</v>
      </c>
      <c r="J460" s="61" t="s">
        <v>1988</v>
      </c>
      <c r="K460" s="61" t="s">
        <v>1989</v>
      </c>
      <c r="L460" s="61" t="s">
        <v>1990</v>
      </c>
      <c r="M460" s="58">
        <v>2006.0</v>
      </c>
      <c r="N460" s="58">
        <v>16.0</v>
      </c>
      <c r="O460" s="62">
        <v>96.0</v>
      </c>
      <c r="P460" s="62">
        <f t="shared" si="12"/>
        <v>268.8</v>
      </c>
      <c r="Q460" s="63">
        <v>1.0</v>
      </c>
      <c r="R460" s="58">
        <v>1.0</v>
      </c>
      <c r="S460" s="58">
        <v>1.0</v>
      </c>
      <c r="T460" s="58">
        <v>0.0</v>
      </c>
      <c r="U460" s="58">
        <v>2.0</v>
      </c>
      <c r="V460" s="58" t="s">
        <v>75</v>
      </c>
      <c r="W460" s="61" t="s">
        <v>76</v>
      </c>
      <c r="X460" s="28" t="s">
        <v>1033</v>
      </c>
      <c r="Y460" s="64">
        <v>31.0</v>
      </c>
      <c r="Z460" s="65">
        <f t="shared" si="2"/>
        <v>20.15</v>
      </c>
      <c r="AA460" s="65">
        <f t="shared" si="3"/>
        <v>5416.32</v>
      </c>
      <c r="AB460" s="65">
        <f t="shared" si="4"/>
        <v>1477.017606</v>
      </c>
      <c r="AC460" s="66">
        <v>1.0</v>
      </c>
      <c r="AD460" s="70"/>
      <c r="AE460" s="68">
        <f t="shared" si="5"/>
        <v>6557.377049</v>
      </c>
      <c r="AF460" s="69">
        <v>8000.0</v>
      </c>
      <c r="AG460" s="68">
        <f t="shared" si="6"/>
        <v>6557.377049</v>
      </c>
      <c r="AH460" s="70">
        <f t="shared" si="7"/>
        <v>8000</v>
      </c>
      <c r="AI460" s="71"/>
      <c r="AJ460" s="71"/>
      <c r="AK460" s="71"/>
      <c r="AL460" s="71"/>
    </row>
    <row r="461">
      <c r="A461" s="57" t="s">
        <v>1985</v>
      </c>
      <c r="B461" s="58" t="s">
        <v>193</v>
      </c>
      <c r="C461" s="58" t="s">
        <v>194</v>
      </c>
      <c r="D461" s="58" t="s">
        <v>162</v>
      </c>
      <c r="E461" s="58" t="s">
        <v>1986</v>
      </c>
      <c r="F461" s="58" t="s">
        <v>103</v>
      </c>
      <c r="G461" s="59">
        <v>45993.0</v>
      </c>
      <c r="H461" s="58" t="s">
        <v>118</v>
      </c>
      <c r="I461" s="60" t="s">
        <v>1987</v>
      </c>
      <c r="J461" s="61" t="s">
        <v>1991</v>
      </c>
      <c r="K461" s="61" t="s">
        <v>1992</v>
      </c>
      <c r="L461" s="61" t="s">
        <v>1993</v>
      </c>
      <c r="M461" s="58">
        <v>2006.0</v>
      </c>
      <c r="N461" s="58">
        <v>16.0</v>
      </c>
      <c r="O461" s="62">
        <v>128.0</v>
      </c>
      <c r="P461" s="62">
        <f t="shared" si="12"/>
        <v>358.4</v>
      </c>
      <c r="Q461" s="63">
        <v>1.0</v>
      </c>
      <c r="R461" s="58">
        <v>1.0</v>
      </c>
      <c r="S461" s="58">
        <v>1.0</v>
      </c>
      <c r="T461" s="58">
        <v>0.0</v>
      </c>
      <c r="U461" s="58">
        <v>2.0</v>
      </c>
      <c r="V461" s="58" t="s">
        <v>75</v>
      </c>
      <c r="W461" s="61" t="s">
        <v>76</v>
      </c>
      <c r="X461" s="28" t="s">
        <v>1033</v>
      </c>
      <c r="Y461" s="64">
        <v>31.0</v>
      </c>
      <c r="Z461" s="65">
        <f t="shared" si="2"/>
        <v>20.15</v>
      </c>
      <c r="AA461" s="65">
        <f t="shared" si="3"/>
        <v>7221.76</v>
      </c>
      <c r="AB461" s="65">
        <f t="shared" si="4"/>
        <v>1107.763205</v>
      </c>
      <c r="AC461" s="66">
        <v>1.0</v>
      </c>
      <c r="AD461" s="67"/>
      <c r="AE461" s="68">
        <f t="shared" si="5"/>
        <v>6557.377049</v>
      </c>
      <c r="AF461" s="69">
        <v>8000.0</v>
      </c>
      <c r="AG461" s="68">
        <f t="shared" si="6"/>
        <v>6557.377049</v>
      </c>
      <c r="AH461" s="70">
        <f t="shared" si="7"/>
        <v>8000</v>
      </c>
      <c r="AI461" s="71"/>
      <c r="AJ461" s="71"/>
      <c r="AK461" s="71"/>
      <c r="AL461" s="71"/>
    </row>
    <row r="462">
      <c r="A462" s="57" t="s">
        <v>1994</v>
      </c>
      <c r="B462" s="58" t="s">
        <v>193</v>
      </c>
      <c r="C462" s="58" t="s">
        <v>194</v>
      </c>
      <c r="D462" s="58" t="s">
        <v>162</v>
      </c>
      <c r="E462" s="58" t="s">
        <v>1986</v>
      </c>
      <c r="F462" s="58" t="s">
        <v>103</v>
      </c>
      <c r="G462" s="59">
        <v>45993.0</v>
      </c>
      <c r="H462" s="58" t="s">
        <v>118</v>
      </c>
      <c r="I462" s="60" t="s">
        <v>1995</v>
      </c>
      <c r="J462" s="61" t="s">
        <v>1996</v>
      </c>
      <c r="K462" s="61" t="s">
        <v>1997</v>
      </c>
      <c r="L462" s="61" t="s">
        <v>1998</v>
      </c>
      <c r="M462" s="58">
        <v>2003.0</v>
      </c>
      <c r="N462" s="58">
        <v>10.0</v>
      </c>
      <c r="O462" s="62">
        <v>78.0</v>
      </c>
      <c r="P462" s="62">
        <f t="shared" si="12"/>
        <v>218.4</v>
      </c>
      <c r="Q462" s="63">
        <v>2.0</v>
      </c>
      <c r="R462" s="58">
        <v>2.0</v>
      </c>
      <c r="S462" s="58">
        <v>2.0</v>
      </c>
      <c r="T462" s="58">
        <v>0.0</v>
      </c>
      <c r="U462" s="58">
        <v>2.0</v>
      </c>
      <c r="V462" s="58" t="s">
        <v>130</v>
      </c>
      <c r="W462" s="61" t="s">
        <v>76</v>
      </c>
      <c r="X462" s="28" t="s">
        <v>1033</v>
      </c>
      <c r="Y462" s="64">
        <v>31.0</v>
      </c>
      <c r="Z462" s="65">
        <f t="shared" si="2"/>
        <v>20.15</v>
      </c>
      <c r="AA462" s="65">
        <f t="shared" si="3"/>
        <v>4400.76</v>
      </c>
      <c r="AB462" s="65">
        <f t="shared" si="4"/>
        <v>3635.735646</v>
      </c>
      <c r="AC462" s="66">
        <v>1.0</v>
      </c>
      <c r="AD462" s="67"/>
      <c r="AE462" s="68">
        <f t="shared" si="5"/>
        <v>6557.377049</v>
      </c>
      <c r="AF462" s="69">
        <v>8000.0</v>
      </c>
      <c r="AG462" s="68">
        <f t="shared" si="6"/>
        <v>13114.7541</v>
      </c>
      <c r="AH462" s="70">
        <f t="shared" si="7"/>
        <v>16000</v>
      </c>
      <c r="AI462" s="71"/>
      <c r="AJ462" s="71"/>
      <c r="AK462" s="71"/>
      <c r="AL462" s="71"/>
    </row>
    <row r="463">
      <c r="A463" s="57" t="s">
        <v>1999</v>
      </c>
      <c r="B463" s="58" t="s">
        <v>193</v>
      </c>
      <c r="C463" s="58" t="s">
        <v>194</v>
      </c>
      <c r="D463" s="58" t="s">
        <v>162</v>
      </c>
      <c r="E463" s="58" t="s">
        <v>1986</v>
      </c>
      <c r="F463" s="58" t="s">
        <v>103</v>
      </c>
      <c r="G463" s="59">
        <v>45993.0</v>
      </c>
      <c r="H463" s="58" t="s">
        <v>118</v>
      </c>
      <c r="I463" s="58" t="s">
        <v>2000</v>
      </c>
      <c r="J463" s="61" t="s">
        <v>2001</v>
      </c>
      <c r="K463" s="61" t="s">
        <v>2002</v>
      </c>
      <c r="L463" s="61" t="s">
        <v>2003</v>
      </c>
      <c r="M463" s="58">
        <v>2008.0</v>
      </c>
      <c r="N463" s="58">
        <v>10.0</v>
      </c>
      <c r="O463" s="62">
        <v>289.0</v>
      </c>
      <c r="P463" s="62">
        <f t="shared" si="12"/>
        <v>809.2</v>
      </c>
      <c r="Q463" s="63">
        <v>7.0</v>
      </c>
      <c r="R463" s="58">
        <v>7.0</v>
      </c>
      <c r="S463" s="58">
        <v>7.0</v>
      </c>
      <c r="T463" s="58">
        <v>0.0</v>
      </c>
      <c r="U463" s="58">
        <v>7.0</v>
      </c>
      <c r="V463" s="58" t="s">
        <v>75</v>
      </c>
      <c r="W463" s="61" t="s">
        <v>76</v>
      </c>
      <c r="X463" s="28" t="s">
        <v>1033</v>
      </c>
      <c r="Y463" s="64">
        <v>31.0</v>
      </c>
      <c r="Z463" s="65">
        <f t="shared" si="2"/>
        <v>20.15</v>
      </c>
      <c r="AA463" s="65">
        <f t="shared" si="3"/>
        <v>16305.38</v>
      </c>
      <c r="AB463" s="65">
        <f t="shared" si="4"/>
        <v>3434.449243</v>
      </c>
      <c r="AC463" s="66">
        <v>1.0</v>
      </c>
      <c r="AD463" s="67"/>
      <c r="AE463" s="68">
        <f t="shared" si="5"/>
        <v>6557.377049</v>
      </c>
      <c r="AF463" s="69">
        <v>8000.0</v>
      </c>
      <c r="AG463" s="68">
        <f t="shared" si="6"/>
        <v>45901.63934</v>
      </c>
      <c r="AH463" s="70">
        <f t="shared" si="7"/>
        <v>56000</v>
      </c>
      <c r="AI463" s="71"/>
      <c r="AJ463" s="71"/>
      <c r="AK463" s="71"/>
      <c r="AL463" s="71"/>
    </row>
    <row r="464">
      <c r="A464" s="57" t="s">
        <v>2005</v>
      </c>
      <c r="B464" s="58" t="s">
        <v>193</v>
      </c>
      <c r="C464" s="58" t="s">
        <v>194</v>
      </c>
      <c r="D464" s="58" t="s">
        <v>162</v>
      </c>
      <c r="E464" s="58" t="s">
        <v>1986</v>
      </c>
      <c r="F464" s="58" t="s">
        <v>103</v>
      </c>
      <c r="G464" s="59">
        <v>45993.0</v>
      </c>
      <c r="H464" s="58" t="s">
        <v>118</v>
      </c>
      <c r="I464" s="60" t="s">
        <v>2006</v>
      </c>
      <c r="J464" s="61" t="s">
        <v>2007</v>
      </c>
      <c r="K464" s="61" t="s">
        <v>2008</v>
      </c>
      <c r="L464" s="61" t="s">
        <v>2009</v>
      </c>
      <c r="M464" s="58">
        <v>2008.0</v>
      </c>
      <c r="N464" s="58">
        <v>16.0</v>
      </c>
      <c r="O464" s="62">
        <v>96.0</v>
      </c>
      <c r="P464" s="62">
        <f t="shared" si="12"/>
        <v>268.8</v>
      </c>
      <c r="Q464" s="63">
        <v>1.0</v>
      </c>
      <c r="R464" s="58">
        <v>1.0</v>
      </c>
      <c r="S464" s="58">
        <v>1.0</v>
      </c>
      <c r="T464" s="58">
        <v>0.0</v>
      </c>
      <c r="U464" s="58">
        <v>2.0</v>
      </c>
      <c r="V464" s="58" t="s">
        <v>75</v>
      </c>
      <c r="W464" s="61" t="s">
        <v>76</v>
      </c>
      <c r="X464" s="28" t="s">
        <v>1033</v>
      </c>
      <c r="Y464" s="64">
        <v>31.0</v>
      </c>
      <c r="Z464" s="65">
        <f t="shared" si="2"/>
        <v>20.15</v>
      </c>
      <c r="AA464" s="65">
        <f t="shared" si="3"/>
        <v>5416.32</v>
      </c>
      <c r="AB464" s="65">
        <f t="shared" si="4"/>
        <v>1477.017606</v>
      </c>
      <c r="AC464" s="66">
        <v>1.0</v>
      </c>
      <c r="AD464" s="70"/>
      <c r="AE464" s="68">
        <f t="shared" si="5"/>
        <v>6557.377049</v>
      </c>
      <c r="AF464" s="69">
        <v>8000.0</v>
      </c>
      <c r="AG464" s="68">
        <f t="shared" si="6"/>
        <v>6557.377049</v>
      </c>
      <c r="AH464" s="70">
        <f t="shared" si="7"/>
        <v>8000</v>
      </c>
      <c r="AI464" s="71"/>
      <c r="AJ464" s="71"/>
      <c r="AK464" s="71"/>
      <c r="AL464" s="71"/>
    </row>
    <row r="465">
      <c r="A465" s="57" t="s">
        <v>2010</v>
      </c>
      <c r="B465" s="58" t="s">
        <v>193</v>
      </c>
      <c r="C465" s="58" t="s">
        <v>194</v>
      </c>
      <c r="D465" s="58" t="s">
        <v>162</v>
      </c>
      <c r="E465" s="58" t="s">
        <v>1986</v>
      </c>
      <c r="F465" s="58" t="s">
        <v>103</v>
      </c>
      <c r="G465" s="59">
        <v>45993.0</v>
      </c>
      <c r="H465" s="58" t="s">
        <v>118</v>
      </c>
      <c r="I465" s="60" t="s">
        <v>2006</v>
      </c>
      <c r="J465" s="61" t="s">
        <v>2011</v>
      </c>
      <c r="K465" s="61" t="s">
        <v>2012</v>
      </c>
      <c r="L465" s="61" t="s">
        <v>2013</v>
      </c>
      <c r="M465" s="58">
        <v>2008.0</v>
      </c>
      <c r="N465" s="58">
        <v>10.0</v>
      </c>
      <c r="O465" s="62">
        <v>197.0</v>
      </c>
      <c r="P465" s="62">
        <f t="shared" si="12"/>
        <v>551.6</v>
      </c>
      <c r="Q465" s="63">
        <v>5.0</v>
      </c>
      <c r="R465" s="58">
        <v>5.0</v>
      </c>
      <c r="S465" s="58">
        <v>5.0</v>
      </c>
      <c r="T465" s="58">
        <v>0.0</v>
      </c>
      <c r="U465" s="58">
        <v>5.0</v>
      </c>
      <c r="V465" s="58" t="s">
        <v>75</v>
      </c>
      <c r="W465" s="61" t="s">
        <v>76</v>
      </c>
      <c r="X465" s="28" t="s">
        <v>1033</v>
      </c>
      <c r="Y465" s="64">
        <v>31.0</v>
      </c>
      <c r="Z465" s="65">
        <f t="shared" si="2"/>
        <v>20.15</v>
      </c>
      <c r="AA465" s="65">
        <f t="shared" si="3"/>
        <v>11114.74</v>
      </c>
      <c r="AB465" s="65">
        <f t="shared" si="4"/>
        <v>3598.824624</v>
      </c>
      <c r="AC465" s="66">
        <v>1.0</v>
      </c>
      <c r="AD465" s="70"/>
      <c r="AE465" s="68">
        <f t="shared" si="5"/>
        <v>6557.377049</v>
      </c>
      <c r="AF465" s="69">
        <v>8000.0</v>
      </c>
      <c r="AG465" s="68">
        <f t="shared" si="6"/>
        <v>32786.88525</v>
      </c>
      <c r="AH465" s="70">
        <f t="shared" si="7"/>
        <v>40000</v>
      </c>
      <c r="AI465" s="71"/>
      <c r="AJ465" s="71"/>
      <c r="AK465" s="71"/>
      <c r="AL465" s="71"/>
    </row>
    <row r="466">
      <c r="A466" s="57" t="s">
        <v>2014</v>
      </c>
      <c r="B466" s="58" t="s">
        <v>193</v>
      </c>
      <c r="C466" s="58" t="s">
        <v>194</v>
      </c>
      <c r="D466" s="58" t="s">
        <v>162</v>
      </c>
      <c r="E466" s="58" t="s">
        <v>1986</v>
      </c>
      <c r="F466" s="58" t="s">
        <v>103</v>
      </c>
      <c r="G466" s="59">
        <v>46071.0</v>
      </c>
      <c r="H466" s="58" t="s">
        <v>104</v>
      </c>
      <c r="I466" s="58" t="s">
        <v>2016</v>
      </c>
      <c r="J466" s="61" t="s">
        <v>2017</v>
      </c>
      <c r="K466" s="61" t="s">
        <v>2018</v>
      </c>
      <c r="L466" s="61" t="s">
        <v>2019</v>
      </c>
      <c r="M466" s="58">
        <v>2004.0</v>
      </c>
      <c r="N466" s="58">
        <v>10.0</v>
      </c>
      <c r="O466" s="62">
        <v>120.0</v>
      </c>
      <c r="P466" s="62">
        <f t="shared" si="12"/>
        <v>336</v>
      </c>
      <c r="Q466" s="63">
        <v>3.0</v>
      </c>
      <c r="R466" s="58">
        <v>3.0</v>
      </c>
      <c r="S466" s="58">
        <v>3.0</v>
      </c>
      <c r="T466" s="58">
        <v>0.0</v>
      </c>
      <c r="U466" s="58">
        <v>3.0</v>
      </c>
      <c r="V466" s="58" t="s">
        <v>130</v>
      </c>
      <c r="W466" s="61" t="s">
        <v>76</v>
      </c>
      <c r="X466" s="28" t="s">
        <v>1033</v>
      </c>
      <c r="Y466" s="64">
        <v>31.0</v>
      </c>
      <c r="Z466" s="65">
        <f t="shared" si="2"/>
        <v>20.15</v>
      </c>
      <c r="AA466" s="65">
        <f t="shared" si="3"/>
        <v>6770.4</v>
      </c>
      <c r="AB466" s="65">
        <f t="shared" si="4"/>
        <v>3544.842255</v>
      </c>
      <c r="AC466" s="66">
        <v>1.0</v>
      </c>
      <c r="AD466" s="70"/>
      <c r="AE466" s="68">
        <f t="shared" si="5"/>
        <v>6557.377049</v>
      </c>
      <c r="AF466" s="69">
        <v>8000.0</v>
      </c>
      <c r="AG466" s="68">
        <f t="shared" si="6"/>
        <v>19672.13115</v>
      </c>
      <c r="AH466" s="70">
        <f t="shared" si="7"/>
        <v>24000</v>
      </c>
      <c r="AI466" s="71"/>
      <c r="AJ466" s="71"/>
      <c r="AK466" s="71"/>
      <c r="AL466" s="71"/>
    </row>
    <row r="467">
      <c r="A467" s="57" t="s">
        <v>2021</v>
      </c>
      <c r="B467" s="58" t="s">
        <v>193</v>
      </c>
      <c r="C467" s="58" t="s">
        <v>194</v>
      </c>
      <c r="D467" s="58" t="s">
        <v>162</v>
      </c>
      <c r="E467" s="58" t="s">
        <v>1986</v>
      </c>
      <c r="F467" s="58" t="s">
        <v>103</v>
      </c>
      <c r="G467" s="59">
        <v>46071.0</v>
      </c>
      <c r="H467" s="58" t="s">
        <v>104</v>
      </c>
      <c r="I467" s="60" t="s">
        <v>2022</v>
      </c>
      <c r="J467" s="61" t="s">
        <v>2023</v>
      </c>
      <c r="K467" s="61" t="s">
        <v>2024</v>
      </c>
      <c r="L467" s="61" t="s">
        <v>2025</v>
      </c>
      <c r="M467" s="58">
        <v>2004.0</v>
      </c>
      <c r="N467" s="58">
        <v>10.0</v>
      </c>
      <c r="O467" s="62">
        <v>239.0</v>
      </c>
      <c r="P467" s="62">
        <f t="shared" si="12"/>
        <v>669.2</v>
      </c>
      <c r="Q467" s="63">
        <v>6.0</v>
      </c>
      <c r="R467" s="58">
        <v>6.0</v>
      </c>
      <c r="S467" s="58">
        <v>6.0</v>
      </c>
      <c r="T467" s="58">
        <v>0.0</v>
      </c>
      <c r="U467" s="58">
        <v>6.0</v>
      </c>
      <c r="V467" s="58" t="s">
        <v>130</v>
      </c>
      <c r="W467" s="61" t="s">
        <v>76</v>
      </c>
      <c r="X467" s="28" t="s">
        <v>1033</v>
      </c>
      <c r="Y467" s="64">
        <v>31.0</v>
      </c>
      <c r="Z467" s="65">
        <f t="shared" si="2"/>
        <v>20.15</v>
      </c>
      <c r="AA467" s="65">
        <f t="shared" si="3"/>
        <v>13484.38</v>
      </c>
      <c r="AB467" s="65">
        <f t="shared" si="4"/>
        <v>3559.67423</v>
      </c>
      <c r="AC467" s="66">
        <v>1.0</v>
      </c>
      <c r="AD467" s="67"/>
      <c r="AE467" s="68">
        <f t="shared" si="5"/>
        <v>6557.377049</v>
      </c>
      <c r="AF467" s="69">
        <v>8000.0</v>
      </c>
      <c r="AG467" s="68">
        <f t="shared" si="6"/>
        <v>39344.2623</v>
      </c>
      <c r="AH467" s="70">
        <f t="shared" si="7"/>
        <v>48000</v>
      </c>
      <c r="AI467" s="71"/>
      <c r="AJ467" s="71"/>
      <c r="AK467" s="71"/>
      <c r="AL467" s="71"/>
    </row>
    <row r="468">
      <c r="A468" s="57" t="s">
        <v>2026</v>
      </c>
      <c r="B468" s="58" t="s">
        <v>193</v>
      </c>
      <c r="C468" s="58" t="s">
        <v>194</v>
      </c>
      <c r="D468" s="58" t="s">
        <v>162</v>
      </c>
      <c r="E468" s="58" t="s">
        <v>1986</v>
      </c>
      <c r="F468" s="58" t="s">
        <v>103</v>
      </c>
      <c r="G468" s="59">
        <v>45993.0</v>
      </c>
      <c r="H468" s="58" t="s">
        <v>104</v>
      </c>
      <c r="I468" s="60" t="s">
        <v>2027</v>
      </c>
      <c r="J468" s="61" t="s">
        <v>2028</v>
      </c>
      <c r="K468" s="61" t="s">
        <v>2029</v>
      </c>
      <c r="L468" s="61" t="s">
        <v>2030</v>
      </c>
      <c r="M468" s="58">
        <v>2010.0</v>
      </c>
      <c r="N468" s="58">
        <v>10.0</v>
      </c>
      <c r="O468" s="62">
        <v>36.0</v>
      </c>
      <c r="P468" s="62">
        <f t="shared" si="12"/>
        <v>100.8</v>
      </c>
      <c r="Q468" s="63">
        <v>4.0</v>
      </c>
      <c r="R468" s="58">
        <v>4.0</v>
      </c>
      <c r="S468" s="58">
        <v>4.0</v>
      </c>
      <c r="T468" s="58">
        <v>0.0</v>
      </c>
      <c r="U468" s="58">
        <v>4.0</v>
      </c>
      <c r="V468" s="58" t="s">
        <v>75</v>
      </c>
      <c r="W468" s="61" t="s">
        <v>76</v>
      </c>
      <c r="X468" s="28" t="s">
        <v>1033</v>
      </c>
      <c r="Y468" s="64">
        <v>31.0</v>
      </c>
      <c r="Z468" s="65">
        <f t="shared" si="2"/>
        <v>20.15</v>
      </c>
      <c r="AA468" s="65">
        <f t="shared" si="3"/>
        <v>2031.12</v>
      </c>
      <c r="AB468" s="65">
        <f t="shared" si="4"/>
        <v>15754.85446</v>
      </c>
      <c r="AC468" s="66">
        <v>1.0</v>
      </c>
      <c r="AD468" s="67"/>
      <c r="AE468" s="68">
        <f t="shared" si="5"/>
        <v>6557.377049</v>
      </c>
      <c r="AF468" s="69">
        <v>8000.0</v>
      </c>
      <c r="AG468" s="68">
        <f t="shared" si="6"/>
        <v>26229.5082</v>
      </c>
      <c r="AH468" s="70">
        <f t="shared" si="7"/>
        <v>32000</v>
      </c>
      <c r="AI468" s="71"/>
      <c r="AJ468" s="71"/>
      <c r="AK468" s="71"/>
      <c r="AL468" s="71"/>
    </row>
    <row r="469">
      <c r="A469" s="57" t="s">
        <v>2026</v>
      </c>
      <c r="B469" s="58" t="s">
        <v>193</v>
      </c>
      <c r="C469" s="58" t="s">
        <v>194</v>
      </c>
      <c r="D469" s="58" t="s">
        <v>162</v>
      </c>
      <c r="E469" s="58" t="s">
        <v>1986</v>
      </c>
      <c r="F469" s="58" t="s">
        <v>103</v>
      </c>
      <c r="G469" s="59">
        <v>45993.0</v>
      </c>
      <c r="H469" s="58" t="s">
        <v>104</v>
      </c>
      <c r="I469" s="60" t="s">
        <v>2027</v>
      </c>
      <c r="J469" s="61" t="s">
        <v>2032</v>
      </c>
      <c r="K469" s="61" t="s">
        <v>2033</v>
      </c>
      <c r="L469" s="61" t="s">
        <v>2034</v>
      </c>
      <c r="M469" s="58">
        <v>2010.0</v>
      </c>
      <c r="N469" s="58">
        <v>10.0</v>
      </c>
      <c r="O469" s="62">
        <v>120.0</v>
      </c>
      <c r="P469" s="62">
        <f t="shared" si="12"/>
        <v>336</v>
      </c>
      <c r="Q469" s="63">
        <v>2.0</v>
      </c>
      <c r="R469" s="58">
        <v>2.0</v>
      </c>
      <c r="S469" s="58">
        <v>2.0</v>
      </c>
      <c r="T469" s="58">
        <v>0.0</v>
      </c>
      <c r="U469" s="58">
        <v>2.0</v>
      </c>
      <c r="V469" s="58" t="s">
        <v>75</v>
      </c>
      <c r="W469" s="61" t="s">
        <v>76</v>
      </c>
      <c r="X469" s="28" t="s">
        <v>1033</v>
      </c>
      <c r="Y469" s="64">
        <v>31.0</v>
      </c>
      <c r="Z469" s="65">
        <f t="shared" si="2"/>
        <v>20.15</v>
      </c>
      <c r="AA469" s="65">
        <f t="shared" si="3"/>
        <v>6770.4</v>
      </c>
      <c r="AB469" s="65">
        <f t="shared" si="4"/>
        <v>2363.22817</v>
      </c>
      <c r="AC469" s="66">
        <v>1.0</v>
      </c>
      <c r="AD469" s="70"/>
      <c r="AE469" s="68">
        <f t="shared" si="5"/>
        <v>6557.377049</v>
      </c>
      <c r="AF469" s="69">
        <v>8000.0</v>
      </c>
      <c r="AG469" s="68">
        <f t="shared" si="6"/>
        <v>13114.7541</v>
      </c>
      <c r="AH469" s="70">
        <f t="shared" si="7"/>
        <v>16000</v>
      </c>
      <c r="AI469" s="71"/>
      <c r="AJ469" s="71"/>
      <c r="AK469" s="71"/>
      <c r="AL469" s="71"/>
    </row>
    <row r="470">
      <c r="A470" s="57" t="s">
        <v>2035</v>
      </c>
      <c r="B470" s="58" t="s">
        <v>193</v>
      </c>
      <c r="C470" s="58" t="s">
        <v>194</v>
      </c>
      <c r="D470" s="58" t="s">
        <v>162</v>
      </c>
      <c r="E470" s="58" t="s">
        <v>1986</v>
      </c>
      <c r="F470" s="58" t="s">
        <v>103</v>
      </c>
      <c r="G470" s="59">
        <v>45993.0</v>
      </c>
      <c r="H470" s="58" t="s">
        <v>104</v>
      </c>
      <c r="I470" s="60" t="s">
        <v>2036</v>
      </c>
      <c r="J470" s="61" t="s">
        <v>2037</v>
      </c>
      <c r="K470" s="61" t="s">
        <v>2038</v>
      </c>
      <c r="L470" s="61" t="s">
        <v>2039</v>
      </c>
      <c r="M470" s="58">
        <v>2010.0</v>
      </c>
      <c r="N470" s="58">
        <v>10.0</v>
      </c>
      <c r="O470" s="62">
        <v>120.0</v>
      </c>
      <c r="P470" s="62">
        <f t="shared" si="12"/>
        <v>336</v>
      </c>
      <c r="Q470" s="63">
        <v>2.0</v>
      </c>
      <c r="R470" s="58">
        <v>2.0</v>
      </c>
      <c r="S470" s="58">
        <v>2.0</v>
      </c>
      <c r="T470" s="58">
        <v>0.0</v>
      </c>
      <c r="U470" s="58">
        <v>2.0</v>
      </c>
      <c r="V470" s="58" t="s">
        <v>75</v>
      </c>
      <c r="W470" s="61" t="s">
        <v>76</v>
      </c>
      <c r="X470" s="28" t="s">
        <v>1033</v>
      </c>
      <c r="Y470" s="64">
        <v>31.0</v>
      </c>
      <c r="Z470" s="65">
        <f t="shared" si="2"/>
        <v>20.15</v>
      </c>
      <c r="AA470" s="65">
        <f t="shared" si="3"/>
        <v>6770.4</v>
      </c>
      <c r="AB470" s="65">
        <f t="shared" si="4"/>
        <v>2363.22817</v>
      </c>
      <c r="AC470" s="66">
        <v>1.0</v>
      </c>
      <c r="AD470" s="70"/>
      <c r="AE470" s="68">
        <f t="shared" si="5"/>
        <v>6557.377049</v>
      </c>
      <c r="AF470" s="69">
        <v>8000.0</v>
      </c>
      <c r="AG470" s="68">
        <f t="shared" si="6"/>
        <v>13114.7541</v>
      </c>
      <c r="AH470" s="70">
        <f t="shared" si="7"/>
        <v>16000</v>
      </c>
      <c r="AI470" s="71"/>
      <c r="AJ470" s="71"/>
      <c r="AK470" s="71"/>
      <c r="AL470" s="71"/>
    </row>
    <row r="471">
      <c r="A471" s="57" t="s">
        <v>2035</v>
      </c>
      <c r="B471" s="58" t="s">
        <v>193</v>
      </c>
      <c r="C471" s="58" t="s">
        <v>194</v>
      </c>
      <c r="D471" s="58" t="s">
        <v>162</v>
      </c>
      <c r="E471" s="58" t="s">
        <v>1986</v>
      </c>
      <c r="F471" s="58" t="s">
        <v>103</v>
      </c>
      <c r="G471" s="59">
        <v>45993.0</v>
      </c>
      <c r="H471" s="58" t="s">
        <v>104</v>
      </c>
      <c r="I471" s="60" t="s">
        <v>2036</v>
      </c>
      <c r="J471" s="61" t="s">
        <v>2042</v>
      </c>
      <c r="K471" s="61" t="s">
        <v>2043</v>
      </c>
      <c r="L471" s="61" t="s">
        <v>2044</v>
      </c>
      <c r="M471" s="58">
        <v>2010.0</v>
      </c>
      <c r="N471" s="58">
        <v>16.0</v>
      </c>
      <c r="O471" s="62">
        <v>128.0</v>
      </c>
      <c r="P471" s="62">
        <f t="shared" si="12"/>
        <v>358.4</v>
      </c>
      <c r="Q471" s="63">
        <v>1.0</v>
      </c>
      <c r="R471" s="58">
        <v>1.0</v>
      </c>
      <c r="S471" s="58">
        <v>1.0</v>
      </c>
      <c r="T471" s="58">
        <v>0.0</v>
      </c>
      <c r="U471" s="58">
        <v>2.0</v>
      </c>
      <c r="V471" s="58" t="s">
        <v>75</v>
      </c>
      <c r="W471" s="61" t="s">
        <v>76</v>
      </c>
      <c r="X471" s="28" t="s">
        <v>1033</v>
      </c>
      <c r="Y471" s="64">
        <v>31.0</v>
      </c>
      <c r="Z471" s="65">
        <f t="shared" si="2"/>
        <v>20.15</v>
      </c>
      <c r="AA471" s="65">
        <f t="shared" si="3"/>
        <v>7221.76</v>
      </c>
      <c r="AB471" s="65">
        <f t="shared" si="4"/>
        <v>1107.763205</v>
      </c>
      <c r="AC471" s="66">
        <v>1.0</v>
      </c>
      <c r="AD471" s="70"/>
      <c r="AE471" s="68">
        <f t="shared" si="5"/>
        <v>6557.377049</v>
      </c>
      <c r="AF471" s="69">
        <v>8000.0</v>
      </c>
      <c r="AG471" s="68">
        <f t="shared" si="6"/>
        <v>6557.377049</v>
      </c>
      <c r="AH471" s="70">
        <f t="shared" si="7"/>
        <v>8000</v>
      </c>
      <c r="AI471" s="71"/>
      <c r="AJ471" s="71"/>
      <c r="AK471" s="71"/>
      <c r="AL471" s="71"/>
    </row>
    <row r="472">
      <c r="A472" s="57" t="s">
        <v>2035</v>
      </c>
      <c r="B472" s="58" t="s">
        <v>193</v>
      </c>
      <c r="C472" s="58" t="s">
        <v>194</v>
      </c>
      <c r="D472" s="58" t="s">
        <v>162</v>
      </c>
      <c r="E472" s="58" t="s">
        <v>1986</v>
      </c>
      <c r="F472" s="58" t="s">
        <v>103</v>
      </c>
      <c r="G472" s="59">
        <v>45993.0</v>
      </c>
      <c r="H472" s="58" t="s">
        <v>104</v>
      </c>
      <c r="I472" s="60" t="s">
        <v>2036</v>
      </c>
      <c r="J472" s="61" t="s">
        <v>2045</v>
      </c>
      <c r="K472" s="61" t="s">
        <v>2046</v>
      </c>
      <c r="L472" s="61" t="s">
        <v>2047</v>
      </c>
      <c r="M472" s="58">
        <v>2010.0</v>
      </c>
      <c r="N472" s="58">
        <v>16.0</v>
      </c>
      <c r="O472" s="62">
        <v>128.0</v>
      </c>
      <c r="P472" s="62">
        <f t="shared" si="12"/>
        <v>358.4</v>
      </c>
      <c r="Q472" s="63">
        <v>1.0</v>
      </c>
      <c r="R472" s="58">
        <v>1.0</v>
      </c>
      <c r="S472" s="58">
        <v>1.0</v>
      </c>
      <c r="T472" s="58">
        <v>0.0</v>
      </c>
      <c r="U472" s="58">
        <v>2.0</v>
      </c>
      <c r="V472" s="58" t="s">
        <v>75</v>
      </c>
      <c r="W472" s="61" t="s">
        <v>76</v>
      </c>
      <c r="X472" s="28" t="s">
        <v>1033</v>
      </c>
      <c r="Y472" s="64">
        <v>31.0</v>
      </c>
      <c r="Z472" s="65">
        <f t="shared" si="2"/>
        <v>20.15</v>
      </c>
      <c r="AA472" s="65">
        <f t="shared" si="3"/>
        <v>7221.76</v>
      </c>
      <c r="AB472" s="65">
        <f t="shared" si="4"/>
        <v>1107.763205</v>
      </c>
      <c r="AC472" s="66">
        <v>1.0</v>
      </c>
      <c r="AD472" s="70"/>
      <c r="AE472" s="68">
        <f t="shared" si="5"/>
        <v>6557.377049</v>
      </c>
      <c r="AF472" s="69">
        <v>8000.0</v>
      </c>
      <c r="AG472" s="68">
        <f t="shared" si="6"/>
        <v>6557.377049</v>
      </c>
      <c r="AH472" s="70">
        <f t="shared" si="7"/>
        <v>8000</v>
      </c>
      <c r="AI472" s="71"/>
      <c r="AJ472" s="71"/>
      <c r="AK472" s="71"/>
      <c r="AL472" s="71"/>
    </row>
    <row r="473">
      <c r="A473" s="57" t="s">
        <v>2048</v>
      </c>
      <c r="B473" s="58" t="s">
        <v>193</v>
      </c>
      <c r="C473" s="58" t="s">
        <v>194</v>
      </c>
      <c r="D473" s="58" t="s">
        <v>162</v>
      </c>
      <c r="E473" s="58" t="s">
        <v>2049</v>
      </c>
      <c r="F473" s="58" t="s">
        <v>103</v>
      </c>
      <c r="G473" s="59">
        <v>45993.0</v>
      </c>
      <c r="H473" s="58" t="s">
        <v>118</v>
      </c>
      <c r="I473" s="60" t="s">
        <v>2050</v>
      </c>
      <c r="J473" s="61" t="s">
        <v>2051</v>
      </c>
      <c r="K473" s="61" t="s">
        <v>2052</v>
      </c>
      <c r="L473" s="61" t="s">
        <v>2053</v>
      </c>
      <c r="M473" s="58">
        <v>1992.0</v>
      </c>
      <c r="N473" s="58">
        <v>9.0</v>
      </c>
      <c r="O473" s="62">
        <v>107.0</v>
      </c>
      <c r="P473" s="62">
        <f t="shared" si="12"/>
        <v>299.6</v>
      </c>
      <c r="Q473" s="63">
        <v>1.0</v>
      </c>
      <c r="R473" s="58">
        <v>1.0</v>
      </c>
      <c r="S473" s="58">
        <v>1.0</v>
      </c>
      <c r="T473" s="58">
        <v>0.0</v>
      </c>
      <c r="U473" s="58">
        <v>1.0</v>
      </c>
      <c r="V473" s="58" t="s">
        <v>130</v>
      </c>
      <c r="W473" s="61" t="s">
        <v>76</v>
      </c>
      <c r="X473" s="28" t="s">
        <v>1033</v>
      </c>
      <c r="Y473" s="64">
        <v>31.0</v>
      </c>
      <c r="Z473" s="65">
        <f t="shared" si="2"/>
        <v>20.15</v>
      </c>
      <c r="AA473" s="65">
        <f t="shared" si="3"/>
        <v>6036.94</v>
      </c>
      <c r="AB473" s="65">
        <f t="shared" si="4"/>
        <v>1325.174675</v>
      </c>
      <c r="AC473" s="66">
        <v>1.0</v>
      </c>
      <c r="AD473" s="70"/>
      <c r="AE473" s="68">
        <f t="shared" si="5"/>
        <v>6557.377049</v>
      </c>
      <c r="AF473" s="69">
        <v>8000.0</v>
      </c>
      <c r="AG473" s="68">
        <f t="shared" si="6"/>
        <v>6557.377049</v>
      </c>
      <c r="AH473" s="70">
        <f t="shared" si="7"/>
        <v>8000</v>
      </c>
      <c r="AI473" s="71"/>
      <c r="AJ473" s="71"/>
      <c r="AK473" s="71"/>
      <c r="AL473" s="71"/>
    </row>
    <row r="474">
      <c r="A474" s="57" t="s">
        <v>2054</v>
      </c>
      <c r="B474" s="58" t="s">
        <v>193</v>
      </c>
      <c r="C474" s="58" t="s">
        <v>194</v>
      </c>
      <c r="D474" s="58" t="s">
        <v>162</v>
      </c>
      <c r="E474" s="58" t="s">
        <v>2049</v>
      </c>
      <c r="F474" s="58" t="s">
        <v>103</v>
      </c>
      <c r="G474" s="59">
        <v>45993.0</v>
      </c>
      <c r="H474" s="58" t="s">
        <v>118</v>
      </c>
      <c r="I474" s="60" t="s">
        <v>2055</v>
      </c>
      <c r="J474" s="61" t="s">
        <v>2056</v>
      </c>
      <c r="K474" s="61" t="s">
        <v>2057</v>
      </c>
      <c r="L474" s="61" t="s">
        <v>2058</v>
      </c>
      <c r="M474" s="58">
        <v>2006.0</v>
      </c>
      <c r="N474" s="58">
        <v>17.0</v>
      </c>
      <c r="O474" s="62">
        <v>385.0</v>
      </c>
      <c r="P474" s="62">
        <f t="shared" si="12"/>
        <v>1078</v>
      </c>
      <c r="Q474" s="63">
        <v>7.0</v>
      </c>
      <c r="R474" s="58">
        <v>7.0</v>
      </c>
      <c r="S474" s="58">
        <v>7.0</v>
      </c>
      <c r="T474" s="58">
        <v>0.0</v>
      </c>
      <c r="U474" s="58">
        <v>7.0</v>
      </c>
      <c r="V474" s="58" t="s">
        <v>75</v>
      </c>
      <c r="W474" s="61" t="s">
        <v>76</v>
      </c>
      <c r="X474" s="28" t="s">
        <v>1033</v>
      </c>
      <c r="Y474" s="64">
        <v>31.0</v>
      </c>
      <c r="Z474" s="65">
        <f t="shared" si="2"/>
        <v>20.15</v>
      </c>
      <c r="AA474" s="65">
        <f t="shared" si="3"/>
        <v>21721.7</v>
      </c>
      <c r="AB474" s="65">
        <f t="shared" si="4"/>
        <v>2578.067094</v>
      </c>
      <c r="AC474" s="66">
        <v>1.0</v>
      </c>
      <c r="AD474" s="70"/>
      <c r="AE474" s="68">
        <f t="shared" si="5"/>
        <v>6557.377049</v>
      </c>
      <c r="AF474" s="69">
        <v>8000.0</v>
      </c>
      <c r="AG474" s="68">
        <f t="shared" si="6"/>
        <v>45901.63934</v>
      </c>
      <c r="AH474" s="70">
        <f t="shared" si="7"/>
        <v>56000</v>
      </c>
      <c r="AI474" s="71"/>
      <c r="AJ474" s="71"/>
      <c r="AK474" s="71"/>
      <c r="AL474" s="71"/>
    </row>
    <row r="475">
      <c r="A475" s="57" t="s">
        <v>2059</v>
      </c>
      <c r="B475" s="58" t="s">
        <v>193</v>
      </c>
      <c r="C475" s="58" t="s">
        <v>194</v>
      </c>
      <c r="D475" s="58" t="s">
        <v>162</v>
      </c>
      <c r="E475" s="58" t="s">
        <v>2060</v>
      </c>
      <c r="F475" s="58" t="s">
        <v>103</v>
      </c>
      <c r="G475" s="59">
        <v>45993.0</v>
      </c>
      <c r="H475" s="58" t="s">
        <v>118</v>
      </c>
      <c r="I475" s="60" t="s">
        <v>2061</v>
      </c>
      <c r="J475" s="61" t="s">
        <v>2062</v>
      </c>
      <c r="K475" s="61" t="s">
        <v>2063</v>
      </c>
      <c r="L475" s="61" t="s">
        <v>2064</v>
      </c>
      <c r="M475" s="58">
        <v>2006.0</v>
      </c>
      <c r="N475" s="58">
        <v>10.0</v>
      </c>
      <c r="O475" s="62">
        <v>120.0</v>
      </c>
      <c r="P475" s="62">
        <f t="shared" si="12"/>
        <v>336</v>
      </c>
      <c r="Q475" s="63">
        <v>3.0</v>
      </c>
      <c r="R475" s="58">
        <v>3.0</v>
      </c>
      <c r="S475" s="58">
        <v>3.0</v>
      </c>
      <c r="T475" s="58">
        <v>0.0</v>
      </c>
      <c r="U475" s="58">
        <v>3.0</v>
      </c>
      <c r="V475" s="58" t="s">
        <v>75</v>
      </c>
      <c r="W475" s="61" t="s">
        <v>76</v>
      </c>
      <c r="X475" s="28" t="s">
        <v>1033</v>
      </c>
      <c r="Y475" s="64">
        <v>31.0</v>
      </c>
      <c r="Z475" s="65">
        <f t="shared" si="2"/>
        <v>20.15</v>
      </c>
      <c r="AA475" s="65">
        <f t="shared" si="3"/>
        <v>6770.4</v>
      </c>
      <c r="AB475" s="65">
        <f t="shared" si="4"/>
        <v>3544.842255</v>
      </c>
      <c r="AC475" s="66">
        <v>1.0</v>
      </c>
      <c r="AD475" s="67"/>
      <c r="AE475" s="68">
        <f t="shared" si="5"/>
        <v>6557.377049</v>
      </c>
      <c r="AF475" s="69">
        <v>8000.0</v>
      </c>
      <c r="AG475" s="68">
        <f t="shared" si="6"/>
        <v>19672.13115</v>
      </c>
      <c r="AH475" s="70">
        <f t="shared" si="7"/>
        <v>24000</v>
      </c>
      <c r="AI475" s="71"/>
      <c r="AJ475" s="71"/>
      <c r="AK475" s="71"/>
      <c r="AL475" s="71"/>
    </row>
    <row r="476">
      <c r="A476" s="57" t="s">
        <v>2059</v>
      </c>
      <c r="B476" s="58" t="s">
        <v>193</v>
      </c>
      <c r="C476" s="58" t="s">
        <v>194</v>
      </c>
      <c r="D476" s="58" t="s">
        <v>162</v>
      </c>
      <c r="E476" s="58" t="s">
        <v>2060</v>
      </c>
      <c r="F476" s="58" t="s">
        <v>103</v>
      </c>
      <c r="G476" s="59">
        <v>45993.0</v>
      </c>
      <c r="H476" s="58" t="s">
        <v>118</v>
      </c>
      <c r="I476" s="60" t="s">
        <v>2061</v>
      </c>
      <c r="J476" s="61" t="s">
        <v>2066</v>
      </c>
      <c r="K476" s="61" t="s">
        <v>2067</v>
      </c>
      <c r="L476" s="61" t="s">
        <v>2068</v>
      </c>
      <c r="M476" s="58">
        <v>2006.0</v>
      </c>
      <c r="N476" s="58">
        <v>10.0</v>
      </c>
      <c r="O476" s="62">
        <v>43.0</v>
      </c>
      <c r="P476" s="62">
        <f t="shared" si="12"/>
        <v>120.4</v>
      </c>
      <c r="Q476" s="63">
        <v>3.0</v>
      </c>
      <c r="R476" s="58">
        <v>3.0</v>
      </c>
      <c r="S476" s="58">
        <v>3.0</v>
      </c>
      <c r="T476" s="58">
        <v>0.0</v>
      </c>
      <c r="U476" s="58">
        <v>3.0</v>
      </c>
      <c r="V476" s="58" t="s">
        <v>75</v>
      </c>
      <c r="W476" s="61" t="s">
        <v>76</v>
      </c>
      <c r="X476" s="28" t="s">
        <v>1033</v>
      </c>
      <c r="Y476" s="64">
        <v>31.0</v>
      </c>
      <c r="Z476" s="65">
        <f t="shared" si="2"/>
        <v>20.15</v>
      </c>
      <c r="AA476" s="65">
        <f t="shared" si="3"/>
        <v>2426.06</v>
      </c>
      <c r="AB476" s="65">
        <f t="shared" si="4"/>
        <v>9892.583036</v>
      </c>
      <c r="AC476" s="66">
        <v>1.0</v>
      </c>
      <c r="AD476" s="67"/>
      <c r="AE476" s="68">
        <f t="shared" si="5"/>
        <v>6557.377049</v>
      </c>
      <c r="AF476" s="69">
        <v>8000.0</v>
      </c>
      <c r="AG476" s="68">
        <f t="shared" si="6"/>
        <v>19672.13115</v>
      </c>
      <c r="AH476" s="70">
        <f t="shared" si="7"/>
        <v>24000</v>
      </c>
      <c r="AI476" s="71"/>
      <c r="AJ476" s="71"/>
      <c r="AK476" s="71"/>
      <c r="AL476" s="71"/>
    </row>
    <row r="477">
      <c r="A477" s="57" t="s">
        <v>2074</v>
      </c>
      <c r="B477" s="58" t="s">
        <v>193</v>
      </c>
      <c r="C477" s="58" t="s">
        <v>194</v>
      </c>
      <c r="D477" s="58" t="s">
        <v>162</v>
      </c>
      <c r="E477" s="58" t="s">
        <v>2060</v>
      </c>
      <c r="F477" s="58" t="s">
        <v>103</v>
      </c>
      <c r="G477" s="59">
        <v>45993.0</v>
      </c>
      <c r="H477" s="58" t="s">
        <v>118</v>
      </c>
      <c r="I477" s="60" t="s">
        <v>2075</v>
      </c>
      <c r="J477" s="61" t="s">
        <v>2076</v>
      </c>
      <c r="K477" s="61" t="s">
        <v>2077</v>
      </c>
      <c r="L477" s="61" t="s">
        <v>2078</v>
      </c>
      <c r="M477" s="58">
        <v>2010.0</v>
      </c>
      <c r="N477" s="58">
        <v>24.0</v>
      </c>
      <c r="O477" s="62">
        <v>375.0</v>
      </c>
      <c r="P477" s="62">
        <f t="shared" si="12"/>
        <v>1050</v>
      </c>
      <c r="Q477" s="63">
        <v>4.0</v>
      </c>
      <c r="R477" s="58">
        <v>4.0</v>
      </c>
      <c r="S477" s="58">
        <v>4.0</v>
      </c>
      <c r="T477" s="58">
        <v>0.0</v>
      </c>
      <c r="U477" s="58">
        <v>4.0</v>
      </c>
      <c r="V477" s="58" t="s">
        <v>130</v>
      </c>
      <c r="W477" s="61" t="s">
        <v>76</v>
      </c>
      <c r="X477" s="28" t="s">
        <v>1033</v>
      </c>
      <c r="Y477" s="64">
        <v>31.0</v>
      </c>
      <c r="Z477" s="65">
        <f t="shared" si="2"/>
        <v>20.15</v>
      </c>
      <c r="AA477" s="65">
        <f t="shared" si="3"/>
        <v>21157.5</v>
      </c>
      <c r="AB477" s="65">
        <f t="shared" si="4"/>
        <v>1512.466029</v>
      </c>
      <c r="AC477" s="66">
        <v>1.0</v>
      </c>
      <c r="AD477" s="70"/>
      <c r="AE477" s="68">
        <f t="shared" si="5"/>
        <v>6557.377049</v>
      </c>
      <c r="AF477" s="69">
        <v>8000.0</v>
      </c>
      <c r="AG477" s="68">
        <f t="shared" si="6"/>
        <v>26229.5082</v>
      </c>
      <c r="AH477" s="70">
        <f t="shared" si="7"/>
        <v>32000</v>
      </c>
      <c r="AI477" s="71"/>
      <c r="AJ477" s="71"/>
      <c r="AK477" s="71"/>
      <c r="AL477" s="71"/>
    </row>
    <row r="478">
      <c r="A478" s="57" t="s">
        <v>2079</v>
      </c>
      <c r="B478" s="58" t="s">
        <v>193</v>
      </c>
      <c r="C478" s="58" t="s">
        <v>194</v>
      </c>
      <c r="D478" s="58" t="s">
        <v>162</v>
      </c>
      <c r="E478" s="58" t="s">
        <v>2060</v>
      </c>
      <c r="F478" s="58" t="s">
        <v>63</v>
      </c>
      <c r="G478" s="59">
        <v>45993.0</v>
      </c>
      <c r="H478" s="58" t="s">
        <v>118</v>
      </c>
      <c r="I478" s="60" t="s">
        <v>2080</v>
      </c>
      <c r="J478" s="61" t="s">
        <v>2081</v>
      </c>
      <c r="K478" s="61" t="s">
        <v>2082</v>
      </c>
      <c r="L478" s="61" t="s">
        <v>2083</v>
      </c>
      <c r="M478" s="58">
        <v>2009.0</v>
      </c>
      <c r="N478" s="58">
        <v>16.0</v>
      </c>
      <c r="O478" s="62">
        <v>96.0</v>
      </c>
      <c r="P478" s="62">
        <f t="shared" si="12"/>
        <v>268.8</v>
      </c>
      <c r="Q478" s="63">
        <v>1.0</v>
      </c>
      <c r="R478" s="58">
        <v>1.0</v>
      </c>
      <c r="S478" s="58">
        <v>1.0</v>
      </c>
      <c r="T478" s="58">
        <v>0.0</v>
      </c>
      <c r="U478" s="58">
        <v>2.0</v>
      </c>
      <c r="V478" s="58" t="s">
        <v>130</v>
      </c>
      <c r="W478" s="61" t="s">
        <v>76</v>
      </c>
      <c r="X478" s="28" t="s">
        <v>1033</v>
      </c>
      <c r="Y478" s="64">
        <v>31.0</v>
      </c>
      <c r="Z478" s="65">
        <f t="shared" si="2"/>
        <v>20.15</v>
      </c>
      <c r="AA478" s="65">
        <f t="shared" si="3"/>
        <v>5416.32</v>
      </c>
      <c r="AB478" s="65">
        <f t="shared" si="4"/>
        <v>1477.017606</v>
      </c>
      <c r="AC478" s="66">
        <v>1.0</v>
      </c>
      <c r="AD478" s="70"/>
      <c r="AE478" s="68">
        <f t="shared" si="5"/>
        <v>6557.377049</v>
      </c>
      <c r="AF478" s="69">
        <v>8000.0</v>
      </c>
      <c r="AG478" s="68">
        <f t="shared" si="6"/>
        <v>6557.377049</v>
      </c>
      <c r="AH478" s="70">
        <f t="shared" si="7"/>
        <v>8000</v>
      </c>
      <c r="AI478" s="71"/>
      <c r="AJ478" s="71"/>
      <c r="AK478" s="71"/>
      <c r="AL478" s="71"/>
    </row>
    <row r="479">
      <c r="A479" s="57" t="s">
        <v>2079</v>
      </c>
      <c r="B479" s="58" t="s">
        <v>193</v>
      </c>
      <c r="C479" s="58" t="s">
        <v>194</v>
      </c>
      <c r="D479" s="58" t="s">
        <v>162</v>
      </c>
      <c r="E479" s="58" t="s">
        <v>2060</v>
      </c>
      <c r="F479" s="58" t="s">
        <v>63</v>
      </c>
      <c r="G479" s="59">
        <v>45993.0</v>
      </c>
      <c r="H479" s="58" t="s">
        <v>118</v>
      </c>
      <c r="I479" s="60" t="s">
        <v>2080</v>
      </c>
      <c r="J479" s="61" t="s">
        <v>2084</v>
      </c>
      <c r="K479" s="61" t="s">
        <v>2085</v>
      </c>
      <c r="L479" s="61" t="s">
        <v>2086</v>
      </c>
      <c r="M479" s="58">
        <v>2009.0</v>
      </c>
      <c r="N479" s="58">
        <v>16.0</v>
      </c>
      <c r="O479" s="62">
        <v>96.0</v>
      </c>
      <c r="P479" s="62">
        <f t="shared" si="12"/>
        <v>268.8</v>
      </c>
      <c r="Q479" s="63">
        <v>1.0</v>
      </c>
      <c r="R479" s="58">
        <v>1.0</v>
      </c>
      <c r="S479" s="58">
        <v>1.0</v>
      </c>
      <c r="T479" s="58">
        <v>0.0</v>
      </c>
      <c r="U479" s="58">
        <v>2.0</v>
      </c>
      <c r="V479" s="58" t="s">
        <v>130</v>
      </c>
      <c r="W479" s="61" t="s">
        <v>76</v>
      </c>
      <c r="X479" s="28" t="s">
        <v>1033</v>
      </c>
      <c r="Y479" s="64">
        <v>31.0</v>
      </c>
      <c r="Z479" s="65">
        <f t="shared" si="2"/>
        <v>20.15</v>
      </c>
      <c r="AA479" s="65">
        <f t="shared" si="3"/>
        <v>5416.32</v>
      </c>
      <c r="AB479" s="65">
        <f t="shared" si="4"/>
        <v>1477.017606</v>
      </c>
      <c r="AC479" s="66">
        <v>1.0</v>
      </c>
      <c r="AD479" s="70"/>
      <c r="AE479" s="68">
        <f t="shared" si="5"/>
        <v>6557.377049</v>
      </c>
      <c r="AF479" s="69">
        <v>8000.0</v>
      </c>
      <c r="AG479" s="68">
        <f t="shared" si="6"/>
        <v>6557.377049</v>
      </c>
      <c r="AH479" s="70">
        <f t="shared" si="7"/>
        <v>8000</v>
      </c>
      <c r="AI479" s="71"/>
      <c r="AJ479" s="71"/>
      <c r="AK479" s="71"/>
      <c r="AL479" s="71"/>
    </row>
    <row r="480">
      <c r="A480" s="57" t="s">
        <v>2087</v>
      </c>
      <c r="B480" s="58" t="s">
        <v>193</v>
      </c>
      <c r="C480" s="58" t="s">
        <v>194</v>
      </c>
      <c r="D480" s="58" t="s">
        <v>162</v>
      </c>
      <c r="E480" s="58" t="s">
        <v>2060</v>
      </c>
      <c r="F480" s="58" t="s">
        <v>63</v>
      </c>
      <c r="G480" s="59">
        <v>45993.0</v>
      </c>
      <c r="H480" s="58" t="s">
        <v>118</v>
      </c>
      <c r="I480" s="60" t="s">
        <v>2088</v>
      </c>
      <c r="J480" s="61" t="s">
        <v>2089</v>
      </c>
      <c r="K480" s="61" t="s">
        <v>2090</v>
      </c>
      <c r="L480" s="61" t="s">
        <v>2091</v>
      </c>
      <c r="M480" s="58">
        <v>2009.0</v>
      </c>
      <c r="N480" s="58">
        <v>16.0</v>
      </c>
      <c r="O480" s="62">
        <v>161.0</v>
      </c>
      <c r="P480" s="62">
        <f t="shared" si="12"/>
        <v>450.8</v>
      </c>
      <c r="Q480" s="63">
        <v>1.0</v>
      </c>
      <c r="R480" s="58">
        <v>1.0</v>
      </c>
      <c r="S480" s="58">
        <v>1.0</v>
      </c>
      <c r="T480" s="58">
        <v>0.0</v>
      </c>
      <c r="U480" s="58">
        <v>2.0</v>
      </c>
      <c r="V480" s="58" t="s">
        <v>130</v>
      </c>
      <c r="W480" s="61" t="s">
        <v>76</v>
      </c>
      <c r="X480" s="28" t="s">
        <v>1033</v>
      </c>
      <c r="Y480" s="64">
        <v>31.0</v>
      </c>
      <c r="Z480" s="65">
        <f t="shared" si="2"/>
        <v>20.15</v>
      </c>
      <c r="AA480" s="65">
        <f t="shared" si="3"/>
        <v>9083.62</v>
      </c>
      <c r="AB480" s="65">
        <f t="shared" si="4"/>
        <v>880.7061502</v>
      </c>
      <c r="AC480" s="66">
        <v>1.0</v>
      </c>
      <c r="AD480" s="67"/>
      <c r="AE480" s="68">
        <f t="shared" si="5"/>
        <v>6557.377049</v>
      </c>
      <c r="AF480" s="69">
        <v>8000.0</v>
      </c>
      <c r="AG480" s="68">
        <f t="shared" si="6"/>
        <v>6557.377049</v>
      </c>
      <c r="AH480" s="70">
        <f t="shared" si="7"/>
        <v>8000</v>
      </c>
      <c r="AI480" s="71"/>
      <c r="AJ480" s="71"/>
      <c r="AK480" s="71"/>
      <c r="AL480" s="71"/>
    </row>
    <row r="481">
      <c r="A481" s="57" t="s">
        <v>2092</v>
      </c>
      <c r="B481" s="58" t="s">
        <v>193</v>
      </c>
      <c r="C481" s="58" t="s">
        <v>194</v>
      </c>
      <c r="D481" s="58" t="s">
        <v>162</v>
      </c>
      <c r="E481" s="58" t="s">
        <v>2060</v>
      </c>
      <c r="F481" s="58" t="s">
        <v>103</v>
      </c>
      <c r="G481" s="59">
        <v>45993.0</v>
      </c>
      <c r="H481" s="58" t="s">
        <v>118</v>
      </c>
      <c r="I481" s="60" t="s">
        <v>2093</v>
      </c>
      <c r="J481" s="61" t="s">
        <v>2094</v>
      </c>
      <c r="K481" s="61" t="s">
        <v>2095</v>
      </c>
      <c r="L481" s="61" t="s">
        <v>2096</v>
      </c>
      <c r="M481" s="58">
        <v>2010.0</v>
      </c>
      <c r="N481" s="58">
        <v>18.0</v>
      </c>
      <c r="O481" s="62">
        <v>394.0</v>
      </c>
      <c r="P481" s="62">
        <f t="shared" si="12"/>
        <v>1103.2</v>
      </c>
      <c r="Q481" s="63">
        <v>5.0</v>
      </c>
      <c r="R481" s="58">
        <v>5.0</v>
      </c>
      <c r="S481" s="58">
        <v>5.0</v>
      </c>
      <c r="T481" s="58">
        <v>0.0</v>
      </c>
      <c r="U481" s="58">
        <v>5.0</v>
      </c>
      <c r="V481" s="58" t="s">
        <v>130</v>
      </c>
      <c r="W481" s="61" t="s">
        <v>76</v>
      </c>
      <c r="X481" s="28" t="s">
        <v>1033</v>
      </c>
      <c r="Y481" s="64">
        <v>31.0</v>
      </c>
      <c r="Z481" s="65">
        <f t="shared" si="2"/>
        <v>20.15</v>
      </c>
      <c r="AA481" s="65">
        <f t="shared" si="3"/>
        <v>22229.48</v>
      </c>
      <c r="AB481" s="65">
        <f t="shared" si="4"/>
        <v>1799.412312</v>
      </c>
      <c r="AC481" s="66">
        <v>1.0</v>
      </c>
      <c r="AD481" s="67"/>
      <c r="AE481" s="68">
        <f t="shared" si="5"/>
        <v>6557.377049</v>
      </c>
      <c r="AF481" s="69">
        <v>8000.0</v>
      </c>
      <c r="AG481" s="68">
        <f t="shared" si="6"/>
        <v>32786.88525</v>
      </c>
      <c r="AH481" s="70">
        <f t="shared" si="7"/>
        <v>40000</v>
      </c>
      <c r="AI481" s="71"/>
      <c r="AJ481" s="71"/>
      <c r="AK481" s="71"/>
      <c r="AL481" s="71"/>
    </row>
    <row r="482">
      <c r="A482" s="57" t="s">
        <v>2097</v>
      </c>
      <c r="B482" s="58" t="s">
        <v>193</v>
      </c>
      <c r="C482" s="58" t="s">
        <v>194</v>
      </c>
      <c r="D482" s="58" t="s">
        <v>162</v>
      </c>
      <c r="E482" s="58" t="s">
        <v>2060</v>
      </c>
      <c r="F482" s="58" t="s">
        <v>103</v>
      </c>
      <c r="G482" s="59">
        <v>46233.0</v>
      </c>
      <c r="H482" s="58" t="s">
        <v>118</v>
      </c>
      <c r="I482" s="60" t="s">
        <v>2098</v>
      </c>
      <c r="J482" s="61" t="s">
        <v>2099</v>
      </c>
      <c r="K482" s="61" t="s">
        <v>2100</v>
      </c>
      <c r="L482" s="61" t="s">
        <v>2101</v>
      </c>
      <c r="M482" s="58">
        <v>2004.0</v>
      </c>
      <c r="N482" s="58">
        <v>16.0</v>
      </c>
      <c r="O482" s="62">
        <v>128.0</v>
      </c>
      <c r="P482" s="62">
        <f t="shared" si="12"/>
        <v>358.4</v>
      </c>
      <c r="Q482" s="63">
        <v>1.0</v>
      </c>
      <c r="R482" s="58">
        <v>1.0</v>
      </c>
      <c r="S482" s="58">
        <v>2.0</v>
      </c>
      <c r="T482" s="58">
        <v>0.0</v>
      </c>
      <c r="U482" s="58">
        <v>2.0</v>
      </c>
      <c r="V482" s="58" t="s">
        <v>130</v>
      </c>
      <c r="W482" s="61" t="s">
        <v>76</v>
      </c>
      <c r="X482" s="28" t="s">
        <v>1033</v>
      </c>
      <c r="Y482" s="64">
        <v>31.0</v>
      </c>
      <c r="Z482" s="65">
        <f t="shared" si="2"/>
        <v>10.075</v>
      </c>
      <c r="AA482" s="65">
        <f t="shared" si="3"/>
        <v>3610.88</v>
      </c>
      <c r="AB482" s="65">
        <f t="shared" si="4"/>
        <v>2215.526409</v>
      </c>
      <c r="AC482" s="66">
        <v>1.0</v>
      </c>
      <c r="AD482" s="70"/>
      <c r="AE482" s="68">
        <f t="shared" si="5"/>
        <v>6557.377049</v>
      </c>
      <c r="AF482" s="69">
        <v>8000.0</v>
      </c>
      <c r="AG482" s="68">
        <f t="shared" si="6"/>
        <v>6557.377049</v>
      </c>
      <c r="AH482" s="70">
        <f t="shared" si="7"/>
        <v>8000</v>
      </c>
      <c r="AI482" s="71"/>
      <c r="AJ482" s="71"/>
      <c r="AK482" s="71"/>
      <c r="AL482" s="71"/>
    </row>
    <row r="483">
      <c r="A483" s="57" t="s">
        <v>2097</v>
      </c>
      <c r="B483" s="58" t="s">
        <v>193</v>
      </c>
      <c r="C483" s="58" t="s">
        <v>194</v>
      </c>
      <c r="D483" s="58" t="s">
        <v>162</v>
      </c>
      <c r="E483" s="58" t="s">
        <v>2060</v>
      </c>
      <c r="F483" s="58" t="s">
        <v>103</v>
      </c>
      <c r="G483" s="59">
        <v>46233.0</v>
      </c>
      <c r="H483" s="58" t="s">
        <v>118</v>
      </c>
      <c r="I483" s="60" t="s">
        <v>2098</v>
      </c>
      <c r="J483" s="61" t="s">
        <v>2104</v>
      </c>
      <c r="K483" s="61" t="s">
        <v>2106</v>
      </c>
      <c r="L483" s="61" t="s">
        <v>2107</v>
      </c>
      <c r="M483" s="58">
        <v>2004.0</v>
      </c>
      <c r="N483" s="58">
        <v>16.0</v>
      </c>
      <c r="O483" s="62">
        <v>128.0</v>
      </c>
      <c r="P483" s="62">
        <f t="shared" si="12"/>
        <v>358.4</v>
      </c>
      <c r="Q483" s="63">
        <v>1.0</v>
      </c>
      <c r="R483" s="58">
        <v>1.0</v>
      </c>
      <c r="S483" s="58">
        <v>1.0</v>
      </c>
      <c r="T483" s="58">
        <v>0.0</v>
      </c>
      <c r="U483" s="58">
        <v>2.0</v>
      </c>
      <c r="V483" s="58" t="s">
        <v>130</v>
      </c>
      <c r="W483" s="61" t="s">
        <v>76</v>
      </c>
      <c r="X483" s="28" t="s">
        <v>1033</v>
      </c>
      <c r="Y483" s="64">
        <v>31.0</v>
      </c>
      <c r="Z483" s="65">
        <f t="shared" si="2"/>
        <v>20.15</v>
      </c>
      <c r="AA483" s="65">
        <f t="shared" si="3"/>
        <v>7221.76</v>
      </c>
      <c r="AB483" s="65">
        <f t="shared" si="4"/>
        <v>1107.763205</v>
      </c>
      <c r="AC483" s="66">
        <v>1.0</v>
      </c>
      <c r="AD483" s="70"/>
      <c r="AE483" s="68">
        <f t="shared" si="5"/>
        <v>6557.377049</v>
      </c>
      <c r="AF483" s="69">
        <v>8000.0</v>
      </c>
      <c r="AG483" s="68">
        <f t="shared" si="6"/>
        <v>6557.377049</v>
      </c>
      <c r="AH483" s="70">
        <f t="shared" si="7"/>
        <v>8000</v>
      </c>
      <c r="AI483" s="71"/>
      <c r="AJ483" s="71"/>
      <c r="AK483" s="71"/>
      <c r="AL483" s="71"/>
    </row>
    <row r="484">
      <c r="A484" s="57" t="s">
        <v>2112</v>
      </c>
      <c r="B484" s="58" t="s">
        <v>193</v>
      </c>
      <c r="C484" s="58" t="s">
        <v>194</v>
      </c>
      <c r="D484" s="58" t="s">
        <v>162</v>
      </c>
      <c r="E484" s="58" t="s">
        <v>2060</v>
      </c>
      <c r="F484" s="58" t="s">
        <v>103</v>
      </c>
      <c r="G484" s="59">
        <v>46233.0</v>
      </c>
      <c r="H484" s="58" t="s">
        <v>118</v>
      </c>
      <c r="I484" s="60" t="s">
        <v>2113</v>
      </c>
      <c r="J484" s="61" t="s">
        <v>2114</v>
      </c>
      <c r="K484" s="61" t="s">
        <v>2115</v>
      </c>
      <c r="L484" s="61" t="s">
        <v>2116</v>
      </c>
      <c r="M484" s="58">
        <v>2004.0</v>
      </c>
      <c r="N484" s="58">
        <v>16.0</v>
      </c>
      <c r="O484" s="62">
        <v>128.0</v>
      </c>
      <c r="P484" s="62">
        <f t="shared" si="12"/>
        <v>358.4</v>
      </c>
      <c r="Q484" s="63">
        <v>1.0</v>
      </c>
      <c r="R484" s="58">
        <v>1.0</v>
      </c>
      <c r="S484" s="58">
        <v>1.0</v>
      </c>
      <c r="T484" s="58">
        <v>0.0</v>
      </c>
      <c r="U484" s="58">
        <v>2.0</v>
      </c>
      <c r="V484" s="58" t="s">
        <v>130</v>
      </c>
      <c r="W484" s="61" t="s">
        <v>76</v>
      </c>
      <c r="X484" s="28" t="s">
        <v>1033</v>
      </c>
      <c r="Y484" s="64">
        <v>31.0</v>
      </c>
      <c r="Z484" s="65">
        <f t="shared" si="2"/>
        <v>20.15</v>
      </c>
      <c r="AA484" s="65">
        <f t="shared" si="3"/>
        <v>7221.76</v>
      </c>
      <c r="AB484" s="65">
        <f t="shared" si="4"/>
        <v>1107.763205</v>
      </c>
      <c r="AC484" s="66">
        <v>1.0</v>
      </c>
      <c r="AD484" s="70"/>
      <c r="AE484" s="68">
        <f t="shared" si="5"/>
        <v>6557.377049</v>
      </c>
      <c r="AF484" s="69">
        <v>8000.0</v>
      </c>
      <c r="AG484" s="68">
        <f t="shared" si="6"/>
        <v>6557.377049</v>
      </c>
      <c r="AH484" s="70">
        <f t="shared" si="7"/>
        <v>8000</v>
      </c>
      <c r="AI484" s="71"/>
      <c r="AJ484" s="71"/>
      <c r="AK484" s="71"/>
      <c r="AL484" s="71"/>
    </row>
    <row r="485">
      <c r="A485" s="57" t="s">
        <v>2121</v>
      </c>
      <c r="B485" s="58" t="s">
        <v>193</v>
      </c>
      <c r="C485" s="58" t="s">
        <v>194</v>
      </c>
      <c r="D485" s="58" t="s">
        <v>162</v>
      </c>
      <c r="E485" s="58" t="s">
        <v>2060</v>
      </c>
      <c r="F485" s="58" t="s">
        <v>103</v>
      </c>
      <c r="G485" s="59">
        <v>45993.0</v>
      </c>
      <c r="H485" s="58" t="s">
        <v>118</v>
      </c>
      <c r="I485" s="60" t="s">
        <v>2123</v>
      </c>
      <c r="J485" s="61" t="s">
        <v>2125</v>
      </c>
      <c r="K485" s="61" t="s">
        <v>2126</v>
      </c>
      <c r="L485" s="61" t="s">
        <v>2127</v>
      </c>
      <c r="M485" s="58">
        <v>2006.0</v>
      </c>
      <c r="N485" s="58">
        <v>10.0</v>
      </c>
      <c r="O485" s="62">
        <v>120.0</v>
      </c>
      <c r="P485" s="62">
        <f t="shared" si="12"/>
        <v>336</v>
      </c>
      <c r="Q485" s="63">
        <v>3.0</v>
      </c>
      <c r="R485" s="58">
        <v>3.0</v>
      </c>
      <c r="S485" s="58">
        <v>3.0</v>
      </c>
      <c r="T485" s="58">
        <v>0.0</v>
      </c>
      <c r="U485" s="58">
        <v>3.0</v>
      </c>
      <c r="V485" s="58" t="s">
        <v>75</v>
      </c>
      <c r="W485" s="61" t="s">
        <v>76</v>
      </c>
      <c r="X485" s="28" t="s">
        <v>1033</v>
      </c>
      <c r="Y485" s="64">
        <v>31.0</v>
      </c>
      <c r="Z485" s="65">
        <f t="shared" si="2"/>
        <v>20.15</v>
      </c>
      <c r="AA485" s="65">
        <f t="shared" si="3"/>
        <v>6770.4</v>
      </c>
      <c r="AB485" s="65">
        <f t="shared" si="4"/>
        <v>3544.842255</v>
      </c>
      <c r="AC485" s="66">
        <v>1.0</v>
      </c>
      <c r="AD485" s="67"/>
      <c r="AE485" s="68">
        <f t="shared" si="5"/>
        <v>6557.377049</v>
      </c>
      <c r="AF485" s="69">
        <v>8000.0</v>
      </c>
      <c r="AG485" s="68">
        <f t="shared" si="6"/>
        <v>19672.13115</v>
      </c>
      <c r="AH485" s="70">
        <f t="shared" si="7"/>
        <v>24000</v>
      </c>
      <c r="AI485" s="71"/>
      <c r="AJ485" s="71"/>
      <c r="AK485" s="71"/>
      <c r="AL485" s="71"/>
    </row>
    <row r="486">
      <c r="A486" s="57" t="s">
        <v>2130</v>
      </c>
      <c r="B486" s="58" t="s">
        <v>193</v>
      </c>
      <c r="C486" s="58" t="s">
        <v>194</v>
      </c>
      <c r="D486" s="58" t="s">
        <v>162</v>
      </c>
      <c r="E486" s="58" t="s">
        <v>2132</v>
      </c>
      <c r="F486" s="58" t="s">
        <v>103</v>
      </c>
      <c r="G486" s="59">
        <v>45993.0</v>
      </c>
      <c r="H486" s="58" t="s">
        <v>118</v>
      </c>
      <c r="I486" s="60" t="s">
        <v>2133</v>
      </c>
      <c r="J486" s="61" t="s">
        <v>2134</v>
      </c>
      <c r="K486" s="61" t="s">
        <v>2135</v>
      </c>
      <c r="L486" s="61" t="s">
        <v>2136</v>
      </c>
      <c r="M486" s="58">
        <v>2022.0</v>
      </c>
      <c r="N486" s="58">
        <v>18.0</v>
      </c>
      <c r="O486" s="62">
        <v>240.0</v>
      </c>
      <c r="P486" s="62">
        <f t="shared" si="12"/>
        <v>672</v>
      </c>
      <c r="Q486" s="63">
        <v>9.0</v>
      </c>
      <c r="R486" s="58">
        <v>9.0</v>
      </c>
      <c r="S486" s="58">
        <v>18.0</v>
      </c>
      <c r="T486" s="58">
        <v>0.0</v>
      </c>
      <c r="U486" s="58">
        <v>17.0</v>
      </c>
      <c r="V486" s="58" t="s">
        <v>75</v>
      </c>
      <c r="W486" s="61" t="s">
        <v>76</v>
      </c>
      <c r="X486" s="28" t="s">
        <v>1033</v>
      </c>
      <c r="Y486" s="64">
        <v>31.0</v>
      </c>
      <c r="Z486" s="65">
        <f t="shared" si="2"/>
        <v>10.075</v>
      </c>
      <c r="AA486" s="65">
        <f t="shared" si="3"/>
        <v>6770.4</v>
      </c>
      <c r="AB486" s="65">
        <f t="shared" si="4"/>
        <v>10634.52676</v>
      </c>
      <c r="AC486" s="66">
        <v>1.0</v>
      </c>
      <c r="AD486" s="67"/>
      <c r="AE486" s="68">
        <f t="shared" si="5"/>
        <v>6557.377049</v>
      </c>
      <c r="AF486" s="69">
        <v>8000.0</v>
      </c>
      <c r="AG486" s="68">
        <f t="shared" si="6"/>
        <v>59016.39344</v>
      </c>
      <c r="AH486" s="70">
        <f t="shared" si="7"/>
        <v>72000</v>
      </c>
      <c r="AI486" s="71"/>
      <c r="AJ486" s="71"/>
      <c r="AK486" s="71"/>
      <c r="AL486" s="71"/>
    </row>
    <row r="487">
      <c r="A487" s="57" t="s">
        <v>2139</v>
      </c>
      <c r="B487" s="58" t="s">
        <v>193</v>
      </c>
      <c r="C487" s="58" t="s">
        <v>194</v>
      </c>
      <c r="D487" s="58" t="s">
        <v>162</v>
      </c>
      <c r="E487" s="58" t="s">
        <v>2132</v>
      </c>
      <c r="F487" s="58" t="s">
        <v>103</v>
      </c>
      <c r="G487" s="59">
        <v>45993.0</v>
      </c>
      <c r="H487" s="58" t="s">
        <v>118</v>
      </c>
      <c r="I487" s="60" t="s">
        <v>2143</v>
      </c>
      <c r="J487" s="61" t="s">
        <v>2144</v>
      </c>
      <c r="K487" s="61" t="s">
        <v>2135</v>
      </c>
      <c r="L487" s="61" t="s">
        <v>2136</v>
      </c>
      <c r="M487" s="58">
        <v>2022.0</v>
      </c>
      <c r="N487" s="58">
        <v>18.0</v>
      </c>
      <c r="O487" s="62">
        <v>287.0</v>
      </c>
      <c r="P487" s="62">
        <f t="shared" si="12"/>
        <v>803.6</v>
      </c>
      <c r="Q487" s="63">
        <v>9.0</v>
      </c>
      <c r="R487" s="58">
        <v>9.0</v>
      </c>
      <c r="S487" s="58">
        <v>18.0</v>
      </c>
      <c r="T487" s="58">
        <v>0.0</v>
      </c>
      <c r="U487" s="58">
        <v>17.0</v>
      </c>
      <c r="V487" s="58" t="s">
        <v>75</v>
      </c>
      <c r="W487" s="61" t="s">
        <v>76</v>
      </c>
      <c r="X487" s="28" t="s">
        <v>1033</v>
      </c>
      <c r="Y487" s="64">
        <v>31.0</v>
      </c>
      <c r="Z487" s="65">
        <f t="shared" si="2"/>
        <v>10.075</v>
      </c>
      <c r="AA487" s="65">
        <f t="shared" si="3"/>
        <v>8096.27</v>
      </c>
      <c r="AB487" s="65">
        <f t="shared" si="4"/>
        <v>8892.984053</v>
      </c>
      <c r="AC487" s="66">
        <v>1.0</v>
      </c>
      <c r="AD487" s="70"/>
      <c r="AE487" s="68">
        <f t="shared" si="5"/>
        <v>6557.377049</v>
      </c>
      <c r="AF487" s="69">
        <v>8000.0</v>
      </c>
      <c r="AG487" s="68">
        <f t="shared" si="6"/>
        <v>59016.39344</v>
      </c>
      <c r="AH487" s="70">
        <f t="shared" si="7"/>
        <v>72000</v>
      </c>
      <c r="AI487" s="71"/>
      <c r="AJ487" s="71"/>
      <c r="AK487" s="71"/>
      <c r="AL487" s="71"/>
    </row>
    <row r="488">
      <c r="A488" s="57" t="s">
        <v>2152</v>
      </c>
      <c r="B488" s="58" t="s">
        <v>193</v>
      </c>
      <c r="C488" s="58" t="s">
        <v>194</v>
      </c>
      <c r="D488" s="58" t="s">
        <v>162</v>
      </c>
      <c r="E488" s="58" t="s">
        <v>2132</v>
      </c>
      <c r="F488" s="58" t="s">
        <v>103</v>
      </c>
      <c r="G488" s="59">
        <v>45993.0</v>
      </c>
      <c r="H488" s="58" t="s">
        <v>118</v>
      </c>
      <c r="I488" s="60" t="s">
        <v>2153</v>
      </c>
      <c r="J488" s="61" t="s">
        <v>2154</v>
      </c>
      <c r="K488" s="61" t="s">
        <v>2155</v>
      </c>
      <c r="L488" s="61" t="s">
        <v>2156</v>
      </c>
      <c r="M488" s="58">
        <v>2022.0</v>
      </c>
      <c r="N488" s="58">
        <v>8.0</v>
      </c>
      <c r="O488" s="62">
        <v>101.0</v>
      </c>
      <c r="P488" s="62">
        <f t="shared" si="12"/>
        <v>282.8</v>
      </c>
      <c r="Q488" s="63">
        <v>6.0</v>
      </c>
      <c r="R488" s="58">
        <v>6.0</v>
      </c>
      <c r="S488" s="58">
        <v>6.0</v>
      </c>
      <c r="T488" s="58">
        <v>0.0</v>
      </c>
      <c r="U488" s="58">
        <v>6.0</v>
      </c>
      <c r="V488" s="58" t="s">
        <v>75</v>
      </c>
      <c r="W488" s="61" t="s">
        <v>76</v>
      </c>
      <c r="X488" s="28" t="s">
        <v>1033</v>
      </c>
      <c r="Y488" s="64">
        <v>31.0</v>
      </c>
      <c r="Z488" s="65">
        <f t="shared" si="2"/>
        <v>20.15</v>
      </c>
      <c r="AA488" s="65">
        <f t="shared" si="3"/>
        <v>5698.42</v>
      </c>
      <c r="AB488" s="65">
        <f t="shared" si="4"/>
        <v>8423.387535</v>
      </c>
      <c r="AC488" s="66">
        <v>1.0</v>
      </c>
      <c r="AD488" s="70"/>
      <c r="AE488" s="68">
        <f t="shared" si="5"/>
        <v>6557.377049</v>
      </c>
      <c r="AF488" s="69">
        <v>8000.0</v>
      </c>
      <c r="AG488" s="68">
        <f t="shared" si="6"/>
        <v>39344.2623</v>
      </c>
      <c r="AH488" s="70">
        <f t="shared" si="7"/>
        <v>48000</v>
      </c>
      <c r="AI488" s="71"/>
      <c r="AJ488" s="71"/>
      <c r="AK488" s="71"/>
      <c r="AL488" s="71"/>
    </row>
    <row r="489">
      <c r="A489" s="57" t="s">
        <v>2157</v>
      </c>
      <c r="B489" s="58" t="s">
        <v>193</v>
      </c>
      <c r="C489" s="58" t="s">
        <v>194</v>
      </c>
      <c r="D489" s="58" t="s">
        <v>162</v>
      </c>
      <c r="E489" s="58" t="s">
        <v>2132</v>
      </c>
      <c r="F489" s="58" t="s">
        <v>103</v>
      </c>
      <c r="G489" s="59">
        <v>46183.0</v>
      </c>
      <c r="H489" s="58" t="s">
        <v>118</v>
      </c>
      <c r="I489" s="60" t="s">
        <v>2158</v>
      </c>
      <c r="J489" s="61" t="s">
        <v>2159</v>
      </c>
      <c r="K489" s="61" t="s">
        <v>2160</v>
      </c>
      <c r="L489" s="61" t="s">
        <v>2161</v>
      </c>
      <c r="M489" s="58">
        <v>2021.0</v>
      </c>
      <c r="N489" s="58">
        <v>18.0</v>
      </c>
      <c r="O489" s="62">
        <v>528.0</v>
      </c>
      <c r="P489" s="62">
        <f t="shared" si="12"/>
        <v>1478.4</v>
      </c>
      <c r="Q489" s="63">
        <v>19.0</v>
      </c>
      <c r="R489" s="58">
        <v>0.0</v>
      </c>
      <c r="S489" s="58">
        <v>18.0</v>
      </c>
      <c r="T489" s="58">
        <v>19.0</v>
      </c>
      <c r="U489" s="58">
        <v>19.0</v>
      </c>
      <c r="V489" s="58" t="s">
        <v>130</v>
      </c>
      <c r="W489" s="61" t="s">
        <v>76</v>
      </c>
      <c r="X489" s="28" t="s">
        <v>1033</v>
      </c>
      <c r="Y489" s="64">
        <v>31.0</v>
      </c>
      <c r="Z489" s="65">
        <f t="shared" si="2"/>
        <v>40.3</v>
      </c>
      <c r="AA489" s="65">
        <f t="shared" si="3"/>
        <v>59579.52</v>
      </c>
      <c r="AB489" s="65">
        <f t="shared" si="4"/>
        <v>2551.212229</v>
      </c>
      <c r="AC489" s="66">
        <v>1.0</v>
      </c>
      <c r="AD489" s="70"/>
      <c r="AE489" s="68">
        <f t="shared" si="5"/>
        <v>6557.377049</v>
      </c>
      <c r="AF489" s="69">
        <v>8000.0</v>
      </c>
      <c r="AG489" s="68">
        <f t="shared" si="6"/>
        <v>124590.1639</v>
      </c>
      <c r="AH489" s="70">
        <f t="shared" si="7"/>
        <v>152000</v>
      </c>
      <c r="AI489" s="71"/>
      <c r="AJ489" s="71"/>
      <c r="AK489" s="71"/>
      <c r="AL489" s="71"/>
    </row>
    <row r="490">
      <c r="A490" s="57" t="s">
        <v>2162</v>
      </c>
      <c r="B490" s="58" t="s">
        <v>193</v>
      </c>
      <c r="C490" s="58" t="s">
        <v>194</v>
      </c>
      <c r="D490" s="58" t="s">
        <v>162</v>
      </c>
      <c r="E490" s="58" t="s">
        <v>2163</v>
      </c>
      <c r="F490" s="58" t="s">
        <v>103</v>
      </c>
      <c r="G490" s="59">
        <v>45993.0</v>
      </c>
      <c r="H490" s="58" t="s">
        <v>65</v>
      </c>
      <c r="I490" s="60" t="s">
        <v>2164</v>
      </c>
      <c r="J490" s="61" t="s">
        <v>2165</v>
      </c>
      <c r="K490" s="61" t="s">
        <v>2166</v>
      </c>
      <c r="L490" s="61" t="s">
        <v>2167</v>
      </c>
      <c r="M490" s="58">
        <v>2020.0</v>
      </c>
      <c r="N490" s="58">
        <v>24.0</v>
      </c>
      <c r="O490" s="62">
        <v>630.0</v>
      </c>
      <c r="P490" s="62">
        <f t="shared" si="12"/>
        <v>1764</v>
      </c>
      <c r="Q490" s="63">
        <v>9.0</v>
      </c>
      <c r="R490" s="58">
        <v>0.0</v>
      </c>
      <c r="S490" s="58">
        <v>9.0</v>
      </c>
      <c r="T490" s="58">
        <v>9.0</v>
      </c>
      <c r="U490" s="58">
        <v>9.0</v>
      </c>
      <c r="V490" s="58" t="s">
        <v>75</v>
      </c>
      <c r="W490" s="61" t="s">
        <v>76</v>
      </c>
      <c r="X490" s="28" t="s">
        <v>1033</v>
      </c>
      <c r="Y490" s="64">
        <v>31.0</v>
      </c>
      <c r="Z490" s="65">
        <f t="shared" si="2"/>
        <v>40.3</v>
      </c>
      <c r="AA490" s="65">
        <f t="shared" si="3"/>
        <v>71089.2</v>
      </c>
      <c r="AB490" s="65">
        <f t="shared" si="4"/>
        <v>1012.812073</v>
      </c>
      <c r="AC490" s="66">
        <v>1.0</v>
      </c>
      <c r="AD490" s="67"/>
      <c r="AE490" s="68">
        <f t="shared" si="5"/>
        <v>6557.377049</v>
      </c>
      <c r="AF490" s="69">
        <v>8000.0</v>
      </c>
      <c r="AG490" s="68">
        <f t="shared" si="6"/>
        <v>59016.39344</v>
      </c>
      <c r="AH490" s="70">
        <f t="shared" si="7"/>
        <v>72000</v>
      </c>
      <c r="AI490" s="71"/>
      <c r="AJ490" s="71"/>
      <c r="AK490" s="71"/>
      <c r="AL490" s="71"/>
    </row>
    <row r="491">
      <c r="A491" s="57" t="s">
        <v>2168</v>
      </c>
      <c r="B491" s="58" t="s">
        <v>193</v>
      </c>
      <c r="C491" s="58" t="s">
        <v>194</v>
      </c>
      <c r="D491" s="58" t="s">
        <v>162</v>
      </c>
      <c r="E491" s="58" t="s">
        <v>1986</v>
      </c>
      <c r="F491" s="58" t="s">
        <v>103</v>
      </c>
      <c r="G491" s="59">
        <v>45993.0</v>
      </c>
      <c r="H491" s="58" t="s">
        <v>65</v>
      </c>
      <c r="I491" s="60" t="s">
        <v>2171</v>
      </c>
      <c r="J491" s="61" t="s">
        <v>2172</v>
      </c>
      <c r="K491" s="61" t="s">
        <v>2166</v>
      </c>
      <c r="L491" s="61" t="s">
        <v>2167</v>
      </c>
      <c r="M491" s="58">
        <v>2018.0</v>
      </c>
      <c r="N491" s="58">
        <v>18.0</v>
      </c>
      <c r="O491" s="62">
        <v>245.0</v>
      </c>
      <c r="P491" s="62">
        <f t="shared" si="12"/>
        <v>686</v>
      </c>
      <c r="Q491" s="63">
        <v>3.0</v>
      </c>
      <c r="R491" s="58">
        <v>3.0</v>
      </c>
      <c r="S491" s="58">
        <v>3.0</v>
      </c>
      <c r="T491" s="58">
        <v>0.0</v>
      </c>
      <c r="U491" s="58">
        <v>6.0</v>
      </c>
      <c r="V491" s="58" t="s">
        <v>75</v>
      </c>
      <c r="W491" s="61" t="s">
        <v>76</v>
      </c>
      <c r="X491" s="28" t="s">
        <v>1033</v>
      </c>
      <c r="Y491" s="64">
        <v>31.0</v>
      </c>
      <c r="Z491" s="65">
        <f t="shared" si="2"/>
        <v>20.15</v>
      </c>
      <c r="AA491" s="65">
        <f t="shared" si="3"/>
        <v>13822.9</v>
      </c>
      <c r="AB491" s="65">
        <f t="shared" si="4"/>
        <v>1736.249268</v>
      </c>
      <c r="AC491" s="66">
        <v>1.0</v>
      </c>
      <c r="AD491" s="67"/>
      <c r="AE491" s="68">
        <f t="shared" si="5"/>
        <v>6557.377049</v>
      </c>
      <c r="AF491" s="69">
        <v>8000.0</v>
      </c>
      <c r="AG491" s="68">
        <f t="shared" si="6"/>
        <v>19672.13115</v>
      </c>
      <c r="AH491" s="70">
        <f t="shared" si="7"/>
        <v>24000</v>
      </c>
      <c r="AI491" s="71"/>
      <c r="AJ491" s="71"/>
      <c r="AK491" s="71"/>
      <c r="AL491" s="71"/>
    </row>
    <row r="492">
      <c r="A492" s="57" t="s">
        <v>2168</v>
      </c>
      <c r="B492" s="58" t="s">
        <v>193</v>
      </c>
      <c r="C492" s="58" t="s">
        <v>194</v>
      </c>
      <c r="D492" s="58" t="s">
        <v>162</v>
      </c>
      <c r="E492" s="58" t="s">
        <v>1986</v>
      </c>
      <c r="F492" s="58" t="s">
        <v>103</v>
      </c>
      <c r="G492" s="59">
        <v>45993.0</v>
      </c>
      <c r="H492" s="58" t="s">
        <v>65</v>
      </c>
      <c r="I492" s="60" t="s">
        <v>2171</v>
      </c>
      <c r="J492" s="61" t="s">
        <v>2177</v>
      </c>
      <c r="K492" s="61" t="s">
        <v>2178</v>
      </c>
      <c r="L492" s="61" t="s">
        <v>2179</v>
      </c>
      <c r="M492" s="58">
        <v>2018.0</v>
      </c>
      <c r="N492" s="58">
        <v>18.0</v>
      </c>
      <c r="O492" s="62">
        <v>262.0</v>
      </c>
      <c r="P492" s="62">
        <f t="shared" si="12"/>
        <v>733.6</v>
      </c>
      <c r="Q492" s="63">
        <v>3.0</v>
      </c>
      <c r="R492" s="58">
        <v>3.0</v>
      </c>
      <c r="S492" s="58">
        <v>3.0</v>
      </c>
      <c r="T492" s="58">
        <v>0.0</v>
      </c>
      <c r="U492" s="58">
        <v>6.0</v>
      </c>
      <c r="V492" s="58" t="s">
        <v>75</v>
      </c>
      <c r="W492" s="61" t="s">
        <v>76</v>
      </c>
      <c r="X492" s="28" t="s">
        <v>1033</v>
      </c>
      <c r="Y492" s="64">
        <v>31.0</v>
      </c>
      <c r="Z492" s="65">
        <f t="shared" si="2"/>
        <v>20.15</v>
      </c>
      <c r="AA492" s="65">
        <f t="shared" si="3"/>
        <v>14782.04</v>
      </c>
      <c r="AB492" s="65">
        <f t="shared" si="4"/>
        <v>1623.591872</v>
      </c>
      <c r="AC492" s="66">
        <v>1.0</v>
      </c>
      <c r="AD492" s="70"/>
      <c r="AE492" s="68">
        <f t="shared" si="5"/>
        <v>6557.377049</v>
      </c>
      <c r="AF492" s="69">
        <v>8000.0</v>
      </c>
      <c r="AG492" s="68">
        <f t="shared" si="6"/>
        <v>19672.13115</v>
      </c>
      <c r="AH492" s="70">
        <f t="shared" si="7"/>
        <v>24000</v>
      </c>
      <c r="AI492" s="71"/>
      <c r="AJ492" s="71"/>
      <c r="AK492" s="71"/>
      <c r="AL492" s="71"/>
    </row>
    <row r="493">
      <c r="A493" s="57" t="s">
        <v>2180</v>
      </c>
      <c r="B493" s="58" t="s">
        <v>193</v>
      </c>
      <c r="C493" s="58" t="s">
        <v>194</v>
      </c>
      <c r="D493" s="58" t="s">
        <v>162</v>
      </c>
      <c r="E493" s="58" t="s">
        <v>1986</v>
      </c>
      <c r="F493" s="58" t="s">
        <v>103</v>
      </c>
      <c r="G493" s="59">
        <v>45993.0</v>
      </c>
      <c r="H493" s="58" t="s">
        <v>65</v>
      </c>
      <c r="I493" s="60" t="s">
        <v>2181</v>
      </c>
      <c r="J493" s="61" t="s">
        <v>2182</v>
      </c>
      <c r="K493" s="61" t="s">
        <v>2183</v>
      </c>
      <c r="L493" s="61" t="s">
        <v>2184</v>
      </c>
      <c r="M493" s="58">
        <v>2018.0</v>
      </c>
      <c r="N493" s="58">
        <v>18.0</v>
      </c>
      <c r="O493" s="62">
        <v>178.0</v>
      </c>
      <c r="P493" s="62">
        <f t="shared" si="12"/>
        <v>498.4</v>
      </c>
      <c r="Q493" s="63">
        <v>2.0</v>
      </c>
      <c r="R493" s="58">
        <v>2.0</v>
      </c>
      <c r="S493" s="58">
        <v>2.0</v>
      </c>
      <c r="T493" s="58">
        <v>0.0</v>
      </c>
      <c r="U493" s="58">
        <v>4.0</v>
      </c>
      <c r="V493" s="58" t="s">
        <v>75</v>
      </c>
      <c r="W493" s="61" t="s">
        <v>76</v>
      </c>
      <c r="X493" s="28" t="s">
        <v>1033</v>
      </c>
      <c r="Y493" s="64">
        <v>31.0</v>
      </c>
      <c r="Z493" s="65">
        <f t="shared" si="2"/>
        <v>20.15</v>
      </c>
      <c r="AA493" s="65">
        <f t="shared" si="3"/>
        <v>10042.76</v>
      </c>
      <c r="AB493" s="65">
        <f t="shared" si="4"/>
        <v>1593.18753</v>
      </c>
      <c r="AC493" s="66">
        <v>1.0</v>
      </c>
      <c r="AD493" s="70"/>
      <c r="AE493" s="68">
        <f t="shared" si="5"/>
        <v>6557.377049</v>
      </c>
      <c r="AF493" s="69">
        <v>8000.0</v>
      </c>
      <c r="AG493" s="68">
        <f t="shared" si="6"/>
        <v>13114.7541</v>
      </c>
      <c r="AH493" s="70">
        <f t="shared" si="7"/>
        <v>16000</v>
      </c>
      <c r="AI493" s="71"/>
      <c r="AJ493" s="71"/>
      <c r="AK493" s="71"/>
      <c r="AL493" s="71"/>
    </row>
    <row r="494">
      <c r="A494" s="57" t="s">
        <v>2180</v>
      </c>
      <c r="B494" s="58" t="s">
        <v>193</v>
      </c>
      <c r="C494" s="58" t="s">
        <v>194</v>
      </c>
      <c r="D494" s="58" t="s">
        <v>162</v>
      </c>
      <c r="E494" s="58" t="s">
        <v>1986</v>
      </c>
      <c r="F494" s="58" t="s">
        <v>103</v>
      </c>
      <c r="G494" s="59">
        <v>45993.0</v>
      </c>
      <c r="H494" s="58" t="s">
        <v>65</v>
      </c>
      <c r="I494" s="60" t="s">
        <v>2181</v>
      </c>
      <c r="J494" s="61" t="s">
        <v>2185</v>
      </c>
      <c r="K494" s="61" t="s">
        <v>2186</v>
      </c>
      <c r="L494" s="61" t="s">
        <v>2187</v>
      </c>
      <c r="M494" s="58">
        <v>2018.0</v>
      </c>
      <c r="N494" s="58">
        <v>18.0</v>
      </c>
      <c r="O494" s="62">
        <v>107.0</v>
      </c>
      <c r="P494" s="62">
        <f t="shared" si="12"/>
        <v>299.6</v>
      </c>
      <c r="Q494" s="63">
        <v>1.0</v>
      </c>
      <c r="R494" s="58">
        <v>1.0</v>
      </c>
      <c r="S494" s="58">
        <v>1.0</v>
      </c>
      <c r="T494" s="58">
        <v>0.0</v>
      </c>
      <c r="U494" s="58">
        <v>2.0</v>
      </c>
      <c r="V494" s="58" t="s">
        <v>75</v>
      </c>
      <c r="W494" s="61" t="s">
        <v>76</v>
      </c>
      <c r="X494" s="28" t="s">
        <v>1033</v>
      </c>
      <c r="Y494" s="64">
        <v>31.0</v>
      </c>
      <c r="Z494" s="65">
        <f t="shared" si="2"/>
        <v>20.15</v>
      </c>
      <c r="AA494" s="65">
        <f t="shared" si="3"/>
        <v>6036.94</v>
      </c>
      <c r="AB494" s="65">
        <f t="shared" si="4"/>
        <v>1325.174675</v>
      </c>
      <c r="AC494" s="66">
        <v>1.0</v>
      </c>
      <c r="AD494" s="70"/>
      <c r="AE494" s="68">
        <f t="shared" si="5"/>
        <v>6557.377049</v>
      </c>
      <c r="AF494" s="69">
        <v>8000.0</v>
      </c>
      <c r="AG494" s="68">
        <f t="shared" si="6"/>
        <v>6557.377049</v>
      </c>
      <c r="AH494" s="70">
        <f t="shared" si="7"/>
        <v>8000</v>
      </c>
      <c r="AI494" s="71"/>
      <c r="AJ494" s="71"/>
      <c r="AK494" s="71"/>
      <c r="AL494" s="71"/>
    </row>
    <row r="495">
      <c r="A495" s="57" t="s">
        <v>2180</v>
      </c>
      <c r="B495" s="58" t="s">
        <v>193</v>
      </c>
      <c r="C495" s="58" t="s">
        <v>194</v>
      </c>
      <c r="D495" s="58" t="s">
        <v>162</v>
      </c>
      <c r="E495" s="58" t="s">
        <v>1986</v>
      </c>
      <c r="F495" s="58" t="s">
        <v>103</v>
      </c>
      <c r="G495" s="59">
        <v>45993.0</v>
      </c>
      <c r="H495" s="58" t="s">
        <v>65</v>
      </c>
      <c r="I495" s="60" t="s">
        <v>2181</v>
      </c>
      <c r="J495" s="61" t="s">
        <v>2188</v>
      </c>
      <c r="K495" s="61" t="s">
        <v>2189</v>
      </c>
      <c r="L495" s="61" t="s">
        <v>2190</v>
      </c>
      <c r="M495" s="58">
        <v>2018.0</v>
      </c>
      <c r="N495" s="58">
        <v>18.0</v>
      </c>
      <c r="O495" s="62">
        <v>107.0</v>
      </c>
      <c r="P495" s="62">
        <f t="shared" si="12"/>
        <v>299.6</v>
      </c>
      <c r="Q495" s="63">
        <v>1.0</v>
      </c>
      <c r="R495" s="58">
        <v>1.0</v>
      </c>
      <c r="S495" s="58">
        <v>1.0</v>
      </c>
      <c r="T495" s="58">
        <v>0.0</v>
      </c>
      <c r="U495" s="58">
        <v>2.0</v>
      </c>
      <c r="V495" s="58" t="s">
        <v>75</v>
      </c>
      <c r="W495" s="61" t="s">
        <v>76</v>
      </c>
      <c r="X495" s="28" t="s">
        <v>1033</v>
      </c>
      <c r="Y495" s="64">
        <v>31.0</v>
      </c>
      <c r="Z495" s="65">
        <f t="shared" si="2"/>
        <v>20.15</v>
      </c>
      <c r="AA495" s="65">
        <f t="shared" si="3"/>
        <v>6036.94</v>
      </c>
      <c r="AB495" s="65">
        <f t="shared" si="4"/>
        <v>1325.174675</v>
      </c>
      <c r="AC495" s="66">
        <v>1.0</v>
      </c>
      <c r="AD495" s="67"/>
      <c r="AE495" s="68">
        <f t="shared" si="5"/>
        <v>6557.377049</v>
      </c>
      <c r="AF495" s="69">
        <v>8000.0</v>
      </c>
      <c r="AG495" s="68">
        <f t="shared" si="6"/>
        <v>6557.377049</v>
      </c>
      <c r="AH495" s="70">
        <f t="shared" si="7"/>
        <v>8000</v>
      </c>
      <c r="AI495" s="71"/>
      <c r="AJ495" s="71"/>
      <c r="AK495" s="71"/>
      <c r="AL495" s="71"/>
    </row>
    <row r="496">
      <c r="A496" s="57" t="s">
        <v>2180</v>
      </c>
      <c r="B496" s="58" t="s">
        <v>193</v>
      </c>
      <c r="C496" s="58" t="s">
        <v>194</v>
      </c>
      <c r="D496" s="58" t="s">
        <v>162</v>
      </c>
      <c r="E496" s="58" t="s">
        <v>1986</v>
      </c>
      <c r="F496" s="58" t="s">
        <v>103</v>
      </c>
      <c r="G496" s="59">
        <v>45993.0</v>
      </c>
      <c r="H496" s="58" t="s">
        <v>65</v>
      </c>
      <c r="I496" s="60" t="s">
        <v>2181</v>
      </c>
      <c r="J496" s="61" t="s">
        <v>2191</v>
      </c>
      <c r="K496" s="61" t="s">
        <v>2192</v>
      </c>
      <c r="L496" s="61" t="s">
        <v>2193</v>
      </c>
      <c r="M496" s="58">
        <v>2018.0</v>
      </c>
      <c r="N496" s="58">
        <v>18.0</v>
      </c>
      <c r="O496" s="62">
        <v>107.0</v>
      </c>
      <c r="P496" s="62">
        <f t="shared" si="12"/>
        <v>299.6</v>
      </c>
      <c r="Q496" s="63">
        <v>1.0</v>
      </c>
      <c r="R496" s="58">
        <v>1.0</v>
      </c>
      <c r="S496" s="58">
        <v>1.0</v>
      </c>
      <c r="T496" s="58">
        <v>0.0</v>
      </c>
      <c r="U496" s="58">
        <v>2.0</v>
      </c>
      <c r="V496" s="58" t="s">
        <v>75</v>
      </c>
      <c r="W496" s="61" t="s">
        <v>76</v>
      </c>
      <c r="X496" s="28" t="s">
        <v>1033</v>
      </c>
      <c r="Y496" s="64">
        <v>31.0</v>
      </c>
      <c r="Z496" s="65">
        <f t="shared" si="2"/>
        <v>20.15</v>
      </c>
      <c r="AA496" s="65">
        <f t="shared" si="3"/>
        <v>6036.94</v>
      </c>
      <c r="AB496" s="65">
        <f t="shared" si="4"/>
        <v>1325.174675</v>
      </c>
      <c r="AC496" s="66">
        <v>1.0</v>
      </c>
      <c r="AD496" s="67"/>
      <c r="AE496" s="68">
        <f t="shared" si="5"/>
        <v>6557.377049</v>
      </c>
      <c r="AF496" s="69">
        <v>8000.0</v>
      </c>
      <c r="AG496" s="68">
        <f t="shared" si="6"/>
        <v>6557.377049</v>
      </c>
      <c r="AH496" s="70">
        <f t="shared" si="7"/>
        <v>8000</v>
      </c>
      <c r="AI496" s="71"/>
      <c r="AJ496" s="71"/>
      <c r="AK496" s="71"/>
      <c r="AL496" s="71"/>
    </row>
    <row r="497">
      <c r="A497" s="57" t="s">
        <v>2194</v>
      </c>
      <c r="B497" s="58" t="s">
        <v>193</v>
      </c>
      <c r="C497" s="58" t="s">
        <v>194</v>
      </c>
      <c r="D497" s="58" t="s">
        <v>162</v>
      </c>
      <c r="E497" s="58" t="s">
        <v>1986</v>
      </c>
      <c r="F497" s="58" t="s">
        <v>63</v>
      </c>
      <c r="G497" s="59">
        <v>45993.0</v>
      </c>
      <c r="H497" s="58" t="s">
        <v>65</v>
      </c>
      <c r="I497" s="60" t="s">
        <v>2195</v>
      </c>
      <c r="J497" s="61" t="s">
        <v>2196</v>
      </c>
      <c r="K497" s="61" t="s">
        <v>2189</v>
      </c>
      <c r="L497" s="61" t="s">
        <v>2190</v>
      </c>
      <c r="M497" s="58">
        <v>2019.0</v>
      </c>
      <c r="N497" s="58">
        <v>20.0</v>
      </c>
      <c r="O497" s="62">
        <v>108.0</v>
      </c>
      <c r="P497" s="62">
        <f t="shared" si="12"/>
        <v>302.4</v>
      </c>
      <c r="Q497" s="63">
        <v>1.0</v>
      </c>
      <c r="R497" s="58">
        <v>1.0</v>
      </c>
      <c r="S497" s="58">
        <v>1.0</v>
      </c>
      <c r="T497" s="58">
        <v>0.0</v>
      </c>
      <c r="U497" s="58">
        <v>3.0</v>
      </c>
      <c r="V497" s="58" t="s">
        <v>75</v>
      </c>
      <c r="W497" s="61" t="s">
        <v>76</v>
      </c>
      <c r="X497" s="28" t="s">
        <v>1033</v>
      </c>
      <c r="Y497" s="64">
        <v>31.0</v>
      </c>
      <c r="Z497" s="65">
        <f t="shared" si="2"/>
        <v>20.15</v>
      </c>
      <c r="AA497" s="65">
        <f t="shared" si="3"/>
        <v>6093.36</v>
      </c>
      <c r="AB497" s="65">
        <f t="shared" si="4"/>
        <v>1312.904539</v>
      </c>
      <c r="AC497" s="66">
        <v>1.0</v>
      </c>
      <c r="AD497" s="70"/>
      <c r="AE497" s="68">
        <f t="shared" si="5"/>
        <v>6557.377049</v>
      </c>
      <c r="AF497" s="69">
        <v>8000.0</v>
      </c>
      <c r="AG497" s="68">
        <f t="shared" si="6"/>
        <v>6557.377049</v>
      </c>
      <c r="AH497" s="70">
        <f t="shared" si="7"/>
        <v>8000</v>
      </c>
      <c r="AI497" s="71"/>
      <c r="AJ497" s="71"/>
      <c r="AK497" s="71"/>
      <c r="AL497" s="71"/>
    </row>
    <row r="498">
      <c r="A498" s="57" t="s">
        <v>2197</v>
      </c>
      <c r="B498" s="58" t="s">
        <v>193</v>
      </c>
      <c r="C498" s="58" t="s">
        <v>194</v>
      </c>
      <c r="D498" s="58" t="s">
        <v>1878</v>
      </c>
      <c r="E498" s="58" t="s">
        <v>1937</v>
      </c>
      <c r="F498" s="58" t="s">
        <v>103</v>
      </c>
      <c r="G498" s="59">
        <v>45993.0</v>
      </c>
      <c r="H498" s="58" t="s">
        <v>65</v>
      </c>
      <c r="I498" s="60" t="s">
        <v>2198</v>
      </c>
      <c r="J498" s="61" t="s">
        <v>2199</v>
      </c>
      <c r="K498" s="61" t="s">
        <v>2200</v>
      </c>
      <c r="L498" s="61" t="s">
        <v>2201</v>
      </c>
      <c r="M498" s="58">
        <v>2009.0</v>
      </c>
      <c r="N498" s="58">
        <v>17.0</v>
      </c>
      <c r="O498" s="62">
        <v>85.0</v>
      </c>
      <c r="P498" s="62">
        <f t="shared" si="12"/>
        <v>238</v>
      </c>
      <c r="Q498" s="63">
        <v>1.0</v>
      </c>
      <c r="R498" s="58">
        <v>1.0</v>
      </c>
      <c r="S498" s="58">
        <v>1.0</v>
      </c>
      <c r="T498" s="58">
        <v>0.0</v>
      </c>
      <c r="U498" s="58">
        <v>2.0</v>
      </c>
      <c r="V498" s="58" t="s">
        <v>75</v>
      </c>
      <c r="W498" s="61" t="s">
        <v>76</v>
      </c>
      <c r="X498" s="28" t="s">
        <v>1033</v>
      </c>
      <c r="Y498" s="64">
        <v>31.0</v>
      </c>
      <c r="Z498" s="65">
        <f t="shared" si="2"/>
        <v>20.15</v>
      </c>
      <c r="AA498" s="65">
        <f t="shared" si="3"/>
        <v>4795.7</v>
      </c>
      <c r="AB498" s="65">
        <f t="shared" si="4"/>
        <v>1668.161061</v>
      </c>
      <c r="AC498" s="66">
        <v>1.0</v>
      </c>
      <c r="AD498" s="70"/>
      <c r="AE498" s="68">
        <f t="shared" si="5"/>
        <v>6557.377049</v>
      </c>
      <c r="AF498" s="69">
        <v>8000.0</v>
      </c>
      <c r="AG498" s="68">
        <f t="shared" si="6"/>
        <v>6557.377049</v>
      </c>
      <c r="AH498" s="70">
        <f t="shared" si="7"/>
        <v>8000</v>
      </c>
      <c r="AI498" s="71"/>
      <c r="AJ498" s="71"/>
      <c r="AK498" s="71"/>
      <c r="AL498" s="71"/>
    </row>
    <row r="499">
      <c r="A499" s="57" t="s">
        <v>2197</v>
      </c>
      <c r="B499" s="58" t="s">
        <v>193</v>
      </c>
      <c r="C499" s="58" t="s">
        <v>194</v>
      </c>
      <c r="D499" s="58" t="s">
        <v>1878</v>
      </c>
      <c r="E499" s="58" t="s">
        <v>1937</v>
      </c>
      <c r="F499" s="58" t="s">
        <v>103</v>
      </c>
      <c r="G499" s="59">
        <v>45993.0</v>
      </c>
      <c r="H499" s="58" t="s">
        <v>65</v>
      </c>
      <c r="I499" s="60" t="s">
        <v>2198</v>
      </c>
      <c r="J499" s="61" t="s">
        <v>2202</v>
      </c>
      <c r="K499" s="61" t="s">
        <v>2203</v>
      </c>
      <c r="L499" s="61" t="s">
        <v>2204</v>
      </c>
      <c r="M499" s="58">
        <v>2009.0</v>
      </c>
      <c r="N499" s="58">
        <v>18.0</v>
      </c>
      <c r="O499" s="62">
        <v>85.0</v>
      </c>
      <c r="P499" s="62">
        <f t="shared" si="12"/>
        <v>238</v>
      </c>
      <c r="Q499" s="63">
        <v>1.0</v>
      </c>
      <c r="R499" s="58">
        <v>1.0</v>
      </c>
      <c r="S499" s="58">
        <v>1.0</v>
      </c>
      <c r="T499" s="58">
        <v>0.0</v>
      </c>
      <c r="U499" s="58">
        <v>2.0</v>
      </c>
      <c r="V499" s="58" t="s">
        <v>75</v>
      </c>
      <c r="W499" s="61" t="s">
        <v>76</v>
      </c>
      <c r="X499" s="28" t="s">
        <v>1033</v>
      </c>
      <c r="Y499" s="64">
        <v>31.0</v>
      </c>
      <c r="Z499" s="65">
        <f t="shared" si="2"/>
        <v>20.15</v>
      </c>
      <c r="AA499" s="65">
        <f t="shared" si="3"/>
        <v>4795.7</v>
      </c>
      <c r="AB499" s="65">
        <f t="shared" si="4"/>
        <v>1668.161061</v>
      </c>
      <c r="AC499" s="66">
        <v>1.0</v>
      </c>
      <c r="AD499" s="70"/>
      <c r="AE499" s="68">
        <f t="shared" si="5"/>
        <v>6557.377049</v>
      </c>
      <c r="AF499" s="69">
        <v>8000.0</v>
      </c>
      <c r="AG499" s="68">
        <f t="shared" si="6"/>
        <v>6557.377049</v>
      </c>
      <c r="AH499" s="70">
        <f t="shared" si="7"/>
        <v>8000</v>
      </c>
      <c r="AI499" s="71"/>
      <c r="AJ499" s="71"/>
      <c r="AK499" s="71"/>
      <c r="AL499" s="71"/>
    </row>
    <row r="500">
      <c r="A500" s="57" t="s">
        <v>2197</v>
      </c>
      <c r="B500" s="58" t="s">
        <v>193</v>
      </c>
      <c r="C500" s="58" t="s">
        <v>194</v>
      </c>
      <c r="D500" s="58" t="s">
        <v>1878</v>
      </c>
      <c r="E500" s="58" t="s">
        <v>1937</v>
      </c>
      <c r="F500" s="58" t="s">
        <v>103</v>
      </c>
      <c r="G500" s="59">
        <v>45993.0</v>
      </c>
      <c r="H500" s="58" t="s">
        <v>65</v>
      </c>
      <c r="I500" s="60" t="s">
        <v>2198</v>
      </c>
      <c r="J500" s="61" t="s">
        <v>2205</v>
      </c>
      <c r="K500" s="61" t="s">
        <v>2206</v>
      </c>
      <c r="L500" s="61" t="s">
        <v>2207</v>
      </c>
      <c r="M500" s="58">
        <v>2009.0</v>
      </c>
      <c r="N500" s="58">
        <v>18.0</v>
      </c>
      <c r="O500" s="62">
        <v>85.0</v>
      </c>
      <c r="P500" s="62">
        <f t="shared" si="12"/>
        <v>238</v>
      </c>
      <c r="Q500" s="63">
        <v>1.0</v>
      </c>
      <c r="R500" s="58">
        <v>1.0</v>
      </c>
      <c r="S500" s="58">
        <v>1.0</v>
      </c>
      <c r="T500" s="58">
        <v>0.0</v>
      </c>
      <c r="U500" s="58">
        <v>2.0</v>
      </c>
      <c r="V500" s="58" t="s">
        <v>75</v>
      </c>
      <c r="W500" s="61" t="s">
        <v>76</v>
      </c>
      <c r="X500" s="28" t="s">
        <v>1033</v>
      </c>
      <c r="Y500" s="64">
        <v>31.0</v>
      </c>
      <c r="Z500" s="65">
        <f t="shared" si="2"/>
        <v>20.15</v>
      </c>
      <c r="AA500" s="65">
        <f t="shared" si="3"/>
        <v>4795.7</v>
      </c>
      <c r="AB500" s="65">
        <f t="shared" si="4"/>
        <v>1668.161061</v>
      </c>
      <c r="AC500" s="66">
        <v>1.0</v>
      </c>
      <c r="AD500" s="67"/>
      <c r="AE500" s="68">
        <f t="shared" si="5"/>
        <v>6557.377049</v>
      </c>
      <c r="AF500" s="69">
        <v>8000.0</v>
      </c>
      <c r="AG500" s="68">
        <f t="shared" si="6"/>
        <v>6557.377049</v>
      </c>
      <c r="AH500" s="70">
        <f t="shared" si="7"/>
        <v>8000</v>
      </c>
      <c r="AI500" s="71"/>
      <c r="AJ500" s="71"/>
      <c r="AK500" s="71"/>
      <c r="AL500" s="71"/>
    </row>
    <row r="501">
      <c r="A501" s="57" t="s">
        <v>2197</v>
      </c>
      <c r="B501" s="58" t="s">
        <v>193</v>
      </c>
      <c r="C501" s="58" t="s">
        <v>194</v>
      </c>
      <c r="D501" s="58" t="s">
        <v>1878</v>
      </c>
      <c r="E501" s="58" t="s">
        <v>1937</v>
      </c>
      <c r="F501" s="58" t="s">
        <v>103</v>
      </c>
      <c r="G501" s="59">
        <v>45993.0</v>
      </c>
      <c r="H501" s="58" t="s">
        <v>65</v>
      </c>
      <c r="I501" s="60" t="s">
        <v>2198</v>
      </c>
      <c r="J501" s="61" t="s">
        <v>2208</v>
      </c>
      <c r="K501" s="61" t="s">
        <v>2209</v>
      </c>
      <c r="L501" s="61" t="s">
        <v>2210</v>
      </c>
      <c r="M501" s="58">
        <v>2009.0</v>
      </c>
      <c r="N501" s="58">
        <v>18.0</v>
      </c>
      <c r="O501" s="62">
        <v>160.0</v>
      </c>
      <c r="P501" s="62">
        <f t="shared" si="12"/>
        <v>448</v>
      </c>
      <c r="Q501" s="63">
        <v>4.0</v>
      </c>
      <c r="R501" s="58">
        <v>4.0</v>
      </c>
      <c r="S501" s="58">
        <v>4.0</v>
      </c>
      <c r="T501" s="58">
        <v>0.0</v>
      </c>
      <c r="U501" s="58">
        <v>4.0</v>
      </c>
      <c r="V501" s="58" t="s">
        <v>75</v>
      </c>
      <c r="W501" s="61" t="s">
        <v>76</v>
      </c>
      <c r="X501" s="28" t="s">
        <v>1033</v>
      </c>
      <c r="Y501" s="64">
        <v>31.0</v>
      </c>
      <c r="Z501" s="65">
        <f t="shared" si="2"/>
        <v>20.15</v>
      </c>
      <c r="AA501" s="65">
        <f t="shared" si="3"/>
        <v>9027.2</v>
      </c>
      <c r="AB501" s="65">
        <f t="shared" si="4"/>
        <v>3544.842255</v>
      </c>
      <c r="AC501" s="66">
        <v>1.0</v>
      </c>
      <c r="AD501" s="67"/>
      <c r="AE501" s="68">
        <f t="shared" si="5"/>
        <v>6557.377049</v>
      </c>
      <c r="AF501" s="69">
        <v>8000.0</v>
      </c>
      <c r="AG501" s="68">
        <f t="shared" si="6"/>
        <v>26229.5082</v>
      </c>
      <c r="AH501" s="70">
        <f t="shared" si="7"/>
        <v>32000</v>
      </c>
      <c r="AI501" s="71"/>
      <c r="AJ501" s="71"/>
      <c r="AK501" s="71"/>
      <c r="AL501" s="71"/>
    </row>
    <row r="502">
      <c r="A502" s="57" t="s">
        <v>2197</v>
      </c>
      <c r="B502" s="58" t="s">
        <v>193</v>
      </c>
      <c r="C502" s="58" t="s">
        <v>194</v>
      </c>
      <c r="D502" s="58" t="s">
        <v>1878</v>
      </c>
      <c r="E502" s="58" t="s">
        <v>1937</v>
      </c>
      <c r="F502" s="58" t="s">
        <v>103</v>
      </c>
      <c r="G502" s="59">
        <v>45993.0</v>
      </c>
      <c r="H502" s="58" t="s">
        <v>65</v>
      </c>
      <c r="I502" s="60" t="s">
        <v>2198</v>
      </c>
      <c r="J502" s="61" t="s">
        <v>2211</v>
      </c>
      <c r="K502" s="61" t="s">
        <v>2212</v>
      </c>
      <c r="L502" s="61" t="s">
        <v>2213</v>
      </c>
      <c r="M502" s="58">
        <v>2017.0</v>
      </c>
      <c r="N502" s="58">
        <v>10.0</v>
      </c>
      <c r="O502" s="62">
        <v>100.0</v>
      </c>
      <c r="P502" s="62">
        <f t="shared" si="12"/>
        <v>280</v>
      </c>
      <c r="Q502" s="63">
        <v>1.0</v>
      </c>
      <c r="R502" s="58">
        <v>0.0</v>
      </c>
      <c r="S502" s="58">
        <v>1.0</v>
      </c>
      <c r="T502" s="58">
        <v>1.0</v>
      </c>
      <c r="U502" s="58">
        <v>1.0</v>
      </c>
      <c r="V502" s="58" t="s">
        <v>75</v>
      </c>
      <c r="W502" s="61" t="s">
        <v>76</v>
      </c>
      <c r="X502" s="28" t="s">
        <v>1033</v>
      </c>
      <c r="Y502" s="64">
        <v>31.0</v>
      </c>
      <c r="Z502" s="65">
        <f t="shared" si="2"/>
        <v>40.3</v>
      </c>
      <c r="AA502" s="65">
        <f t="shared" si="3"/>
        <v>11284</v>
      </c>
      <c r="AB502" s="65">
        <f t="shared" si="4"/>
        <v>708.9684509</v>
      </c>
      <c r="AC502" s="66">
        <v>1.0</v>
      </c>
      <c r="AD502" s="70"/>
      <c r="AE502" s="68">
        <f t="shared" si="5"/>
        <v>6557.377049</v>
      </c>
      <c r="AF502" s="69">
        <v>8000.0</v>
      </c>
      <c r="AG502" s="68">
        <f t="shared" si="6"/>
        <v>6557.377049</v>
      </c>
      <c r="AH502" s="70">
        <f t="shared" si="7"/>
        <v>8000</v>
      </c>
      <c r="AI502" s="71"/>
      <c r="AJ502" s="71"/>
      <c r="AK502" s="71"/>
      <c r="AL502" s="71"/>
    </row>
    <row r="503">
      <c r="A503" s="57" t="s">
        <v>2214</v>
      </c>
      <c r="B503" s="58" t="s">
        <v>193</v>
      </c>
      <c r="C503" s="58" t="s">
        <v>194</v>
      </c>
      <c r="D503" s="58" t="s">
        <v>1878</v>
      </c>
      <c r="E503" s="58" t="s">
        <v>1937</v>
      </c>
      <c r="F503" s="58" t="s">
        <v>103</v>
      </c>
      <c r="G503" s="59">
        <v>45993.0</v>
      </c>
      <c r="H503" s="58" t="s">
        <v>65</v>
      </c>
      <c r="I503" s="60" t="s">
        <v>2215</v>
      </c>
      <c r="J503" s="61" t="s">
        <v>2216</v>
      </c>
      <c r="K503" s="61" t="s">
        <v>2217</v>
      </c>
      <c r="L503" s="61" t="s">
        <v>2218</v>
      </c>
      <c r="M503" s="58">
        <v>2022.0</v>
      </c>
      <c r="N503" s="58">
        <v>18.0</v>
      </c>
      <c r="O503" s="62">
        <v>170.0</v>
      </c>
      <c r="P503" s="62">
        <f t="shared" si="12"/>
        <v>476</v>
      </c>
      <c r="Q503" s="63">
        <v>1.0</v>
      </c>
      <c r="R503" s="58">
        <v>1.0</v>
      </c>
      <c r="S503" s="58">
        <v>1.0</v>
      </c>
      <c r="T503" s="58">
        <v>0.0</v>
      </c>
      <c r="U503" s="58">
        <v>2.0</v>
      </c>
      <c r="V503" s="58" t="s">
        <v>75</v>
      </c>
      <c r="W503" s="61" t="s">
        <v>76</v>
      </c>
      <c r="X503" s="28" t="s">
        <v>1033</v>
      </c>
      <c r="Y503" s="64">
        <v>31.0</v>
      </c>
      <c r="Z503" s="65">
        <f t="shared" si="2"/>
        <v>20.15</v>
      </c>
      <c r="AA503" s="65">
        <f t="shared" si="3"/>
        <v>9591.4</v>
      </c>
      <c r="AB503" s="65">
        <f t="shared" si="4"/>
        <v>834.0805305</v>
      </c>
      <c r="AC503" s="66">
        <v>1.0</v>
      </c>
      <c r="AD503" s="70"/>
      <c r="AE503" s="68">
        <f t="shared" si="5"/>
        <v>6557.377049</v>
      </c>
      <c r="AF503" s="69">
        <v>8000.0</v>
      </c>
      <c r="AG503" s="68">
        <f t="shared" si="6"/>
        <v>6557.377049</v>
      </c>
      <c r="AH503" s="70">
        <f t="shared" si="7"/>
        <v>8000</v>
      </c>
      <c r="AI503" s="71"/>
      <c r="AJ503" s="71"/>
      <c r="AK503" s="71"/>
      <c r="AL503" s="71"/>
    </row>
    <row r="504">
      <c r="A504" s="57" t="s">
        <v>2214</v>
      </c>
      <c r="B504" s="58" t="s">
        <v>193</v>
      </c>
      <c r="C504" s="58" t="s">
        <v>194</v>
      </c>
      <c r="D504" s="58" t="s">
        <v>1878</v>
      </c>
      <c r="E504" s="58" t="s">
        <v>1937</v>
      </c>
      <c r="F504" s="58" t="s">
        <v>103</v>
      </c>
      <c r="G504" s="59">
        <v>45993.0</v>
      </c>
      <c r="H504" s="58" t="s">
        <v>65</v>
      </c>
      <c r="I504" s="60" t="s">
        <v>2215</v>
      </c>
      <c r="J504" s="61" t="s">
        <v>2219</v>
      </c>
      <c r="K504" s="61" t="s">
        <v>2220</v>
      </c>
      <c r="L504" s="61" t="s">
        <v>2221</v>
      </c>
      <c r="M504" s="58">
        <v>2023.0</v>
      </c>
      <c r="N504" s="58">
        <v>21.0</v>
      </c>
      <c r="O504" s="62">
        <v>240.0</v>
      </c>
      <c r="P504" s="62">
        <f t="shared" si="12"/>
        <v>672</v>
      </c>
      <c r="Q504" s="63">
        <v>6.0</v>
      </c>
      <c r="R504" s="58">
        <v>0.0</v>
      </c>
      <c r="S504" s="58">
        <v>2.0</v>
      </c>
      <c r="T504" s="58">
        <v>6.0</v>
      </c>
      <c r="U504" s="58">
        <v>6.0</v>
      </c>
      <c r="V504" s="58" t="s">
        <v>130</v>
      </c>
      <c r="W504" s="61" t="s">
        <v>76</v>
      </c>
      <c r="X504" s="28" t="s">
        <v>1033</v>
      </c>
      <c r="Y504" s="64">
        <v>31.0</v>
      </c>
      <c r="Z504" s="65">
        <f t="shared" si="2"/>
        <v>40.3</v>
      </c>
      <c r="AA504" s="65">
        <f t="shared" si="3"/>
        <v>27081.6</v>
      </c>
      <c r="AB504" s="65">
        <f t="shared" si="4"/>
        <v>1772.421127</v>
      </c>
      <c r="AC504" s="66">
        <v>1.0</v>
      </c>
      <c r="AD504" s="70"/>
      <c r="AE504" s="68">
        <f t="shared" si="5"/>
        <v>6557.377049</v>
      </c>
      <c r="AF504" s="69">
        <v>8000.0</v>
      </c>
      <c r="AG504" s="68">
        <f t="shared" si="6"/>
        <v>39344.2623</v>
      </c>
      <c r="AH504" s="70">
        <f t="shared" si="7"/>
        <v>48000</v>
      </c>
      <c r="AI504" s="71"/>
      <c r="AJ504" s="71"/>
      <c r="AK504" s="71"/>
      <c r="AL504" s="71"/>
    </row>
    <row r="505">
      <c r="A505" s="57" t="s">
        <v>2222</v>
      </c>
      <c r="B505" s="58" t="s">
        <v>193</v>
      </c>
      <c r="C505" s="58" t="s">
        <v>194</v>
      </c>
      <c r="D505" s="58" t="s">
        <v>1878</v>
      </c>
      <c r="E505" s="58" t="s">
        <v>1937</v>
      </c>
      <c r="F505" s="58" t="s">
        <v>103</v>
      </c>
      <c r="G505" s="59">
        <v>45993.0</v>
      </c>
      <c r="H505" s="58" t="s">
        <v>65</v>
      </c>
      <c r="I505" s="60" t="s">
        <v>2223</v>
      </c>
      <c r="J505" s="61" t="s">
        <v>2224</v>
      </c>
      <c r="K505" s="61" t="s">
        <v>2225</v>
      </c>
      <c r="L505" s="61" t="s">
        <v>2226</v>
      </c>
      <c r="M505" s="58">
        <v>2023.0</v>
      </c>
      <c r="N505" s="58">
        <v>21.0</v>
      </c>
      <c r="O505" s="62">
        <v>344.0</v>
      </c>
      <c r="P505" s="62">
        <f t="shared" si="12"/>
        <v>963.2</v>
      </c>
      <c r="Q505" s="63">
        <v>7.0</v>
      </c>
      <c r="R505" s="58">
        <v>0.0</v>
      </c>
      <c r="S505" s="58">
        <v>3.0</v>
      </c>
      <c r="T505" s="58">
        <v>7.0</v>
      </c>
      <c r="U505" s="58">
        <v>7.0</v>
      </c>
      <c r="V505" s="58" t="s">
        <v>130</v>
      </c>
      <c r="W505" s="61" t="s">
        <v>76</v>
      </c>
      <c r="X505" s="28" t="s">
        <v>1033</v>
      </c>
      <c r="Y505" s="64">
        <v>31.0</v>
      </c>
      <c r="Z505" s="65">
        <f t="shared" si="2"/>
        <v>40.3</v>
      </c>
      <c r="AA505" s="65">
        <f t="shared" si="3"/>
        <v>38816.96</v>
      </c>
      <c r="AB505" s="65">
        <f t="shared" si="4"/>
        <v>1442.668359</v>
      </c>
      <c r="AC505" s="66">
        <v>1.0</v>
      </c>
      <c r="AD505" s="67"/>
      <c r="AE505" s="68">
        <f t="shared" si="5"/>
        <v>6557.377049</v>
      </c>
      <c r="AF505" s="69">
        <v>8000.0</v>
      </c>
      <c r="AG505" s="68">
        <f t="shared" si="6"/>
        <v>45901.63934</v>
      </c>
      <c r="AH505" s="70">
        <f t="shared" si="7"/>
        <v>56000</v>
      </c>
      <c r="AI505" s="71"/>
      <c r="AJ505" s="71"/>
      <c r="AK505" s="71"/>
      <c r="AL505" s="71"/>
    </row>
    <row r="506">
      <c r="A506" s="57" t="s">
        <v>2227</v>
      </c>
      <c r="B506" s="58" t="s">
        <v>193</v>
      </c>
      <c r="C506" s="58" t="s">
        <v>194</v>
      </c>
      <c r="D506" s="58" t="s">
        <v>2228</v>
      </c>
      <c r="E506" s="58" t="s">
        <v>1908</v>
      </c>
      <c r="F506" s="58" t="s">
        <v>103</v>
      </c>
      <c r="G506" s="59">
        <v>46065.0</v>
      </c>
      <c r="H506" s="58" t="s">
        <v>65</v>
      </c>
      <c r="I506" s="60" t="s">
        <v>2229</v>
      </c>
      <c r="J506" s="61" t="s">
        <v>2230</v>
      </c>
      <c r="K506" s="61" t="s">
        <v>2231</v>
      </c>
      <c r="L506" s="61" t="s">
        <v>2232</v>
      </c>
      <c r="M506" s="58">
        <v>2019.0</v>
      </c>
      <c r="N506" s="58">
        <v>19.0</v>
      </c>
      <c r="O506" s="62">
        <v>166.0</v>
      </c>
      <c r="P506" s="62">
        <f t="shared" si="12"/>
        <v>464.8</v>
      </c>
      <c r="Q506" s="63">
        <v>2.0</v>
      </c>
      <c r="R506" s="58">
        <v>0.0</v>
      </c>
      <c r="S506" s="58">
        <v>1.0</v>
      </c>
      <c r="T506" s="58">
        <v>2.0</v>
      </c>
      <c r="U506" s="58">
        <v>2.0</v>
      </c>
      <c r="V506" s="58" t="s">
        <v>75</v>
      </c>
      <c r="W506" s="61" t="s">
        <v>76</v>
      </c>
      <c r="X506" s="28" t="s">
        <v>1033</v>
      </c>
      <c r="Y506" s="64">
        <v>31.0</v>
      </c>
      <c r="Z506" s="65">
        <f t="shared" si="2"/>
        <v>40.3</v>
      </c>
      <c r="AA506" s="65">
        <f t="shared" si="3"/>
        <v>18731.44</v>
      </c>
      <c r="AB506" s="65">
        <f t="shared" si="4"/>
        <v>854.1788565</v>
      </c>
      <c r="AC506" s="66">
        <v>1.0</v>
      </c>
      <c r="AD506" s="67"/>
      <c r="AE506" s="68">
        <f t="shared" si="5"/>
        <v>6557.377049</v>
      </c>
      <c r="AF506" s="69">
        <v>8000.0</v>
      </c>
      <c r="AG506" s="68">
        <f t="shared" si="6"/>
        <v>13114.7541</v>
      </c>
      <c r="AH506" s="70">
        <f t="shared" si="7"/>
        <v>16000</v>
      </c>
      <c r="AI506" s="71"/>
      <c r="AJ506" s="71"/>
      <c r="AK506" s="71"/>
      <c r="AL506" s="71"/>
    </row>
    <row r="507">
      <c r="A507" s="57" t="s">
        <v>2227</v>
      </c>
      <c r="B507" s="58" t="s">
        <v>193</v>
      </c>
      <c r="C507" s="58" t="s">
        <v>194</v>
      </c>
      <c r="D507" s="58" t="s">
        <v>2228</v>
      </c>
      <c r="E507" s="58" t="s">
        <v>1908</v>
      </c>
      <c r="F507" s="58" t="s">
        <v>103</v>
      </c>
      <c r="G507" s="59">
        <v>46065.0</v>
      </c>
      <c r="H507" s="58" t="s">
        <v>65</v>
      </c>
      <c r="I507" s="60" t="s">
        <v>2229</v>
      </c>
      <c r="J507" s="61" t="s">
        <v>2233</v>
      </c>
      <c r="K507" s="61" t="s">
        <v>2234</v>
      </c>
      <c r="L507" s="61" t="s">
        <v>2235</v>
      </c>
      <c r="M507" s="58">
        <v>2019.0</v>
      </c>
      <c r="N507" s="58">
        <v>19.0</v>
      </c>
      <c r="O507" s="62">
        <v>173.0</v>
      </c>
      <c r="P507" s="62">
        <f t="shared" si="12"/>
        <v>484.4</v>
      </c>
      <c r="Q507" s="63">
        <v>2.0</v>
      </c>
      <c r="R507" s="58">
        <v>0.0</v>
      </c>
      <c r="S507" s="58">
        <v>1.0</v>
      </c>
      <c r="T507" s="58">
        <v>2.0</v>
      </c>
      <c r="U507" s="58">
        <v>2.0</v>
      </c>
      <c r="V507" s="58" t="s">
        <v>75</v>
      </c>
      <c r="W507" s="61" t="s">
        <v>76</v>
      </c>
      <c r="X507" s="28" t="s">
        <v>1033</v>
      </c>
      <c r="Y507" s="64">
        <v>31.0</v>
      </c>
      <c r="Z507" s="65">
        <f t="shared" si="2"/>
        <v>40.3</v>
      </c>
      <c r="AA507" s="65">
        <f t="shared" si="3"/>
        <v>19521.32</v>
      </c>
      <c r="AB507" s="65">
        <f t="shared" si="4"/>
        <v>819.6167062</v>
      </c>
      <c r="AC507" s="66">
        <v>1.0</v>
      </c>
      <c r="AD507" s="70"/>
      <c r="AE507" s="68">
        <f t="shared" si="5"/>
        <v>6557.377049</v>
      </c>
      <c r="AF507" s="69">
        <v>8000.0</v>
      </c>
      <c r="AG507" s="68">
        <f t="shared" si="6"/>
        <v>13114.7541</v>
      </c>
      <c r="AH507" s="70">
        <f t="shared" si="7"/>
        <v>16000</v>
      </c>
      <c r="AI507" s="71"/>
      <c r="AJ507" s="71"/>
      <c r="AK507" s="71"/>
      <c r="AL507" s="71"/>
    </row>
    <row r="508">
      <c r="A508" s="57" t="s">
        <v>2227</v>
      </c>
      <c r="B508" s="58" t="s">
        <v>193</v>
      </c>
      <c r="C508" s="58" t="s">
        <v>194</v>
      </c>
      <c r="D508" s="58" t="s">
        <v>2228</v>
      </c>
      <c r="E508" s="58" t="s">
        <v>1908</v>
      </c>
      <c r="F508" s="58" t="s">
        <v>103</v>
      </c>
      <c r="G508" s="59">
        <v>46065.0</v>
      </c>
      <c r="H508" s="58" t="s">
        <v>65</v>
      </c>
      <c r="I508" s="60" t="s">
        <v>2229</v>
      </c>
      <c r="J508" s="61" t="s">
        <v>2236</v>
      </c>
      <c r="K508" s="61" t="s">
        <v>2237</v>
      </c>
      <c r="L508" s="61" t="s">
        <v>2238</v>
      </c>
      <c r="M508" s="58">
        <v>2020.0</v>
      </c>
      <c r="N508" s="58">
        <v>19.0</v>
      </c>
      <c r="O508" s="62">
        <v>173.0</v>
      </c>
      <c r="P508" s="62">
        <f t="shared" si="12"/>
        <v>484.4</v>
      </c>
      <c r="Q508" s="63">
        <v>2.0</v>
      </c>
      <c r="R508" s="58">
        <v>0.0</v>
      </c>
      <c r="S508" s="58">
        <v>1.0</v>
      </c>
      <c r="T508" s="58">
        <v>2.0</v>
      </c>
      <c r="U508" s="58">
        <v>2.0</v>
      </c>
      <c r="V508" s="58" t="s">
        <v>75</v>
      </c>
      <c r="W508" s="61" t="s">
        <v>76</v>
      </c>
      <c r="X508" s="28" t="s">
        <v>1033</v>
      </c>
      <c r="Y508" s="64">
        <v>31.0</v>
      </c>
      <c r="Z508" s="65">
        <f t="shared" si="2"/>
        <v>40.3</v>
      </c>
      <c r="AA508" s="65">
        <f t="shared" si="3"/>
        <v>19521.32</v>
      </c>
      <c r="AB508" s="65">
        <f t="shared" si="4"/>
        <v>819.6167062</v>
      </c>
      <c r="AC508" s="66">
        <v>1.0</v>
      </c>
      <c r="AD508" s="70"/>
      <c r="AE508" s="68">
        <f t="shared" si="5"/>
        <v>6557.377049</v>
      </c>
      <c r="AF508" s="69">
        <v>8000.0</v>
      </c>
      <c r="AG508" s="68">
        <f t="shared" si="6"/>
        <v>13114.7541</v>
      </c>
      <c r="AH508" s="70">
        <f t="shared" si="7"/>
        <v>16000</v>
      </c>
      <c r="AI508" s="71"/>
      <c r="AJ508" s="71"/>
      <c r="AK508" s="71"/>
      <c r="AL508" s="71"/>
    </row>
    <row r="509">
      <c r="A509" s="57" t="s">
        <v>2227</v>
      </c>
      <c r="B509" s="58" t="s">
        <v>193</v>
      </c>
      <c r="C509" s="58" t="s">
        <v>194</v>
      </c>
      <c r="D509" s="58" t="s">
        <v>2228</v>
      </c>
      <c r="E509" s="58" t="s">
        <v>1908</v>
      </c>
      <c r="F509" s="58" t="s">
        <v>103</v>
      </c>
      <c r="G509" s="59">
        <v>46065.0</v>
      </c>
      <c r="H509" s="58" t="s">
        <v>65</v>
      </c>
      <c r="I509" s="60" t="s">
        <v>2229</v>
      </c>
      <c r="J509" s="61" t="s">
        <v>2239</v>
      </c>
      <c r="K509" s="61" t="s">
        <v>2240</v>
      </c>
      <c r="L509" s="61" t="s">
        <v>2241</v>
      </c>
      <c r="M509" s="58">
        <v>2020.0</v>
      </c>
      <c r="N509" s="58">
        <v>19.0</v>
      </c>
      <c r="O509" s="62">
        <v>173.0</v>
      </c>
      <c r="P509" s="62">
        <f t="shared" si="12"/>
        <v>484.4</v>
      </c>
      <c r="Q509" s="63">
        <v>2.0</v>
      </c>
      <c r="R509" s="58">
        <v>0.0</v>
      </c>
      <c r="S509" s="58">
        <v>1.0</v>
      </c>
      <c r="T509" s="58">
        <v>2.0</v>
      </c>
      <c r="U509" s="58">
        <v>2.0</v>
      </c>
      <c r="V509" s="58" t="s">
        <v>75</v>
      </c>
      <c r="W509" s="61" t="s">
        <v>76</v>
      </c>
      <c r="X509" s="28" t="s">
        <v>1033</v>
      </c>
      <c r="Y509" s="64">
        <v>31.0</v>
      </c>
      <c r="Z509" s="65">
        <f t="shared" si="2"/>
        <v>40.3</v>
      </c>
      <c r="AA509" s="65">
        <f t="shared" si="3"/>
        <v>19521.32</v>
      </c>
      <c r="AB509" s="65">
        <f t="shared" si="4"/>
        <v>819.6167062</v>
      </c>
      <c r="AC509" s="66">
        <v>1.0</v>
      </c>
      <c r="AD509" s="70"/>
      <c r="AE509" s="68">
        <f t="shared" si="5"/>
        <v>6557.377049</v>
      </c>
      <c r="AF509" s="69">
        <v>8000.0</v>
      </c>
      <c r="AG509" s="68">
        <f t="shared" si="6"/>
        <v>13114.7541</v>
      </c>
      <c r="AH509" s="70">
        <f t="shared" si="7"/>
        <v>16000</v>
      </c>
      <c r="AI509" s="71"/>
      <c r="AJ509" s="71"/>
      <c r="AK509" s="71"/>
      <c r="AL509" s="71"/>
    </row>
    <row r="510">
      <c r="A510" s="57" t="s">
        <v>2227</v>
      </c>
      <c r="B510" s="58" t="s">
        <v>193</v>
      </c>
      <c r="C510" s="58" t="s">
        <v>194</v>
      </c>
      <c r="D510" s="58" t="s">
        <v>2228</v>
      </c>
      <c r="E510" s="58" t="s">
        <v>1908</v>
      </c>
      <c r="F510" s="58" t="s">
        <v>103</v>
      </c>
      <c r="G510" s="59">
        <v>46065.0</v>
      </c>
      <c r="H510" s="58" t="s">
        <v>65</v>
      </c>
      <c r="I510" s="58" t="s">
        <v>2229</v>
      </c>
      <c r="J510" s="61" t="s">
        <v>2242</v>
      </c>
      <c r="K510" s="61" t="s">
        <v>2243</v>
      </c>
      <c r="L510" s="61" t="s">
        <v>2244</v>
      </c>
      <c r="M510" s="58">
        <v>2020.0</v>
      </c>
      <c r="N510" s="58">
        <v>19.0</v>
      </c>
      <c r="O510" s="62">
        <v>173.0</v>
      </c>
      <c r="P510" s="62">
        <f t="shared" si="12"/>
        <v>484.4</v>
      </c>
      <c r="Q510" s="63">
        <v>2.0</v>
      </c>
      <c r="R510" s="58">
        <v>0.0</v>
      </c>
      <c r="S510" s="58">
        <v>1.0</v>
      </c>
      <c r="T510" s="58">
        <v>2.0</v>
      </c>
      <c r="U510" s="58">
        <v>2.0</v>
      </c>
      <c r="V510" s="58" t="s">
        <v>75</v>
      </c>
      <c r="W510" s="61" t="s">
        <v>76</v>
      </c>
      <c r="X510" s="28" t="s">
        <v>1033</v>
      </c>
      <c r="Y510" s="64">
        <v>31.0</v>
      </c>
      <c r="Z510" s="65">
        <f t="shared" si="2"/>
        <v>40.3</v>
      </c>
      <c r="AA510" s="65">
        <f t="shared" si="3"/>
        <v>19521.32</v>
      </c>
      <c r="AB510" s="65">
        <f t="shared" si="4"/>
        <v>819.6167062</v>
      </c>
      <c r="AC510" s="66">
        <v>1.0</v>
      </c>
      <c r="AD510" s="67"/>
      <c r="AE510" s="68">
        <f t="shared" si="5"/>
        <v>6557.377049</v>
      </c>
      <c r="AF510" s="69">
        <v>8000.0</v>
      </c>
      <c r="AG510" s="68">
        <f t="shared" si="6"/>
        <v>13114.7541</v>
      </c>
      <c r="AH510" s="70">
        <f t="shared" si="7"/>
        <v>16000</v>
      </c>
      <c r="AI510" s="71"/>
      <c r="AJ510" s="71"/>
      <c r="AK510" s="71"/>
      <c r="AL510" s="71"/>
    </row>
    <row r="511">
      <c r="A511" s="57" t="s">
        <v>2245</v>
      </c>
      <c r="B511" s="58" t="s">
        <v>193</v>
      </c>
      <c r="C511" s="58" t="s">
        <v>194</v>
      </c>
      <c r="D511" s="58" t="s">
        <v>2246</v>
      </c>
      <c r="E511" s="58" t="s">
        <v>2246</v>
      </c>
      <c r="F511" s="58" t="s">
        <v>63</v>
      </c>
      <c r="G511" s="59">
        <v>46086.0</v>
      </c>
      <c r="H511" s="58" t="s">
        <v>65</v>
      </c>
      <c r="I511" s="60" t="s">
        <v>2247</v>
      </c>
      <c r="J511" s="61" t="s">
        <v>2248</v>
      </c>
      <c r="K511" s="61" t="s">
        <v>2249</v>
      </c>
      <c r="L511" s="61" t="s">
        <v>2250</v>
      </c>
      <c r="M511" s="58">
        <v>2012.0</v>
      </c>
      <c r="N511" s="58">
        <v>19.0</v>
      </c>
      <c r="O511" s="62">
        <v>170.0</v>
      </c>
      <c r="P511" s="62">
        <f t="shared" si="12"/>
        <v>476</v>
      </c>
      <c r="Q511" s="63">
        <v>2.0</v>
      </c>
      <c r="R511" s="58">
        <v>0.0</v>
      </c>
      <c r="S511" s="58">
        <v>2.0</v>
      </c>
      <c r="T511" s="58">
        <v>2.0</v>
      </c>
      <c r="U511" s="58">
        <v>2.0</v>
      </c>
      <c r="V511" s="58" t="s">
        <v>75</v>
      </c>
      <c r="W511" s="61" t="s">
        <v>76</v>
      </c>
      <c r="X511" s="28" t="s">
        <v>1033</v>
      </c>
      <c r="Y511" s="64">
        <v>31.0</v>
      </c>
      <c r="Z511" s="65">
        <f t="shared" si="2"/>
        <v>40.3</v>
      </c>
      <c r="AA511" s="65">
        <f t="shared" si="3"/>
        <v>19182.8</v>
      </c>
      <c r="AB511" s="65">
        <f t="shared" si="4"/>
        <v>834.0805305</v>
      </c>
      <c r="AC511" s="66">
        <v>1.0</v>
      </c>
      <c r="AD511" s="67"/>
      <c r="AE511" s="68">
        <f t="shared" si="5"/>
        <v>6557.377049</v>
      </c>
      <c r="AF511" s="69">
        <v>8000.0</v>
      </c>
      <c r="AG511" s="68">
        <f t="shared" si="6"/>
        <v>13114.7541</v>
      </c>
      <c r="AH511" s="70">
        <f t="shared" si="7"/>
        <v>16000</v>
      </c>
      <c r="AI511" s="71"/>
      <c r="AJ511" s="71"/>
      <c r="AK511" s="71"/>
      <c r="AL511" s="71"/>
    </row>
    <row r="512">
      <c r="A512" s="57" t="s">
        <v>2251</v>
      </c>
      <c r="B512" s="58" t="s">
        <v>193</v>
      </c>
      <c r="C512" s="58" t="s">
        <v>194</v>
      </c>
      <c r="D512" s="58" t="s">
        <v>1878</v>
      </c>
      <c r="E512" s="58" t="s">
        <v>1937</v>
      </c>
      <c r="F512" s="58" t="s">
        <v>103</v>
      </c>
      <c r="G512" s="59">
        <v>46086.0</v>
      </c>
      <c r="H512" s="58" t="s">
        <v>118</v>
      </c>
      <c r="I512" s="60" t="s">
        <v>2252</v>
      </c>
      <c r="J512" s="61" t="s">
        <v>2253</v>
      </c>
      <c r="K512" s="61" t="s">
        <v>2254</v>
      </c>
      <c r="L512" s="61" t="s">
        <v>2255</v>
      </c>
      <c r="M512" s="58">
        <v>2015.0</v>
      </c>
      <c r="N512" s="58">
        <v>16.0</v>
      </c>
      <c r="O512" s="62">
        <v>164.0</v>
      </c>
      <c r="P512" s="62">
        <f t="shared" si="12"/>
        <v>459.2</v>
      </c>
      <c r="Q512" s="63">
        <v>4.0</v>
      </c>
      <c r="R512" s="58">
        <v>0.0</v>
      </c>
      <c r="S512" s="58">
        <v>3.0</v>
      </c>
      <c r="T512" s="58">
        <v>4.0</v>
      </c>
      <c r="U512" s="58">
        <v>4.0</v>
      </c>
      <c r="V512" s="58" t="s">
        <v>75</v>
      </c>
      <c r="W512" s="61" t="s">
        <v>76</v>
      </c>
      <c r="X512" s="28" t="s">
        <v>1033</v>
      </c>
      <c r="Y512" s="64">
        <v>31.0</v>
      </c>
      <c r="Z512" s="65">
        <f t="shared" si="2"/>
        <v>40.3</v>
      </c>
      <c r="AA512" s="65">
        <f t="shared" si="3"/>
        <v>18505.76</v>
      </c>
      <c r="AB512" s="65">
        <f t="shared" si="4"/>
        <v>1729.191344</v>
      </c>
      <c r="AC512" s="66">
        <v>1.0</v>
      </c>
      <c r="AD512" s="70"/>
      <c r="AE512" s="68">
        <f t="shared" si="5"/>
        <v>6557.377049</v>
      </c>
      <c r="AF512" s="69">
        <v>8000.0</v>
      </c>
      <c r="AG512" s="68">
        <f t="shared" si="6"/>
        <v>26229.5082</v>
      </c>
      <c r="AH512" s="70">
        <f t="shared" si="7"/>
        <v>32000</v>
      </c>
      <c r="AI512" s="71"/>
      <c r="AJ512" s="71"/>
      <c r="AK512" s="71"/>
      <c r="AL512" s="71"/>
    </row>
    <row r="513">
      <c r="A513" s="57" t="s">
        <v>2256</v>
      </c>
      <c r="B513" s="58" t="s">
        <v>193</v>
      </c>
      <c r="C513" s="58" t="s">
        <v>194</v>
      </c>
      <c r="D513" s="58" t="s">
        <v>162</v>
      </c>
      <c r="E513" s="58" t="s">
        <v>2163</v>
      </c>
      <c r="F513" s="58" t="s">
        <v>103</v>
      </c>
      <c r="G513" s="59">
        <v>46086.0</v>
      </c>
      <c r="H513" s="58" t="s">
        <v>118</v>
      </c>
      <c r="I513" s="60" t="s">
        <v>2257</v>
      </c>
      <c r="J513" s="61" t="s">
        <v>2258</v>
      </c>
      <c r="K513" s="61" t="s">
        <v>2259</v>
      </c>
      <c r="L513" s="61" t="s">
        <v>2260</v>
      </c>
      <c r="M513" s="58">
        <v>2016.0</v>
      </c>
      <c r="N513" s="58">
        <v>20.0</v>
      </c>
      <c r="O513" s="62">
        <v>171.0</v>
      </c>
      <c r="P513" s="62">
        <f t="shared" si="12"/>
        <v>478.8</v>
      </c>
      <c r="Q513" s="63">
        <v>1.0</v>
      </c>
      <c r="R513" s="58">
        <v>1.0</v>
      </c>
      <c r="S513" s="58">
        <v>1.0</v>
      </c>
      <c r="T513" s="58">
        <v>0.0</v>
      </c>
      <c r="U513" s="58">
        <v>2.0</v>
      </c>
      <c r="V513" s="58" t="s">
        <v>75</v>
      </c>
      <c r="W513" s="61" t="s">
        <v>76</v>
      </c>
      <c r="X513" s="28" t="s">
        <v>1033</v>
      </c>
      <c r="Y513" s="64">
        <v>31.0</v>
      </c>
      <c r="Z513" s="65">
        <f t="shared" si="2"/>
        <v>20.15</v>
      </c>
      <c r="AA513" s="65">
        <f t="shared" si="3"/>
        <v>9647.82</v>
      </c>
      <c r="AB513" s="65">
        <f t="shared" si="4"/>
        <v>829.2028666</v>
      </c>
      <c r="AC513" s="66">
        <v>1.0</v>
      </c>
      <c r="AD513" s="70"/>
      <c r="AE513" s="68">
        <f t="shared" si="5"/>
        <v>6557.377049</v>
      </c>
      <c r="AF513" s="69">
        <v>8000.0</v>
      </c>
      <c r="AG513" s="68">
        <f t="shared" si="6"/>
        <v>6557.377049</v>
      </c>
      <c r="AH513" s="70">
        <f t="shared" si="7"/>
        <v>8000</v>
      </c>
      <c r="AI513" s="71"/>
      <c r="AJ513" s="71"/>
      <c r="AK513" s="71"/>
      <c r="AL513" s="71"/>
    </row>
    <row r="514">
      <c r="A514" s="57" t="s">
        <v>2256</v>
      </c>
      <c r="B514" s="58" t="s">
        <v>193</v>
      </c>
      <c r="C514" s="58" t="s">
        <v>194</v>
      </c>
      <c r="D514" s="58" t="s">
        <v>162</v>
      </c>
      <c r="E514" s="58" t="s">
        <v>2163</v>
      </c>
      <c r="F514" s="58" t="s">
        <v>103</v>
      </c>
      <c r="G514" s="59">
        <v>46086.0</v>
      </c>
      <c r="H514" s="58" t="s">
        <v>118</v>
      </c>
      <c r="I514" s="60" t="s">
        <v>2257</v>
      </c>
      <c r="J514" s="61" t="s">
        <v>2261</v>
      </c>
      <c r="K514" s="61" t="s">
        <v>2262</v>
      </c>
      <c r="L514" s="61" t="s">
        <v>2263</v>
      </c>
      <c r="M514" s="58">
        <v>2015.0</v>
      </c>
      <c r="N514" s="58">
        <v>20.0</v>
      </c>
      <c r="O514" s="62">
        <v>168.0</v>
      </c>
      <c r="P514" s="62">
        <f t="shared" si="12"/>
        <v>470.4</v>
      </c>
      <c r="Q514" s="63">
        <v>1.0</v>
      </c>
      <c r="R514" s="58">
        <v>1.0</v>
      </c>
      <c r="S514" s="58">
        <v>1.0</v>
      </c>
      <c r="T514" s="58">
        <v>0.0</v>
      </c>
      <c r="U514" s="58">
        <v>2.0</v>
      </c>
      <c r="V514" s="58" t="s">
        <v>75</v>
      </c>
      <c r="W514" s="61" t="s">
        <v>76</v>
      </c>
      <c r="X514" s="28" t="s">
        <v>1033</v>
      </c>
      <c r="Y514" s="64">
        <v>31.0</v>
      </c>
      <c r="Z514" s="65">
        <f t="shared" si="2"/>
        <v>20.15</v>
      </c>
      <c r="AA514" s="65">
        <f t="shared" si="3"/>
        <v>9478.56</v>
      </c>
      <c r="AB514" s="65">
        <f t="shared" si="4"/>
        <v>844.0100606</v>
      </c>
      <c r="AC514" s="66">
        <v>1.0</v>
      </c>
      <c r="AD514" s="70"/>
      <c r="AE514" s="68">
        <f t="shared" si="5"/>
        <v>6557.377049</v>
      </c>
      <c r="AF514" s="69">
        <v>8000.0</v>
      </c>
      <c r="AG514" s="68">
        <f t="shared" si="6"/>
        <v>6557.377049</v>
      </c>
      <c r="AH514" s="70">
        <f t="shared" si="7"/>
        <v>8000</v>
      </c>
      <c r="AI514" s="71"/>
      <c r="AJ514" s="71"/>
      <c r="AK514" s="71"/>
      <c r="AL514" s="71"/>
    </row>
    <row r="515">
      <c r="A515" s="57" t="s">
        <v>2256</v>
      </c>
      <c r="B515" s="58" t="s">
        <v>193</v>
      </c>
      <c r="C515" s="58" t="s">
        <v>194</v>
      </c>
      <c r="D515" s="58" t="s">
        <v>162</v>
      </c>
      <c r="E515" s="58" t="s">
        <v>2163</v>
      </c>
      <c r="F515" s="58" t="s">
        <v>103</v>
      </c>
      <c r="G515" s="59">
        <v>46086.0</v>
      </c>
      <c r="H515" s="58" t="s">
        <v>118</v>
      </c>
      <c r="I515" s="60" t="s">
        <v>2257</v>
      </c>
      <c r="J515" s="61" t="s">
        <v>2264</v>
      </c>
      <c r="K515" s="61" t="s">
        <v>2265</v>
      </c>
      <c r="L515" s="61" t="s">
        <v>2266</v>
      </c>
      <c r="M515" s="58">
        <v>2015.0</v>
      </c>
      <c r="N515" s="58">
        <v>20.0</v>
      </c>
      <c r="O515" s="62">
        <v>172.0</v>
      </c>
      <c r="P515" s="62">
        <f t="shared" si="12"/>
        <v>481.6</v>
      </c>
      <c r="Q515" s="63">
        <v>1.0</v>
      </c>
      <c r="R515" s="58">
        <v>1.0</v>
      </c>
      <c r="S515" s="58">
        <v>1.0</v>
      </c>
      <c r="T515" s="58">
        <v>0.0</v>
      </c>
      <c r="U515" s="58">
        <v>2.0</v>
      </c>
      <c r="V515" s="58" t="s">
        <v>75</v>
      </c>
      <c r="W515" s="61" t="s">
        <v>76</v>
      </c>
      <c r="X515" s="28" t="s">
        <v>1033</v>
      </c>
      <c r="Y515" s="64">
        <v>31.0</v>
      </c>
      <c r="Z515" s="65">
        <f t="shared" si="2"/>
        <v>20.15</v>
      </c>
      <c r="AA515" s="65">
        <f t="shared" si="3"/>
        <v>9704.24</v>
      </c>
      <c r="AB515" s="65">
        <f t="shared" si="4"/>
        <v>824.3819197</v>
      </c>
      <c r="AC515" s="66">
        <v>1.0</v>
      </c>
      <c r="AD515" s="67"/>
      <c r="AE515" s="68">
        <f t="shared" si="5"/>
        <v>6557.377049</v>
      </c>
      <c r="AF515" s="69">
        <v>8000.0</v>
      </c>
      <c r="AG515" s="68">
        <f t="shared" si="6"/>
        <v>6557.377049</v>
      </c>
      <c r="AH515" s="70">
        <f t="shared" si="7"/>
        <v>8000</v>
      </c>
      <c r="AI515" s="71"/>
      <c r="AJ515" s="71"/>
      <c r="AK515" s="71"/>
      <c r="AL515" s="71"/>
    </row>
    <row r="516">
      <c r="A516" s="57" t="s">
        <v>2267</v>
      </c>
      <c r="B516" s="58" t="s">
        <v>193</v>
      </c>
      <c r="C516" s="58" t="s">
        <v>194</v>
      </c>
      <c r="D516" s="58" t="s">
        <v>1878</v>
      </c>
      <c r="E516" s="58" t="s">
        <v>1937</v>
      </c>
      <c r="F516" s="58" t="s">
        <v>103</v>
      </c>
      <c r="G516" s="59">
        <v>46086.0</v>
      </c>
      <c r="H516" s="58" t="s">
        <v>118</v>
      </c>
      <c r="I516" s="60" t="s">
        <v>2268</v>
      </c>
      <c r="J516" s="61" t="s">
        <v>2269</v>
      </c>
      <c r="K516" s="61" t="s">
        <v>2270</v>
      </c>
      <c r="L516" s="61" t="s">
        <v>2271</v>
      </c>
      <c r="M516" s="58">
        <v>2011.0</v>
      </c>
      <c r="N516" s="58">
        <v>16.0</v>
      </c>
      <c r="O516" s="62">
        <v>112.0</v>
      </c>
      <c r="P516" s="62">
        <f t="shared" si="12"/>
        <v>313.6</v>
      </c>
      <c r="Q516" s="63">
        <v>2.0</v>
      </c>
      <c r="R516" s="58">
        <v>0.0</v>
      </c>
      <c r="S516" s="58">
        <v>1.0</v>
      </c>
      <c r="T516" s="58">
        <v>2.0</v>
      </c>
      <c r="U516" s="58">
        <v>2.0</v>
      </c>
      <c r="V516" s="58" t="s">
        <v>75</v>
      </c>
      <c r="W516" s="61" t="s">
        <v>76</v>
      </c>
      <c r="X516" s="28" t="s">
        <v>1033</v>
      </c>
      <c r="Y516" s="64">
        <v>31.0</v>
      </c>
      <c r="Z516" s="65">
        <f t="shared" si="2"/>
        <v>40.3</v>
      </c>
      <c r="AA516" s="65">
        <f t="shared" si="3"/>
        <v>12638.08</v>
      </c>
      <c r="AB516" s="65">
        <f t="shared" si="4"/>
        <v>1266.015091</v>
      </c>
      <c r="AC516" s="66">
        <v>1.0</v>
      </c>
      <c r="AD516" s="67"/>
      <c r="AE516" s="68">
        <f t="shared" si="5"/>
        <v>6557.377049</v>
      </c>
      <c r="AF516" s="69">
        <v>8000.0</v>
      </c>
      <c r="AG516" s="68">
        <f t="shared" si="6"/>
        <v>13114.7541</v>
      </c>
      <c r="AH516" s="70">
        <f t="shared" si="7"/>
        <v>16000</v>
      </c>
      <c r="AI516" s="71"/>
      <c r="AJ516" s="71"/>
      <c r="AK516" s="71"/>
      <c r="AL516" s="71"/>
    </row>
    <row r="517">
      <c r="A517" s="57" t="s">
        <v>2267</v>
      </c>
      <c r="B517" s="58" t="s">
        <v>193</v>
      </c>
      <c r="C517" s="58" t="s">
        <v>194</v>
      </c>
      <c r="D517" s="58" t="s">
        <v>1878</v>
      </c>
      <c r="E517" s="58" t="s">
        <v>1937</v>
      </c>
      <c r="F517" s="58" t="s">
        <v>103</v>
      </c>
      <c r="G517" s="59">
        <v>46086.0</v>
      </c>
      <c r="H517" s="58" t="s">
        <v>118</v>
      </c>
      <c r="I517" s="60" t="s">
        <v>2268</v>
      </c>
      <c r="J517" s="61" t="s">
        <v>2272</v>
      </c>
      <c r="K517" s="61" t="s">
        <v>2273</v>
      </c>
      <c r="L517" s="61" t="s">
        <v>2274</v>
      </c>
      <c r="M517" s="58">
        <v>2006.0</v>
      </c>
      <c r="N517" s="58">
        <v>17.0</v>
      </c>
      <c r="O517" s="62">
        <v>113.0</v>
      </c>
      <c r="P517" s="62">
        <f t="shared" si="12"/>
        <v>316.4</v>
      </c>
      <c r="Q517" s="63">
        <v>2.0</v>
      </c>
      <c r="R517" s="58">
        <v>0.0</v>
      </c>
      <c r="S517" s="58">
        <v>1.0</v>
      </c>
      <c r="T517" s="58">
        <v>2.0</v>
      </c>
      <c r="U517" s="58">
        <v>2.0</v>
      </c>
      <c r="V517" s="58" t="s">
        <v>75</v>
      </c>
      <c r="W517" s="61" t="s">
        <v>76</v>
      </c>
      <c r="X517" s="28" t="s">
        <v>1033</v>
      </c>
      <c r="Y517" s="64">
        <v>31.0</v>
      </c>
      <c r="Z517" s="65">
        <f t="shared" si="2"/>
        <v>40.3</v>
      </c>
      <c r="AA517" s="65">
        <f t="shared" si="3"/>
        <v>12750.92</v>
      </c>
      <c r="AB517" s="65">
        <f t="shared" si="4"/>
        <v>1254.811418</v>
      </c>
      <c r="AC517" s="66">
        <v>1.0</v>
      </c>
      <c r="AD517" s="70"/>
      <c r="AE517" s="68">
        <f t="shared" si="5"/>
        <v>6557.377049</v>
      </c>
      <c r="AF517" s="69">
        <v>8000.0</v>
      </c>
      <c r="AG517" s="68">
        <f t="shared" si="6"/>
        <v>13114.7541</v>
      </c>
      <c r="AH517" s="70">
        <f t="shared" si="7"/>
        <v>16000</v>
      </c>
      <c r="AI517" s="71"/>
      <c r="AJ517" s="71"/>
      <c r="AK517" s="71"/>
      <c r="AL517" s="71"/>
    </row>
    <row r="518">
      <c r="A518" s="57" t="s">
        <v>2275</v>
      </c>
      <c r="B518" s="58" t="s">
        <v>193</v>
      </c>
      <c r="C518" s="58" t="s">
        <v>194</v>
      </c>
      <c r="D518" s="58" t="s">
        <v>1878</v>
      </c>
      <c r="E518" s="58" t="s">
        <v>1937</v>
      </c>
      <c r="F518" s="58" t="s">
        <v>103</v>
      </c>
      <c r="G518" s="59">
        <v>46086.0</v>
      </c>
      <c r="H518" s="58" t="s">
        <v>118</v>
      </c>
      <c r="I518" s="60" t="s">
        <v>2276</v>
      </c>
      <c r="J518" s="61" t="s">
        <v>2277</v>
      </c>
      <c r="K518" s="61" t="s">
        <v>2278</v>
      </c>
      <c r="L518" s="61" t="s">
        <v>2255</v>
      </c>
      <c r="M518" s="58">
        <v>2004.0</v>
      </c>
      <c r="N518" s="58">
        <v>14.0</v>
      </c>
      <c r="O518" s="62">
        <v>68.0</v>
      </c>
      <c r="P518" s="62">
        <f t="shared" si="12"/>
        <v>190.4</v>
      </c>
      <c r="Q518" s="63">
        <v>2.0</v>
      </c>
      <c r="R518" s="58">
        <v>0.0</v>
      </c>
      <c r="S518" s="58">
        <v>1.0</v>
      </c>
      <c r="T518" s="58">
        <v>2.0</v>
      </c>
      <c r="U518" s="58">
        <v>2.0</v>
      </c>
      <c r="V518" s="58" t="s">
        <v>75</v>
      </c>
      <c r="W518" s="61" t="s">
        <v>76</v>
      </c>
      <c r="X518" s="28" t="s">
        <v>1033</v>
      </c>
      <c r="Y518" s="64">
        <v>31.0</v>
      </c>
      <c r="Z518" s="65">
        <f t="shared" si="2"/>
        <v>40.3</v>
      </c>
      <c r="AA518" s="65">
        <f t="shared" si="3"/>
        <v>7673.12</v>
      </c>
      <c r="AB518" s="65">
        <f t="shared" si="4"/>
        <v>2085.201326</v>
      </c>
      <c r="AC518" s="66">
        <v>1.0</v>
      </c>
      <c r="AD518" s="70"/>
      <c r="AE518" s="68">
        <f t="shared" si="5"/>
        <v>6557.377049</v>
      </c>
      <c r="AF518" s="69">
        <v>8000.0</v>
      </c>
      <c r="AG518" s="68">
        <f t="shared" si="6"/>
        <v>13114.7541</v>
      </c>
      <c r="AH518" s="70">
        <f t="shared" si="7"/>
        <v>16000</v>
      </c>
      <c r="AI518" s="71"/>
      <c r="AJ518" s="71"/>
      <c r="AK518" s="71"/>
      <c r="AL518" s="71"/>
    </row>
    <row r="519">
      <c r="A519" s="57" t="s">
        <v>2275</v>
      </c>
      <c r="B519" s="58" t="s">
        <v>193</v>
      </c>
      <c r="C519" s="58" t="s">
        <v>194</v>
      </c>
      <c r="D519" s="58" t="s">
        <v>1878</v>
      </c>
      <c r="E519" s="58" t="s">
        <v>1937</v>
      </c>
      <c r="F519" s="58" t="s">
        <v>103</v>
      </c>
      <c r="G519" s="59">
        <v>46086.0</v>
      </c>
      <c r="H519" s="58" t="s">
        <v>118</v>
      </c>
      <c r="I519" s="60" t="s">
        <v>2276</v>
      </c>
      <c r="J519" s="61" t="s">
        <v>2279</v>
      </c>
      <c r="K519" s="61" t="s">
        <v>2280</v>
      </c>
      <c r="L519" s="61" t="s">
        <v>2281</v>
      </c>
      <c r="M519" s="58">
        <v>2005.0</v>
      </c>
      <c r="N519" s="58">
        <v>14.0</v>
      </c>
      <c r="O519" s="62">
        <v>69.0</v>
      </c>
      <c r="P519" s="62">
        <f t="shared" si="12"/>
        <v>193.2</v>
      </c>
      <c r="Q519" s="63">
        <v>2.0</v>
      </c>
      <c r="R519" s="58">
        <v>0.0</v>
      </c>
      <c r="S519" s="58">
        <v>1.0</v>
      </c>
      <c r="T519" s="58">
        <v>2.0</v>
      </c>
      <c r="U519" s="58">
        <v>2.0</v>
      </c>
      <c r="V519" s="58" t="s">
        <v>75</v>
      </c>
      <c r="W519" s="61" t="s">
        <v>76</v>
      </c>
      <c r="X519" s="28" t="s">
        <v>1033</v>
      </c>
      <c r="Y519" s="64">
        <v>31.0</v>
      </c>
      <c r="Z519" s="65">
        <f t="shared" si="2"/>
        <v>40.3</v>
      </c>
      <c r="AA519" s="65">
        <f t="shared" si="3"/>
        <v>7785.96</v>
      </c>
      <c r="AB519" s="65">
        <f t="shared" si="4"/>
        <v>2054.981017</v>
      </c>
      <c r="AC519" s="66">
        <v>1.0</v>
      </c>
      <c r="AD519" s="70"/>
      <c r="AE519" s="68">
        <f t="shared" si="5"/>
        <v>6557.377049</v>
      </c>
      <c r="AF519" s="69">
        <v>8000.0</v>
      </c>
      <c r="AG519" s="68">
        <f t="shared" si="6"/>
        <v>13114.7541</v>
      </c>
      <c r="AH519" s="70">
        <f t="shared" si="7"/>
        <v>16000</v>
      </c>
      <c r="AI519" s="71"/>
      <c r="AJ519" s="71"/>
      <c r="AK519" s="71"/>
      <c r="AL519" s="71"/>
    </row>
    <row r="520">
      <c r="A520" s="57" t="s">
        <v>2282</v>
      </c>
      <c r="B520" s="58" t="s">
        <v>193</v>
      </c>
      <c r="C520" s="58" t="s">
        <v>194</v>
      </c>
      <c r="D520" s="58" t="s">
        <v>1878</v>
      </c>
      <c r="E520" s="58" t="s">
        <v>1937</v>
      </c>
      <c r="F520" s="58" t="s">
        <v>103</v>
      </c>
      <c r="G520" s="59">
        <v>46198.0</v>
      </c>
      <c r="H520" s="58" t="s">
        <v>118</v>
      </c>
      <c r="I520" s="60" t="s">
        <v>2283</v>
      </c>
      <c r="J520" s="61" t="s">
        <v>2284</v>
      </c>
      <c r="K520" s="61" t="s">
        <v>2285</v>
      </c>
      <c r="L520" s="61" t="s">
        <v>2286</v>
      </c>
      <c r="M520" s="58">
        <v>1995.0</v>
      </c>
      <c r="N520" s="58">
        <v>9.0</v>
      </c>
      <c r="O520" s="62">
        <v>196.0</v>
      </c>
      <c r="P520" s="62">
        <f t="shared" si="12"/>
        <v>548.8</v>
      </c>
      <c r="Q520" s="63">
        <v>6.0</v>
      </c>
      <c r="R520" s="58">
        <v>6.0</v>
      </c>
      <c r="S520" s="58">
        <v>6.0</v>
      </c>
      <c r="T520" s="58">
        <v>0.0</v>
      </c>
      <c r="U520" s="58">
        <v>6.0</v>
      </c>
      <c r="V520" s="58" t="s">
        <v>130</v>
      </c>
      <c r="W520" s="61" t="s">
        <v>76</v>
      </c>
      <c r="X520" s="28" t="s">
        <v>1033</v>
      </c>
      <c r="Y520" s="64">
        <v>31.0</v>
      </c>
      <c r="Z520" s="65">
        <f t="shared" si="2"/>
        <v>20.15</v>
      </c>
      <c r="AA520" s="65">
        <f t="shared" si="3"/>
        <v>11058.32</v>
      </c>
      <c r="AB520" s="65">
        <f t="shared" si="4"/>
        <v>4340.623169</v>
      </c>
      <c r="AC520" s="66">
        <v>1.0</v>
      </c>
      <c r="AD520" s="67"/>
      <c r="AE520" s="68">
        <f t="shared" si="5"/>
        <v>6557.377049</v>
      </c>
      <c r="AF520" s="69">
        <v>8000.0</v>
      </c>
      <c r="AG520" s="68">
        <f t="shared" si="6"/>
        <v>39344.2623</v>
      </c>
      <c r="AH520" s="70">
        <f t="shared" si="7"/>
        <v>48000</v>
      </c>
      <c r="AI520" s="71"/>
      <c r="AJ520" s="71"/>
      <c r="AK520" s="71"/>
      <c r="AL520" s="71"/>
    </row>
    <row r="521">
      <c r="A521" s="57" t="s">
        <v>2287</v>
      </c>
      <c r="B521" s="58" t="s">
        <v>193</v>
      </c>
      <c r="C521" s="58" t="s">
        <v>194</v>
      </c>
      <c r="D521" s="58" t="s">
        <v>2246</v>
      </c>
      <c r="E521" s="58" t="s">
        <v>2246</v>
      </c>
      <c r="F521" s="58" t="s">
        <v>103</v>
      </c>
      <c r="G521" s="59">
        <v>46086.0</v>
      </c>
      <c r="H521" s="58" t="s">
        <v>118</v>
      </c>
      <c r="I521" s="60" t="s">
        <v>2288</v>
      </c>
      <c r="J521" s="61" t="s">
        <v>2289</v>
      </c>
      <c r="K521" s="61" t="s">
        <v>2290</v>
      </c>
      <c r="L521" s="61" t="s">
        <v>2291</v>
      </c>
      <c r="M521" s="58">
        <v>2007.0</v>
      </c>
      <c r="N521" s="58">
        <v>9.0</v>
      </c>
      <c r="O521" s="62">
        <v>260.0</v>
      </c>
      <c r="P521" s="62">
        <f t="shared" si="12"/>
        <v>728</v>
      </c>
      <c r="Q521" s="63">
        <v>15.0</v>
      </c>
      <c r="R521" s="58">
        <v>0.0</v>
      </c>
      <c r="S521" s="58">
        <v>15.0</v>
      </c>
      <c r="T521" s="58">
        <v>15.0</v>
      </c>
      <c r="U521" s="58">
        <v>15.0</v>
      </c>
      <c r="V521" s="58" t="s">
        <v>75</v>
      </c>
      <c r="W521" s="61" t="s">
        <v>76</v>
      </c>
      <c r="X521" s="28" t="s">
        <v>1033</v>
      </c>
      <c r="Y521" s="64">
        <v>31.0</v>
      </c>
      <c r="Z521" s="65">
        <f t="shared" si="2"/>
        <v>40.3</v>
      </c>
      <c r="AA521" s="65">
        <f t="shared" si="3"/>
        <v>29338.4</v>
      </c>
      <c r="AB521" s="65">
        <f t="shared" si="4"/>
        <v>4090.202601</v>
      </c>
      <c r="AC521" s="66">
        <v>1.0</v>
      </c>
      <c r="AD521" s="67"/>
      <c r="AE521" s="68">
        <f t="shared" si="5"/>
        <v>6557.377049</v>
      </c>
      <c r="AF521" s="69">
        <v>8000.0</v>
      </c>
      <c r="AG521" s="68">
        <f t="shared" si="6"/>
        <v>98360.65574</v>
      </c>
      <c r="AH521" s="70">
        <f t="shared" si="7"/>
        <v>120000</v>
      </c>
      <c r="AI521" s="71"/>
      <c r="AJ521" s="71"/>
      <c r="AK521" s="71"/>
      <c r="AL521" s="71"/>
    </row>
    <row r="522">
      <c r="A522" s="57" t="s">
        <v>2292</v>
      </c>
      <c r="B522" s="58" t="s">
        <v>193</v>
      </c>
      <c r="C522" s="58" t="s">
        <v>194</v>
      </c>
      <c r="D522" s="58" t="s">
        <v>2246</v>
      </c>
      <c r="E522" s="58" t="s">
        <v>2246</v>
      </c>
      <c r="F522" s="58" t="s">
        <v>103</v>
      </c>
      <c r="G522" s="59">
        <v>46086.0</v>
      </c>
      <c r="H522" s="58" t="s">
        <v>118</v>
      </c>
      <c r="I522" s="60" t="s">
        <v>2293</v>
      </c>
      <c r="J522" s="61" t="s">
        <v>2294</v>
      </c>
      <c r="K522" s="61" t="s">
        <v>2295</v>
      </c>
      <c r="L522" s="61" t="s">
        <v>2296</v>
      </c>
      <c r="M522" s="58">
        <v>2008.0</v>
      </c>
      <c r="N522" s="58">
        <v>14.0</v>
      </c>
      <c r="O522" s="62">
        <v>224.0</v>
      </c>
      <c r="P522" s="62">
        <f t="shared" si="12"/>
        <v>627.2</v>
      </c>
      <c r="Q522" s="63">
        <v>7.0</v>
      </c>
      <c r="R522" s="58">
        <v>0.0</v>
      </c>
      <c r="S522" s="58">
        <v>7.0</v>
      </c>
      <c r="T522" s="58">
        <v>7.0</v>
      </c>
      <c r="U522" s="58">
        <v>9.0</v>
      </c>
      <c r="V522" s="58" t="s">
        <v>75</v>
      </c>
      <c r="W522" s="61" t="s">
        <v>76</v>
      </c>
      <c r="X522" s="28" t="s">
        <v>1033</v>
      </c>
      <c r="Y522" s="64">
        <v>31.0</v>
      </c>
      <c r="Z522" s="65">
        <f t="shared" si="2"/>
        <v>31.34444444</v>
      </c>
      <c r="AA522" s="65">
        <f t="shared" si="3"/>
        <v>19659.23556</v>
      </c>
      <c r="AB522" s="65">
        <f t="shared" si="4"/>
        <v>2848.533955</v>
      </c>
      <c r="AC522" s="66">
        <v>1.0</v>
      </c>
      <c r="AD522" s="70"/>
      <c r="AE522" s="68">
        <f t="shared" si="5"/>
        <v>6557.377049</v>
      </c>
      <c r="AF522" s="69">
        <v>8000.0</v>
      </c>
      <c r="AG522" s="68">
        <f t="shared" si="6"/>
        <v>45901.63934</v>
      </c>
      <c r="AH522" s="70">
        <f t="shared" si="7"/>
        <v>56000</v>
      </c>
      <c r="AI522" s="71"/>
      <c r="AJ522" s="71"/>
      <c r="AK522" s="71"/>
      <c r="AL522" s="71"/>
    </row>
    <row r="523">
      <c r="A523" s="57" t="s">
        <v>2297</v>
      </c>
      <c r="B523" s="58" t="s">
        <v>193</v>
      </c>
      <c r="C523" s="58" t="s">
        <v>194</v>
      </c>
      <c r="D523" s="58" t="s">
        <v>2246</v>
      </c>
      <c r="E523" s="58" t="s">
        <v>2246</v>
      </c>
      <c r="F523" s="58" t="s">
        <v>103</v>
      </c>
      <c r="G523" s="59">
        <v>46086.0</v>
      </c>
      <c r="H523" s="58" t="s">
        <v>118</v>
      </c>
      <c r="I523" s="60" t="s">
        <v>2298</v>
      </c>
      <c r="J523" s="61" t="s">
        <v>2299</v>
      </c>
      <c r="K523" s="61" t="s">
        <v>2300</v>
      </c>
      <c r="L523" s="61" t="s">
        <v>2301</v>
      </c>
      <c r="M523" s="58">
        <v>2007.0</v>
      </c>
      <c r="N523" s="58">
        <v>10.0</v>
      </c>
      <c r="O523" s="62">
        <v>410.0</v>
      </c>
      <c r="P523" s="62">
        <f t="shared" si="12"/>
        <v>1148</v>
      </c>
      <c r="Q523" s="63">
        <v>4.0</v>
      </c>
      <c r="R523" s="58">
        <v>0.0</v>
      </c>
      <c r="S523" s="58">
        <v>14.0</v>
      </c>
      <c r="T523" s="58">
        <v>4.0</v>
      </c>
      <c r="U523" s="58">
        <v>14.0</v>
      </c>
      <c r="V523" s="58" t="s">
        <v>130</v>
      </c>
      <c r="W523" s="61" t="s">
        <v>76</v>
      </c>
      <c r="X523" s="28" t="s">
        <v>1033</v>
      </c>
      <c r="Y523" s="64">
        <v>31.0</v>
      </c>
      <c r="Z523" s="65">
        <f t="shared" si="2"/>
        <v>11.51428571</v>
      </c>
      <c r="AA523" s="65">
        <f t="shared" si="3"/>
        <v>13218.4</v>
      </c>
      <c r="AB523" s="65">
        <f t="shared" si="4"/>
        <v>2420.867881</v>
      </c>
      <c r="AC523" s="66">
        <v>1.0</v>
      </c>
      <c r="AD523" s="70"/>
      <c r="AE523" s="68">
        <f t="shared" si="5"/>
        <v>6557.377049</v>
      </c>
      <c r="AF523" s="69">
        <v>8000.0</v>
      </c>
      <c r="AG523" s="68">
        <f t="shared" si="6"/>
        <v>26229.5082</v>
      </c>
      <c r="AH523" s="70">
        <f t="shared" si="7"/>
        <v>32000</v>
      </c>
      <c r="AI523" s="71"/>
      <c r="AJ523" s="71"/>
      <c r="AK523" s="71"/>
      <c r="AL523" s="71"/>
    </row>
    <row r="524">
      <c r="A524" s="57" t="s">
        <v>2297</v>
      </c>
      <c r="B524" s="58" t="s">
        <v>193</v>
      </c>
      <c r="C524" s="58" t="s">
        <v>194</v>
      </c>
      <c r="D524" s="58" t="s">
        <v>2246</v>
      </c>
      <c r="E524" s="58" t="s">
        <v>2246</v>
      </c>
      <c r="F524" s="58" t="s">
        <v>103</v>
      </c>
      <c r="G524" s="59">
        <v>46086.0</v>
      </c>
      <c r="H524" s="58" t="s">
        <v>118</v>
      </c>
      <c r="I524" s="60" t="s">
        <v>2298</v>
      </c>
      <c r="J524" s="61" t="s">
        <v>2302</v>
      </c>
      <c r="K524" s="61" t="s">
        <v>2300</v>
      </c>
      <c r="L524" s="61" t="s">
        <v>2301</v>
      </c>
      <c r="M524" s="58">
        <v>2013.0</v>
      </c>
      <c r="N524" s="58">
        <v>10.0</v>
      </c>
      <c r="O524" s="62">
        <v>410.0</v>
      </c>
      <c r="P524" s="62">
        <f t="shared" si="12"/>
        <v>1148</v>
      </c>
      <c r="Q524" s="63">
        <v>10.0</v>
      </c>
      <c r="R524" s="58">
        <v>0.0</v>
      </c>
      <c r="S524" s="58">
        <v>14.0</v>
      </c>
      <c r="T524" s="58">
        <v>10.0</v>
      </c>
      <c r="U524" s="58">
        <v>14.0</v>
      </c>
      <c r="V524" s="58" t="s">
        <v>75</v>
      </c>
      <c r="W524" s="61" t="s">
        <v>76</v>
      </c>
      <c r="X524" s="28" t="s">
        <v>1033</v>
      </c>
      <c r="Y524" s="64">
        <v>31.0</v>
      </c>
      <c r="Z524" s="65">
        <f t="shared" si="2"/>
        <v>28.78571429</v>
      </c>
      <c r="AA524" s="65">
        <f t="shared" si="3"/>
        <v>33046</v>
      </c>
      <c r="AB524" s="65">
        <f t="shared" si="4"/>
        <v>2420.867881</v>
      </c>
      <c r="AC524" s="66">
        <v>1.0</v>
      </c>
      <c r="AD524" s="70"/>
      <c r="AE524" s="68">
        <f t="shared" si="5"/>
        <v>6557.377049</v>
      </c>
      <c r="AF524" s="69">
        <v>8000.0</v>
      </c>
      <c r="AG524" s="68">
        <f t="shared" si="6"/>
        <v>65573.77049</v>
      </c>
      <c r="AH524" s="70">
        <f t="shared" si="7"/>
        <v>80000</v>
      </c>
      <c r="AI524" s="71"/>
      <c r="AJ524" s="71"/>
      <c r="AK524" s="71"/>
      <c r="AL524" s="71"/>
    </row>
    <row r="525">
      <c r="A525" s="57" t="s">
        <v>2303</v>
      </c>
      <c r="B525" s="58" t="s">
        <v>193</v>
      </c>
      <c r="C525" s="58" t="s">
        <v>194</v>
      </c>
      <c r="D525" s="58" t="s">
        <v>2246</v>
      </c>
      <c r="E525" s="58" t="s">
        <v>2246</v>
      </c>
      <c r="F525" s="58" t="s">
        <v>103</v>
      </c>
      <c r="G525" s="59">
        <v>46086.0</v>
      </c>
      <c r="H525" s="58" t="s">
        <v>118</v>
      </c>
      <c r="I525" s="60" t="s">
        <v>2304</v>
      </c>
      <c r="J525" s="61" t="s">
        <v>2305</v>
      </c>
      <c r="K525" s="61" t="s">
        <v>2306</v>
      </c>
      <c r="L525" s="61" t="s">
        <v>2307</v>
      </c>
      <c r="M525" s="58">
        <v>2013.0</v>
      </c>
      <c r="N525" s="58">
        <v>9.0</v>
      </c>
      <c r="O525" s="62">
        <v>232.0</v>
      </c>
      <c r="P525" s="62">
        <f t="shared" si="12"/>
        <v>649.6</v>
      </c>
      <c r="Q525" s="63">
        <v>12.0</v>
      </c>
      <c r="R525" s="58">
        <v>12.0</v>
      </c>
      <c r="S525" s="58">
        <v>12.0</v>
      </c>
      <c r="T525" s="58">
        <v>0.0</v>
      </c>
      <c r="U525" s="58">
        <v>12.0</v>
      </c>
      <c r="V525" s="58" t="s">
        <v>130</v>
      </c>
      <c r="W525" s="61" t="s">
        <v>76</v>
      </c>
      <c r="X525" s="28" t="s">
        <v>1033</v>
      </c>
      <c r="Y525" s="64">
        <v>31.0</v>
      </c>
      <c r="Z525" s="65">
        <f t="shared" si="2"/>
        <v>20.15</v>
      </c>
      <c r="AA525" s="65">
        <f t="shared" si="3"/>
        <v>13089.44</v>
      </c>
      <c r="AB525" s="65">
        <f t="shared" si="4"/>
        <v>7334.156389</v>
      </c>
      <c r="AC525" s="66">
        <v>1.0</v>
      </c>
      <c r="AD525" s="67"/>
      <c r="AE525" s="68">
        <f t="shared" si="5"/>
        <v>6557.377049</v>
      </c>
      <c r="AF525" s="69">
        <v>8000.0</v>
      </c>
      <c r="AG525" s="68">
        <f t="shared" si="6"/>
        <v>78688.52459</v>
      </c>
      <c r="AH525" s="70">
        <f t="shared" si="7"/>
        <v>96000</v>
      </c>
      <c r="AI525" s="71"/>
      <c r="AJ525" s="71"/>
      <c r="AK525" s="71"/>
      <c r="AL525" s="71"/>
    </row>
    <row r="526">
      <c r="A526" s="57" t="s">
        <v>2308</v>
      </c>
      <c r="B526" s="58" t="s">
        <v>193</v>
      </c>
      <c r="C526" s="58" t="s">
        <v>194</v>
      </c>
      <c r="D526" s="58" t="s">
        <v>2246</v>
      </c>
      <c r="E526" s="58" t="s">
        <v>2246</v>
      </c>
      <c r="F526" s="58" t="s">
        <v>103</v>
      </c>
      <c r="G526" s="59">
        <v>46086.0</v>
      </c>
      <c r="H526" s="58" t="s">
        <v>118</v>
      </c>
      <c r="I526" s="60" t="s">
        <v>2309</v>
      </c>
      <c r="J526" s="61" t="s">
        <v>2310</v>
      </c>
      <c r="K526" s="61" t="s">
        <v>2311</v>
      </c>
      <c r="L526" s="61" t="s">
        <v>2312</v>
      </c>
      <c r="M526" s="58">
        <v>2008.0</v>
      </c>
      <c r="N526" s="58">
        <v>9.0</v>
      </c>
      <c r="O526" s="62">
        <v>457.0</v>
      </c>
      <c r="P526" s="62">
        <f t="shared" si="12"/>
        <v>1279.6</v>
      </c>
      <c r="Q526" s="63">
        <v>24.0</v>
      </c>
      <c r="R526" s="58">
        <v>0.0</v>
      </c>
      <c r="S526" s="58">
        <v>24.0</v>
      </c>
      <c r="T526" s="58">
        <v>24.0</v>
      </c>
      <c r="U526" s="58">
        <v>24.0</v>
      </c>
      <c r="V526" s="58" t="s">
        <v>130</v>
      </c>
      <c r="W526" s="61" t="s">
        <v>76</v>
      </c>
      <c r="X526" s="28" t="s">
        <v>1033</v>
      </c>
      <c r="Y526" s="64">
        <v>31.0</v>
      </c>
      <c r="Z526" s="65">
        <f t="shared" si="2"/>
        <v>40.3</v>
      </c>
      <c r="AA526" s="65">
        <f t="shared" si="3"/>
        <v>51567.88</v>
      </c>
      <c r="AB526" s="65">
        <f t="shared" si="4"/>
        <v>3723.247882</v>
      </c>
      <c r="AC526" s="66">
        <v>1.0</v>
      </c>
      <c r="AD526" s="67"/>
      <c r="AE526" s="68">
        <f t="shared" si="5"/>
        <v>6557.377049</v>
      </c>
      <c r="AF526" s="69">
        <v>8000.0</v>
      </c>
      <c r="AG526" s="68">
        <f t="shared" si="6"/>
        <v>157377.0492</v>
      </c>
      <c r="AH526" s="70">
        <f t="shared" si="7"/>
        <v>192000</v>
      </c>
      <c r="AI526" s="71"/>
      <c r="AJ526" s="71"/>
      <c r="AK526" s="71"/>
      <c r="AL526" s="71"/>
    </row>
    <row r="527">
      <c r="A527" s="57" t="s">
        <v>2313</v>
      </c>
      <c r="B527" s="58" t="s">
        <v>193</v>
      </c>
      <c r="C527" s="58" t="s">
        <v>194</v>
      </c>
      <c r="D527" s="58" t="s">
        <v>2246</v>
      </c>
      <c r="E527" s="58" t="s">
        <v>2246</v>
      </c>
      <c r="F527" s="58" t="s">
        <v>103</v>
      </c>
      <c r="G527" s="59">
        <v>46086.0</v>
      </c>
      <c r="H527" s="58" t="s">
        <v>118</v>
      </c>
      <c r="I527" s="60" t="s">
        <v>2314</v>
      </c>
      <c r="J527" s="61" t="s">
        <v>2315</v>
      </c>
      <c r="K527" s="61" t="s">
        <v>2316</v>
      </c>
      <c r="L527" s="61" t="s">
        <v>2317</v>
      </c>
      <c r="M527" s="58">
        <v>2013.0</v>
      </c>
      <c r="N527" s="58">
        <v>20.0</v>
      </c>
      <c r="O527" s="62">
        <v>330.0</v>
      </c>
      <c r="P527" s="62">
        <f t="shared" si="12"/>
        <v>924</v>
      </c>
      <c r="Q527" s="63">
        <v>11.0</v>
      </c>
      <c r="R527" s="58">
        <v>0.0</v>
      </c>
      <c r="S527" s="58">
        <v>6.0</v>
      </c>
      <c r="T527" s="58">
        <v>11.0</v>
      </c>
      <c r="U527" s="58">
        <v>11.0</v>
      </c>
      <c r="V527" s="58" t="s">
        <v>75</v>
      </c>
      <c r="W527" s="61" t="s">
        <v>76</v>
      </c>
      <c r="X527" s="28" t="s">
        <v>1033</v>
      </c>
      <c r="Y527" s="64">
        <v>31.0</v>
      </c>
      <c r="Z527" s="65">
        <f t="shared" si="2"/>
        <v>40.3</v>
      </c>
      <c r="AA527" s="65">
        <f t="shared" si="3"/>
        <v>37237.2</v>
      </c>
      <c r="AB527" s="65">
        <f t="shared" si="4"/>
        <v>2363.22817</v>
      </c>
      <c r="AC527" s="66">
        <v>1.0</v>
      </c>
      <c r="AD527" s="70"/>
      <c r="AE527" s="68">
        <f t="shared" si="5"/>
        <v>6557.377049</v>
      </c>
      <c r="AF527" s="69">
        <v>8000.0</v>
      </c>
      <c r="AG527" s="68">
        <f t="shared" si="6"/>
        <v>72131.14754</v>
      </c>
      <c r="AH527" s="70">
        <f t="shared" si="7"/>
        <v>88000</v>
      </c>
      <c r="AI527" s="71"/>
      <c r="AJ527" s="71"/>
      <c r="AK527" s="71"/>
      <c r="AL527" s="71"/>
    </row>
    <row r="528">
      <c r="A528" s="57" t="s">
        <v>2318</v>
      </c>
      <c r="B528" s="58" t="s">
        <v>193</v>
      </c>
      <c r="C528" s="58" t="s">
        <v>194</v>
      </c>
      <c r="D528" s="58" t="s">
        <v>2246</v>
      </c>
      <c r="E528" s="58" t="s">
        <v>2246</v>
      </c>
      <c r="F528" s="58" t="s">
        <v>63</v>
      </c>
      <c r="G528" s="59">
        <v>46086.0</v>
      </c>
      <c r="H528" s="58" t="s">
        <v>118</v>
      </c>
      <c r="I528" s="60" t="s">
        <v>2319</v>
      </c>
      <c r="J528" s="61" t="s">
        <v>2320</v>
      </c>
      <c r="K528" s="61" t="s">
        <v>2321</v>
      </c>
      <c r="L528" s="61" t="s">
        <v>2322</v>
      </c>
      <c r="M528" s="58">
        <v>2013.0</v>
      </c>
      <c r="N528" s="58">
        <v>18.0</v>
      </c>
      <c r="O528" s="62">
        <v>133.0</v>
      </c>
      <c r="P528" s="62">
        <f t="shared" si="12"/>
        <v>372.4</v>
      </c>
      <c r="Q528" s="63">
        <v>1.0</v>
      </c>
      <c r="R528" s="58">
        <v>1.0</v>
      </c>
      <c r="S528" s="58">
        <v>1.0</v>
      </c>
      <c r="T528" s="58">
        <v>0.0</v>
      </c>
      <c r="U528" s="58">
        <v>3.0</v>
      </c>
      <c r="V528" s="58" t="s">
        <v>130</v>
      </c>
      <c r="W528" s="61" t="s">
        <v>76</v>
      </c>
      <c r="X528" s="28" t="s">
        <v>1033</v>
      </c>
      <c r="Y528" s="64">
        <v>31.0</v>
      </c>
      <c r="Z528" s="65">
        <f t="shared" si="2"/>
        <v>20.15</v>
      </c>
      <c r="AA528" s="65">
        <f t="shared" si="3"/>
        <v>7503.86</v>
      </c>
      <c r="AB528" s="65">
        <f t="shared" si="4"/>
        <v>1066.117971</v>
      </c>
      <c r="AC528" s="66">
        <v>1.0</v>
      </c>
      <c r="AD528" s="70"/>
      <c r="AE528" s="68">
        <f t="shared" si="5"/>
        <v>6557.377049</v>
      </c>
      <c r="AF528" s="69">
        <v>8000.0</v>
      </c>
      <c r="AG528" s="68">
        <f t="shared" si="6"/>
        <v>6557.377049</v>
      </c>
      <c r="AH528" s="70">
        <f t="shared" si="7"/>
        <v>8000</v>
      </c>
      <c r="AI528" s="71"/>
      <c r="AJ528" s="71"/>
      <c r="AK528" s="71"/>
      <c r="AL528" s="71"/>
    </row>
    <row r="529">
      <c r="A529" s="57" t="s">
        <v>2323</v>
      </c>
      <c r="B529" s="58" t="s">
        <v>193</v>
      </c>
      <c r="C529" s="58" t="s">
        <v>194</v>
      </c>
      <c r="D529" s="58" t="s">
        <v>1878</v>
      </c>
      <c r="E529" s="58" t="s">
        <v>1937</v>
      </c>
      <c r="F529" s="58" t="s">
        <v>63</v>
      </c>
      <c r="G529" s="59">
        <v>46086.0</v>
      </c>
      <c r="H529" s="58" t="s">
        <v>118</v>
      </c>
      <c r="I529" s="60" t="s">
        <v>2324</v>
      </c>
      <c r="J529" s="61" t="s">
        <v>2325</v>
      </c>
      <c r="K529" s="61" t="s">
        <v>2326</v>
      </c>
      <c r="L529" s="61" t="s">
        <v>2327</v>
      </c>
      <c r="M529" s="58">
        <v>1995.0</v>
      </c>
      <c r="N529" s="58">
        <v>14.0</v>
      </c>
      <c r="O529" s="62">
        <v>96.0</v>
      </c>
      <c r="P529" s="62">
        <f t="shared" si="12"/>
        <v>268.8</v>
      </c>
      <c r="Q529" s="63">
        <v>1.0</v>
      </c>
      <c r="R529" s="58">
        <v>0.0</v>
      </c>
      <c r="S529" s="58">
        <v>1.0</v>
      </c>
      <c r="T529" s="58">
        <v>1.0</v>
      </c>
      <c r="U529" s="58">
        <v>2.0</v>
      </c>
      <c r="V529" s="58" t="s">
        <v>75</v>
      </c>
      <c r="W529" s="61" t="s">
        <v>76</v>
      </c>
      <c r="X529" s="28" t="s">
        <v>1033</v>
      </c>
      <c r="Y529" s="64">
        <v>31.0</v>
      </c>
      <c r="Z529" s="65">
        <f t="shared" si="2"/>
        <v>20.15</v>
      </c>
      <c r="AA529" s="65">
        <f t="shared" si="3"/>
        <v>5416.32</v>
      </c>
      <c r="AB529" s="65">
        <f t="shared" si="4"/>
        <v>1477.017606</v>
      </c>
      <c r="AC529" s="66">
        <v>1.0</v>
      </c>
      <c r="AD529" s="70"/>
      <c r="AE529" s="68">
        <f t="shared" si="5"/>
        <v>6557.377049</v>
      </c>
      <c r="AF529" s="69">
        <v>8000.0</v>
      </c>
      <c r="AG529" s="68">
        <f t="shared" si="6"/>
        <v>6557.377049</v>
      </c>
      <c r="AH529" s="70">
        <f t="shared" si="7"/>
        <v>8000</v>
      </c>
      <c r="AI529" s="71"/>
      <c r="AJ529" s="71"/>
      <c r="AK529" s="71"/>
      <c r="AL529" s="71"/>
    </row>
    <row r="530">
      <c r="A530" s="57" t="s">
        <v>2323</v>
      </c>
      <c r="B530" s="58" t="s">
        <v>193</v>
      </c>
      <c r="C530" s="58" t="s">
        <v>194</v>
      </c>
      <c r="D530" s="58" t="s">
        <v>1878</v>
      </c>
      <c r="E530" s="58" t="s">
        <v>1937</v>
      </c>
      <c r="F530" s="58" t="s">
        <v>63</v>
      </c>
      <c r="G530" s="59">
        <v>46086.0</v>
      </c>
      <c r="H530" s="58" t="s">
        <v>118</v>
      </c>
      <c r="I530" s="60" t="s">
        <v>2324</v>
      </c>
      <c r="J530" s="61" t="s">
        <v>2328</v>
      </c>
      <c r="K530" s="61" t="s">
        <v>2329</v>
      </c>
      <c r="L530" s="61" t="s">
        <v>2330</v>
      </c>
      <c r="M530" s="58">
        <v>1995.0</v>
      </c>
      <c r="N530" s="58">
        <v>14.0</v>
      </c>
      <c r="O530" s="62">
        <v>96.0</v>
      </c>
      <c r="P530" s="62">
        <f t="shared" si="12"/>
        <v>268.8</v>
      </c>
      <c r="Q530" s="63">
        <v>1.0</v>
      </c>
      <c r="R530" s="58">
        <v>0.0</v>
      </c>
      <c r="S530" s="58">
        <v>1.0</v>
      </c>
      <c r="T530" s="58">
        <v>1.0</v>
      </c>
      <c r="U530" s="58">
        <v>2.0</v>
      </c>
      <c r="V530" s="58" t="s">
        <v>75</v>
      </c>
      <c r="W530" s="61" t="s">
        <v>76</v>
      </c>
      <c r="X530" s="28" t="s">
        <v>1033</v>
      </c>
      <c r="Y530" s="64">
        <v>31.0</v>
      </c>
      <c r="Z530" s="65">
        <f t="shared" si="2"/>
        <v>20.15</v>
      </c>
      <c r="AA530" s="65">
        <f t="shared" si="3"/>
        <v>5416.32</v>
      </c>
      <c r="AB530" s="65">
        <f t="shared" si="4"/>
        <v>1477.017606</v>
      </c>
      <c r="AC530" s="66">
        <v>1.0</v>
      </c>
      <c r="AD530" s="67"/>
      <c r="AE530" s="68">
        <f t="shared" si="5"/>
        <v>6557.377049</v>
      </c>
      <c r="AF530" s="69">
        <v>8000.0</v>
      </c>
      <c r="AG530" s="68">
        <f t="shared" si="6"/>
        <v>6557.377049</v>
      </c>
      <c r="AH530" s="70">
        <f t="shared" si="7"/>
        <v>8000</v>
      </c>
      <c r="AI530" s="71"/>
      <c r="AJ530" s="71"/>
      <c r="AK530" s="71"/>
      <c r="AL530" s="71"/>
    </row>
    <row r="531">
      <c r="A531" s="57" t="s">
        <v>2331</v>
      </c>
      <c r="B531" s="58" t="s">
        <v>193</v>
      </c>
      <c r="C531" s="58" t="s">
        <v>194</v>
      </c>
      <c r="D531" s="58" t="s">
        <v>2332</v>
      </c>
      <c r="E531" s="58" t="s">
        <v>1964</v>
      </c>
      <c r="F531" s="58" t="s">
        <v>103</v>
      </c>
      <c r="G531" s="59">
        <v>46120.0</v>
      </c>
      <c r="H531" s="58" t="s">
        <v>118</v>
      </c>
      <c r="I531" s="60" t="s">
        <v>2333</v>
      </c>
      <c r="J531" s="61" t="s">
        <v>2334</v>
      </c>
      <c r="K531" s="61" t="s">
        <v>2335</v>
      </c>
      <c r="L531" s="61" t="s">
        <v>2336</v>
      </c>
      <c r="M531" s="58">
        <v>2022.0</v>
      </c>
      <c r="N531" s="58">
        <v>9.0</v>
      </c>
      <c r="O531" s="62">
        <v>68.0</v>
      </c>
      <c r="P531" s="62">
        <f t="shared" si="12"/>
        <v>190.4</v>
      </c>
      <c r="Q531" s="63">
        <v>2.0</v>
      </c>
      <c r="R531" s="58">
        <v>2.0</v>
      </c>
      <c r="S531" s="58">
        <v>2.0</v>
      </c>
      <c r="T531" s="58">
        <v>0.0</v>
      </c>
      <c r="U531" s="58">
        <v>2.0</v>
      </c>
      <c r="V531" s="58" t="s">
        <v>75</v>
      </c>
      <c r="W531" s="61" t="s">
        <v>76</v>
      </c>
      <c r="X531" s="28" t="s">
        <v>1033</v>
      </c>
      <c r="Y531" s="64">
        <v>31.0</v>
      </c>
      <c r="Z531" s="65">
        <f t="shared" si="2"/>
        <v>20.15</v>
      </c>
      <c r="AA531" s="65">
        <f t="shared" si="3"/>
        <v>3836.56</v>
      </c>
      <c r="AB531" s="65">
        <f t="shared" si="4"/>
        <v>4170.402652</v>
      </c>
      <c r="AC531" s="66">
        <v>1.0</v>
      </c>
      <c r="AD531" s="67"/>
      <c r="AE531" s="68">
        <f t="shared" si="5"/>
        <v>6557.377049</v>
      </c>
      <c r="AF531" s="69">
        <v>8000.0</v>
      </c>
      <c r="AG531" s="68">
        <f t="shared" si="6"/>
        <v>13114.7541</v>
      </c>
      <c r="AH531" s="70">
        <f t="shared" si="7"/>
        <v>16000</v>
      </c>
      <c r="AI531" s="71"/>
      <c r="AJ531" s="71"/>
      <c r="AK531" s="71"/>
      <c r="AL531" s="71"/>
    </row>
    <row r="532">
      <c r="A532" s="57" t="s">
        <v>2337</v>
      </c>
      <c r="B532" s="58" t="s">
        <v>193</v>
      </c>
      <c r="C532" s="58" t="s">
        <v>194</v>
      </c>
      <c r="D532" s="58" t="s">
        <v>804</v>
      </c>
      <c r="E532" s="58" t="s">
        <v>2060</v>
      </c>
      <c r="F532" s="58" t="s">
        <v>103</v>
      </c>
      <c r="G532" s="59">
        <v>46120.0</v>
      </c>
      <c r="H532" s="58" t="s">
        <v>118</v>
      </c>
      <c r="I532" s="60" t="s">
        <v>2338</v>
      </c>
      <c r="J532" s="61" t="s">
        <v>2339</v>
      </c>
      <c r="K532" s="61" t="s">
        <v>2340</v>
      </c>
      <c r="L532" s="61" t="s">
        <v>2341</v>
      </c>
      <c r="M532" s="58">
        <v>2011.0</v>
      </c>
      <c r="N532" s="58">
        <v>18.0</v>
      </c>
      <c r="O532" s="62">
        <v>179.0</v>
      </c>
      <c r="P532" s="62">
        <f t="shared" si="12"/>
        <v>501.2</v>
      </c>
      <c r="Q532" s="63">
        <v>2.0</v>
      </c>
      <c r="R532" s="58">
        <v>2.0</v>
      </c>
      <c r="S532" s="58">
        <v>2.0</v>
      </c>
      <c r="T532" s="58">
        <v>0.0</v>
      </c>
      <c r="U532" s="58">
        <v>4.0</v>
      </c>
      <c r="V532" s="58" t="s">
        <v>75</v>
      </c>
      <c r="W532" s="61" t="s">
        <v>76</v>
      </c>
      <c r="X532" s="28" t="s">
        <v>1033</v>
      </c>
      <c r="Y532" s="64">
        <v>31.0</v>
      </c>
      <c r="Z532" s="65">
        <f t="shared" si="2"/>
        <v>20.15</v>
      </c>
      <c r="AA532" s="65">
        <f t="shared" si="3"/>
        <v>10099.18</v>
      </c>
      <c r="AB532" s="65">
        <f t="shared" si="4"/>
        <v>1584.287041</v>
      </c>
      <c r="AC532" s="66">
        <v>1.0</v>
      </c>
      <c r="AD532" s="70"/>
      <c r="AE532" s="68">
        <f t="shared" si="5"/>
        <v>6557.377049</v>
      </c>
      <c r="AF532" s="69">
        <v>8000.0</v>
      </c>
      <c r="AG532" s="68">
        <f t="shared" si="6"/>
        <v>13114.7541</v>
      </c>
      <c r="AH532" s="70">
        <f t="shared" si="7"/>
        <v>16000</v>
      </c>
      <c r="AI532" s="71"/>
      <c r="AJ532" s="71"/>
      <c r="AK532" s="71"/>
      <c r="AL532" s="71"/>
    </row>
    <row r="533">
      <c r="A533" s="57" t="s">
        <v>2337</v>
      </c>
      <c r="B533" s="58" t="s">
        <v>193</v>
      </c>
      <c r="C533" s="58" t="s">
        <v>194</v>
      </c>
      <c r="D533" s="58" t="s">
        <v>804</v>
      </c>
      <c r="E533" s="58" t="s">
        <v>2060</v>
      </c>
      <c r="F533" s="58" t="s">
        <v>103</v>
      </c>
      <c r="G533" s="59">
        <v>46120.0</v>
      </c>
      <c r="H533" s="58" t="s">
        <v>118</v>
      </c>
      <c r="I533" s="60" t="s">
        <v>2338</v>
      </c>
      <c r="J533" s="61" t="s">
        <v>2342</v>
      </c>
      <c r="K533" s="61" t="s">
        <v>2343</v>
      </c>
      <c r="L533" s="61" t="s">
        <v>2344</v>
      </c>
      <c r="M533" s="58">
        <v>2011.0</v>
      </c>
      <c r="N533" s="58">
        <v>18.0</v>
      </c>
      <c r="O533" s="62">
        <v>262.0</v>
      </c>
      <c r="P533" s="62">
        <f t="shared" si="12"/>
        <v>733.6</v>
      </c>
      <c r="Q533" s="63">
        <v>3.0</v>
      </c>
      <c r="R533" s="58">
        <v>3.0</v>
      </c>
      <c r="S533" s="58">
        <v>3.0</v>
      </c>
      <c r="T533" s="58">
        <v>0.0</v>
      </c>
      <c r="U533" s="58">
        <v>6.0</v>
      </c>
      <c r="V533" s="58" t="s">
        <v>75</v>
      </c>
      <c r="W533" s="61" t="s">
        <v>76</v>
      </c>
      <c r="X533" s="28" t="s">
        <v>1033</v>
      </c>
      <c r="Y533" s="64">
        <v>31.0</v>
      </c>
      <c r="Z533" s="65">
        <f t="shared" si="2"/>
        <v>20.15</v>
      </c>
      <c r="AA533" s="65">
        <f t="shared" si="3"/>
        <v>14782.04</v>
      </c>
      <c r="AB533" s="65">
        <f t="shared" si="4"/>
        <v>1623.591872</v>
      </c>
      <c r="AC533" s="66">
        <v>1.0</v>
      </c>
      <c r="AD533" s="70"/>
      <c r="AE533" s="68">
        <f t="shared" si="5"/>
        <v>6557.377049</v>
      </c>
      <c r="AF533" s="69">
        <v>8000.0</v>
      </c>
      <c r="AG533" s="68">
        <f t="shared" si="6"/>
        <v>19672.13115</v>
      </c>
      <c r="AH533" s="70">
        <f t="shared" si="7"/>
        <v>24000</v>
      </c>
      <c r="AI533" s="71"/>
      <c r="AJ533" s="71"/>
      <c r="AK533" s="71"/>
      <c r="AL533" s="71"/>
    </row>
    <row r="534">
      <c r="A534" s="57" t="s">
        <v>2337</v>
      </c>
      <c r="B534" s="58" t="s">
        <v>193</v>
      </c>
      <c r="C534" s="58" t="s">
        <v>194</v>
      </c>
      <c r="D534" s="58" t="s">
        <v>804</v>
      </c>
      <c r="E534" s="58" t="s">
        <v>2060</v>
      </c>
      <c r="F534" s="58" t="s">
        <v>103</v>
      </c>
      <c r="G534" s="59">
        <v>46120.0</v>
      </c>
      <c r="H534" s="58" t="s">
        <v>118</v>
      </c>
      <c r="I534" s="60" t="s">
        <v>2338</v>
      </c>
      <c r="J534" s="61" t="s">
        <v>2345</v>
      </c>
      <c r="K534" s="61" t="s">
        <v>2346</v>
      </c>
      <c r="L534" s="61" t="s">
        <v>2347</v>
      </c>
      <c r="M534" s="58">
        <v>2011.0</v>
      </c>
      <c r="N534" s="58">
        <v>18.0</v>
      </c>
      <c r="O534" s="62">
        <v>262.0</v>
      </c>
      <c r="P534" s="62">
        <f t="shared" si="12"/>
        <v>733.6</v>
      </c>
      <c r="Q534" s="63">
        <v>3.0</v>
      </c>
      <c r="R534" s="58">
        <v>3.0</v>
      </c>
      <c r="S534" s="58">
        <v>3.0</v>
      </c>
      <c r="T534" s="58">
        <v>0.0</v>
      </c>
      <c r="U534" s="58">
        <v>6.0</v>
      </c>
      <c r="V534" s="58" t="s">
        <v>75</v>
      </c>
      <c r="W534" s="61" t="s">
        <v>76</v>
      </c>
      <c r="X534" s="28" t="s">
        <v>1033</v>
      </c>
      <c r="Y534" s="64">
        <v>31.0</v>
      </c>
      <c r="Z534" s="65">
        <f t="shared" si="2"/>
        <v>20.15</v>
      </c>
      <c r="AA534" s="65">
        <f t="shared" si="3"/>
        <v>14782.04</v>
      </c>
      <c r="AB534" s="65">
        <f t="shared" si="4"/>
        <v>1623.591872</v>
      </c>
      <c r="AC534" s="66">
        <v>1.0</v>
      </c>
      <c r="AD534" s="70"/>
      <c r="AE534" s="68">
        <f t="shared" si="5"/>
        <v>6557.377049</v>
      </c>
      <c r="AF534" s="69">
        <v>8000.0</v>
      </c>
      <c r="AG534" s="68">
        <f t="shared" si="6"/>
        <v>19672.13115</v>
      </c>
      <c r="AH534" s="70">
        <f t="shared" si="7"/>
        <v>24000</v>
      </c>
      <c r="AI534" s="71"/>
      <c r="AJ534" s="71"/>
      <c r="AK534" s="71"/>
      <c r="AL534" s="71"/>
    </row>
    <row r="535">
      <c r="A535" s="57" t="s">
        <v>2337</v>
      </c>
      <c r="B535" s="58" t="s">
        <v>193</v>
      </c>
      <c r="C535" s="58" t="s">
        <v>194</v>
      </c>
      <c r="D535" s="58" t="s">
        <v>804</v>
      </c>
      <c r="E535" s="58" t="s">
        <v>2060</v>
      </c>
      <c r="F535" s="58" t="s">
        <v>103</v>
      </c>
      <c r="G535" s="59">
        <v>46120.0</v>
      </c>
      <c r="H535" s="58" t="s">
        <v>118</v>
      </c>
      <c r="I535" s="60" t="s">
        <v>2338</v>
      </c>
      <c r="J535" s="61" t="s">
        <v>2348</v>
      </c>
      <c r="K535" s="61" t="s">
        <v>2349</v>
      </c>
      <c r="L535" s="61" t="s">
        <v>2350</v>
      </c>
      <c r="M535" s="58">
        <v>2011.0</v>
      </c>
      <c r="N535" s="58">
        <v>18.0</v>
      </c>
      <c r="O535" s="62">
        <v>107.0</v>
      </c>
      <c r="P535" s="62">
        <f t="shared" si="12"/>
        <v>299.6</v>
      </c>
      <c r="Q535" s="63">
        <v>1.0</v>
      </c>
      <c r="R535" s="58">
        <v>1.0</v>
      </c>
      <c r="S535" s="58">
        <v>1.0</v>
      </c>
      <c r="T535" s="58">
        <v>0.0</v>
      </c>
      <c r="U535" s="58">
        <v>2.0</v>
      </c>
      <c r="V535" s="58" t="s">
        <v>75</v>
      </c>
      <c r="W535" s="61" t="s">
        <v>76</v>
      </c>
      <c r="X535" s="28" t="s">
        <v>1033</v>
      </c>
      <c r="Y535" s="64">
        <v>31.0</v>
      </c>
      <c r="Z535" s="65">
        <f t="shared" si="2"/>
        <v>20.15</v>
      </c>
      <c r="AA535" s="65">
        <f t="shared" si="3"/>
        <v>6036.94</v>
      </c>
      <c r="AB535" s="65">
        <f t="shared" si="4"/>
        <v>1325.174675</v>
      </c>
      <c r="AC535" s="66">
        <v>1.0</v>
      </c>
      <c r="AD535" s="67"/>
      <c r="AE535" s="68">
        <f t="shared" si="5"/>
        <v>6557.377049</v>
      </c>
      <c r="AF535" s="69">
        <v>8000.0</v>
      </c>
      <c r="AG535" s="68">
        <f t="shared" si="6"/>
        <v>6557.377049</v>
      </c>
      <c r="AH535" s="70">
        <f t="shared" si="7"/>
        <v>8000</v>
      </c>
      <c r="AI535" s="71"/>
      <c r="AJ535" s="71"/>
      <c r="AK535" s="71"/>
      <c r="AL535" s="71"/>
    </row>
    <row r="536">
      <c r="A536" s="57" t="s">
        <v>2351</v>
      </c>
      <c r="B536" s="58" t="s">
        <v>193</v>
      </c>
      <c r="C536" s="58" t="s">
        <v>194</v>
      </c>
      <c r="D536" s="58" t="s">
        <v>804</v>
      </c>
      <c r="E536" s="58" t="s">
        <v>2060</v>
      </c>
      <c r="F536" s="58" t="s">
        <v>103</v>
      </c>
      <c r="G536" s="59">
        <v>46120.0</v>
      </c>
      <c r="H536" s="58" t="s">
        <v>118</v>
      </c>
      <c r="I536" s="60" t="s">
        <v>2352</v>
      </c>
      <c r="J536" s="61" t="s">
        <v>2353</v>
      </c>
      <c r="K536" s="61" t="s">
        <v>2354</v>
      </c>
      <c r="L536" s="61" t="s">
        <v>2355</v>
      </c>
      <c r="M536" s="58">
        <v>2011.0</v>
      </c>
      <c r="N536" s="58">
        <v>18.0</v>
      </c>
      <c r="O536" s="62">
        <v>437.0</v>
      </c>
      <c r="P536" s="62">
        <f t="shared" si="12"/>
        <v>1223.6</v>
      </c>
      <c r="Q536" s="63">
        <v>5.0</v>
      </c>
      <c r="R536" s="58">
        <v>5.0</v>
      </c>
      <c r="S536" s="58">
        <v>5.0</v>
      </c>
      <c r="T536" s="58">
        <v>0.0</v>
      </c>
      <c r="U536" s="58">
        <v>10.0</v>
      </c>
      <c r="V536" s="58" t="s">
        <v>75</v>
      </c>
      <c r="W536" s="61" t="s">
        <v>76</v>
      </c>
      <c r="X536" s="28" t="s">
        <v>1033</v>
      </c>
      <c r="Y536" s="64">
        <v>31.0</v>
      </c>
      <c r="Z536" s="65">
        <f t="shared" si="2"/>
        <v>20.15</v>
      </c>
      <c r="AA536" s="65">
        <f t="shared" si="3"/>
        <v>24655.54</v>
      </c>
      <c r="AB536" s="65">
        <f t="shared" si="4"/>
        <v>1622.353435</v>
      </c>
      <c r="AC536" s="66">
        <v>1.0</v>
      </c>
      <c r="AD536" s="67"/>
      <c r="AE536" s="68">
        <f t="shared" si="5"/>
        <v>6557.377049</v>
      </c>
      <c r="AF536" s="69">
        <v>8000.0</v>
      </c>
      <c r="AG536" s="68">
        <f t="shared" si="6"/>
        <v>32786.88525</v>
      </c>
      <c r="AH536" s="70">
        <f t="shared" si="7"/>
        <v>40000</v>
      </c>
      <c r="AI536" s="71"/>
      <c r="AJ536" s="71"/>
      <c r="AK536" s="71"/>
      <c r="AL536" s="71"/>
    </row>
    <row r="537">
      <c r="A537" s="57" t="s">
        <v>2351</v>
      </c>
      <c r="B537" s="58" t="s">
        <v>193</v>
      </c>
      <c r="C537" s="58" t="s">
        <v>194</v>
      </c>
      <c r="D537" s="58" t="s">
        <v>804</v>
      </c>
      <c r="E537" s="58" t="s">
        <v>2060</v>
      </c>
      <c r="F537" s="58" t="s">
        <v>103</v>
      </c>
      <c r="G537" s="59">
        <v>46120.0</v>
      </c>
      <c r="H537" s="58" t="s">
        <v>118</v>
      </c>
      <c r="I537" s="60" t="s">
        <v>2352</v>
      </c>
      <c r="J537" s="61" t="s">
        <v>2356</v>
      </c>
      <c r="K537" s="61" t="s">
        <v>2357</v>
      </c>
      <c r="L537" s="61" t="s">
        <v>2358</v>
      </c>
      <c r="M537" s="58">
        <v>2011.0</v>
      </c>
      <c r="N537" s="58">
        <v>18.0</v>
      </c>
      <c r="O537" s="62">
        <v>107.0</v>
      </c>
      <c r="P537" s="62">
        <f t="shared" si="12"/>
        <v>299.6</v>
      </c>
      <c r="Q537" s="63">
        <v>1.0</v>
      </c>
      <c r="R537" s="58">
        <v>1.0</v>
      </c>
      <c r="S537" s="58">
        <v>1.0</v>
      </c>
      <c r="T537" s="58">
        <v>0.0</v>
      </c>
      <c r="U537" s="58">
        <v>2.0</v>
      </c>
      <c r="V537" s="58" t="s">
        <v>75</v>
      </c>
      <c r="W537" s="61" t="s">
        <v>76</v>
      </c>
      <c r="X537" s="28" t="s">
        <v>1033</v>
      </c>
      <c r="Y537" s="64">
        <v>31.0</v>
      </c>
      <c r="Z537" s="65">
        <f t="shared" si="2"/>
        <v>20.15</v>
      </c>
      <c r="AA537" s="65">
        <f t="shared" si="3"/>
        <v>6036.94</v>
      </c>
      <c r="AB537" s="65">
        <f t="shared" si="4"/>
        <v>1325.174675</v>
      </c>
      <c r="AC537" s="66">
        <v>1.0</v>
      </c>
      <c r="AD537" s="70"/>
      <c r="AE537" s="68">
        <f t="shared" si="5"/>
        <v>6557.377049</v>
      </c>
      <c r="AF537" s="69">
        <v>8000.0</v>
      </c>
      <c r="AG537" s="68">
        <f t="shared" si="6"/>
        <v>6557.377049</v>
      </c>
      <c r="AH537" s="70">
        <f t="shared" si="7"/>
        <v>8000</v>
      </c>
      <c r="AI537" s="71"/>
      <c r="AJ537" s="71"/>
      <c r="AK537" s="71"/>
      <c r="AL537" s="71"/>
    </row>
    <row r="538">
      <c r="A538" s="57" t="s">
        <v>2351</v>
      </c>
      <c r="B538" s="58" t="s">
        <v>193</v>
      </c>
      <c r="C538" s="58" t="s">
        <v>194</v>
      </c>
      <c r="D538" s="58" t="s">
        <v>804</v>
      </c>
      <c r="E538" s="58" t="s">
        <v>2060</v>
      </c>
      <c r="F538" s="58" t="s">
        <v>103</v>
      </c>
      <c r="G538" s="59">
        <v>46120.0</v>
      </c>
      <c r="H538" s="58" t="s">
        <v>118</v>
      </c>
      <c r="I538" s="60" t="s">
        <v>2352</v>
      </c>
      <c r="J538" s="61" t="s">
        <v>2359</v>
      </c>
      <c r="K538" s="61" t="s">
        <v>2360</v>
      </c>
      <c r="L538" s="61" t="s">
        <v>2361</v>
      </c>
      <c r="M538" s="58">
        <v>2011.0</v>
      </c>
      <c r="N538" s="58">
        <v>18.0</v>
      </c>
      <c r="O538" s="62">
        <v>245.0</v>
      </c>
      <c r="P538" s="62">
        <f t="shared" si="12"/>
        <v>686</v>
      </c>
      <c r="Q538" s="63">
        <v>3.0</v>
      </c>
      <c r="R538" s="58">
        <v>3.0</v>
      </c>
      <c r="S538" s="58">
        <v>3.0</v>
      </c>
      <c r="T538" s="58">
        <v>0.0</v>
      </c>
      <c r="U538" s="58">
        <v>6.0</v>
      </c>
      <c r="V538" s="58" t="s">
        <v>75</v>
      </c>
      <c r="W538" s="61" t="s">
        <v>76</v>
      </c>
      <c r="X538" s="28" t="s">
        <v>1033</v>
      </c>
      <c r="Y538" s="64">
        <v>31.0</v>
      </c>
      <c r="Z538" s="65">
        <f t="shared" si="2"/>
        <v>20.15</v>
      </c>
      <c r="AA538" s="65">
        <f t="shared" si="3"/>
        <v>13822.9</v>
      </c>
      <c r="AB538" s="65">
        <f t="shared" si="4"/>
        <v>1736.249268</v>
      </c>
      <c r="AC538" s="66">
        <v>1.0</v>
      </c>
      <c r="AD538" s="70"/>
      <c r="AE538" s="68">
        <f t="shared" si="5"/>
        <v>6557.377049</v>
      </c>
      <c r="AF538" s="69">
        <v>8000.0</v>
      </c>
      <c r="AG538" s="68">
        <f t="shared" si="6"/>
        <v>19672.13115</v>
      </c>
      <c r="AH538" s="70">
        <f t="shared" si="7"/>
        <v>24000</v>
      </c>
      <c r="AI538" s="71"/>
      <c r="AJ538" s="71"/>
      <c r="AK538" s="71"/>
      <c r="AL538" s="71"/>
    </row>
    <row r="539">
      <c r="A539" s="57" t="s">
        <v>2362</v>
      </c>
      <c r="B539" s="58" t="s">
        <v>193</v>
      </c>
      <c r="C539" s="58" t="s">
        <v>194</v>
      </c>
      <c r="D539" s="58" t="s">
        <v>2332</v>
      </c>
      <c r="E539" s="58" t="s">
        <v>1964</v>
      </c>
      <c r="F539" s="58" t="s">
        <v>103</v>
      </c>
      <c r="G539" s="59">
        <v>46120.0</v>
      </c>
      <c r="H539" s="58" t="s">
        <v>118</v>
      </c>
      <c r="I539" s="60" t="s">
        <v>2363</v>
      </c>
      <c r="J539" s="61" t="s">
        <v>2364</v>
      </c>
      <c r="K539" s="61" t="s">
        <v>2365</v>
      </c>
      <c r="L539" s="61" t="s">
        <v>2366</v>
      </c>
      <c r="M539" s="58">
        <v>2024.0</v>
      </c>
      <c r="N539" s="58">
        <v>20.0</v>
      </c>
      <c r="O539" s="62">
        <v>433.0</v>
      </c>
      <c r="P539" s="62">
        <f t="shared" si="12"/>
        <v>1212.4</v>
      </c>
      <c r="Q539" s="63">
        <v>8.0</v>
      </c>
      <c r="R539" s="58">
        <v>0.0</v>
      </c>
      <c r="S539" s="58">
        <v>2.0</v>
      </c>
      <c r="T539" s="58">
        <v>8.0</v>
      </c>
      <c r="U539" s="58">
        <v>8.0</v>
      </c>
      <c r="V539" s="58" t="s">
        <v>130</v>
      </c>
      <c r="W539" s="61" t="s">
        <v>76</v>
      </c>
      <c r="X539" s="28" t="s">
        <v>1033</v>
      </c>
      <c r="Y539" s="64">
        <v>31.0</v>
      </c>
      <c r="Z539" s="65">
        <f t="shared" si="2"/>
        <v>40.3</v>
      </c>
      <c r="AA539" s="65">
        <f t="shared" si="3"/>
        <v>48859.72</v>
      </c>
      <c r="AB539" s="65">
        <f t="shared" si="4"/>
        <v>1309.872427</v>
      </c>
      <c r="AC539" s="66">
        <v>1.0</v>
      </c>
      <c r="AD539" s="70"/>
      <c r="AE539" s="68">
        <f t="shared" si="5"/>
        <v>6557.377049</v>
      </c>
      <c r="AF539" s="69">
        <v>8000.0</v>
      </c>
      <c r="AG539" s="68">
        <f t="shared" si="6"/>
        <v>52459.01639</v>
      </c>
      <c r="AH539" s="70">
        <f t="shared" si="7"/>
        <v>64000</v>
      </c>
      <c r="AI539" s="71"/>
      <c r="AJ539" s="71"/>
      <c r="AK539" s="71"/>
      <c r="AL539" s="71"/>
    </row>
    <row r="540">
      <c r="A540" s="57" t="s">
        <v>2367</v>
      </c>
      <c r="B540" s="58" t="s">
        <v>193</v>
      </c>
      <c r="C540" s="58" t="s">
        <v>194</v>
      </c>
      <c r="D540" s="58" t="s">
        <v>804</v>
      </c>
      <c r="E540" s="58" t="s">
        <v>2049</v>
      </c>
      <c r="F540" s="58" t="s">
        <v>103</v>
      </c>
      <c r="G540" s="59">
        <v>46120.0</v>
      </c>
      <c r="H540" s="58" t="s">
        <v>118</v>
      </c>
      <c r="I540" s="60" t="s">
        <v>2368</v>
      </c>
      <c r="J540" s="61" t="s">
        <v>2369</v>
      </c>
      <c r="K540" s="61" t="s">
        <v>2370</v>
      </c>
      <c r="L540" s="61" t="s">
        <v>2371</v>
      </c>
      <c r="M540" s="58">
        <v>2000.0</v>
      </c>
      <c r="N540" s="58">
        <v>16.0</v>
      </c>
      <c r="O540" s="62">
        <v>1026.0</v>
      </c>
      <c r="P540" s="62">
        <f t="shared" si="12"/>
        <v>2872.8</v>
      </c>
      <c r="Q540" s="63">
        <v>13.0</v>
      </c>
      <c r="R540" s="58">
        <v>13.0</v>
      </c>
      <c r="S540" s="58">
        <v>13.0</v>
      </c>
      <c r="T540" s="58">
        <v>0.0</v>
      </c>
      <c r="U540" s="58">
        <v>26.0</v>
      </c>
      <c r="V540" s="58" t="s">
        <v>130</v>
      </c>
      <c r="W540" s="61" t="s">
        <v>76</v>
      </c>
      <c r="X540" s="28" t="s">
        <v>1033</v>
      </c>
      <c r="Y540" s="64">
        <v>31.0</v>
      </c>
      <c r="Z540" s="65">
        <f t="shared" si="2"/>
        <v>20.15</v>
      </c>
      <c r="AA540" s="65">
        <f t="shared" si="3"/>
        <v>57886.92</v>
      </c>
      <c r="AB540" s="65">
        <f t="shared" si="4"/>
        <v>1796.606211</v>
      </c>
      <c r="AC540" s="66">
        <v>1.0</v>
      </c>
      <c r="AD540" s="67"/>
      <c r="AE540" s="68">
        <f t="shared" si="5"/>
        <v>6557.377049</v>
      </c>
      <c r="AF540" s="69">
        <v>8000.0</v>
      </c>
      <c r="AG540" s="68">
        <f t="shared" si="6"/>
        <v>85245.90164</v>
      </c>
      <c r="AH540" s="70">
        <f t="shared" si="7"/>
        <v>104000</v>
      </c>
      <c r="AI540" s="71"/>
      <c r="AJ540" s="71"/>
      <c r="AK540" s="71"/>
      <c r="AL540" s="71"/>
    </row>
    <row r="541">
      <c r="A541" s="57" t="s">
        <v>2372</v>
      </c>
      <c r="B541" s="58" t="s">
        <v>193</v>
      </c>
      <c r="C541" s="58" t="s">
        <v>194</v>
      </c>
      <c r="D541" s="58" t="s">
        <v>804</v>
      </c>
      <c r="E541" s="58" t="s">
        <v>2049</v>
      </c>
      <c r="F541" s="58" t="s">
        <v>103</v>
      </c>
      <c r="G541" s="59">
        <v>46120.0</v>
      </c>
      <c r="H541" s="58" t="s">
        <v>118</v>
      </c>
      <c r="I541" s="60" t="s">
        <v>2373</v>
      </c>
      <c r="J541" s="61" t="s">
        <v>2374</v>
      </c>
      <c r="K541" s="61" t="s">
        <v>2375</v>
      </c>
      <c r="L541" s="61" t="s">
        <v>2376</v>
      </c>
      <c r="M541" s="58">
        <v>1993.0</v>
      </c>
      <c r="N541" s="58">
        <v>10.0</v>
      </c>
      <c r="O541" s="62">
        <v>120.0</v>
      </c>
      <c r="P541" s="62">
        <f t="shared" si="12"/>
        <v>336</v>
      </c>
      <c r="Q541" s="63">
        <v>4.0</v>
      </c>
      <c r="R541" s="58">
        <v>4.0</v>
      </c>
      <c r="S541" s="58">
        <v>4.0</v>
      </c>
      <c r="T541" s="58">
        <v>0.0</v>
      </c>
      <c r="U541" s="58">
        <v>4.0</v>
      </c>
      <c r="V541" s="58" t="s">
        <v>130</v>
      </c>
      <c r="W541" s="61" t="s">
        <v>76</v>
      </c>
      <c r="X541" s="28" t="s">
        <v>1033</v>
      </c>
      <c r="Y541" s="64">
        <v>31.0</v>
      </c>
      <c r="Z541" s="65">
        <f t="shared" si="2"/>
        <v>20.15</v>
      </c>
      <c r="AA541" s="65">
        <f t="shared" si="3"/>
        <v>6770.4</v>
      </c>
      <c r="AB541" s="65">
        <f t="shared" si="4"/>
        <v>4726.456339</v>
      </c>
      <c r="AC541" s="66">
        <v>1.0</v>
      </c>
      <c r="AD541" s="67"/>
      <c r="AE541" s="68">
        <f t="shared" si="5"/>
        <v>6557.377049</v>
      </c>
      <c r="AF541" s="69">
        <v>8000.0</v>
      </c>
      <c r="AG541" s="68">
        <f t="shared" si="6"/>
        <v>26229.5082</v>
      </c>
      <c r="AH541" s="70">
        <f t="shared" si="7"/>
        <v>32000</v>
      </c>
      <c r="AI541" s="71"/>
      <c r="AJ541" s="71"/>
      <c r="AK541" s="71"/>
      <c r="AL541" s="71"/>
    </row>
    <row r="542">
      <c r="A542" s="57" t="s">
        <v>2377</v>
      </c>
      <c r="B542" s="58" t="s">
        <v>193</v>
      </c>
      <c r="C542" s="58" t="s">
        <v>194</v>
      </c>
      <c r="D542" s="58" t="s">
        <v>804</v>
      </c>
      <c r="E542" s="58" t="s">
        <v>2049</v>
      </c>
      <c r="F542" s="58" t="s">
        <v>103</v>
      </c>
      <c r="G542" s="59">
        <v>46120.0</v>
      </c>
      <c r="H542" s="58" t="s">
        <v>118</v>
      </c>
      <c r="I542" s="60" t="s">
        <v>686</v>
      </c>
      <c r="J542" s="61" t="s">
        <v>2378</v>
      </c>
      <c r="K542" s="61" t="s">
        <v>2379</v>
      </c>
      <c r="L542" s="61" t="s">
        <v>2380</v>
      </c>
      <c r="M542" s="58">
        <v>1993.0</v>
      </c>
      <c r="N542" s="58">
        <v>10.0</v>
      </c>
      <c r="O542" s="62">
        <v>80.0</v>
      </c>
      <c r="P542" s="62">
        <f t="shared" si="12"/>
        <v>224</v>
      </c>
      <c r="Q542" s="63">
        <v>2.0</v>
      </c>
      <c r="R542" s="58">
        <v>2.0</v>
      </c>
      <c r="S542" s="58">
        <v>2.0</v>
      </c>
      <c r="T542" s="58">
        <v>0.0</v>
      </c>
      <c r="U542" s="58">
        <v>2.0</v>
      </c>
      <c r="V542" s="58" t="s">
        <v>130</v>
      </c>
      <c r="W542" s="61" t="s">
        <v>76</v>
      </c>
      <c r="X542" s="28" t="s">
        <v>1033</v>
      </c>
      <c r="Y542" s="64">
        <v>31.0</v>
      </c>
      <c r="Z542" s="65">
        <f t="shared" si="2"/>
        <v>20.15</v>
      </c>
      <c r="AA542" s="65">
        <f t="shared" si="3"/>
        <v>4513.6</v>
      </c>
      <c r="AB542" s="65">
        <f t="shared" si="4"/>
        <v>3544.842255</v>
      </c>
      <c r="AC542" s="66">
        <v>1.0</v>
      </c>
      <c r="AD542" s="70"/>
      <c r="AE542" s="68">
        <f t="shared" si="5"/>
        <v>6557.377049</v>
      </c>
      <c r="AF542" s="69">
        <v>8000.0</v>
      </c>
      <c r="AG542" s="68">
        <f t="shared" si="6"/>
        <v>13114.7541</v>
      </c>
      <c r="AH542" s="70">
        <f t="shared" si="7"/>
        <v>16000</v>
      </c>
      <c r="AI542" s="71"/>
      <c r="AJ542" s="71"/>
      <c r="AK542" s="71"/>
      <c r="AL542" s="71"/>
    </row>
    <row r="543">
      <c r="A543" s="57" t="s">
        <v>2377</v>
      </c>
      <c r="B543" s="58" t="s">
        <v>193</v>
      </c>
      <c r="C543" s="58" t="s">
        <v>194</v>
      </c>
      <c r="D543" s="58" t="s">
        <v>804</v>
      </c>
      <c r="E543" s="58" t="s">
        <v>2049</v>
      </c>
      <c r="F543" s="58" t="s">
        <v>103</v>
      </c>
      <c r="G543" s="59">
        <v>46120.0</v>
      </c>
      <c r="H543" s="58" t="s">
        <v>118</v>
      </c>
      <c r="I543" s="60" t="s">
        <v>686</v>
      </c>
      <c r="J543" s="61" t="s">
        <v>2381</v>
      </c>
      <c r="K543" s="61" t="s">
        <v>2382</v>
      </c>
      <c r="L543" s="61" t="s">
        <v>2383</v>
      </c>
      <c r="M543" s="58">
        <v>1993.0</v>
      </c>
      <c r="N543" s="58">
        <v>10.0</v>
      </c>
      <c r="O543" s="62">
        <v>80.0</v>
      </c>
      <c r="P543" s="62">
        <f t="shared" si="12"/>
        <v>224</v>
      </c>
      <c r="Q543" s="63">
        <v>2.0</v>
      </c>
      <c r="R543" s="58">
        <v>2.0</v>
      </c>
      <c r="S543" s="58">
        <v>2.0</v>
      </c>
      <c r="T543" s="58">
        <v>0.0</v>
      </c>
      <c r="U543" s="58">
        <v>2.0</v>
      </c>
      <c r="V543" s="58" t="s">
        <v>130</v>
      </c>
      <c r="W543" s="61" t="s">
        <v>76</v>
      </c>
      <c r="X543" s="28" t="s">
        <v>1033</v>
      </c>
      <c r="Y543" s="64">
        <v>31.0</v>
      </c>
      <c r="Z543" s="65">
        <f t="shared" si="2"/>
        <v>20.15</v>
      </c>
      <c r="AA543" s="65">
        <f t="shared" si="3"/>
        <v>4513.6</v>
      </c>
      <c r="AB543" s="65">
        <f t="shared" si="4"/>
        <v>3544.842255</v>
      </c>
      <c r="AC543" s="66">
        <v>1.0</v>
      </c>
      <c r="AD543" s="70"/>
      <c r="AE543" s="68">
        <f t="shared" si="5"/>
        <v>6557.377049</v>
      </c>
      <c r="AF543" s="69">
        <v>8000.0</v>
      </c>
      <c r="AG543" s="68">
        <f t="shared" si="6"/>
        <v>13114.7541</v>
      </c>
      <c r="AH543" s="70">
        <f t="shared" si="7"/>
        <v>16000</v>
      </c>
      <c r="AI543" s="71"/>
      <c r="AJ543" s="71"/>
      <c r="AK543" s="71"/>
      <c r="AL543" s="71"/>
    </row>
    <row r="544">
      <c r="A544" s="57" t="s">
        <v>2377</v>
      </c>
      <c r="B544" s="58" t="s">
        <v>193</v>
      </c>
      <c r="C544" s="58" t="s">
        <v>194</v>
      </c>
      <c r="D544" s="58" t="s">
        <v>804</v>
      </c>
      <c r="E544" s="58" t="s">
        <v>2049</v>
      </c>
      <c r="F544" s="58" t="s">
        <v>103</v>
      </c>
      <c r="G544" s="59">
        <v>46120.0</v>
      </c>
      <c r="H544" s="58" t="s">
        <v>118</v>
      </c>
      <c r="I544" s="60" t="s">
        <v>686</v>
      </c>
      <c r="J544" s="61" t="s">
        <v>2384</v>
      </c>
      <c r="K544" s="61" t="s">
        <v>2385</v>
      </c>
      <c r="L544" s="61" t="s">
        <v>2386</v>
      </c>
      <c r="M544" s="58">
        <v>1993.0</v>
      </c>
      <c r="N544" s="58">
        <v>9.0</v>
      </c>
      <c r="O544" s="62">
        <v>54.0</v>
      </c>
      <c r="P544" s="62">
        <f t="shared" si="12"/>
        <v>151.2</v>
      </c>
      <c r="Q544" s="63">
        <v>2.0</v>
      </c>
      <c r="R544" s="58">
        <v>2.0</v>
      </c>
      <c r="S544" s="58">
        <v>2.0</v>
      </c>
      <c r="T544" s="58">
        <v>0.0</v>
      </c>
      <c r="U544" s="58">
        <v>2.0</v>
      </c>
      <c r="V544" s="58" t="s">
        <v>130</v>
      </c>
      <c r="W544" s="61" t="s">
        <v>76</v>
      </c>
      <c r="X544" s="28" t="s">
        <v>1033</v>
      </c>
      <c r="Y544" s="64">
        <v>31.0</v>
      </c>
      <c r="Z544" s="65">
        <f t="shared" si="2"/>
        <v>20.15</v>
      </c>
      <c r="AA544" s="65">
        <f t="shared" si="3"/>
        <v>3046.68</v>
      </c>
      <c r="AB544" s="65">
        <f t="shared" si="4"/>
        <v>5251.618155</v>
      </c>
      <c r="AC544" s="66">
        <v>1.0</v>
      </c>
      <c r="AD544" s="70"/>
      <c r="AE544" s="68">
        <f t="shared" si="5"/>
        <v>6557.377049</v>
      </c>
      <c r="AF544" s="69">
        <v>8000.0</v>
      </c>
      <c r="AG544" s="68">
        <f t="shared" si="6"/>
        <v>13114.7541</v>
      </c>
      <c r="AH544" s="70">
        <f t="shared" si="7"/>
        <v>16000</v>
      </c>
      <c r="AI544" s="71"/>
      <c r="AJ544" s="71"/>
      <c r="AK544" s="71"/>
      <c r="AL544" s="71"/>
    </row>
    <row r="545">
      <c r="A545" s="57" t="s">
        <v>2387</v>
      </c>
      <c r="B545" s="58" t="s">
        <v>193</v>
      </c>
      <c r="C545" s="58" t="s">
        <v>194</v>
      </c>
      <c r="D545" s="58" t="s">
        <v>804</v>
      </c>
      <c r="E545" s="58" t="s">
        <v>2049</v>
      </c>
      <c r="F545" s="58" t="s">
        <v>103</v>
      </c>
      <c r="G545" s="59">
        <v>46120.0</v>
      </c>
      <c r="H545" s="58" t="s">
        <v>118</v>
      </c>
      <c r="I545" s="60" t="s">
        <v>2388</v>
      </c>
      <c r="J545" s="61" t="s">
        <v>2389</v>
      </c>
      <c r="K545" s="61" t="s">
        <v>2390</v>
      </c>
      <c r="L545" s="61" t="s">
        <v>2391</v>
      </c>
      <c r="M545" s="58">
        <v>1993.0</v>
      </c>
      <c r="N545" s="58">
        <v>9.0</v>
      </c>
      <c r="O545" s="62">
        <v>54.0</v>
      </c>
      <c r="P545" s="62">
        <f t="shared" si="12"/>
        <v>151.2</v>
      </c>
      <c r="Q545" s="63">
        <v>2.0</v>
      </c>
      <c r="R545" s="58">
        <v>2.0</v>
      </c>
      <c r="S545" s="58">
        <v>2.0</v>
      </c>
      <c r="T545" s="58">
        <v>0.0</v>
      </c>
      <c r="U545" s="58">
        <v>2.0</v>
      </c>
      <c r="V545" s="58" t="s">
        <v>130</v>
      </c>
      <c r="W545" s="61" t="s">
        <v>76</v>
      </c>
      <c r="X545" s="28" t="s">
        <v>1033</v>
      </c>
      <c r="Y545" s="64">
        <v>31.0</v>
      </c>
      <c r="Z545" s="65">
        <f t="shared" si="2"/>
        <v>20.15</v>
      </c>
      <c r="AA545" s="65">
        <f t="shared" si="3"/>
        <v>3046.68</v>
      </c>
      <c r="AB545" s="65">
        <f t="shared" si="4"/>
        <v>5251.618155</v>
      </c>
      <c r="AC545" s="66">
        <v>1.0</v>
      </c>
      <c r="AD545" s="67"/>
      <c r="AE545" s="68">
        <f t="shared" si="5"/>
        <v>6557.377049</v>
      </c>
      <c r="AF545" s="69">
        <v>8000.0</v>
      </c>
      <c r="AG545" s="68">
        <f t="shared" si="6"/>
        <v>13114.7541</v>
      </c>
      <c r="AH545" s="70">
        <f t="shared" si="7"/>
        <v>16000</v>
      </c>
      <c r="AI545" s="71"/>
      <c r="AJ545" s="71"/>
      <c r="AK545" s="71"/>
      <c r="AL545" s="71"/>
    </row>
    <row r="546">
      <c r="A546" s="57" t="s">
        <v>2387</v>
      </c>
      <c r="B546" s="58" t="s">
        <v>193</v>
      </c>
      <c r="C546" s="58" t="s">
        <v>194</v>
      </c>
      <c r="D546" s="58" t="s">
        <v>804</v>
      </c>
      <c r="E546" s="58" t="s">
        <v>2049</v>
      </c>
      <c r="F546" s="58" t="s">
        <v>103</v>
      </c>
      <c r="G546" s="59">
        <v>46120.0</v>
      </c>
      <c r="H546" s="58" t="s">
        <v>118</v>
      </c>
      <c r="I546" s="60" t="s">
        <v>2388</v>
      </c>
      <c r="J546" s="61" t="s">
        <v>2392</v>
      </c>
      <c r="K546" s="61" t="s">
        <v>2393</v>
      </c>
      <c r="L546" s="61" t="s">
        <v>2394</v>
      </c>
      <c r="M546" s="58">
        <v>1993.0</v>
      </c>
      <c r="N546" s="58">
        <v>9.0</v>
      </c>
      <c r="O546" s="62">
        <v>54.0</v>
      </c>
      <c r="P546" s="62">
        <f t="shared" si="12"/>
        <v>151.2</v>
      </c>
      <c r="Q546" s="63">
        <v>2.0</v>
      </c>
      <c r="R546" s="58">
        <v>2.0</v>
      </c>
      <c r="S546" s="58">
        <v>2.0</v>
      </c>
      <c r="T546" s="58">
        <v>0.0</v>
      </c>
      <c r="U546" s="58">
        <v>2.0</v>
      </c>
      <c r="V546" s="58" t="s">
        <v>130</v>
      </c>
      <c r="W546" s="61" t="s">
        <v>76</v>
      </c>
      <c r="X546" s="28" t="s">
        <v>1033</v>
      </c>
      <c r="Y546" s="64">
        <v>31.0</v>
      </c>
      <c r="Z546" s="65">
        <f t="shared" si="2"/>
        <v>20.15</v>
      </c>
      <c r="AA546" s="65">
        <f t="shared" si="3"/>
        <v>3046.68</v>
      </c>
      <c r="AB546" s="65">
        <f t="shared" si="4"/>
        <v>5251.618155</v>
      </c>
      <c r="AC546" s="66">
        <v>1.0</v>
      </c>
      <c r="AD546" s="67"/>
      <c r="AE546" s="68">
        <f t="shared" si="5"/>
        <v>6557.377049</v>
      </c>
      <c r="AF546" s="69">
        <v>8000.0</v>
      </c>
      <c r="AG546" s="68">
        <f t="shared" si="6"/>
        <v>13114.7541</v>
      </c>
      <c r="AH546" s="70">
        <f t="shared" si="7"/>
        <v>16000</v>
      </c>
      <c r="AI546" s="71"/>
      <c r="AJ546" s="71"/>
      <c r="AK546" s="71"/>
      <c r="AL546" s="71"/>
    </row>
    <row r="547">
      <c r="A547" s="57" t="s">
        <v>2387</v>
      </c>
      <c r="B547" s="58" t="s">
        <v>193</v>
      </c>
      <c r="C547" s="58" t="s">
        <v>194</v>
      </c>
      <c r="D547" s="58" t="s">
        <v>804</v>
      </c>
      <c r="E547" s="58" t="s">
        <v>2049</v>
      </c>
      <c r="F547" s="58" t="s">
        <v>103</v>
      </c>
      <c r="G547" s="59">
        <v>46120.0</v>
      </c>
      <c r="H547" s="58" t="s">
        <v>118</v>
      </c>
      <c r="I547" s="60" t="s">
        <v>2388</v>
      </c>
      <c r="J547" s="61" t="s">
        <v>2395</v>
      </c>
      <c r="K547" s="61" t="s">
        <v>2396</v>
      </c>
      <c r="L547" s="61" t="s">
        <v>2383</v>
      </c>
      <c r="M547" s="58">
        <v>1993.0</v>
      </c>
      <c r="N547" s="58">
        <v>10.0</v>
      </c>
      <c r="O547" s="62">
        <v>54.0</v>
      </c>
      <c r="P547" s="62">
        <f t="shared" si="12"/>
        <v>151.2</v>
      </c>
      <c r="Q547" s="63">
        <v>2.0</v>
      </c>
      <c r="R547" s="58">
        <v>2.0</v>
      </c>
      <c r="S547" s="58">
        <v>2.0</v>
      </c>
      <c r="T547" s="58">
        <v>0.0</v>
      </c>
      <c r="U547" s="58">
        <v>2.0</v>
      </c>
      <c r="V547" s="58" t="s">
        <v>130</v>
      </c>
      <c r="W547" s="61" t="s">
        <v>76</v>
      </c>
      <c r="X547" s="28" t="s">
        <v>1033</v>
      </c>
      <c r="Y547" s="64">
        <v>31.0</v>
      </c>
      <c r="Z547" s="65">
        <f t="shared" si="2"/>
        <v>20.15</v>
      </c>
      <c r="AA547" s="65">
        <f t="shared" si="3"/>
        <v>3046.68</v>
      </c>
      <c r="AB547" s="65">
        <f t="shared" si="4"/>
        <v>5251.618155</v>
      </c>
      <c r="AC547" s="66">
        <v>1.0</v>
      </c>
      <c r="AD547" s="70"/>
      <c r="AE547" s="68">
        <f t="shared" si="5"/>
        <v>6557.377049</v>
      </c>
      <c r="AF547" s="69">
        <v>8000.0</v>
      </c>
      <c r="AG547" s="68">
        <f t="shared" si="6"/>
        <v>13114.7541</v>
      </c>
      <c r="AH547" s="70">
        <f t="shared" si="7"/>
        <v>16000</v>
      </c>
      <c r="AI547" s="71"/>
      <c r="AJ547" s="71"/>
      <c r="AK547" s="71"/>
      <c r="AL547" s="71"/>
    </row>
    <row r="548">
      <c r="A548" s="57" t="s">
        <v>2397</v>
      </c>
      <c r="B548" s="58" t="s">
        <v>193</v>
      </c>
      <c r="C548" s="58" t="s">
        <v>194</v>
      </c>
      <c r="D548" s="58" t="s">
        <v>804</v>
      </c>
      <c r="E548" s="58" t="s">
        <v>2049</v>
      </c>
      <c r="F548" s="58" t="s">
        <v>103</v>
      </c>
      <c r="G548" s="59">
        <v>46120.0</v>
      </c>
      <c r="H548" s="58" t="s">
        <v>118</v>
      </c>
      <c r="I548" s="60" t="s">
        <v>2398</v>
      </c>
      <c r="J548" s="61" t="s">
        <v>2399</v>
      </c>
      <c r="K548" s="61" t="s">
        <v>2400</v>
      </c>
      <c r="L548" s="61" t="s">
        <v>2401</v>
      </c>
      <c r="M548" s="58">
        <v>2000.0</v>
      </c>
      <c r="N548" s="58">
        <v>15.0</v>
      </c>
      <c r="O548" s="62">
        <v>876.0</v>
      </c>
      <c r="P548" s="62">
        <f t="shared" si="12"/>
        <v>2452.8</v>
      </c>
      <c r="Q548" s="63">
        <v>12.0</v>
      </c>
      <c r="R548" s="58">
        <v>12.0</v>
      </c>
      <c r="S548" s="58">
        <v>7.0</v>
      </c>
      <c r="T548" s="58">
        <v>0.0</v>
      </c>
      <c r="U548" s="58">
        <v>16.0</v>
      </c>
      <c r="V548" s="58" t="s">
        <v>130</v>
      </c>
      <c r="W548" s="61" t="s">
        <v>76</v>
      </c>
      <c r="X548" s="28" t="s">
        <v>1033</v>
      </c>
      <c r="Y548" s="64">
        <v>31.0</v>
      </c>
      <c r="Z548" s="65">
        <f t="shared" si="2"/>
        <v>34.54285714</v>
      </c>
      <c r="AA548" s="65">
        <f t="shared" si="3"/>
        <v>84726.72</v>
      </c>
      <c r="AB548" s="65">
        <f t="shared" si="4"/>
        <v>1133.054602</v>
      </c>
      <c r="AC548" s="66">
        <v>1.0</v>
      </c>
      <c r="AD548" s="70"/>
      <c r="AE548" s="68">
        <f t="shared" si="5"/>
        <v>6557.377049</v>
      </c>
      <c r="AF548" s="69">
        <v>8000.0</v>
      </c>
      <c r="AG548" s="68">
        <f t="shared" si="6"/>
        <v>78688.52459</v>
      </c>
      <c r="AH548" s="70">
        <f t="shared" si="7"/>
        <v>96000</v>
      </c>
      <c r="AI548" s="71"/>
      <c r="AJ548" s="71"/>
      <c r="AK548" s="71"/>
      <c r="AL548" s="71"/>
    </row>
    <row r="549">
      <c r="A549" s="57" t="s">
        <v>2402</v>
      </c>
      <c r="B549" s="58" t="s">
        <v>193</v>
      </c>
      <c r="C549" s="58" t="s">
        <v>194</v>
      </c>
      <c r="D549" s="58" t="s">
        <v>2246</v>
      </c>
      <c r="E549" s="58" t="s">
        <v>2246</v>
      </c>
      <c r="F549" s="58" t="s">
        <v>63</v>
      </c>
      <c r="G549" s="59">
        <v>46120.0</v>
      </c>
      <c r="H549" s="58" t="s">
        <v>118</v>
      </c>
      <c r="I549" s="58" t="s">
        <v>2403</v>
      </c>
      <c r="J549" s="61" t="s">
        <v>2404</v>
      </c>
      <c r="K549" s="61" t="s">
        <v>2405</v>
      </c>
      <c r="L549" s="61" t="s">
        <v>2406</v>
      </c>
      <c r="M549" s="58">
        <v>2000.0</v>
      </c>
      <c r="N549" s="58">
        <v>15.0</v>
      </c>
      <c r="O549" s="62">
        <v>88.0</v>
      </c>
      <c r="P549" s="62">
        <f t="shared" si="12"/>
        <v>246.4</v>
      </c>
      <c r="Q549" s="63">
        <v>2.0</v>
      </c>
      <c r="R549" s="58">
        <v>2.0</v>
      </c>
      <c r="S549" s="58">
        <v>1.0</v>
      </c>
      <c r="T549" s="58">
        <v>0.0</v>
      </c>
      <c r="U549" s="58">
        <v>2.0</v>
      </c>
      <c r="V549" s="58" t="s">
        <v>130</v>
      </c>
      <c r="W549" s="61" t="s">
        <v>76</v>
      </c>
      <c r="X549" s="28" t="s">
        <v>1033</v>
      </c>
      <c r="Y549" s="64">
        <v>31.0</v>
      </c>
      <c r="Z549" s="65">
        <f t="shared" si="2"/>
        <v>40.3</v>
      </c>
      <c r="AA549" s="65">
        <f t="shared" si="3"/>
        <v>9929.92</v>
      </c>
      <c r="AB549" s="65">
        <f t="shared" si="4"/>
        <v>1611.291934</v>
      </c>
      <c r="AC549" s="66">
        <v>1.0</v>
      </c>
      <c r="AD549" s="70"/>
      <c r="AE549" s="68">
        <f t="shared" si="5"/>
        <v>6557.377049</v>
      </c>
      <c r="AF549" s="69">
        <v>8000.0</v>
      </c>
      <c r="AG549" s="68">
        <f t="shared" si="6"/>
        <v>13114.7541</v>
      </c>
      <c r="AH549" s="70">
        <f t="shared" si="7"/>
        <v>16000</v>
      </c>
      <c r="AI549" s="71"/>
      <c r="AJ549" s="71"/>
      <c r="AK549" s="71"/>
      <c r="AL549" s="71"/>
    </row>
    <row r="550">
      <c r="A550" s="57" t="s">
        <v>2407</v>
      </c>
      <c r="B550" s="58" t="s">
        <v>193</v>
      </c>
      <c r="C550" s="58" t="s">
        <v>194</v>
      </c>
      <c r="D550" s="58" t="s">
        <v>2246</v>
      </c>
      <c r="E550" s="58" t="s">
        <v>2246</v>
      </c>
      <c r="F550" s="58" t="s">
        <v>103</v>
      </c>
      <c r="G550" s="59">
        <v>46120.0</v>
      </c>
      <c r="H550" s="58" t="s">
        <v>118</v>
      </c>
      <c r="I550" s="58" t="s">
        <v>2408</v>
      </c>
      <c r="J550" s="61" t="s">
        <v>2409</v>
      </c>
      <c r="K550" s="61" t="s">
        <v>2410</v>
      </c>
      <c r="L550" s="61" t="s">
        <v>2411</v>
      </c>
      <c r="M550" s="58">
        <v>2012.0</v>
      </c>
      <c r="N550" s="58">
        <v>16.0</v>
      </c>
      <c r="O550" s="62">
        <v>345.0</v>
      </c>
      <c r="P550" s="62">
        <f t="shared" si="12"/>
        <v>966</v>
      </c>
      <c r="Q550" s="63">
        <v>12.0</v>
      </c>
      <c r="R550" s="58">
        <v>0.0</v>
      </c>
      <c r="S550" s="58">
        <v>6.0</v>
      </c>
      <c r="T550" s="58">
        <v>12.0</v>
      </c>
      <c r="U550" s="58">
        <v>12.0</v>
      </c>
      <c r="V550" s="58" t="s">
        <v>130</v>
      </c>
      <c r="W550" s="61" t="s">
        <v>76</v>
      </c>
      <c r="X550" s="28" t="s">
        <v>1033</v>
      </c>
      <c r="Y550" s="64">
        <v>31.0</v>
      </c>
      <c r="Z550" s="65">
        <f t="shared" si="2"/>
        <v>40.3</v>
      </c>
      <c r="AA550" s="65">
        <f t="shared" si="3"/>
        <v>38929.8</v>
      </c>
      <c r="AB550" s="65">
        <f t="shared" si="4"/>
        <v>2465.977221</v>
      </c>
      <c r="AC550" s="66">
        <v>1.0</v>
      </c>
      <c r="AD550" s="67"/>
      <c r="AE550" s="68">
        <f t="shared" si="5"/>
        <v>6557.377049</v>
      </c>
      <c r="AF550" s="69">
        <v>8000.0</v>
      </c>
      <c r="AG550" s="68">
        <f t="shared" si="6"/>
        <v>78688.52459</v>
      </c>
      <c r="AH550" s="70">
        <f t="shared" si="7"/>
        <v>96000</v>
      </c>
      <c r="AI550" s="71"/>
      <c r="AJ550" s="71"/>
      <c r="AK550" s="71"/>
      <c r="AL550" s="71"/>
    </row>
    <row r="551">
      <c r="A551" s="57" t="s">
        <v>2412</v>
      </c>
      <c r="B551" s="58" t="s">
        <v>193</v>
      </c>
      <c r="C551" s="58" t="s">
        <v>194</v>
      </c>
      <c r="D551" s="58" t="s">
        <v>2413</v>
      </c>
      <c r="E551" s="58" t="s">
        <v>1964</v>
      </c>
      <c r="F551" s="58" t="s">
        <v>103</v>
      </c>
      <c r="G551" s="59">
        <v>46120.0</v>
      </c>
      <c r="H551" s="58" t="s">
        <v>118</v>
      </c>
      <c r="I551" s="58" t="s">
        <v>2414</v>
      </c>
      <c r="J551" s="61" t="s">
        <v>2415</v>
      </c>
      <c r="K551" s="61" t="s">
        <v>2416</v>
      </c>
      <c r="L551" s="61" t="s">
        <v>2417</v>
      </c>
      <c r="M551" s="58">
        <v>2026.0</v>
      </c>
      <c r="N551" s="58">
        <v>5.0</v>
      </c>
      <c r="O551" s="62">
        <v>66.0</v>
      </c>
      <c r="P551" s="62">
        <f t="shared" si="12"/>
        <v>184.8</v>
      </c>
      <c r="Q551" s="63">
        <v>5.0</v>
      </c>
      <c r="R551" s="58">
        <v>0.0</v>
      </c>
      <c r="S551" s="58">
        <v>5.0</v>
      </c>
      <c r="T551" s="58">
        <v>5.0</v>
      </c>
      <c r="U551" s="58">
        <v>5.0</v>
      </c>
      <c r="V551" s="58" t="s">
        <v>130</v>
      </c>
      <c r="W551" s="61" t="s">
        <v>76</v>
      </c>
      <c r="X551" s="28" t="s">
        <v>1033</v>
      </c>
      <c r="Y551" s="64">
        <v>31.0</v>
      </c>
      <c r="Z551" s="65">
        <f t="shared" si="2"/>
        <v>40.3</v>
      </c>
      <c r="AA551" s="65">
        <f t="shared" si="3"/>
        <v>7447.44</v>
      </c>
      <c r="AB551" s="65">
        <f t="shared" si="4"/>
        <v>5370.973113</v>
      </c>
      <c r="AC551" s="66">
        <v>1.0</v>
      </c>
      <c r="AD551" s="67"/>
      <c r="AE551" s="68">
        <f t="shared" si="5"/>
        <v>6557.377049</v>
      </c>
      <c r="AF551" s="69">
        <v>8000.0</v>
      </c>
      <c r="AG551" s="68">
        <f t="shared" si="6"/>
        <v>32786.88525</v>
      </c>
      <c r="AH551" s="70">
        <f t="shared" si="7"/>
        <v>40000</v>
      </c>
      <c r="AI551" s="71"/>
      <c r="AJ551" s="71"/>
      <c r="AK551" s="71"/>
      <c r="AL551" s="71"/>
    </row>
    <row r="552">
      <c r="A552" s="57" t="s">
        <v>2412</v>
      </c>
      <c r="B552" s="58" t="s">
        <v>193</v>
      </c>
      <c r="C552" s="58" t="s">
        <v>194</v>
      </c>
      <c r="D552" s="58" t="s">
        <v>2418</v>
      </c>
      <c r="E552" s="58" t="s">
        <v>1964</v>
      </c>
      <c r="F552" s="58" t="s">
        <v>103</v>
      </c>
      <c r="G552" s="59">
        <v>46120.0</v>
      </c>
      <c r="H552" s="58" t="s">
        <v>118</v>
      </c>
      <c r="I552" s="60" t="s">
        <v>2414</v>
      </c>
      <c r="J552" s="61" t="s">
        <v>2419</v>
      </c>
      <c r="K552" s="61" t="s">
        <v>2420</v>
      </c>
      <c r="L552" s="61" t="s">
        <v>2421</v>
      </c>
      <c r="M552" s="58">
        <v>2026.0</v>
      </c>
      <c r="N552" s="58">
        <v>6.0</v>
      </c>
      <c r="O552" s="62">
        <v>81.0</v>
      </c>
      <c r="P552" s="62">
        <f t="shared" si="12"/>
        <v>226.8</v>
      </c>
      <c r="Q552" s="63">
        <v>2.0</v>
      </c>
      <c r="R552" s="58">
        <v>0.0</v>
      </c>
      <c r="S552" s="58">
        <v>2.0</v>
      </c>
      <c r="T552" s="58">
        <v>2.0</v>
      </c>
      <c r="U552" s="58">
        <v>2.0</v>
      </c>
      <c r="V552" s="58" t="s">
        <v>130</v>
      </c>
      <c r="W552" s="61" t="s">
        <v>76</v>
      </c>
      <c r="X552" s="28" t="s">
        <v>1033</v>
      </c>
      <c r="Y552" s="64">
        <v>31.0</v>
      </c>
      <c r="Z552" s="65">
        <f t="shared" si="2"/>
        <v>40.3</v>
      </c>
      <c r="AA552" s="65">
        <f t="shared" si="3"/>
        <v>9140.04</v>
      </c>
      <c r="AB552" s="65">
        <f t="shared" si="4"/>
        <v>1750.539385</v>
      </c>
      <c r="AC552" s="66">
        <v>1.0</v>
      </c>
      <c r="AD552" s="70"/>
      <c r="AE552" s="68">
        <f t="shared" si="5"/>
        <v>6557.377049</v>
      </c>
      <c r="AF552" s="69">
        <v>8000.0</v>
      </c>
      <c r="AG552" s="68">
        <f t="shared" si="6"/>
        <v>13114.7541</v>
      </c>
      <c r="AH552" s="70">
        <f t="shared" si="7"/>
        <v>16000</v>
      </c>
      <c r="AI552" s="71"/>
      <c r="AJ552" s="71"/>
      <c r="AK552" s="71"/>
      <c r="AL552" s="71"/>
    </row>
    <row r="553">
      <c r="A553" s="57" t="s">
        <v>2412</v>
      </c>
      <c r="B553" s="58" t="s">
        <v>193</v>
      </c>
      <c r="C553" s="58" t="s">
        <v>194</v>
      </c>
      <c r="D553" s="58" t="s">
        <v>2418</v>
      </c>
      <c r="E553" s="58" t="s">
        <v>1964</v>
      </c>
      <c r="F553" s="58" t="s">
        <v>103</v>
      </c>
      <c r="G553" s="59">
        <v>46120.0</v>
      </c>
      <c r="H553" s="58" t="s">
        <v>118</v>
      </c>
      <c r="I553" s="60" t="s">
        <v>2414</v>
      </c>
      <c r="J553" s="61" t="s">
        <v>2422</v>
      </c>
      <c r="K553" s="61" t="s">
        <v>2423</v>
      </c>
      <c r="L553" s="61" t="s">
        <v>2424</v>
      </c>
      <c r="M553" s="58">
        <v>2026.0</v>
      </c>
      <c r="N553" s="58">
        <v>6.0</v>
      </c>
      <c r="O553" s="62">
        <v>74.0</v>
      </c>
      <c r="P553" s="62">
        <f t="shared" si="12"/>
        <v>207.2</v>
      </c>
      <c r="Q553" s="63">
        <v>4.0</v>
      </c>
      <c r="R553" s="58">
        <v>0.0</v>
      </c>
      <c r="S553" s="58">
        <v>2.0</v>
      </c>
      <c r="T553" s="58">
        <v>4.0</v>
      </c>
      <c r="U553" s="58">
        <v>4.0</v>
      </c>
      <c r="V553" s="58" t="s">
        <v>130</v>
      </c>
      <c r="W553" s="61" t="s">
        <v>76</v>
      </c>
      <c r="X553" s="28" t="s">
        <v>1033</v>
      </c>
      <c r="Y553" s="64">
        <v>31.0</v>
      </c>
      <c r="Z553" s="65">
        <f t="shared" si="2"/>
        <v>40.3</v>
      </c>
      <c r="AA553" s="65">
        <f t="shared" si="3"/>
        <v>8350.16</v>
      </c>
      <c r="AB553" s="65">
        <f t="shared" si="4"/>
        <v>3832.261897</v>
      </c>
      <c r="AC553" s="66">
        <v>1.0</v>
      </c>
      <c r="AD553" s="70"/>
      <c r="AE553" s="68">
        <f t="shared" si="5"/>
        <v>6557.377049</v>
      </c>
      <c r="AF553" s="69">
        <v>8000.0</v>
      </c>
      <c r="AG553" s="68">
        <f t="shared" si="6"/>
        <v>26229.5082</v>
      </c>
      <c r="AH553" s="70">
        <f t="shared" si="7"/>
        <v>32000</v>
      </c>
      <c r="AI553" s="71"/>
      <c r="AJ553" s="71"/>
      <c r="AK553" s="71"/>
      <c r="AL553" s="71"/>
    </row>
    <row r="554">
      <c r="A554" s="57" t="s">
        <v>2425</v>
      </c>
      <c r="B554" s="58" t="s">
        <v>193</v>
      </c>
      <c r="C554" s="58" t="s">
        <v>194</v>
      </c>
      <c r="D554" s="58" t="s">
        <v>101</v>
      </c>
      <c r="E554" s="58" t="s">
        <v>1964</v>
      </c>
      <c r="F554" s="58" t="s">
        <v>63</v>
      </c>
      <c r="G554" s="59">
        <v>46171.0</v>
      </c>
      <c r="H554" s="58" t="s">
        <v>118</v>
      </c>
      <c r="I554" s="58" t="s">
        <v>2426</v>
      </c>
      <c r="J554" s="61" t="s">
        <v>2427</v>
      </c>
      <c r="K554" s="61" t="s">
        <v>2428</v>
      </c>
      <c r="L554" s="61" t="s">
        <v>2429</v>
      </c>
      <c r="M554" s="58">
        <v>2026.0</v>
      </c>
      <c r="N554" s="58">
        <v>10.0</v>
      </c>
      <c r="O554" s="62">
        <v>72.0</v>
      </c>
      <c r="P554" s="62">
        <f t="shared" si="12"/>
        <v>201.6</v>
      </c>
      <c r="Q554" s="63">
        <v>2.0</v>
      </c>
      <c r="R554" s="58">
        <v>2.0</v>
      </c>
      <c r="S554" s="58">
        <v>2.0</v>
      </c>
      <c r="T554" s="58">
        <v>0.0</v>
      </c>
      <c r="U554" s="58">
        <v>2.0</v>
      </c>
      <c r="V554" s="58" t="s">
        <v>130</v>
      </c>
      <c r="W554" s="61" t="s">
        <v>76</v>
      </c>
      <c r="X554" s="28" t="s">
        <v>1033</v>
      </c>
      <c r="Y554" s="64">
        <v>31.0</v>
      </c>
      <c r="Z554" s="65">
        <f t="shared" si="2"/>
        <v>20.15</v>
      </c>
      <c r="AA554" s="65">
        <f t="shared" si="3"/>
        <v>4062.24</v>
      </c>
      <c r="AB554" s="65">
        <f t="shared" si="4"/>
        <v>3938.713616</v>
      </c>
      <c r="AC554" s="66">
        <v>1.0</v>
      </c>
      <c r="AD554" s="70"/>
      <c r="AE554" s="68">
        <f t="shared" si="5"/>
        <v>6557.377049</v>
      </c>
      <c r="AF554" s="69">
        <v>8000.0</v>
      </c>
      <c r="AG554" s="68">
        <f t="shared" si="6"/>
        <v>13114.7541</v>
      </c>
      <c r="AH554" s="70">
        <f t="shared" si="7"/>
        <v>16000</v>
      </c>
      <c r="AI554" s="71"/>
      <c r="AJ554" s="71"/>
      <c r="AK554" s="71"/>
      <c r="AL554" s="71"/>
    </row>
    <row r="555">
      <c r="A555" s="57" t="s">
        <v>2425</v>
      </c>
      <c r="B555" s="58" t="s">
        <v>193</v>
      </c>
      <c r="C555" s="58" t="s">
        <v>194</v>
      </c>
      <c r="D555" s="58" t="s">
        <v>101</v>
      </c>
      <c r="E555" s="58" t="s">
        <v>1964</v>
      </c>
      <c r="F555" s="58" t="s">
        <v>63</v>
      </c>
      <c r="G555" s="59">
        <v>46171.0</v>
      </c>
      <c r="H555" s="58" t="s">
        <v>118</v>
      </c>
      <c r="I555" s="58" t="s">
        <v>2426</v>
      </c>
      <c r="J555" s="61" t="s">
        <v>2430</v>
      </c>
      <c r="K555" s="61" t="s">
        <v>2431</v>
      </c>
      <c r="L555" s="61" t="s">
        <v>2432</v>
      </c>
      <c r="M555" s="58">
        <v>2026.0</v>
      </c>
      <c r="N555" s="58">
        <v>10.0</v>
      </c>
      <c r="O555" s="62">
        <v>41.0</v>
      </c>
      <c r="P555" s="62">
        <f t="shared" si="12"/>
        <v>114.8</v>
      </c>
      <c r="Q555" s="63">
        <v>1.0</v>
      </c>
      <c r="R555" s="58">
        <v>1.0</v>
      </c>
      <c r="S555" s="58">
        <v>1.0</v>
      </c>
      <c r="T555" s="58">
        <v>0.0</v>
      </c>
      <c r="U555" s="58">
        <v>1.0</v>
      </c>
      <c r="V555" s="58" t="s">
        <v>130</v>
      </c>
      <c r="W555" s="61" t="s">
        <v>76</v>
      </c>
      <c r="X555" s="28" t="s">
        <v>1033</v>
      </c>
      <c r="Y555" s="64">
        <v>31.0</v>
      </c>
      <c r="Z555" s="65">
        <f t="shared" si="2"/>
        <v>20.15</v>
      </c>
      <c r="AA555" s="65">
        <f t="shared" si="3"/>
        <v>2313.22</v>
      </c>
      <c r="AB555" s="65">
        <f t="shared" si="4"/>
        <v>3458.382687</v>
      </c>
      <c r="AC555" s="66">
        <v>1.0</v>
      </c>
      <c r="AD555" s="70"/>
      <c r="AE555" s="68">
        <f t="shared" si="5"/>
        <v>6557.377049</v>
      </c>
      <c r="AF555" s="69">
        <v>8000.0</v>
      </c>
      <c r="AG555" s="68">
        <f t="shared" si="6"/>
        <v>6557.377049</v>
      </c>
      <c r="AH555" s="70">
        <f t="shared" si="7"/>
        <v>8000</v>
      </c>
      <c r="AI555" s="71"/>
      <c r="AJ555" s="71"/>
      <c r="AK555" s="71"/>
      <c r="AL555" s="71"/>
    </row>
    <row r="556">
      <c r="A556" s="57" t="s">
        <v>2433</v>
      </c>
      <c r="B556" s="58" t="s">
        <v>193</v>
      </c>
      <c r="C556" s="58" t="s">
        <v>194</v>
      </c>
      <c r="D556" s="58" t="s">
        <v>2246</v>
      </c>
      <c r="E556" s="58" t="s">
        <v>2246</v>
      </c>
      <c r="F556" s="58" t="s">
        <v>103</v>
      </c>
      <c r="G556" s="59">
        <v>46171.0</v>
      </c>
      <c r="H556" s="58" t="s">
        <v>118</v>
      </c>
      <c r="I556" s="58" t="s">
        <v>2434</v>
      </c>
      <c r="J556" s="61" t="s">
        <v>2435</v>
      </c>
      <c r="K556" s="61" t="s">
        <v>2436</v>
      </c>
      <c r="L556" s="61" t="s">
        <v>2437</v>
      </c>
      <c r="M556" s="58">
        <v>2019.0</v>
      </c>
      <c r="N556" s="58">
        <v>18.0</v>
      </c>
      <c r="O556" s="62">
        <v>136.0</v>
      </c>
      <c r="P556" s="62">
        <f t="shared" si="12"/>
        <v>380.8</v>
      </c>
      <c r="Q556" s="63">
        <v>2.0</v>
      </c>
      <c r="R556" s="58">
        <v>0.0</v>
      </c>
      <c r="S556" s="58">
        <v>1.0</v>
      </c>
      <c r="T556" s="58">
        <v>2.0</v>
      </c>
      <c r="U556" s="58">
        <v>2.0</v>
      </c>
      <c r="V556" s="58" t="s">
        <v>130</v>
      </c>
      <c r="W556" s="61" t="s">
        <v>76</v>
      </c>
      <c r="X556" s="28" t="s">
        <v>1033</v>
      </c>
      <c r="Y556" s="64">
        <v>31.0</v>
      </c>
      <c r="Z556" s="65">
        <f t="shared" si="2"/>
        <v>40.3</v>
      </c>
      <c r="AA556" s="65">
        <f t="shared" si="3"/>
        <v>15346.24</v>
      </c>
      <c r="AB556" s="65">
        <f t="shared" si="4"/>
        <v>1042.600663</v>
      </c>
      <c r="AC556" s="66">
        <v>1.0</v>
      </c>
      <c r="AD556" s="70"/>
      <c r="AE556" s="68">
        <f t="shared" si="5"/>
        <v>6557.377049</v>
      </c>
      <c r="AF556" s="69">
        <v>8000.0</v>
      </c>
      <c r="AG556" s="68">
        <f t="shared" si="6"/>
        <v>13114.7541</v>
      </c>
      <c r="AH556" s="70">
        <f t="shared" si="7"/>
        <v>16000</v>
      </c>
      <c r="AI556" s="71"/>
      <c r="AJ556" s="71"/>
      <c r="AK556" s="71"/>
      <c r="AL556" s="71"/>
    </row>
    <row r="557">
      <c r="A557" s="57" t="s">
        <v>2433</v>
      </c>
      <c r="B557" s="58" t="s">
        <v>193</v>
      </c>
      <c r="C557" s="58" t="s">
        <v>194</v>
      </c>
      <c r="D557" s="58" t="s">
        <v>2246</v>
      </c>
      <c r="E557" s="58" t="s">
        <v>2246</v>
      </c>
      <c r="F557" s="58" t="s">
        <v>63</v>
      </c>
      <c r="G557" s="59">
        <v>46171.0</v>
      </c>
      <c r="H557" s="58" t="s">
        <v>118</v>
      </c>
      <c r="I557" s="58" t="s">
        <v>2434</v>
      </c>
      <c r="J557" s="61" t="s">
        <v>2438</v>
      </c>
      <c r="K557" s="61" t="s">
        <v>2439</v>
      </c>
      <c r="L557" s="61" t="s">
        <v>2440</v>
      </c>
      <c r="M557" s="58">
        <v>2019.0</v>
      </c>
      <c r="N557" s="58">
        <v>18.0</v>
      </c>
      <c r="O557" s="62">
        <v>142.0</v>
      </c>
      <c r="P557" s="62">
        <f t="shared" si="12"/>
        <v>397.6</v>
      </c>
      <c r="Q557" s="63">
        <v>2.0</v>
      </c>
      <c r="R557" s="58">
        <v>0.0</v>
      </c>
      <c r="S557" s="58">
        <v>1.0</v>
      </c>
      <c r="T557" s="58">
        <v>2.0</v>
      </c>
      <c r="U557" s="58">
        <v>2.0</v>
      </c>
      <c r="V557" s="58" t="s">
        <v>130</v>
      </c>
      <c r="W557" s="61" t="s">
        <v>76</v>
      </c>
      <c r="X557" s="28" t="s">
        <v>1033</v>
      </c>
      <c r="Y557" s="64">
        <v>31.0</v>
      </c>
      <c r="Z557" s="65">
        <f t="shared" si="2"/>
        <v>40.3</v>
      </c>
      <c r="AA557" s="65">
        <f t="shared" si="3"/>
        <v>16023.28</v>
      </c>
      <c r="AB557" s="65">
        <f t="shared" si="4"/>
        <v>998.5471139</v>
      </c>
      <c r="AC557" s="66">
        <v>1.0</v>
      </c>
      <c r="AD557" s="70"/>
      <c r="AE557" s="68">
        <f t="shared" si="5"/>
        <v>6557.377049</v>
      </c>
      <c r="AF557" s="69">
        <v>8000.0</v>
      </c>
      <c r="AG557" s="68">
        <f t="shared" si="6"/>
        <v>13114.7541</v>
      </c>
      <c r="AH557" s="70">
        <f t="shared" si="7"/>
        <v>16000</v>
      </c>
      <c r="AI557" s="71"/>
      <c r="AJ557" s="71"/>
      <c r="AK557" s="71"/>
      <c r="AL557" s="71"/>
    </row>
    <row r="558">
      <c r="A558" s="57" t="s">
        <v>2441</v>
      </c>
      <c r="B558" s="58" t="s">
        <v>193</v>
      </c>
      <c r="C558" s="58" t="s">
        <v>194</v>
      </c>
      <c r="D558" s="58" t="s">
        <v>162</v>
      </c>
      <c r="E558" s="58" t="s">
        <v>1986</v>
      </c>
      <c r="F558" s="58" t="s">
        <v>63</v>
      </c>
      <c r="G558" s="59">
        <v>46191.0</v>
      </c>
      <c r="H558" s="58" t="s">
        <v>118</v>
      </c>
      <c r="I558" s="58" t="s">
        <v>2442</v>
      </c>
      <c r="J558" s="61" t="s">
        <v>2443</v>
      </c>
      <c r="K558" s="61" t="s">
        <v>2444</v>
      </c>
      <c r="L558" s="61" t="s">
        <v>2445</v>
      </c>
      <c r="M558" s="58">
        <v>1996.0</v>
      </c>
      <c r="N558" s="58">
        <v>9.0</v>
      </c>
      <c r="O558" s="62">
        <v>166.0</v>
      </c>
      <c r="P558" s="62">
        <f t="shared" si="12"/>
        <v>464.8</v>
      </c>
      <c r="Q558" s="63">
        <v>4.0</v>
      </c>
      <c r="R558" s="58">
        <v>4.0</v>
      </c>
      <c r="S558" s="58">
        <v>4.0</v>
      </c>
      <c r="T558" s="58">
        <v>0.0</v>
      </c>
      <c r="U558" s="58">
        <v>4.0</v>
      </c>
      <c r="V558" s="58" t="s">
        <v>130</v>
      </c>
      <c r="W558" s="61" t="s">
        <v>76</v>
      </c>
      <c r="X558" s="28" t="s">
        <v>1033</v>
      </c>
      <c r="Y558" s="64">
        <v>31.0</v>
      </c>
      <c r="Z558" s="65">
        <f t="shared" si="2"/>
        <v>20.15</v>
      </c>
      <c r="AA558" s="65">
        <f t="shared" si="3"/>
        <v>9365.72</v>
      </c>
      <c r="AB558" s="65">
        <f t="shared" si="4"/>
        <v>3416.715426</v>
      </c>
      <c r="AC558" s="66">
        <v>1.0</v>
      </c>
      <c r="AD558" s="70"/>
      <c r="AE558" s="68">
        <f t="shared" si="5"/>
        <v>6557.377049</v>
      </c>
      <c r="AF558" s="69">
        <v>8000.0</v>
      </c>
      <c r="AG558" s="68">
        <f t="shared" si="6"/>
        <v>26229.5082</v>
      </c>
      <c r="AH558" s="70">
        <f t="shared" si="7"/>
        <v>32000</v>
      </c>
      <c r="AI558" s="71"/>
      <c r="AJ558" s="71"/>
      <c r="AK558" s="71"/>
      <c r="AL558" s="71"/>
    </row>
    <row r="559">
      <c r="A559" s="57" t="s">
        <v>2446</v>
      </c>
      <c r="B559" s="58" t="s">
        <v>193</v>
      </c>
      <c r="C559" s="58" t="s">
        <v>194</v>
      </c>
      <c r="D559" s="58" t="s">
        <v>804</v>
      </c>
      <c r="E559" s="58" t="s">
        <v>1937</v>
      </c>
      <c r="F559" s="58" t="s">
        <v>63</v>
      </c>
      <c r="G559" s="59">
        <v>46191.0</v>
      </c>
      <c r="H559" s="58" t="s">
        <v>104</v>
      </c>
      <c r="I559" s="58" t="s">
        <v>2447</v>
      </c>
      <c r="J559" s="61" t="s">
        <v>2448</v>
      </c>
      <c r="K559" s="61" t="s">
        <v>2449</v>
      </c>
      <c r="L559" s="61" t="s">
        <v>2450</v>
      </c>
      <c r="M559" s="58">
        <v>2012.0</v>
      </c>
      <c r="N559" s="58">
        <v>9.0</v>
      </c>
      <c r="O559" s="62">
        <v>338.0</v>
      </c>
      <c r="P559" s="62">
        <f t="shared" si="12"/>
        <v>946.4</v>
      </c>
      <c r="Q559" s="63">
        <v>6.0</v>
      </c>
      <c r="R559" s="58">
        <v>6.0</v>
      </c>
      <c r="S559" s="58">
        <v>6.0</v>
      </c>
      <c r="T559" s="58">
        <v>0.0</v>
      </c>
      <c r="U559" s="58">
        <v>6.0</v>
      </c>
      <c r="V559" s="58" t="s">
        <v>130</v>
      </c>
      <c r="W559" s="61" t="s">
        <v>76</v>
      </c>
      <c r="X559" s="28" t="s">
        <v>1033</v>
      </c>
      <c r="Y559" s="64">
        <v>31.0</v>
      </c>
      <c r="Z559" s="65">
        <f t="shared" si="2"/>
        <v>20.15</v>
      </c>
      <c r="AA559" s="65">
        <f t="shared" si="3"/>
        <v>19069.96</v>
      </c>
      <c r="AB559" s="65">
        <f t="shared" si="4"/>
        <v>2517.047755</v>
      </c>
      <c r="AC559" s="66">
        <v>1.0</v>
      </c>
      <c r="AD559" s="70"/>
      <c r="AE559" s="68">
        <f t="shared" si="5"/>
        <v>6557.377049</v>
      </c>
      <c r="AF559" s="69">
        <v>8000.0</v>
      </c>
      <c r="AG559" s="68">
        <f t="shared" si="6"/>
        <v>39344.2623</v>
      </c>
      <c r="AH559" s="70">
        <f t="shared" si="7"/>
        <v>48000</v>
      </c>
      <c r="AI559" s="71"/>
      <c r="AJ559" s="71"/>
      <c r="AK559" s="71"/>
      <c r="AL559" s="71"/>
    </row>
    <row r="560">
      <c r="A560" s="57" t="s">
        <v>2451</v>
      </c>
      <c r="B560" s="58" t="s">
        <v>193</v>
      </c>
      <c r="C560" s="58" t="s">
        <v>194</v>
      </c>
      <c r="D560" s="58" t="s">
        <v>162</v>
      </c>
      <c r="E560" s="58" t="s">
        <v>1937</v>
      </c>
      <c r="F560" s="58" t="s">
        <v>63</v>
      </c>
      <c r="G560" s="59">
        <v>46191.0</v>
      </c>
      <c r="H560" s="58" t="s">
        <v>104</v>
      </c>
      <c r="I560" s="58" t="s">
        <v>2452</v>
      </c>
      <c r="J560" s="61" t="s">
        <v>2453</v>
      </c>
      <c r="K560" s="61" t="s">
        <v>2454</v>
      </c>
      <c r="L560" s="61" t="s">
        <v>2455</v>
      </c>
      <c r="M560" s="58">
        <v>2012.0</v>
      </c>
      <c r="N560" s="58">
        <v>9.0</v>
      </c>
      <c r="O560" s="62">
        <v>399.0</v>
      </c>
      <c r="P560" s="62">
        <f t="shared" si="12"/>
        <v>1117.2</v>
      </c>
      <c r="Q560" s="63">
        <v>5.0</v>
      </c>
      <c r="R560" s="58">
        <v>5.0</v>
      </c>
      <c r="S560" s="58">
        <v>9.0</v>
      </c>
      <c r="T560" s="58">
        <v>0.0</v>
      </c>
      <c r="U560" s="58">
        <v>9.0</v>
      </c>
      <c r="V560" s="58" t="s">
        <v>130</v>
      </c>
      <c r="W560" s="61" t="s">
        <v>76</v>
      </c>
      <c r="X560" s="28" t="s">
        <v>1033</v>
      </c>
      <c r="Y560" s="64">
        <v>31.0</v>
      </c>
      <c r="Z560" s="65">
        <f t="shared" si="2"/>
        <v>11.19444444</v>
      </c>
      <c r="AA560" s="65">
        <f t="shared" si="3"/>
        <v>12506.43333</v>
      </c>
      <c r="AB560" s="65">
        <f t="shared" si="4"/>
        <v>3198.353914</v>
      </c>
      <c r="AC560" s="66">
        <v>1.0</v>
      </c>
      <c r="AD560" s="70"/>
      <c r="AE560" s="68">
        <f t="shared" si="5"/>
        <v>6557.377049</v>
      </c>
      <c r="AF560" s="69">
        <v>8000.0</v>
      </c>
      <c r="AG560" s="68">
        <f t="shared" si="6"/>
        <v>32786.88525</v>
      </c>
      <c r="AH560" s="70">
        <f t="shared" si="7"/>
        <v>40000</v>
      </c>
      <c r="AI560" s="71"/>
      <c r="AJ560" s="71"/>
      <c r="AK560" s="71"/>
      <c r="AL560" s="71"/>
    </row>
    <row r="561">
      <c r="A561" s="57" t="s">
        <v>2456</v>
      </c>
      <c r="B561" s="58" t="s">
        <v>193</v>
      </c>
      <c r="C561" s="58" t="s">
        <v>194</v>
      </c>
      <c r="D561" s="58" t="s">
        <v>162</v>
      </c>
      <c r="E561" s="58" t="s">
        <v>1937</v>
      </c>
      <c r="F561" s="58" t="s">
        <v>63</v>
      </c>
      <c r="G561" s="59">
        <v>46191.0</v>
      </c>
      <c r="H561" s="58" t="s">
        <v>104</v>
      </c>
      <c r="I561" s="58" t="s">
        <v>2457</v>
      </c>
      <c r="J561" s="61" t="s">
        <v>2458</v>
      </c>
      <c r="K561" s="61" t="s">
        <v>2454</v>
      </c>
      <c r="L561" s="61" t="s">
        <v>2455</v>
      </c>
      <c r="M561" s="58">
        <v>2012.0</v>
      </c>
      <c r="N561" s="58">
        <v>9.0</v>
      </c>
      <c r="O561" s="62">
        <v>399.0</v>
      </c>
      <c r="P561" s="62">
        <f t="shared" si="12"/>
        <v>1117.2</v>
      </c>
      <c r="Q561" s="63">
        <v>4.0</v>
      </c>
      <c r="R561" s="58">
        <v>4.0</v>
      </c>
      <c r="S561" s="58">
        <v>9.0</v>
      </c>
      <c r="T561" s="58">
        <v>0.0</v>
      </c>
      <c r="U561" s="58">
        <v>9.0</v>
      </c>
      <c r="V561" s="58" t="s">
        <v>130</v>
      </c>
      <c r="W561" s="61" t="s">
        <v>76</v>
      </c>
      <c r="X561" s="28" t="s">
        <v>1033</v>
      </c>
      <c r="Y561" s="64">
        <v>31.0</v>
      </c>
      <c r="Z561" s="65">
        <f t="shared" si="2"/>
        <v>8.955555556</v>
      </c>
      <c r="AA561" s="65">
        <f t="shared" si="3"/>
        <v>10005.14667</v>
      </c>
      <c r="AB561" s="65">
        <f t="shared" si="4"/>
        <v>3198.353914</v>
      </c>
      <c r="AC561" s="66">
        <v>1.0</v>
      </c>
      <c r="AD561" s="70"/>
      <c r="AE561" s="68">
        <f t="shared" si="5"/>
        <v>6557.377049</v>
      </c>
      <c r="AF561" s="69">
        <v>8000.0</v>
      </c>
      <c r="AG561" s="68">
        <f t="shared" si="6"/>
        <v>26229.5082</v>
      </c>
      <c r="AH561" s="70">
        <f t="shared" si="7"/>
        <v>32000</v>
      </c>
      <c r="AI561" s="71"/>
      <c r="AJ561" s="71"/>
      <c r="AK561" s="71"/>
      <c r="AL561" s="71"/>
    </row>
    <row r="562">
      <c r="A562" s="57" t="s">
        <v>2459</v>
      </c>
      <c r="B562" s="58" t="s">
        <v>193</v>
      </c>
      <c r="C562" s="58" t="s">
        <v>194</v>
      </c>
      <c r="D562" s="58" t="s">
        <v>2332</v>
      </c>
      <c r="E562" s="58" t="s">
        <v>1964</v>
      </c>
      <c r="F562" s="58" t="s">
        <v>63</v>
      </c>
      <c r="G562" s="59">
        <v>46191.0</v>
      </c>
      <c r="H562" s="58" t="s">
        <v>104</v>
      </c>
      <c r="I562" s="58" t="s">
        <v>2460</v>
      </c>
      <c r="J562" s="61" t="s">
        <v>2461</v>
      </c>
      <c r="K562" s="61" t="s">
        <v>2462</v>
      </c>
      <c r="L562" s="61" t="s">
        <v>2463</v>
      </c>
      <c r="M562" s="58">
        <v>2009.0</v>
      </c>
      <c r="N562" s="58">
        <v>16.0</v>
      </c>
      <c r="O562" s="62">
        <v>96.0</v>
      </c>
      <c r="P562" s="62">
        <f t="shared" si="12"/>
        <v>268.8</v>
      </c>
      <c r="Q562" s="63">
        <v>2.0</v>
      </c>
      <c r="R562" s="58">
        <v>0.0</v>
      </c>
      <c r="S562" s="58">
        <v>1.0</v>
      </c>
      <c r="T562" s="58">
        <v>2.0</v>
      </c>
      <c r="U562" s="58">
        <v>2.0</v>
      </c>
      <c r="V562" s="58" t="s">
        <v>130</v>
      </c>
      <c r="W562" s="61" t="s">
        <v>76</v>
      </c>
      <c r="X562" s="28" t="s">
        <v>1033</v>
      </c>
      <c r="Y562" s="64">
        <v>31.0</v>
      </c>
      <c r="Z562" s="65">
        <v>20.15</v>
      </c>
      <c r="AA562" s="65">
        <v>23865.659999999996</v>
      </c>
      <c r="AB562" s="65">
        <v>1676.0483472906262</v>
      </c>
      <c r="AC562" s="66">
        <v>1.0</v>
      </c>
      <c r="AD562" s="70"/>
      <c r="AE562" s="68">
        <v>6557.377049180328</v>
      </c>
      <c r="AF562" s="69">
        <v>8000.0</v>
      </c>
      <c r="AG562" s="68">
        <v>32786.88524590164</v>
      </c>
      <c r="AH562" s="70">
        <v>40000.0</v>
      </c>
      <c r="AI562" s="71"/>
      <c r="AJ562" s="71"/>
      <c r="AK562" s="71"/>
      <c r="AL562" s="71"/>
    </row>
    <row r="563">
      <c r="A563" s="57" t="s">
        <v>2464</v>
      </c>
      <c r="B563" s="58" t="s">
        <v>193</v>
      </c>
      <c r="C563" s="58" t="s">
        <v>194</v>
      </c>
      <c r="D563" s="58" t="s">
        <v>1878</v>
      </c>
      <c r="E563" s="58" t="s">
        <v>1937</v>
      </c>
      <c r="F563" s="58" t="s">
        <v>63</v>
      </c>
      <c r="G563" s="59">
        <v>46191.0</v>
      </c>
      <c r="H563" s="58" t="s">
        <v>104</v>
      </c>
      <c r="I563" s="58" t="s">
        <v>2465</v>
      </c>
      <c r="J563" s="61" t="s">
        <v>2466</v>
      </c>
      <c r="K563" s="61" t="s">
        <v>2467</v>
      </c>
      <c r="L563" s="61" t="s">
        <v>2468</v>
      </c>
      <c r="M563" s="58">
        <v>2013.0</v>
      </c>
      <c r="N563" s="58">
        <v>10.0</v>
      </c>
      <c r="O563" s="62">
        <v>108.0</v>
      </c>
      <c r="P563" s="62">
        <f t="shared" si="12"/>
        <v>302.4</v>
      </c>
      <c r="Q563" s="63">
        <v>3.0</v>
      </c>
      <c r="R563" s="58">
        <v>0.0</v>
      </c>
      <c r="S563" s="58">
        <v>3.0</v>
      </c>
      <c r="T563" s="58">
        <v>3.0</v>
      </c>
      <c r="U563" s="58">
        <v>3.0</v>
      </c>
      <c r="V563" s="58" t="s">
        <v>130</v>
      </c>
      <c r="W563" s="61" t="s">
        <v>76</v>
      </c>
      <c r="X563" s="28" t="s">
        <v>1033</v>
      </c>
      <c r="Y563" s="64">
        <v>31.0</v>
      </c>
      <c r="Z563" s="65">
        <v>20.15</v>
      </c>
      <c r="AA563" s="65">
        <v>23865.659999999996</v>
      </c>
      <c r="AB563" s="65">
        <v>1676.0483472906262</v>
      </c>
      <c r="AC563" s="66">
        <v>1.0</v>
      </c>
      <c r="AD563" s="70"/>
      <c r="AE563" s="68">
        <v>6557.377049180328</v>
      </c>
      <c r="AF563" s="69">
        <v>8000.0</v>
      </c>
      <c r="AG563" s="68">
        <v>32786.88524590164</v>
      </c>
      <c r="AH563" s="70">
        <v>40000.0</v>
      </c>
      <c r="AI563" s="71"/>
      <c r="AJ563" s="71"/>
      <c r="AK563" s="71"/>
      <c r="AL563" s="71"/>
    </row>
    <row r="564">
      <c r="A564" s="57" t="s">
        <v>2469</v>
      </c>
      <c r="B564" s="58" t="s">
        <v>193</v>
      </c>
      <c r="C564" s="58" t="s">
        <v>194</v>
      </c>
      <c r="D564" s="58" t="s">
        <v>2470</v>
      </c>
      <c r="E564" s="58" t="s">
        <v>1964</v>
      </c>
      <c r="F564" s="58" t="s">
        <v>63</v>
      </c>
      <c r="G564" s="59">
        <v>46173.0</v>
      </c>
      <c r="H564" s="58" t="s">
        <v>104</v>
      </c>
      <c r="I564" s="58" t="s">
        <v>2471</v>
      </c>
      <c r="J564" s="61" t="s">
        <v>2472</v>
      </c>
      <c r="K564" s="61" t="s">
        <v>2473</v>
      </c>
      <c r="L564" s="61" t="s">
        <v>2474</v>
      </c>
      <c r="M564" s="58">
        <v>2020.0</v>
      </c>
      <c r="N564" s="58">
        <v>8.0</v>
      </c>
      <c r="O564" s="62">
        <v>717.0</v>
      </c>
      <c r="P564" s="62">
        <f t="shared" si="12"/>
        <v>2007.6</v>
      </c>
      <c r="Q564" s="63">
        <v>17.0</v>
      </c>
      <c r="R564" s="58">
        <v>0.0</v>
      </c>
      <c r="S564" s="58">
        <v>17.0</v>
      </c>
      <c r="T564" s="58">
        <v>17.0</v>
      </c>
      <c r="U564" s="58">
        <v>2.0</v>
      </c>
      <c r="V564" s="58" t="s">
        <v>130</v>
      </c>
      <c r="W564" s="61" t="s">
        <v>76</v>
      </c>
      <c r="X564" s="28" t="s">
        <v>1033</v>
      </c>
      <c r="Y564" s="64">
        <v>31.0</v>
      </c>
      <c r="Z564" s="65">
        <v>20.15</v>
      </c>
      <c r="AA564" s="65">
        <v>23865.659999999996</v>
      </c>
      <c r="AB564" s="65">
        <v>1676.0483472906262</v>
      </c>
      <c r="AC564" s="66">
        <v>1.0</v>
      </c>
      <c r="AD564" s="70"/>
      <c r="AE564" s="68">
        <v>6557.377049180328</v>
      </c>
      <c r="AF564" s="69">
        <v>8000.0</v>
      </c>
      <c r="AG564" s="68">
        <v>32786.88524590164</v>
      </c>
      <c r="AH564" s="70">
        <v>40000.0</v>
      </c>
      <c r="AI564" s="71"/>
      <c r="AJ564" s="71"/>
      <c r="AK564" s="71"/>
      <c r="AL564" s="71"/>
    </row>
    <row r="565">
      <c r="A565" s="57" t="s">
        <v>2475</v>
      </c>
      <c r="B565" s="58" t="s">
        <v>193</v>
      </c>
      <c r="C565" s="58" t="s">
        <v>194</v>
      </c>
      <c r="D565" s="58" t="s">
        <v>162</v>
      </c>
      <c r="E565" s="58" t="s">
        <v>2060</v>
      </c>
      <c r="F565" s="58" t="s">
        <v>63</v>
      </c>
      <c r="G565" s="59">
        <v>46234.0</v>
      </c>
      <c r="H565" s="58" t="s">
        <v>104</v>
      </c>
      <c r="I565" s="58" t="s">
        <v>2476</v>
      </c>
      <c r="J565" s="61" t="s">
        <v>2477</v>
      </c>
      <c r="K565" s="61" t="s">
        <v>2478</v>
      </c>
      <c r="L565" s="61" t="s">
        <v>2479</v>
      </c>
      <c r="M565" s="58">
        <v>2004.0</v>
      </c>
      <c r="N565" s="58">
        <v>14.0</v>
      </c>
      <c r="O565" s="62">
        <v>83.0</v>
      </c>
      <c r="P565" s="62">
        <f t="shared" si="12"/>
        <v>232.4</v>
      </c>
      <c r="Q565" s="63">
        <v>1.0</v>
      </c>
      <c r="R565" s="58">
        <v>1.0</v>
      </c>
      <c r="S565" s="58">
        <v>1.0</v>
      </c>
      <c r="T565" s="58">
        <v>0.0</v>
      </c>
      <c r="U565" s="58">
        <v>2.0</v>
      </c>
      <c r="V565" s="58" t="s">
        <v>130</v>
      </c>
      <c r="W565" s="61" t="s">
        <v>76</v>
      </c>
      <c r="X565" s="28" t="s">
        <v>1033</v>
      </c>
      <c r="Y565" s="64">
        <v>31.0</v>
      </c>
      <c r="Z565" s="65">
        <v>20.15</v>
      </c>
      <c r="AA565" s="65">
        <v>23865.659999999996</v>
      </c>
      <c r="AB565" s="65">
        <v>1676.0483472906262</v>
      </c>
      <c r="AC565" s="66">
        <v>1.0</v>
      </c>
      <c r="AD565" s="70"/>
      <c r="AE565" s="68">
        <v>6557.377049180328</v>
      </c>
      <c r="AF565" s="69">
        <v>8000.0</v>
      </c>
      <c r="AG565" s="68">
        <v>32786.88524590164</v>
      </c>
      <c r="AH565" s="70">
        <v>40000.0</v>
      </c>
      <c r="AI565" s="71"/>
      <c r="AJ565" s="71"/>
      <c r="AK565" s="71"/>
      <c r="AL565" s="71"/>
    </row>
    <row r="566">
      <c r="A566" s="57" t="s">
        <v>2480</v>
      </c>
      <c r="B566" s="58" t="s">
        <v>193</v>
      </c>
      <c r="C566" s="58" t="s">
        <v>194</v>
      </c>
      <c r="D566" s="58" t="s">
        <v>2481</v>
      </c>
      <c r="E566" s="58" t="s">
        <v>1964</v>
      </c>
      <c r="F566" s="58" t="s">
        <v>63</v>
      </c>
      <c r="G566" s="59">
        <v>46234.0</v>
      </c>
      <c r="H566" s="58" t="s">
        <v>104</v>
      </c>
      <c r="I566" s="58" t="s">
        <v>2482</v>
      </c>
      <c r="J566" s="61" t="s">
        <v>2483</v>
      </c>
      <c r="K566" s="61" t="s">
        <v>2484</v>
      </c>
      <c r="L566" s="61" t="s">
        <v>2485</v>
      </c>
      <c r="M566" s="58">
        <v>2026.0</v>
      </c>
      <c r="N566" s="58">
        <v>9.0</v>
      </c>
      <c r="O566" s="62">
        <v>146.0</v>
      </c>
      <c r="P566" s="62">
        <f t="shared" si="12"/>
        <v>408.8</v>
      </c>
      <c r="Q566" s="63">
        <v>3.0</v>
      </c>
      <c r="R566" s="58">
        <v>3.0</v>
      </c>
      <c r="S566" s="58">
        <v>2.0</v>
      </c>
      <c r="T566" s="58">
        <v>0.0</v>
      </c>
      <c r="U566" s="58">
        <v>2.0</v>
      </c>
      <c r="V566" s="58" t="s">
        <v>130</v>
      </c>
      <c r="W566" s="61" t="s">
        <v>76</v>
      </c>
      <c r="X566" s="28" t="s">
        <v>1033</v>
      </c>
      <c r="Y566" s="64">
        <v>31.0</v>
      </c>
      <c r="Z566" s="65">
        <v>20.15</v>
      </c>
      <c r="AA566" s="65">
        <v>23865.659999999996</v>
      </c>
      <c r="AB566" s="65">
        <v>1676.0483472906262</v>
      </c>
      <c r="AC566" s="66">
        <v>1.0</v>
      </c>
      <c r="AD566" s="70"/>
      <c r="AE566" s="68">
        <v>6557.377049180328</v>
      </c>
      <c r="AF566" s="69">
        <v>8000.0</v>
      </c>
      <c r="AG566" s="68">
        <v>32786.88524590164</v>
      </c>
      <c r="AH566" s="70">
        <v>40000.0</v>
      </c>
      <c r="AI566" s="71"/>
      <c r="AJ566" s="71"/>
      <c r="AK566" s="71"/>
      <c r="AL566" s="71"/>
    </row>
    <row r="567">
      <c r="A567" s="57" t="s">
        <v>2486</v>
      </c>
      <c r="B567" s="58" t="s">
        <v>193</v>
      </c>
      <c r="C567" s="58" t="s">
        <v>194</v>
      </c>
      <c r="D567" s="58" t="s">
        <v>2481</v>
      </c>
      <c r="E567" s="58" t="s">
        <v>1964</v>
      </c>
      <c r="F567" s="58" t="s">
        <v>63</v>
      </c>
      <c r="G567" s="59">
        <v>46234.0</v>
      </c>
      <c r="H567" s="58" t="s">
        <v>104</v>
      </c>
      <c r="I567" s="58" t="s">
        <v>2487</v>
      </c>
      <c r="J567" s="61" t="s">
        <v>2488</v>
      </c>
      <c r="K567" s="61" t="s">
        <v>2489</v>
      </c>
      <c r="L567" s="61" t="s">
        <v>2490</v>
      </c>
      <c r="M567" s="58">
        <v>2026.0</v>
      </c>
      <c r="N567" s="58">
        <v>9.0</v>
      </c>
      <c r="O567" s="62">
        <v>147.0</v>
      </c>
      <c r="P567" s="62">
        <f t="shared" si="12"/>
        <v>411.6</v>
      </c>
      <c r="Q567" s="63">
        <v>3.0</v>
      </c>
      <c r="R567" s="58">
        <v>3.0</v>
      </c>
      <c r="S567" s="58">
        <v>2.0</v>
      </c>
      <c r="T567" s="58">
        <v>0.0</v>
      </c>
      <c r="U567" s="58">
        <v>2.0</v>
      </c>
      <c r="V567" s="58" t="s">
        <v>130</v>
      </c>
      <c r="W567" s="61" t="s">
        <v>76</v>
      </c>
      <c r="X567" s="28" t="s">
        <v>1033</v>
      </c>
      <c r="Y567" s="64">
        <v>31.0</v>
      </c>
      <c r="Z567" s="65">
        <f t="shared" ref="Z567:Z670" si="13">AA567/P567</f>
        <v>30.225</v>
      </c>
      <c r="AA567" s="65">
        <f t="shared" ref="AA567:AA670" si="14">((P567*2.6*R567/S567/2)/2+(P567*2.6*T567/U567)/2)*Y567</f>
        <v>12440.61</v>
      </c>
      <c r="AB567" s="65">
        <f t="shared" ref="AB567:AB670" si="15">AH567/AA567*1000</f>
        <v>1929.165853</v>
      </c>
      <c r="AC567" s="66">
        <v>1.0</v>
      </c>
      <c r="AD567" s="70"/>
      <c r="AE567" s="68">
        <f t="shared" ref="AE567:AE670" si="16">AF567/1.22</f>
        <v>6557.377049</v>
      </c>
      <c r="AF567" s="69">
        <v>8000.0</v>
      </c>
      <c r="AG567" s="68">
        <f t="shared" ref="AG567:AG670" si="17">AE567*Q567</f>
        <v>19672.13115</v>
      </c>
      <c r="AH567" s="70">
        <f t="shared" ref="AH567:AH670" si="18">AG567*1.22</f>
        <v>24000</v>
      </c>
      <c r="AI567" s="71"/>
      <c r="AJ567" s="71"/>
      <c r="AK567" s="71"/>
      <c r="AL567" s="71"/>
    </row>
    <row r="568">
      <c r="A568" s="57" t="s">
        <v>2486</v>
      </c>
      <c r="B568" s="58" t="s">
        <v>193</v>
      </c>
      <c r="C568" s="58" t="s">
        <v>194</v>
      </c>
      <c r="D568" s="58" t="s">
        <v>2481</v>
      </c>
      <c r="E568" s="58" t="s">
        <v>1964</v>
      </c>
      <c r="F568" s="58" t="s">
        <v>63</v>
      </c>
      <c r="G568" s="59">
        <v>46234.0</v>
      </c>
      <c r="H568" s="58" t="s">
        <v>104</v>
      </c>
      <c r="I568" s="60" t="s">
        <v>2487</v>
      </c>
      <c r="J568" s="61" t="s">
        <v>2491</v>
      </c>
      <c r="K568" s="61" t="s">
        <v>2492</v>
      </c>
      <c r="L568" s="61" t="s">
        <v>2493</v>
      </c>
      <c r="M568" s="58">
        <v>2026.0</v>
      </c>
      <c r="N568" s="58">
        <v>9.0</v>
      </c>
      <c r="O568" s="62">
        <v>147.0</v>
      </c>
      <c r="P568" s="62">
        <f t="shared" si="12"/>
        <v>411.6</v>
      </c>
      <c r="Q568" s="63">
        <v>3.0</v>
      </c>
      <c r="R568" s="58">
        <v>3.0</v>
      </c>
      <c r="S568" s="58">
        <v>3.0</v>
      </c>
      <c r="T568" s="58">
        <v>0.0</v>
      </c>
      <c r="U568" s="58">
        <v>3.0</v>
      </c>
      <c r="V568" s="58" t="s">
        <v>130</v>
      </c>
      <c r="W568" s="61" t="s">
        <v>76</v>
      </c>
      <c r="X568" s="28" t="s">
        <v>1033</v>
      </c>
      <c r="Y568" s="64">
        <v>31.0</v>
      </c>
      <c r="Z568" s="65">
        <f t="shared" si="13"/>
        <v>20.15</v>
      </c>
      <c r="AA568" s="65">
        <f t="shared" si="14"/>
        <v>8293.74</v>
      </c>
      <c r="AB568" s="65">
        <f t="shared" si="15"/>
        <v>2893.748779</v>
      </c>
      <c r="AC568" s="66">
        <v>1.0</v>
      </c>
      <c r="AD568" s="70"/>
      <c r="AE568" s="68">
        <f t="shared" si="16"/>
        <v>6557.377049</v>
      </c>
      <c r="AF568" s="69">
        <v>8000.0</v>
      </c>
      <c r="AG568" s="68">
        <f t="shared" si="17"/>
        <v>19672.13115</v>
      </c>
      <c r="AH568" s="70">
        <f t="shared" si="18"/>
        <v>24000</v>
      </c>
      <c r="AI568" s="71"/>
      <c r="AJ568" s="71"/>
      <c r="AK568" s="71"/>
      <c r="AL568" s="71"/>
    </row>
    <row r="569">
      <c r="A569" s="57" t="s">
        <v>2494</v>
      </c>
      <c r="B569" s="58" t="s">
        <v>193</v>
      </c>
      <c r="C569" s="58" t="s">
        <v>194</v>
      </c>
      <c r="D569" s="58" t="s">
        <v>2481</v>
      </c>
      <c r="E569" s="58" t="s">
        <v>1964</v>
      </c>
      <c r="F569" s="58" t="s">
        <v>63</v>
      </c>
      <c r="G569" s="59">
        <v>46234.0</v>
      </c>
      <c r="H569" s="58" t="s">
        <v>104</v>
      </c>
      <c r="I569" s="60" t="s">
        <v>2495</v>
      </c>
      <c r="J569" s="61" t="s">
        <v>2496</v>
      </c>
      <c r="K569" s="61" t="s">
        <v>2497</v>
      </c>
      <c r="L569" s="61" t="s">
        <v>2498</v>
      </c>
      <c r="M569" s="58">
        <v>2026.0</v>
      </c>
      <c r="N569" s="58">
        <v>9.0</v>
      </c>
      <c r="O569" s="62">
        <v>147.0</v>
      </c>
      <c r="P569" s="62">
        <f t="shared" si="12"/>
        <v>411.6</v>
      </c>
      <c r="Q569" s="63">
        <v>3.0</v>
      </c>
      <c r="R569" s="58">
        <v>3.0</v>
      </c>
      <c r="S569" s="58">
        <v>3.0</v>
      </c>
      <c r="T569" s="58">
        <v>0.0</v>
      </c>
      <c r="U569" s="58">
        <v>3.0</v>
      </c>
      <c r="V569" s="58" t="s">
        <v>130</v>
      </c>
      <c r="W569" s="61" t="s">
        <v>76</v>
      </c>
      <c r="X569" s="28" t="s">
        <v>1033</v>
      </c>
      <c r="Y569" s="64">
        <v>31.0</v>
      </c>
      <c r="Z569" s="65">
        <f t="shared" si="13"/>
        <v>20.15</v>
      </c>
      <c r="AA569" s="65">
        <f t="shared" si="14"/>
        <v>8293.74</v>
      </c>
      <c r="AB569" s="65">
        <f t="shared" si="15"/>
        <v>2893.748779</v>
      </c>
      <c r="AC569" s="66">
        <v>1.0</v>
      </c>
      <c r="AD569" s="67"/>
      <c r="AE569" s="68">
        <f t="shared" si="16"/>
        <v>6557.377049</v>
      </c>
      <c r="AF569" s="69">
        <v>8000.0</v>
      </c>
      <c r="AG569" s="68">
        <f t="shared" si="17"/>
        <v>19672.13115</v>
      </c>
      <c r="AH569" s="70">
        <f t="shared" si="18"/>
        <v>24000</v>
      </c>
      <c r="AI569" s="71"/>
      <c r="AJ569" s="71"/>
      <c r="AK569" s="71"/>
      <c r="AL569" s="71"/>
    </row>
    <row r="570">
      <c r="A570" s="57" t="s">
        <v>2499</v>
      </c>
      <c r="B570" s="58" t="s">
        <v>193</v>
      </c>
      <c r="C570" s="58" t="s">
        <v>194</v>
      </c>
      <c r="D570" s="58" t="s">
        <v>2481</v>
      </c>
      <c r="E570" s="58" t="s">
        <v>1964</v>
      </c>
      <c r="F570" s="58" t="s">
        <v>63</v>
      </c>
      <c r="G570" s="59">
        <v>46234.0</v>
      </c>
      <c r="H570" s="58" t="s">
        <v>104</v>
      </c>
      <c r="I570" s="60" t="s">
        <v>2500</v>
      </c>
      <c r="J570" s="61" t="s">
        <v>2501</v>
      </c>
      <c r="K570" s="61" t="s">
        <v>2502</v>
      </c>
      <c r="L570" s="61" t="s">
        <v>2503</v>
      </c>
      <c r="M570" s="58">
        <v>2025.0</v>
      </c>
      <c r="N570" s="58">
        <v>5.0</v>
      </c>
      <c r="O570" s="62">
        <v>70.0</v>
      </c>
      <c r="P570" s="62">
        <f t="shared" si="12"/>
        <v>196</v>
      </c>
      <c r="Q570" s="63">
        <v>2.0</v>
      </c>
      <c r="R570" s="58">
        <v>2.0</v>
      </c>
      <c r="S570" s="58">
        <v>2.0</v>
      </c>
      <c r="T570" s="58">
        <v>0.0</v>
      </c>
      <c r="U570" s="58">
        <v>2.0</v>
      </c>
      <c r="V570" s="58" t="s">
        <v>130</v>
      </c>
      <c r="W570" s="61" t="s">
        <v>76</v>
      </c>
      <c r="X570" s="28" t="s">
        <v>1033</v>
      </c>
      <c r="Y570" s="64">
        <v>31.0</v>
      </c>
      <c r="Z570" s="65">
        <f t="shared" si="13"/>
        <v>20.15</v>
      </c>
      <c r="AA570" s="65">
        <f t="shared" si="14"/>
        <v>3949.4</v>
      </c>
      <c r="AB570" s="65">
        <f t="shared" si="15"/>
        <v>4051.248291</v>
      </c>
      <c r="AC570" s="66">
        <v>1.0</v>
      </c>
      <c r="AD570" s="67"/>
      <c r="AE570" s="68">
        <f t="shared" si="16"/>
        <v>6557.377049</v>
      </c>
      <c r="AF570" s="69">
        <v>8000.0</v>
      </c>
      <c r="AG570" s="68">
        <f t="shared" si="17"/>
        <v>13114.7541</v>
      </c>
      <c r="AH570" s="70">
        <f t="shared" si="18"/>
        <v>16000</v>
      </c>
      <c r="AI570" s="71"/>
      <c r="AJ570" s="71"/>
      <c r="AK570" s="71"/>
      <c r="AL570" s="71"/>
    </row>
    <row r="571">
      <c r="A571" s="57" t="s">
        <v>2499</v>
      </c>
      <c r="B571" s="58" t="s">
        <v>193</v>
      </c>
      <c r="C571" s="58" t="s">
        <v>194</v>
      </c>
      <c r="D571" s="58" t="s">
        <v>2481</v>
      </c>
      <c r="E571" s="58" t="s">
        <v>1964</v>
      </c>
      <c r="F571" s="58" t="s">
        <v>63</v>
      </c>
      <c r="G571" s="59">
        <v>46234.0</v>
      </c>
      <c r="H571" s="58" t="s">
        <v>104</v>
      </c>
      <c r="I571" s="60" t="s">
        <v>2500</v>
      </c>
      <c r="J571" s="61" t="s">
        <v>2504</v>
      </c>
      <c r="K571" s="61" t="s">
        <v>2505</v>
      </c>
      <c r="L571" s="61" t="s">
        <v>2506</v>
      </c>
      <c r="M571" s="58">
        <v>2024.0</v>
      </c>
      <c r="N571" s="58">
        <v>5.0</v>
      </c>
      <c r="O571" s="62">
        <v>70.0</v>
      </c>
      <c r="P571" s="62">
        <f t="shared" si="12"/>
        <v>196</v>
      </c>
      <c r="Q571" s="63">
        <v>2.0</v>
      </c>
      <c r="R571" s="58">
        <v>2.0</v>
      </c>
      <c r="S571" s="58">
        <v>2.0</v>
      </c>
      <c r="T571" s="58">
        <v>0.0</v>
      </c>
      <c r="U571" s="58">
        <v>2.0</v>
      </c>
      <c r="V571" s="58" t="s">
        <v>130</v>
      </c>
      <c r="W571" s="61" t="s">
        <v>76</v>
      </c>
      <c r="X571" s="28" t="s">
        <v>1033</v>
      </c>
      <c r="Y571" s="64">
        <v>31.0</v>
      </c>
      <c r="Z571" s="65">
        <f t="shared" si="13"/>
        <v>20.15</v>
      </c>
      <c r="AA571" s="65">
        <f t="shared" si="14"/>
        <v>3949.4</v>
      </c>
      <c r="AB571" s="65">
        <f t="shared" si="15"/>
        <v>4051.248291</v>
      </c>
      <c r="AC571" s="66">
        <v>1.0</v>
      </c>
      <c r="AD571" s="70"/>
      <c r="AE571" s="68">
        <f t="shared" si="16"/>
        <v>6557.377049</v>
      </c>
      <c r="AF571" s="69">
        <v>8000.0</v>
      </c>
      <c r="AG571" s="68">
        <f t="shared" si="17"/>
        <v>13114.7541</v>
      </c>
      <c r="AH571" s="70">
        <f t="shared" si="18"/>
        <v>16000</v>
      </c>
      <c r="AI571" s="71"/>
      <c r="AJ571" s="71"/>
      <c r="AK571" s="71"/>
      <c r="AL571" s="71"/>
    </row>
    <row r="572">
      <c r="A572" s="57" t="s">
        <v>2507</v>
      </c>
      <c r="B572" s="58" t="s">
        <v>193</v>
      </c>
      <c r="C572" s="58" t="s">
        <v>194</v>
      </c>
      <c r="D572" s="58" t="s">
        <v>162</v>
      </c>
      <c r="E572" s="58" t="s">
        <v>2060</v>
      </c>
      <c r="F572" s="58" t="s">
        <v>63</v>
      </c>
      <c r="G572" s="59">
        <v>46234.0</v>
      </c>
      <c r="H572" s="58" t="s">
        <v>104</v>
      </c>
      <c r="I572" s="60" t="s">
        <v>2508</v>
      </c>
      <c r="J572" s="61" t="s">
        <v>2509</v>
      </c>
      <c r="K572" s="61" t="s">
        <v>2510</v>
      </c>
      <c r="L572" s="61" t="s">
        <v>2511</v>
      </c>
      <c r="M572" s="58">
        <v>2002.0</v>
      </c>
      <c r="N572" s="58">
        <v>19.0</v>
      </c>
      <c r="O572" s="62">
        <v>423.0</v>
      </c>
      <c r="P572" s="62">
        <f t="shared" si="12"/>
        <v>1184.4</v>
      </c>
      <c r="Q572" s="63">
        <v>5.0</v>
      </c>
      <c r="R572" s="58">
        <v>5.0</v>
      </c>
      <c r="S572" s="58">
        <v>5.0</v>
      </c>
      <c r="T572" s="58">
        <v>0.0</v>
      </c>
      <c r="U572" s="58">
        <v>2.0</v>
      </c>
      <c r="V572" s="58" t="s">
        <v>130</v>
      </c>
      <c r="W572" s="61" t="s">
        <v>76</v>
      </c>
      <c r="X572" s="28" t="s">
        <v>1033</v>
      </c>
      <c r="Y572" s="64">
        <v>31.0</v>
      </c>
      <c r="Z572" s="65">
        <f t="shared" si="13"/>
        <v>20.15</v>
      </c>
      <c r="AA572" s="65">
        <f t="shared" si="14"/>
        <v>23865.66</v>
      </c>
      <c r="AB572" s="65">
        <f t="shared" si="15"/>
        <v>1676.048347</v>
      </c>
      <c r="AC572" s="66">
        <v>1.0</v>
      </c>
      <c r="AD572" s="70"/>
      <c r="AE572" s="68">
        <f t="shared" si="16"/>
        <v>6557.377049</v>
      </c>
      <c r="AF572" s="69">
        <v>8000.0</v>
      </c>
      <c r="AG572" s="68">
        <f t="shared" si="17"/>
        <v>32786.88525</v>
      </c>
      <c r="AH572" s="70">
        <f t="shared" si="18"/>
        <v>40000</v>
      </c>
      <c r="AI572" s="71"/>
      <c r="AJ572" s="71"/>
      <c r="AK572" s="71"/>
      <c r="AL572" s="71"/>
    </row>
    <row r="573">
      <c r="A573" s="57" t="s">
        <v>2512</v>
      </c>
      <c r="B573" s="58" t="s">
        <v>193</v>
      </c>
      <c r="C573" s="58" t="s">
        <v>194</v>
      </c>
      <c r="D573" s="58" t="s">
        <v>162</v>
      </c>
      <c r="E573" s="58" t="s">
        <v>2060</v>
      </c>
      <c r="F573" s="58" t="s">
        <v>63</v>
      </c>
      <c r="G573" s="59">
        <v>46234.0</v>
      </c>
      <c r="H573" s="58" t="s">
        <v>104</v>
      </c>
      <c r="I573" s="60" t="s">
        <v>2513</v>
      </c>
      <c r="J573" s="61" t="s">
        <v>2514</v>
      </c>
      <c r="K573" s="61" t="s">
        <v>2515</v>
      </c>
      <c r="L573" s="61" t="s">
        <v>2516</v>
      </c>
      <c r="M573" s="58">
        <v>2002.0</v>
      </c>
      <c r="N573" s="58">
        <v>16.0</v>
      </c>
      <c r="O573" s="62">
        <v>128.0</v>
      </c>
      <c r="P573" s="62">
        <f t="shared" si="12"/>
        <v>358.4</v>
      </c>
      <c r="Q573" s="63">
        <v>1.0</v>
      </c>
      <c r="R573" s="58">
        <v>1.0</v>
      </c>
      <c r="S573" s="58">
        <v>1.0</v>
      </c>
      <c r="T573" s="58">
        <v>0.0</v>
      </c>
      <c r="U573" s="58">
        <v>2.0</v>
      </c>
      <c r="V573" s="58" t="s">
        <v>130</v>
      </c>
      <c r="W573" s="61" t="s">
        <v>76</v>
      </c>
      <c r="X573" s="28" t="s">
        <v>1033</v>
      </c>
      <c r="Y573" s="64">
        <v>31.0</v>
      </c>
      <c r="Z573" s="65">
        <f t="shared" si="13"/>
        <v>20.15</v>
      </c>
      <c r="AA573" s="65">
        <f t="shared" si="14"/>
        <v>7221.76</v>
      </c>
      <c r="AB573" s="65">
        <f t="shared" si="15"/>
        <v>1107.763205</v>
      </c>
      <c r="AC573" s="66">
        <v>1.0</v>
      </c>
      <c r="AD573" s="70"/>
      <c r="AE573" s="68">
        <f t="shared" si="16"/>
        <v>6557.377049</v>
      </c>
      <c r="AF573" s="69">
        <v>8000.0</v>
      </c>
      <c r="AG573" s="68">
        <f t="shared" si="17"/>
        <v>6557.377049</v>
      </c>
      <c r="AH573" s="70">
        <f t="shared" si="18"/>
        <v>8000</v>
      </c>
      <c r="AI573" s="71"/>
      <c r="AJ573" s="71"/>
      <c r="AK573" s="71"/>
      <c r="AL573" s="71"/>
    </row>
    <row r="574">
      <c r="A574" s="57" t="s">
        <v>2517</v>
      </c>
      <c r="B574" s="58" t="s">
        <v>193</v>
      </c>
      <c r="C574" s="58" t="s">
        <v>194</v>
      </c>
      <c r="D574" s="58" t="s">
        <v>162</v>
      </c>
      <c r="E574" s="58" t="s">
        <v>2060</v>
      </c>
      <c r="F574" s="58" t="s">
        <v>63</v>
      </c>
      <c r="G574" s="59">
        <v>46234.0</v>
      </c>
      <c r="H574" s="58" t="s">
        <v>104</v>
      </c>
      <c r="I574" s="60" t="s">
        <v>2518</v>
      </c>
      <c r="J574" s="61" t="s">
        <v>2519</v>
      </c>
      <c r="K574" s="61" t="s">
        <v>2520</v>
      </c>
      <c r="L574" s="61" t="s">
        <v>2521</v>
      </c>
      <c r="M574" s="58">
        <v>2004.0</v>
      </c>
      <c r="N574" s="58">
        <v>14.0</v>
      </c>
      <c r="O574" s="62">
        <v>96.0</v>
      </c>
      <c r="P574" s="62">
        <f t="shared" si="12"/>
        <v>268.8</v>
      </c>
      <c r="Q574" s="63">
        <v>1.0</v>
      </c>
      <c r="R574" s="58">
        <v>1.0</v>
      </c>
      <c r="S574" s="58">
        <v>1.0</v>
      </c>
      <c r="T574" s="58">
        <v>0.0</v>
      </c>
      <c r="U574" s="58">
        <v>2.0</v>
      </c>
      <c r="V574" s="58" t="s">
        <v>130</v>
      </c>
      <c r="W574" s="61" t="s">
        <v>76</v>
      </c>
      <c r="X574" s="28" t="s">
        <v>1033</v>
      </c>
      <c r="Y574" s="64">
        <v>31.0</v>
      </c>
      <c r="Z574" s="65">
        <f t="shared" si="13"/>
        <v>20.15</v>
      </c>
      <c r="AA574" s="65">
        <f t="shared" si="14"/>
        <v>5416.32</v>
      </c>
      <c r="AB574" s="65">
        <f t="shared" si="15"/>
        <v>1477.017606</v>
      </c>
      <c r="AC574" s="66">
        <v>1.0</v>
      </c>
      <c r="AD574" s="67"/>
      <c r="AE574" s="68">
        <f t="shared" si="16"/>
        <v>6557.377049</v>
      </c>
      <c r="AF574" s="69">
        <v>8000.0</v>
      </c>
      <c r="AG574" s="68">
        <f t="shared" si="17"/>
        <v>6557.377049</v>
      </c>
      <c r="AH574" s="70">
        <f t="shared" si="18"/>
        <v>8000</v>
      </c>
      <c r="AI574" s="71"/>
      <c r="AJ574" s="71"/>
      <c r="AK574" s="71"/>
      <c r="AL574" s="71"/>
    </row>
    <row r="575">
      <c r="A575" s="57" t="s">
        <v>2522</v>
      </c>
      <c r="B575" s="58" t="s">
        <v>193</v>
      </c>
      <c r="C575" s="58" t="s">
        <v>194</v>
      </c>
      <c r="D575" s="58" t="s">
        <v>162</v>
      </c>
      <c r="E575" s="58" t="s">
        <v>2060</v>
      </c>
      <c r="F575" s="58" t="s">
        <v>63</v>
      </c>
      <c r="G575" s="59">
        <v>46234.0</v>
      </c>
      <c r="H575" s="58" t="s">
        <v>104</v>
      </c>
      <c r="I575" s="60" t="s">
        <v>2523</v>
      </c>
      <c r="J575" s="61" t="s">
        <v>2524</v>
      </c>
      <c r="K575" s="61" t="s">
        <v>2525</v>
      </c>
      <c r="L575" s="61" t="s">
        <v>2526</v>
      </c>
      <c r="M575" s="58">
        <v>2003.0</v>
      </c>
      <c r="N575" s="58">
        <v>14.0</v>
      </c>
      <c r="O575" s="62">
        <v>132.0</v>
      </c>
      <c r="P575" s="62">
        <f t="shared" si="12"/>
        <v>369.6</v>
      </c>
      <c r="Q575" s="63">
        <v>1.0</v>
      </c>
      <c r="R575" s="58">
        <v>1.0</v>
      </c>
      <c r="S575" s="58">
        <v>1.0</v>
      </c>
      <c r="T575" s="58">
        <v>0.0</v>
      </c>
      <c r="U575" s="58">
        <v>3.0</v>
      </c>
      <c r="V575" s="58" t="s">
        <v>130</v>
      </c>
      <c r="W575" s="61" t="s">
        <v>76</v>
      </c>
      <c r="X575" s="28" t="s">
        <v>1033</v>
      </c>
      <c r="Y575" s="64">
        <v>31.0</v>
      </c>
      <c r="Z575" s="65">
        <f t="shared" si="13"/>
        <v>20.15</v>
      </c>
      <c r="AA575" s="65">
        <f t="shared" si="14"/>
        <v>7447.44</v>
      </c>
      <c r="AB575" s="65">
        <f t="shared" si="15"/>
        <v>1074.194623</v>
      </c>
      <c r="AC575" s="66">
        <v>1.0</v>
      </c>
      <c r="AD575" s="67"/>
      <c r="AE575" s="68">
        <f t="shared" si="16"/>
        <v>6557.377049</v>
      </c>
      <c r="AF575" s="69">
        <v>8000.0</v>
      </c>
      <c r="AG575" s="68">
        <f t="shared" si="17"/>
        <v>6557.377049</v>
      </c>
      <c r="AH575" s="70">
        <f t="shared" si="18"/>
        <v>8000</v>
      </c>
      <c r="AI575" s="71"/>
      <c r="AJ575" s="71"/>
      <c r="AK575" s="71"/>
      <c r="AL575" s="71"/>
    </row>
    <row r="576">
      <c r="A576" s="57" t="s">
        <v>2522</v>
      </c>
      <c r="B576" s="58" t="s">
        <v>193</v>
      </c>
      <c r="C576" s="58" t="s">
        <v>194</v>
      </c>
      <c r="D576" s="58" t="s">
        <v>162</v>
      </c>
      <c r="E576" s="58" t="s">
        <v>2060</v>
      </c>
      <c r="F576" s="58" t="s">
        <v>63</v>
      </c>
      <c r="G576" s="59">
        <v>46234.0</v>
      </c>
      <c r="H576" s="58" t="s">
        <v>104</v>
      </c>
      <c r="I576" s="60" t="s">
        <v>2523</v>
      </c>
      <c r="J576" s="61" t="s">
        <v>2527</v>
      </c>
      <c r="K576" s="61" t="s">
        <v>2528</v>
      </c>
      <c r="L576" s="61" t="s">
        <v>2529</v>
      </c>
      <c r="M576" s="58">
        <v>2003.0</v>
      </c>
      <c r="N576" s="58">
        <v>14.0</v>
      </c>
      <c r="O576" s="62">
        <v>132.0</v>
      </c>
      <c r="P576" s="62">
        <f t="shared" si="12"/>
        <v>369.6</v>
      </c>
      <c r="Q576" s="63">
        <v>1.0</v>
      </c>
      <c r="R576" s="58">
        <v>1.0</v>
      </c>
      <c r="S576" s="58">
        <v>1.0</v>
      </c>
      <c r="T576" s="58">
        <v>0.0</v>
      </c>
      <c r="U576" s="58">
        <v>3.0</v>
      </c>
      <c r="V576" s="58" t="s">
        <v>130</v>
      </c>
      <c r="W576" s="61" t="s">
        <v>76</v>
      </c>
      <c r="X576" s="28" t="s">
        <v>1033</v>
      </c>
      <c r="Y576" s="64">
        <v>31.0</v>
      </c>
      <c r="Z576" s="65">
        <f t="shared" si="13"/>
        <v>20.15</v>
      </c>
      <c r="AA576" s="65">
        <f t="shared" si="14"/>
        <v>7447.44</v>
      </c>
      <c r="AB576" s="65">
        <f t="shared" si="15"/>
        <v>1074.194623</v>
      </c>
      <c r="AC576" s="66">
        <v>1.0</v>
      </c>
      <c r="AD576" s="70"/>
      <c r="AE576" s="68">
        <f t="shared" si="16"/>
        <v>6557.377049</v>
      </c>
      <c r="AF576" s="69">
        <v>8000.0</v>
      </c>
      <c r="AG576" s="68">
        <f t="shared" si="17"/>
        <v>6557.377049</v>
      </c>
      <c r="AH576" s="70">
        <f t="shared" si="18"/>
        <v>8000</v>
      </c>
      <c r="AI576" s="71"/>
      <c r="AJ576" s="71"/>
      <c r="AK576" s="71"/>
      <c r="AL576" s="71"/>
    </row>
    <row r="577">
      <c r="A577" s="57" t="s">
        <v>2522</v>
      </c>
      <c r="B577" s="58" t="s">
        <v>193</v>
      </c>
      <c r="C577" s="58" t="s">
        <v>194</v>
      </c>
      <c r="D577" s="58" t="s">
        <v>162</v>
      </c>
      <c r="E577" s="58" t="s">
        <v>2060</v>
      </c>
      <c r="F577" s="58" t="s">
        <v>63</v>
      </c>
      <c r="G577" s="59">
        <v>46234.0</v>
      </c>
      <c r="H577" s="58" t="s">
        <v>104</v>
      </c>
      <c r="I577" s="60" t="s">
        <v>2523</v>
      </c>
      <c r="J577" s="61" t="s">
        <v>2530</v>
      </c>
      <c r="K577" s="61" t="s">
        <v>2531</v>
      </c>
      <c r="L577" s="61" t="s">
        <v>2526</v>
      </c>
      <c r="M577" s="58">
        <v>2003.0</v>
      </c>
      <c r="N577" s="58">
        <v>14.0</v>
      </c>
      <c r="O577" s="62">
        <v>132.0</v>
      </c>
      <c r="P577" s="62">
        <f t="shared" si="12"/>
        <v>369.6</v>
      </c>
      <c r="Q577" s="63">
        <v>1.0</v>
      </c>
      <c r="R577" s="58">
        <v>1.0</v>
      </c>
      <c r="S577" s="58">
        <v>1.0</v>
      </c>
      <c r="T577" s="58">
        <v>0.0</v>
      </c>
      <c r="U577" s="58">
        <v>3.0</v>
      </c>
      <c r="V577" s="58" t="s">
        <v>130</v>
      </c>
      <c r="W577" s="61" t="s">
        <v>76</v>
      </c>
      <c r="X577" s="28" t="s">
        <v>1033</v>
      </c>
      <c r="Y577" s="64">
        <v>31.0</v>
      </c>
      <c r="Z577" s="65">
        <f t="shared" si="13"/>
        <v>20.15</v>
      </c>
      <c r="AA577" s="65">
        <f t="shared" si="14"/>
        <v>7447.44</v>
      </c>
      <c r="AB577" s="65">
        <f t="shared" si="15"/>
        <v>1074.194623</v>
      </c>
      <c r="AC577" s="66">
        <v>1.0</v>
      </c>
      <c r="AD577" s="70"/>
      <c r="AE577" s="68">
        <f t="shared" si="16"/>
        <v>6557.377049</v>
      </c>
      <c r="AF577" s="69">
        <v>8000.0</v>
      </c>
      <c r="AG577" s="68">
        <f t="shared" si="17"/>
        <v>6557.377049</v>
      </c>
      <c r="AH577" s="70">
        <f t="shared" si="18"/>
        <v>8000</v>
      </c>
      <c r="AI577" s="71"/>
      <c r="AJ577" s="71"/>
      <c r="AK577" s="71"/>
      <c r="AL577" s="71"/>
    </row>
    <row r="578">
      <c r="A578" s="57" t="s">
        <v>2532</v>
      </c>
      <c r="B578" s="58" t="s">
        <v>239</v>
      </c>
      <c r="C578" s="58" t="s">
        <v>240</v>
      </c>
      <c r="D578" s="58" t="s">
        <v>2533</v>
      </c>
      <c r="E578" s="58" t="s">
        <v>897</v>
      </c>
      <c r="F578" s="58" t="s">
        <v>63</v>
      </c>
      <c r="G578" s="59">
        <v>45985.0</v>
      </c>
      <c r="H578" s="58" t="s">
        <v>118</v>
      </c>
      <c r="I578" s="60" t="s">
        <v>2534</v>
      </c>
      <c r="J578" s="61" t="s">
        <v>2535</v>
      </c>
      <c r="K578" s="61" t="s">
        <v>2536</v>
      </c>
      <c r="L578" s="61" t="s">
        <v>2537</v>
      </c>
      <c r="M578" s="58">
        <v>2015.0</v>
      </c>
      <c r="N578" s="58">
        <v>25.0</v>
      </c>
      <c r="O578" s="62">
        <v>27.0</v>
      </c>
      <c r="P578" s="62">
        <f t="shared" si="12"/>
        <v>75.6</v>
      </c>
      <c r="Q578" s="63">
        <v>6.0</v>
      </c>
      <c r="R578" s="58">
        <v>6.0</v>
      </c>
      <c r="S578" s="58">
        <v>5.0</v>
      </c>
      <c r="T578" s="58">
        <v>0.0</v>
      </c>
      <c r="U578" s="58">
        <v>12.0</v>
      </c>
      <c r="V578" s="58" t="s">
        <v>75</v>
      </c>
      <c r="W578" s="61" t="s">
        <v>76</v>
      </c>
      <c r="X578" s="28" t="s">
        <v>1033</v>
      </c>
      <c r="Y578" s="64">
        <v>31.0</v>
      </c>
      <c r="Z578" s="65">
        <f t="shared" si="13"/>
        <v>24.18</v>
      </c>
      <c r="AA578" s="65">
        <f t="shared" si="14"/>
        <v>1828.008</v>
      </c>
      <c r="AB578" s="65">
        <f t="shared" si="15"/>
        <v>26258.09077</v>
      </c>
      <c r="AC578" s="66">
        <v>1.0</v>
      </c>
      <c r="AD578" s="70"/>
      <c r="AE578" s="68">
        <f t="shared" si="16"/>
        <v>6557.377049</v>
      </c>
      <c r="AF578" s="69">
        <v>8000.0</v>
      </c>
      <c r="AG578" s="68">
        <f t="shared" si="17"/>
        <v>39344.2623</v>
      </c>
      <c r="AH578" s="70">
        <f t="shared" si="18"/>
        <v>48000</v>
      </c>
      <c r="AI578" s="71"/>
      <c r="AJ578" s="71"/>
      <c r="AK578" s="71"/>
      <c r="AL578" s="71"/>
    </row>
    <row r="579">
      <c r="A579" s="57" t="s">
        <v>2532</v>
      </c>
      <c r="B579" s="58" t="s">
        <v>239</v>
      </c>
      <c r="C579" s="58" t="s">
        <v>240</v>
      </c>
      <c r="D579" s="58" t="s">
        <v>2533</v>
      </c>
      <c r="E579" s="58" t="s">
        <v>897</v>
      </c>
      <c r="F579" s="58" t="s">
        <v>63</v>
      </c>
      <c r="G579" s="59">
        <v>45985.0</v>
      </c>
      <c r="H579" s="58" t="s">
        <v>118</v>
      </c>
      <c r="I579" s="60" t="s">
        <v>2534</v>
      </c>
      <c r="J579" s="61" t="s">
        <v>2538</v>
      </c>
      <c r="K579" s="61" t="s">
        <v>2539</v>
      </c>
      <c r="L579" s="61" t="s">
        <v>2540</v>
      </c>
      <c r="M579" s="58">
        <v>2015.0</v>
      </c>
      <c r="N579" s="58">
        <v>25.0</v>
      </c>
      <c r="O579" s="62">
        <v>960.0</v>
      </c>
      <c r="P579" s="62">
        <f t="shared" si="12"/>
        <v>2688</v>
      </c>
      <c r="Q579" s="63">
        <v>6.0</v>
      </c>
      <c r="R579" s="58">
        <v>6.0</v>
      </c>
      <c r="S579" s="58">
        <v>3.0</v>
      </c>
      <c r="T579" s="58">
        <v>0.0</v>
      </c>
      <c r="U579" s="58">
        <v>15.0</v>
      </c>
      <c r="V579" s="58" t="s">
        <v>75</v>
      </c>
      <c r="W579" s="61" t="s">
        <v>76</v>
      </c>
      <c r="X579" s="28" t="s">
        <v>1033</v>
      </c>
      <c r="Y579" s="64">
        <v>31.0</v>
      </c>
      <c r="Z579" s="65">
        <f t="shared" si="13"/>
        <v>40.3</v>
      </c>
      <c r="AA579" s="65">
        <f t="shared" si="14"/>
        <v>108326.4</v>
      </c>
      <c r="AB579" s="65">
        <f t="shared" si="15"/>
        <v>443.1052818</v>
      </c>
      <c r="AC579" s="66">
        <v>1.0</v>
      </c>
      <c r="AD579" s="67"/>
      <c r="AE579" s="68">
        <f t="shared" si="16"/>
        <v>6557.377049</v>
      </c>
      <c r="AF579" s="69">
        <v>8000.0</v>
      </c>
      <c r="AG579" s="68">
        <f t="shared" si="17"/>
        <v>39344.2623</v>
      </c>
      <c r="AH579" s="70">
        <f t="shared" si="18"/>
        <v>48000</v>
      </c>
      <c r="AI579" s="71"/>
      <c r="AJ579" s="71"/>
      <c r="AK579" s="71"/>
      <c r="AL579" s="71"/>
    </row>
    <row r="580">
      <c r="A580" s="57" t="s">
        <v>2541</v>
      </c>
      <c r="B580" s="58" t="s">
        <v>239</v>
      </c>
      <c r="C580" s="58" t="s">
        <v>240</v>
      </c>
      <c r="D580" s="58" t="s">
        <v>2533</v>
      </c>
      <c r="E580" s="58" t="s">
        <v>897</v>
      </c>
      <c r="F580" s="58" t="s">
        <v>63</v>
      </c>
      <c r="G580" s="59">
        <v>45996.0</v>
      </c>
      <c r="H580" s="58" t="s">
        <v>118</v>
      </c>
      <c r="I580" s="60" t="s">
        <v>2542</v>
      </c>
      <c r="J580" s="61" t="s">
        <v>2543</v>
      </c>
      <c r="K580" s="61" t="s">
        <v>2544</v>
      </c>
      <c r="L580" s="61" t="s">
        <v>2545</v>
      </c>
      <c r="M580" s="58">
        <v>2016.0</v>
      </c>
      <c r="N580" s="58">
        <v>25.0</v>
      </c>
      <c r="O580" s="62">
        <v>293.0</v>
      </c>
      <c r="P580" s="62">
        <f t="shared" si="12"/>
        <v>820.4</v>
      </c>
      <c r="Q580" s="63">
        <v>3.0</v>
      </c>
      <c r="R580" s="58">
        <v>3.0</v>
      </c>
      <c r="S580" s="58">
        <v>6.0</v>
      </c>
      <c r="T580" s="58">
        <v>0.0</v>
      </c>
      <c r="U580" s="58">
        <v>9.0</v>
      </c>
      <c r="V580" s="58" t="s">
        <v>75</v>
      </c>
      <c r="W580" s="61" t="s">
        <v>76</v>
      </c>
      <c r="X580" s="28" t="s">
        <v>1033</v>
      </c>
      <c r="Y580" s="64">
        <v>31.0</v>
      </c>
      <c r="Z580" s="65">
        <f t="shared" si="13"/>
        <v>10.075</v>
      </c>
      <c r="AA580" s="65">
        <f t="shared" si="14"/>
        <v>8265.53</v>
      </c>
      <c r="AB580" s="65">
        <f t="shared" si="15"/>
        <v>2903.625055</v>
      </c>
      <c r="AC580" s="66">
        <v>1.0</v>
      </c>
      <c r="AD580" s="67"/>
      <c r="AE580" s="68">
        <f t="shared" si="16"/>
        <v>6557.377049</v>
      </c>
      <c r="AF580" s="69">
        <v>8000.0</v>
      </c>
      <c r="AG580" s="68">
        <f t="shared" si="17"/>
        <v>19672.13115</v>
      </c>
      <c r="AH580" s="70">
        <f t="shared" si="18"/>
        <v>24000</v>
      </c>
      <c r="AI580" s="71"/>
      <c r="AJ580" s="71"/>
      <c r="AK580" s="71"/>
      <c r="AL580" s="71"/>
    </row>
    <row r="581" ht="18.75" customHeight="1">
      <c r="A581" s="57" t="s">
        <v>2541</v>
      </c>
      <c r="B581" s="58" t="s">
        <v>239</v>
      </c>
      <c r="C581" s="58" t="s">
        <v>240</v>
      </c>
      <c r="D581" s="58" t="s">
        <v>2533</v>
      </c>
      <c r="E581" s="58" t="s">
        <v>897</v>
      </c>
      <c r="F581" s="58" t="s">
        <v>63</v>
      </c>
      <c r="G581" s="59">
        <v>45996.0</v>
      </c>
      <c r="H581" s="58" t="s">
        <v>118</v>
      </c>
      <c r="I581" s="60" t="s">
        <v>2542</v>
      </c>
      <c r="J581" s="61" t="s">
        <v>2546</v>
      </c>
      <c r="K581" s="61" t="s">
        <v>2547</v>
      </c>
      <c r="L581" s="61" t="s">
        <v>2548</v>
      </c>
      <c r="M581" s="58">
        <v>2015.0</v>
      </c>
      <c r="N581" s="58">
        <v>25.0</v>
      </c>
      <c r="O581" s="62">
        <v>563.0</v>
      </c>
      <c r="P581" s="62">
        <f t="shared" si="12"/>
        <v>1576.4</v>
      </c>
      <c r="Q581" s="63">
        <v>6.0</v>
      </c>
      <c r="R581" s="58">
        <v>6.0</v>
      </c>
      <c r="S581" s="58">
        <v>3.0</v>
      </c>
      <c r="T581" s="58">
        <v>0.0</v>
      </c>
      <c r="U581" s="58">
        <v>18.0</v>
      </c>
      <c r="V581" s="58" t="s">
        <v>75</v>
      </c>
      <c r="W581" s="61" t="s">
        <v>76</v>
      </c>
      <c r="X581" s="28" t="s">
        <v>1033</v>
      </c>
      <c r="Y581" s="64">
        <v>31.0</v>
      </c>
      <c r="Z581" s="65">
        <f t="shared" si="13"/>
        <v>40.3</v>
      </c>
      <c r="AA581" s="65">
        <f t="shared" si="14"/>
        <v>63528.92</v>
      </c>
      <c r="AB581" s="65">
        <f t="shared" si="15"/>
        <v>755.5614042</v>
      </c>
      <c r="AC581" s="66">
        <v>1.0</v>
      </c>
      <c r="AD581" s="70"/>
      <c r="AE581" s="68">
        <f t="shared" si="16"/>
        <v>6557.377049</v>
      </c>
      <c r="AF581" s="69">
        <v>8000.0</v>
      </c>
      <c r="AG581" s="68">
        <f t="shared" si="17"/>
        <v>39344.2623</v>
      </c>
      <c r="AH581" s="70">
        <f t="shared" si="18"/>
        <v>48000</v>
      </c>
      <c r="AI581" s="71"/>
      <c r="AJ581" s="71"/>
      <c r="AK581" s="71"/>
      <c r="AL581" s="71"/>
    </row>
    <row r="582">
      <c r="A582" s="57" t="s">
        <v>2541</v>
      </c>
      <c r="B582" s="58" t="s">
        <v>239</v>
      </c>
      <c r="C582" s="58" t="s">
        <v>240</v>
      </c>
      <c r="D582" s="58" t="s">
        <v>2533</v>
      </c>
      <c r="E582" s="58" t="s">
        <v>897</v>
      </c>
      <c r="F582" s="58" t="s">
        <v>63</v>
      </c>
      <c r="G582" s="59">
        <v>45996.0</v>
      </c>
      <c r="H582" s="58" t="s">
        <v>118</v>
      </c>
      <c r="I582" s="60" t="s">
        <v>2542</v>
      </c>
      <c r="J582" s="61" t="s">
        <v>2549</v>
      </c>
      <c r="K582" s="61" t="s">
        <v>2550</v>
      </c>
      <c r="L582" s="61" t="s">
        <v>2551</v>
      </c>
      <c r="M582" s="58">
        <v>2016.0</v>
      </c>
      <c r="N582" s="58">
        <v>15.0</v>
      </c>
      <c r="O582" s="62">
        <v>144.0</v>
      </c>
      <c r="P582" s="62">
        <f t="shared" si="12"/>
        <v>403.2</v>
      </c>
      <c r="Q582" s="63">
        <v>3.0</v>
      </c>
      <c r="R582" s="58">
        <v>3.0</v>
      </c>
      <c r="S582" s="58">
        <v>2.0</v>
      </c>
      <c r="T582" s="58">
        <v>0.0</v>
      </c>
      <c r="U582" s="58">
        <v>6.0</v>
      </c>
      <c r="V582" s="58" t="s">
        <v>75</v>
      </c>
      <c r="W582" s="61" t="s">
        <v>76</v>
      </c>
      <c r="X582" s="28" t="s">
        <v>1033</v>
      </c>
      <c r="Y582" s="64">
        <v>31.0</v>
      </c>
      <c r="Z582" s="65">
        <f t="shared" si="13"/>
        <v>30.225</v>
      </c>
      <c r="AA582" s="65">
        <f t="shared" si="14"/>
        <v>12186.72</v>
      </c>
      <c r="AB582" s="65">
        <f t="shared" si="15"/>
        <v>1969.356808</v>
      </c>
      <c r="AC582" s="66">
        <v>1.0</v>
      </c>
      <c r="AD582" s="70"/>
      <c r="AE582" s="68">
        <f t="shared" si="16"/>
        <v>6557.377049</v>
      </c>
      <c r="AF582" s="69">
        <v>8000.0</v>
      </c>
      <c r="AG582" s="68">
        <f t="shared" si="17"/>
        <v>19672.13115</v>
      </c>
      <c r="AH582" s="70">
        <f t="shared" si="18"/>
        <v>24000</v>
      </c>
      <c r="AI582" s="71"/>
      <c r="AJ582" s="71"/>
      <c r="AK582" s="71"/>
      <c r="AL582" s="71"/>
    </row>
    <row r="583">
      <c r="A583" s="57" t="s">
        <v>2552</v>
      </c>
      <c r="B583" s="58" t="s">
        <v>239</v>
      </c>
      <c r="C583" s="58" t="s">
        <v>240</v>
      </c>
      <c r="D583" s="58" t="s">
        <v>2533</v>
      </c>
      <c r="E583" s="58" t="s">
        <v>897</v>
      </c>
      <c r="F583" s="58" t="s">
        <v>63</v>
      </c>
      <c r="G583" s="59">
        <v>45993.0</v>
      </c>
      <c r="H583" s="58" t="s">
        <v>104</v>
      </c>
      <c r="I583" s="60" t="s">
        <v>2553</v>
      </c>
      <c r="J583" s="61" t="s">
        <v>2554</v>
      </c>
      <c r="K583" s="61" t="s">
        <v>2555</v>
      </c>
      <c r="L583" s="61" t="s">
        <v>2556</v>
      </c>
      <c r="M583" s="58">
        <v>2015.0</v>
      </c>
      <c r="N583" s="58">
        <v>25.0</v>
      </c>
      <c r="O583" s="62">
        <v>192.0</v>
      </c>
      <c r="P583" s="62">
        <f t="shared" si="12"/>
        <v>537.6</v>
      </c>
      <c r="Q583" s="63">
        <v>2.0</v>
      </c>
      <c r="R583" s="58">
        <v>2.0</v>
      </c>
      <c r="S583" s="58">
        <v>6.0</v>
      </c>
      <c r="T583" s="58">
        <v>0.0</v>
      </c>
      <c r="U583" s="58">
        <v>6.0</v>
      </c>
      <c r="V583" s="58" t="s">
        <v>75</v>
      </c>
      <c r="W583" s="61" t="s">
        <v>76</v>
      </c>
      <c r="X583" s="28" t="s">
        <v>1033</v>
      </c>
      <c r="Y583" s="64">
        <v>31.0</v>
      </c>
      <c r="Z583" s="65">
        <f t="shared" si="13"/>
        <v>6.716666667</v>
      </c>
      <c r="AA583" s="65">
        <f t="shared" si="14"/>
        <v>3610.88</v>
      </c>
      <c r="AB583" s="65">
        <f t="shared" si="15"/>
        <v>4431.052818</v>
      </c>
      <c r="AC583" s="66">
        <v>1.0</v>
      </c>
      <c r="AD583" s="70"/>
      <c r="AE583" s="68">
        <f t="shared" si="16"/>
        <v>6557.377049</v>
      </c>
      <c r="AF583" s="69">
        <v>8000.0</v>
      </c>
      <c r="AG583" s="68">
        <f t="shared" si="17"/>
        <v>13114.7541</v>
      </c>
      <c r="AH583" s="70">
        <f t="shared" si="18"/>
        <v>16000</v>
      </c>
      <c r="AI583" s="71"/>
      <c r="AJ583" s="71"/>
      <c r="AK583" s="71"/>
      <c r="AL583" s="71"/>
    </row>
    <row r="584">
      <c r="A584" s="57" t="s">
        <v>2552</v>
      </c>
      <c r="B584" s="58" t="s">
        <v>239</v>
      </c>
      <c r="C584" s="58" t="s">
        <v>240</v>
      </c>
      <c r="D584" s="58" t="s">
        <v>2533</v>
      </c>
      <c r="E584" s="58" t="s">
        <v>897</v>
      </c>
      <c r="F584" s="58" t="s">
        <v>63</v>
      </c>
      <c r="G584" s="59">
        <v>45993.0</v>
      </c>
      <c r="H584" s="58" t="s">
        <v>104</v>
      </c>
      <c r="I584" s="60" t="s">
        <v>2553</v>
      </c>
      <c r="J584" s="61" t="s">
        <v>2557</v>
      </c>
      <c r="K584" s="61" t="s">
        <v>2558</v>
      </c>
      <c r="L584" s="61" t="s">
        <v>2559</v>
      </c>
      <c r="M584" s="58">
        <v>2015.0</v>
      </c>
      <c r="N584" s="58">
        <v>25.0</v>
      </c>
      <c r="O584" s="62">
        <v>544.0</v>
      </c>
      <c r="P584" s="62">
        <f t="shared" si="12"/>
        <v>1523.2</v>
      </c>
      <c r="Q584" s="63">
        <v>6.0</v>
      </c>
      <c r="R584" s="58">
        <v>6.0</v>
      </c>
      <c r="S584" s="58">
        <v>5.0</v>
      </c>
      <c r="T584" s="58">
        <v>0.0</v>
      </c>
      <c r="U584" s="58">
        <v>18.0</v>
      </c>
      <c r="V584" s="58" t="s">
        <v>75</v>
      </c>
      <c r="W584" s="61" t="s">
        <v>76</v>
      </c>
      <c r="X584" s="28" t="s">
        <v>1033</v>
      </c>
      <c r="Y584" s="64">
        <v>31.0</v>
      </c>
      <c r="Z584" s="65">
        <f t="shared" si="13"/>
        <v>24.18</v>
      </c>
      <c r="AA584" s="65">
        <f t="shared" si="14"/>
        <v>36830.976</v>
      </c>
      <c r="AB584" s="65">
        <f t="shared" si="15"/>
        <v>1303.250829</v>
      </c>
      <c r="AC584" s="66">
        <v>1.0</v>
      </c>
      <c r="AD584" s="67"/>
      <c r="AE584" s="68">
        <f t="shared" si="16"/>
        <v>6557.377049</v>
      </c>
      <c r="AF584" s="69">
        <v>8000.0</v>
      </c>
      <c r="AG584" s="68">
        <f t="shared" si="17"/>
        <v>39344.2623</v>
      </c>
      <c r="AH584" s="70">
        <f t="shared" si="18"/>
        <v>48000</v>
      </c>
      <c r="AI584" s="71"/>
      <c r="AJ584" s="71"/>
      <c r="AK584" s="71"/>
      <c r="AL584" s="71"/>
    </row>
    <row r="585">
      <c r="A585" s="57" t="s">
        <v>2552</v>
      </c>
      <c r="B585" s="58" t="s">
        <v>239</v>
      </c>
      <c r="C585" s="58" t="s">
        <v>240</v>
      </c>
      <c r="D585" s="58" t="s">
        <v>2533</v>
      </c>
      <c r="E585" s="58" t="s">
        <v>897</v>
      </c>
      <c r="F585" s="58" t="s">
        <v>63</v>
      </c>
      <c r="G585" s="59">
        <v>45993.0</v>
      </c>
      <c r="H585" s="58" t="s">
        <v>104</v>
      </c>
      <c r="I585" s="60" t="s">
        <v>2553</v>
      </c>
      <c r="J585" s="61" t="s">
        <v>2560</v>
      </c>
      <c r="K585" s="61" t="s">
        <v>2561</v>
      </c>
      <c r="L585" s="61" t="s">
        <v>2562</v>
      </c>
      <c r="M585" s="58">
        <v>2018.0</v>
      </c>
      <c r="N585" s="58">
        <v>22.0</v>
      </c>
      <c r="O585" s="62">
        <v>542.0</v>
      </c>
      <c r="P585" s="62">
        <f t="shared" si="12"/>
        <v>1517.6</v>
      </c>
      <c r="Q585" s="63">
        <v>5.0</v>
      </c>
      <c r="R585" s="58">
        <v>5.0</v>
      </c>
      <c r="S585" s="58">
        <v>3.0</v>
      </c>
      <c r="T585" s="58">
        <v>0.0</v>
      </c>
      <c r="U585" s="58">
        <v>15.0</v>
      </c>
      <c r="V585" s="58" t="s">
        <v>75</v>
      </c>
      <c r="W585" s="61" t="s">
        <v>76</v>
      </c>
      <c r="X585" s="28" t="s">
        <v>1033</v>
      </c>
      <c r="Y585" s="64">
        <v>31.0</v>
      </c>
      <c r="Z585" s="65">
        <f t="shared" si="13"/>
        <v>33.58333333</v>
      </c>
      <c r="AA585" s="65">
        <f t="shared" si="14"/>
        <v>50966.06667</v>
      </c>
      <c r="AB585" s="65">
        <f t="shared" si="15"/>
        <v>784.8359235</v>
      </c>
      <c r="AC585" s="66">
        <v>1.0</v>
      </c>
      <c r="AD585" s="67"/>
      <c r="AE585" s="68">
        <f t="shared" si="16"/>
        <v>6557.377049</v>
      </c>
      <c r="AF585" s="69">
        <v>8000.0</v>
      </c>
      <c r="AG585" s="68">
        <f t="shared" si="17"/>
        <v>32786.88525</v>
      </c>
      <c r="AH585" s="70">
        <f t="shared" si="18"/>
        <v>40000</v>
      </c>
      <c r="AI585" s="71"/>
      <c r="AJ585" s="71"/>
      <c r="AK585" s="71"/>
      <c r="AL585" s="71"/>
    </row>
    <row r="586">
      <c r="A586" s="57" t="s">
        <v>2563</v>
      </c>
      <c r="B586" s="58" t="s">
        <v>239</v>
      </c>
      <c r="C586" s="58" t="s">
        <v>240</v>
      </c>
      <c r="D586" s="58" t="s">
        <v>2533</v>
      </c>
      <c r="E586" s="58" t="s">
        <v>897</v>
      </c>
      <c r="F586" s="58" t="s">
        <v>63</v>
      </c>
      <c r="G586" s="59">
        <v>46078.0</v>
      </c>
      <c r="H586" s="58" t="s">
        <v>104</v>
      </c>
      <c r="I586" s="58" t="s">
        <v>2564</v>
      </c>
      <c r="J586" s="61" t="s">
        <v>2565</v>
      </c>
      <c r="K586" s="61" t="s">
        <v>2566</v>
      </c>
      <c r="L586" s="61" t="s">
        <v>2567</v>
      </c>
      <c r="M586" s="58">
        <v>2015.0</v>
      </c>
      <c r="N586" s="58">
        <v>22.0</v>
      </c>
      <c r="O586" s="62">
        <v>252.0</v>
      </c>
      <c r="P586" s="62">
        <f t="shared" si="12"/>
        <v>705.6</v>
      </c>
      <c r="Q586" s="63">
        <v>3.0</v>
      </c>
      <c r="R586" s="58">
        <v>3.0</v>
      </c>
      <c r="S586" s="58">
        <v>4.0</v>
      </c>
      <c r="T586" s="58">
        <v>0.0</v>
      </c>
      <c r="U586" s="58">
        <v>9.0</v>
      </c>
      <c r="V586" s="58" t="s">
        <v>75</v>
      </c>
      <c r="W586" s="61" t="s">
        <v>76</v>
      </c>
      <c r="X586" s="28" t="s">
        <v>1033</v>
      </c>
      <c r="Y586" s="64">
        <v>31.0</v>
      </c>
      <c r="Z586" s="65">
        <f t="shared" si="13"/>
        <v>15.1125</v>
      </c>
      <c r="AA586" s="65">
        <f t="shared" si="14"/>
        <v>10663.38</v>
      </c>
      <c r="AB586" s="65">
        <f t="shared" si="15"/>
        <v>2250.693495</v>
      </c>
      <c r="AC586" s="66">
        <v>1.0</v>
      </c>
      <c r="AD586" s="67"/>
      <c r="AE586" s="68">
        <f t="shared" si="16"/>
        <v>6557.377049</v>
      </c>
      <c r="AF586" s="69">
        <v>8000.0</v>
      </c>
      <c r="AG586" s="68">
        <f t="shared" si="17"/>
        <v>19672.13115</v>
      </c>
      <c r="AH586" s="70">
        <f t="shared" si="18"/>
        <v>24000</v>
      </c>
      <c r="AI586" s="71"/>
      <c r="AJ586" s="71"/>
      <c r="AK586" s="71"/>
      <c r="AL586" s="71"/>
    </row>
    <row r="587">
      <c r="A587" s="57" t="s">
        <v>2563</v>
      </c>
      <c r="B587" s="58" t="s">
        <v>239</v>
      </c>
      <c r="C587" s="58" t="s">
        <v>240</v>
      </c>
      <c r="D587" s="58" t="s">
        <v>2533</v>
      </c>
      <c r="E587" s="58" t="s">
        <v>897</v>
      </c>
      <c r="F587" s="58" t="s">
        <v>63</v>
      </c>
      <c r="G587" s="59">
        <v>46078.0</v>
      </c>
      <c r="H587" s="58" t="s">
        <v>104</v>
      </c>
      <c r="I587" s="58" t="s">
        <v>2564</v>
      </c>
      <c r="J587" s="61" t="s">
        <v>2568</v>
      </c>
      <c r="K587" s="61" t="s">
        <v>2569</v>
      </c>
      <c r="L587" s="61" t="s">
        <v>2570</v>
      </c>
      <c r="M587" s="58">
        <v>2016.0</v>
      </c>
      <c r="N587" s="58">
        <v>22.0</v>
      </c>
      <c r="O587" s="62">
        <v>342.0</v>
      </c>
      <c r="P587" s="62">
        <f t="shared" si="12"/>
        <v>957.6</v>
      </c>
      <c r="Q587" s="63">
        <v>4.0</v>
      </c>
      <c r="R587" s="58">
        <v>4.0</v>
      </c>
      <c r="S587" s="58">
        <v>4.0</v>
      </c>
      <c r="T587" s="58">
        <v>0.0</v>
      </c>
      <c r="U587" s="58">
        <v>12.0</v>
      </c>
      <c r="V587" s="58" t="s">
        <v>75</v>
      </c>
      <c r="W587" s="61" t="s">
        <v>76</v>
      </c>
      <c r="X587" s="28" t="s">
        <v>1033</v>
      </c>
      <c r="Y587" s="64">
        <v>31.0</v>
      </c>
      <c r="Z587" s="65">
        <f t="shared" si="13"/>
        <v>20.15</v>
      </c>
      <c r="AA587" s="65">
        <f t="shared" si="14"/>
        <v>19295.64</v>
      </c>
      <c r="AB587" s="65">
        <f t="shared" si="15"/>
        <v>1658.405733</v>
      </c>
      <c r="AC587" s="66">
        <v>1.0</v>
      </c>
      <c r="AD587" s="67"/>
      <c r="AE587" s="68">
        <f t="shared" si="16"/>
        <v>6557.377049</v>
      </c>
      <c r="AF587" s="69">
        <v>8000.0</v>
      </c>
      <c r="AG587" s="68">
        <f t="shared" si="17"/>
        <v>26229.5082</v>
      </c>
      <c r="AH587" s="70">
        <f t="shared" si="18"/>
        <v>32000</v>
      </c>
      <c r="AI587" s="71"/>
      <c r="AJ587" s="71"/>
      <c r="AK587" s="71"/>
      <c r="AL587" s="71"/>
    </row>
    <row r="588">
      <c r="A588" s="57" t="s">
        <v>2563</v>
      </c>
      <c r="B588" s="58" t="s">
        <v>239</v>
      </c>
      <c r="C588" s="58" t="s">
        <v>240</v>
      </c>
      <c r="D588" s="58" t="s">
        <v>2533</v>
      </c>
      <c r="E588" s="58" t="s">
        <v>897</v>
      </c>
      <c r="F588" s="58" t="s">
        <v>63</v>
      </c>
      <c r="G588" s="59">
        <v>46078.0</v>
      </c>
      <c r="H588" s="58" t="s">
        <v>104</v>
      </c>
      <c r="I588" s="58" t="s">
        <v>2564</v>
      </c>
      <c r="J588" s="61" t="s">
        <v>2571</v>
      </c>
      <c r="K588" s="61" t="s">
        <v>2572</v>
      </c>
      <c r="L588" s="61" t="s">
        <v>2573</v>
      </c>
      <c r="M588" s="58">
        <v>2017.0</v>
      </c>
      <c r="N588" s="58">
        <v>22.0</v>
      </c>
      <c r="O588" s="62">
        <v>343.0</v>
      </c>
      <c r="P588" s="62">
        <f t="shared" si="12"/>
        <v>960.4</v>
      </c>
      <c r="Q588" s="63">
        <v>4.0</v>
      </c>
      <c r="R588" s="58">
        <v>4.0</v>
      </c>
      <c r="S588" s="58">
        <v>4.0</v>
      </c>
      <c r="T588" s="58">
        <v>0.0</v>
      </c>
      <c r="U588" s="58">
        <v>12.0</v>
      </c>
      <c r="V588" s="58" t="s">
        <v>75</v>
      </c>
      <c r="W588" s="61" t="s">
        <v>76</v>
      </c>
      <c r="X588" s="28" t="s">
        <v>1033</v>
      </c>
      <c r="Y588" s="64">
        <v>31.0</v>
      </c>
      <c r="Z588" s="65">
        <f t="shared" si="13"/>
        <v>20.15</v>
      </c>
      <c r="AA588" s="65">
        <f t="shared" si="14"/>
        <v>19352.06</v>
      </c>
      <c r="AB588" s="65">
        <f t="shared" si="15"/>
        <v>1653.570731</v>
      </c>
      <c r="AC588" s="66">
        <v>1.0</v>
      </c>
      <c r="AD588" s="67"/>
      <c r="AE588" s="68">
        <f t="shared" si="16"/>
        <v>6557.377049</v>
      </c>
      <c r="AF588" s="69">
        <v>8000.0</v>
      </c>
      <c r="AG588" s="68">
        <f t="shared" si="17"/>
        <v>26229.5082</v>
      </c>
      <c r="AH588" s="70">
        <f t="shared" si="18"/>
        <v>32000</v>
      </c>
      <c r="AI588" s="71"/>
      <c r="AJ588" s="71"/>
      <c r="AK588" s="71"/>
      <c r="AL588" s="71"/>
    </row>
    <row r="589">
      <c r="A589" s="57" t="s">
        <v>2574</v>
      </c>
      <c r="B589" s="58" t="s">
        <v>239</v>
      </c>
      <c r="C589" s="58" t="s">
        <v>267</v>
      </c>
      <c r="D589" s="58" t="s">
        <v>2575</v>
      </c>
      <c r="E589" s="58" t="s">
        <v>897</v>
      </c>
      <c r="F589" s="58" t="s">
        <v>63</v>
      </c>
      <c r="G589" s="59">
        <v>45985.0</v>
      </c>
      <c r="H589" s="58" t="s">
        <v>118</v>
      </c>
      <c r="I589" s="58" t="s">
        <v>2576</v>
      </c>
      <c r="J589" s="61" t="s">
        <v>2577</v>
      </c>
      <c r="K589" s="61" t="s">
        <v>2578</v>
      </c>
      <c r="L589" s="61" t="s">
        <v>2579</v>
      </c>
      <c r="M589" s="58">
        <v>2013.0</v>
      </c>
      <c r="N589" s="58">
        <v>20.0</v>
      </c>
      <c r="O589" s="62">
        <v>1253.0</v>
      </c>
      <c r="P589" s="62">
        <f t="shared" si="12"/>
        <v>3508.4</v>
      </c>
      <c r="Q589" s="63">
        <v>11.0</v>
      </c>
      <c r="R589" s="58">
        <v>11.0</v>
      </c>
      <c r="S589" s="58">
        <v>11.0</v>
      </c>
      <c r="T589" s="58">
        <v>0.0</v>
      </c>
      <c r="U589" s="58">
        <v>22.0</v>
      </c>
      <c r="V589" s="58" t="s">
        <v>75</v>
      </c>
      <c r="W589" s="61" t="s">
        <v>76</v>
      </c>
      <c r="X589" s="28" t="s">
        <v>1033</v>
      </c>
      <c r="Y589" s="64">
        <v>31.0</v>
      </c>
      <c r="Z589" s="65">
        <f t="shared" si="13"/>
        <v>20.15</v>
      </c>
      <c r="AA589" s="65">
        <f t="shared" si="14"/>
        <v>70694.26</v>
      </c>
      <c r="AB589" s="65">
        <f t="shared" si="15"/>
        <v>1244.796961</v>
      </c>
      <c r="AC589" s="66">
        <v>1.0</v>
      </c>
      <c r="AD589" s="67"/>
      <c r="AE589" s="68">
        <f t="shared" si="16"/>
        <v>6557.377049</v>
      </c>
      <c r="AF589" s="69">
        <v>8000.0</v>
      </c>
      <c r="AG589" s="68">
        <f t="shared" si="17"/>
        <v>72131.14754</v>
      </c>
      <c r="AH589" s="70">
        <f t="shared" si="18"/>
        <v>88000</v>
      </c>
      <c r="AI589" s="71"/>
      <c r="AJ589" s="71"/>
      <c r="AK589" s="71"/>
      <c r="AL589" s="71"/>
    </row>
    <row r="590">
      <c r="A590" s="57" t="s">
        <v>2580</v>
      </c>
      <c r="B590" s="58" t="s">
        <v>239</v>
      </c>
      <c r="C590" s="58" t="s">
        <v>267</v>
      </c>
      <c r="D590" s="58" t="s">
        <v>2575</v>
      </c>
      <c r="E590" s="58" t="s">
        <v>897</v>
      </c>
      <c r="F590" s="58" t="s">
        <v>63</v>
      </c>
      <c r="G590" s="59">
        <v>46078.0</v>
      </c>
      <c r="H590" s="58" t="s">
        <v>104</v>
      </c>
      <c r="I590" s="58" t="s">
        <v>2581</v>
      </c>
      <c r="J590" s="61" t="s">
        <v>2582</v>
      </c>
      <c r="K590" s="61" t="s">
        <v>2583</v>
      </c>
      <c r="L590" s="61" t="s">
        <v>2584</v>
      </c>
      <c r="M590" s="58">
        <v>2025.0</v>
      </c>
      <c r="N590" s="58">
        <v>9.0</v>
      </c>
      <c r="O590" s="62">
        <v>172.0</v>
      </c>
      <c r="P590" s="62">
        <f t="shared" si="12"/>
        <v>481.6</v>
      </c>
      <c r="Q590" s="63">
        <v>5.0</v>
      </c>
      <c r="R590" s="58">
        <v>5.0</v>
      </c>
      <c r="S590" s="58">
        <v>3.0</v>
      </c>
      <c r="T590" s="58">
        <v>0.0</v>
      </c>
      <c r="U590" s="58">
        <v>3.0</v>
      </c>
      <c r="V590" s="58" t="s">
        <v>75</v>
      </c>
      <c r="W590" s="61" t="s">
        <v>76</v>
      </c>
      <c r="X590" s="28" t="s">
        <v>1033</v>
      </c>
      <c r="Y590" s="64">
        <v>31.0</v>
      </c>
      <c r="Z590" s="65">
        <f t="shared" si="13"/>
        <v>33.58333333</v>
      </c>
      <c r="AA590" s="65">
        <f t="shared" si="14"/>
        <v>16173.73333</v>
      </c>
      <c r="AB590" s="65">
        <f t="shared" si="15"/>
        <v>2473.145759</v>
      </c>
      <c r="AC590" s="66">
        <v>1.0</v>
      </c>
      <c r="AD590" s="67"/>
      <c r="AE590" s="68">
        <f t="shared" si="16"/>
        <v>6557.377049</v>
      </c>
      <c r="AF590" s="69">
        <v>8000.0</v>
      </c>
      <c r="AG590" s="68">
        <f t="shared" si="17"/>
        <v>32786.88525</v>
      </c>
      <c r="AH590" s="70">
        <f t="shared" si="18"/>
        <v>40000</v>
      </c>
      <c r="AI590" s="71"/>
      <c r="AJ590" s="71"/>
      <c r="AK590" s="71"/>
      <c r="AL590" s="71"/>
    </row>
    <row r="591">
      <c r="A591" s="57" t="s">
        <v>2580</v>
      </c>
      <c r="B591" s="58" t="s">
        <v>239</v>
      </c>
      <c r="C591" s="58" t="s">
        <v>267</v>
      </c>
      <c r="D591" s="58" t="s">
        <v>2575</v>
      </c>
      <c r="E591" s="58" t="s">
        <v>897</v>
      </c>
      <c r="F591" s="58" t="s">
        <v>63</v>
      </c>
      <c r="G591" s="59">
        <v>46078.0</v>
      </c>
      <c r="H591" s="58" t="s">
        <v>104</v>
      </c>
      <c r="I591" s="58" t="s">
        <v>2581</v>
      </c>
      <c r="J591" s="61" t="s">
        <v>2585</v>
      </c>
      <c r="K591" s="61" t="s">
        <v>2586</v>
      </c>
      <c r="L591" s="61" t="s">
        <v>2587</v>
      </c>
      <c r="M591" s="58">
        <v>2025.0</v>
      </c>
      <c r="N591" s="58">
        <v>12.0</v>
      </c>
      <c r="O591" s="62">
        <v>341.0</v>
      </c>
      <c r="P591" s="62">
        <f t="shared" si="12"/>
        <v>954.8</v>
      </c>
      <c r="Q591" s="63">
        <v>6.0</v>
      </c>
      <c r="R591" s="58">
        <v>6.0</v>
      </c>
      <c r="S591" s="58">
        <v>5.0</v>
      </c>
      <c r="T591" s="58">
        <v>0.0</v>
      </c>
      <c r="U591" s="58">
        <v>5.0</v>
      </c>
      <c r="V591" s="58" t="s">
        <v>75</v>
      </c>
      <c r="W591" s="61" t="s">
        <v>76</v>
      </c>
      <c r="X591" s="28" t="s">
        <v>1033</v>
      </c>
      <c r="Y591" s="64">
        <v>31.0</v>
      </c>
      <c r="Z591" s="65">
        <f t="shared" si="13"/>
        <v>24.18</v>
      </c>
      <c r="AA591" s="65">
        <f t="shared" si="14"/>
        <v>23087.064</v>
      </c>
      <c r="AB591" s="65">
        <f t="shared" si="15"/>
        <v>2079.086366</v>
      </c>
      <c r="AC591" s="66">
        <v>1.0</v>
      </c>
      <c r="AD591" s="70"/>
      <c r="AE591" s="68">
        <f t="shared" si="16"/>
        <v>6557.377049</v>
      </c>
      <c r="AF591" s="69">
        <v>8000.0</v>
      </c>
      <c r="AG591" s="68">
        <f t="shared" si="17"/>
        <v>39344.2623</v>
      </c>
      <c r="AH591" s="70">
        <f t="shared" si="18"/>
        <v>48000</v>
      </c>
      <c r="AI591" s="71"/>
      <c r="AJ591" s="71"/>
      <c r="AK591" s="71"/>
      <c r="AL591" s="71"/>
    </row>
    <row r="592">
      <c r="A592" s="57" t="s">
        <v>2588</v>
      </c>
      <c r="B592" s="58" t="s">
        <v>239</v>
      </c>
      <c r="C592" s="58" t="s">
        <v>267</v>
      </c>
      <c r="D592" s="58" t="s">
        <v>2575</v>
      </c>
      <c r="E592" s="58" t="s">
        <v>897</v>
      </c>
      <c r="F592" s="58" t="s">
        <v>63</v>
      </c>
      <c r="G592" s="59">
        <v>46127.0</v>
      </c>
      <c r="H592" s="58" t="s">
        <v>104</v>
      </c>
      <c r="I592" s="58" t="s">
        <v>2589</v>
      </c>
      <c r="J592" s="61" t="s">
        <v>2590</v>
      </c>
      <c r="K592" s="61" t="s">
        <v>2591</v>
      </c>
      <c r="L592" s="61" t="s">
        <v>2592</v>
      </c>
      <c r="M592" s="58">
        <v>2025.0</v>
      </c>
      <c r="N592" s="58">
        <v>8.0</v>
      </c>
      <c r="O592" s="62">
        <v>327.0</v>
      </c>
      <c r="P592" s="62">
        <f t="shared" si="12"/>
        <v>915.6</v>
      </c>
      <c r="Q592" s="63">
        <v>5.0</v>
      </c>
      <c r="R592" s="58">
        <v>5.0</v>
      </c>
      <c r="S592" s="58">
        <v>4.0</v>
      </c>
      <c r="T592" s="58">
        <v>0.0</v>
      </c>
      <c r="U592" s="58">
        <v>4.0</v>
      </c>
      <c r="V592" s="58" t="s">
        <v>75</v>
      </c>
      <c r="W592" s="61" t="s">
        <v>76</v>
      </c>
      <c r="X592" s="28" t="s">
        <v>1033</v>
      </c>
      <c r="Y592" s="64">
        <v>31.0</v>
      </c>
      <c r="Z592" s="65">
        <f t="shared" si="13"/>
        <v>25.1875</v>
      </c>
      <c r="AA592" s="65">
        <f t="shared" si="14"/>
        <v>23061.675</v>
      </c>
      <c r="AB592" s="65">
        <f t="shared" si="15"/>
        <v>1734.479391</v>
      </c>
      <c r="AC592" s="66">
        <v>1.0</v>
      </c>
      <c r="AD592" s="70"/>
      <c r="AE592" s="68">
        <f t="shared" si="16"/>
        <v>6557.377049</v>
      </c>
      <c r="AF592" s="69">
        <v>8000.0</v>
      </c>
      <c r="AG592" s="68">
        <f t="shared" si="17"/>
        <v>32786.88525</v>
      </c>
      <c r="AH592" s="70">
        <f t="shared" si="18"/>
        <v>40000</v>
      </c>
      <c r="AI592" s="71"/>
      <c r="AJ592" s="71"/>
      <c r="AK592" s="71"/>
      <c r="AL592" s="71"/>
    </row>
    <row r="593">
      <c r="A593" s="57" t="s">
        <v>2588</v>
      </c>
      <c r="B593" s="58" t="s">
        <v>239</v>
      </c>
      <c r="C593" s="58" t="s">
        <v>267</v>
      </c>
      <c r="D593" s="58" t="s">
        <v>2575</v>
      </c>
      <c r="E593" s="58" t="s">
        <v>897</v>
      </c>
      <c r="F593" s="58" t="s">
        <v>63</v>
      </c>
      <c r="G593" s="59">
        <v>46127.0</v>
      </c>
      <c r="H593" s="58" t="s">
        <v>104</v>
      </c>
      <c r="I593" s="58" t="s">
        <v>2589</v>
      </c>
      <c r="J593" s="61" t="s">
        <v>2593</v>
      </c>
      <c r="K593" s="61" t="s">
        <v>2594</v>
      </c>
      <c r="L593" s="61" t="s">
        <v>2595</v>
      </c>
      <c r="M593" s="58">
        <v>2025.0</v>
      </c>
      <c r="N593" s="58">
        <v>8.0</v>
      </c>
      <c r="O593" s="62">
        <v>233.0</v>
      </c>
      <c r="P593" s="62">
        <f t="shared" si="12"/>
        <v>652.4</v>
      </c>
      <c r="Q593" s="63">
        <v>5.0</v>
      </c>
      <c r="R593" s="58">
        <v>5.0</v>
      </c>
      <c r="S593" s="58">
        <v>5.0</v>
      </c>
      <c r="T593" s="58">
        <v>0.0</v>
      </c>
      <c r="U593" s="58">
        <v>5.0</v>
      </c>
      <c r="V593" s="58" t="s">
        <v>75</v>
      </c>
      <c r="W593" s="61" t="s">
        <v>76</v>
      </c>
      <c r="X593" s="28" t="s">
        <v>1033</v>
      </c>
      <c r="Y593" s="64">
        <v>31.0</v>
      </c>
      <c r="Z593" s="65">
        <f t="shared" si="13"/>
        <v>20.15</v>
      </c>
      <c r="AA593" s="65">
        <f t="shared" si="14"/>
        <v>13145.86</v>
      </c>
      <c r="AB593" s="65">
        <f t="shared" si="15"/>
        <v>3042.783051</v>
      </c>
      <c r="AC593" s="66">
        <v>1.0</v>
      </c>
      <c r="AD593" s="67"/>
      <c r="AE593" s="68">
        <f t="shared" si="16"/>
        <v>6557.377049</v>
      </c>
      <c r="AF593" s="69">
        <v>8000.0</v>
      </c>
      <c r="AG593" s="68">
        <f t="shared" si="17"/>
        <v>32786.88525</v>
      </c>
      <c r="AH593" s="70">
        <f t="shared" si="18"/>
        <v>40000</v>
      </c>
      <c r="AI593" s="71"/>
      <c r="AJ593" s="71"/>
      <c r="AK593" s="71"/>
      <c r="AL593" s="71"/>
    </row>
    <row r="594">
      <c r="A594" s="57" t="s">
        <v>2596</v>
      </c>
      <c r="B594" s="58" t="s">
        <v>239</v>
      </c>
      <c r="C594" s="58" t="s">
        <v>267</v>
      </c>
      <c r="D594" s="58" t="s">
        <v>2575</v>
      </c>
      <c r="E594" s="58" t="s">
        <v>897</v>
      </c>
      <c r="F594" s="58" t="s">
        <v>103</v>
      </c>
      <c r="G594" s="59">
        <v>46171.0</v>
      </c>
      <c r="H594" s="58" t="s">
        <v>104</v>
      </c>
      <c r="I594" s="58" t="s">
        <v>2597</v>
      </c>
      <c r="J594" s="61" t="s">
        <v>2598</v>
      </c>
      <c r="K594" s="61" t="s">
        <v>2599</v>
      </c>
      <c r="L594" s="61" t="s">
        <v>2600</v>
      </c>
      <c r="M594" s="58">
        <v>2009.0</v>
      </c>
      <c r="N594" s="58">
        <v>24.0</v>
      </c>
      <c r="O594" s="62">
        <v>276.0</v>
      </c>
      <c r="P594" s="62">
        <f t="shared" si="12"/>
        <v>772.8</v>
      </c>
      <c r="Q594" s="63">
        <v>4.0</v>
      </c>
      <c r="R594" s="58">
        <v>2.0</v>
      </c>
      <c r="S594" s="58">
        <v>2.0</v>
      </c>
      <c r="T594" s="58">
        <v>2.0</v>
      </c>
      <c r="U594" s="58">
        <v>6.0</v>
      </c>
      <c r="V594" s="58" t="s">
        <v>130</v>
      </c>
      <c r="W594" s="61" t="s">
        <v>76</v>
      </c>
      <c r="X594" s="28" t="s">
        <v>1033</v>
      </c>
      <c r="Y594" s="64">
        <v>31.0</v>
      </c>
      <c r="Z594" s="65">
        <f t="shared" si="13"/>
        <v>33.58333333</v>
      </c>
      <c r="AA594" s="65">
        <f t="shared" si="14"/>
        <v>25953.2</v>
      </c>
      <c r="AB594" s="65">
        <f t="shared" si="15"/>
        <v>1232.98861</v>
      </c>
      <c r="AC594" s="66">
        <v>1.0</v>
      </c>
      <c r="AD594" s="67"/>
      <c r="AE594" s="68">
        <f t="shared" si="16"/>
        <v>6557.377049</v>
      </c>
      <c r="AF594" s="69">
        <v>8000.0</v>
      </c>
      <c r="AG594" s="68">
        <f t="shared" si="17"/>
        <v>26229.5082</v>
      </c>
      <c r="AH594" s="70">
        <f t="shared" si="18"/>
        <v>32000</v>
      </c>
      <c r="AI594" s="71"/>
      <c r="AJ594" s="71"/>
      <c r="AK594" s="71"/>
      <c r="AL594" s="71"/>
    </row>
    <row r="595">
      <c r="A595" s="57" t="s">
        <v>2596</v>
      </c>
      <c r="B595" s="58" t="s">
        <v>239</v>
      </c>
      <c r="C595" s="58" t="s">
        <v>267</v>
      </c>
      <c r="D595" s="58" t="s">
        <v>2575</v>
      </c>
      <c r="E595" s="58" t="s">
        <v>897</v>
      </c>
      <c r="F595" s="58" t="s">
        <v>103</v>
      </c>
      <c r="G595" s="59">
        <v>46171.0</v>
      </c>
      <c r="H595" s="58" t="s">
        <v>104</v>
      </c>
      <c r="I595" s="60" t="s">
        <v>2597</v>
      </c>
      <c r="J595" s="61" t="s">
        <v>2601</v>
      </c>
      <c r="K595" s="61" t="s">
        <v>2602</v>
      </c>
      <c r="L595" s="61" t="s">
        <v>2603</v>
      </c>
      <c r="M595" s="58">
        <v>2009.0</v>
      </c>
      <c r="N595" s="58">
        <v>24.0</v>
      </c>
      <c r="O595" s="62">
        <v>276.0</v>
      </c>
      <c r="P595" s="62">
        <f t="shared" si="12"/>
        <v>772.8</v>
      </c>
      <c r="Q595" s="63">
        <v>4.0</v>
      </c>
      <c r="R595" s="58">
        <v>2.0</v>
      </c>
      <c r="S595" s="58">
        <v>2.0</v>
      </c>
      <c r="T595" s="58">
        <v>6.0</v>
      </c>
      <c r="U595" s="58">
        <v>2.0</v>
      </c>
      <c r="V595" s="58" t="s">
        <v>130</v>
      </c>
      <c r="W595" s="61" t="s">
        <v>76</v>
      </c>
      <c r="X595" s="28" t="s">
        <v>1033</v>
      </c>
      <c r="Y595" s="64">
        <v>31.0</v>
      </c>
      <c r="Z595" s="65">
        <f t="shared" si="13"/>
        <v>141.05</v>
      </c>
      <c r="AA595" s="65">
        <f t="shared" si="14"/>
        <v>109003.44</v>
      </c>
      <c r="AB595" s="65">
        <f t="shared" si="15"/>
        <v>293.5687167</v>
      </c>
      <c r="AC595" s="66">
        <v>1.0</v>
      </c>
      <c r="AD595" s="67"/>
      <c r="AE595" s="68">
        <f t="shared" si="16"/>
        <v>6557.377049</v>
      </c>
      <c r="AF595" s="69">
        <v>8000.0</v>
      </c>
      <c r="AG595" s="68">
        <f t="shared" si="17"/>
        <v>26229.5082</v>
      </c>
      <c r="AH595" s="70">
        <f t="shared" si="18"/>
        <v>32000</v>
      </c>
      <c r="AI595" s="71"/>
      <c r="AJ595" s="71"/>
      <c r="AK595" s="71"/>
      <c r="AL595" s="71"/>
    </row>
    <row r="596">
      <c r="A596" s="57" t="s">
        <v>2604</v>
      </c>
      <c r="B596" s="58" t="s">
        <v>239</v>
      </c>
      <c r="C596" s="58" t="s">
        <v>267</v>
      </c>
      <c r="D596" s="58" t="s">
        <v>2575</v>
      </c>
      <c r="E596" s="58" t="s">
        <v>897</v>
      </c>
      <c r="F596" s="58" t="s">
        <v>103</v>
      </c>
      <c r="G596" s="59">
        <v>46190.0</v>
      </c>
      <c r="H596" s="58" t="s">
        <v>118</v>
      </c>
      <c r="I596" s="60" t="s">
        <v>2605</v>
      </c>
      <c r="J596" s="61" t="s">
        <v>2606</v>
      </c>
      <c r="K596" s="61" t="s">
        <v>2607</v>
      </c>
      <c r="L596" s="61" t="s">
        <v>2608</v>
      </c>
      <c r="M596" s="58">
        <v>2014.0</v>
      </c>
      <c r="N596" s="58">
        <v>22.0</v>
      </c>
      <c r="O596" s="62">
        <v>336.0</v>
      </c>
      <c r="P596" s="62">
        <f t="shared" si="12"/>
        <v>940.8</v>
      </c>
      <c r="Q596" s="63">
        <v>4.0</v>
      </c>
      <c r="R596" s="58">
        <v>4.0</v>
      </c>
      <c r="S596" s="58">
        <v>2.0</v>
      </c>
      <c r="T596" s="58">
        <v>0.0</v>
      </c>
      <c r="U596" s="58">
        <v>6.0</v>
      </c>
      <c r="V596" s="58" t="s">
        <v>130</v>
      </c>
      <c r="W596" s="61" t="s">
        <v>76</v>
      </c>
      <c r="X596" s="28" t="s">
        <v>1033</v>
      </c>
      <c r="Y596" s="17">
        <v>31.0</v>
      </c>
      <c r="Z596" s="30">
        <f t="shared" si="13"/>
        <v>40.3</v>
      </c>
      <c r="AA596" s="30">
        <f t="shared" si="14"/>
        <v>37914.24</v>
      </c>
      <c r="AB596" s="30">
        <f t="shared" si="15"/>
        <v>844.0100606</v>
      </c>
      <c r="AC596" s="34">
        <v>1.0</v>
      </c>
      <c r="AD596" s="98"/>
      <c r="AE596" s="97">
        <f t="shared" si="16"/>
        <v>6557.377049</v>
      </c>
      <c r="AF596" s="28">
        <v>8000.0</v>
      </c>
      <c r="AG596" s="97">
        <f t="shared" si="17"/>
        <v>26229.5082</v>
      </c>
      <c r="AH596" s="98">
        <f t="shared" si="18"/>
        <v>32000</v>
      </c>
      <c r="AI596" s="99"/>
      <c r="AJ596" s="99"/>
      <c r="AK596" s="99"/>
      <c r="AL596" s="99"/>
    </row>
    <row r="597">
      <c r="A597" s="57" t="s">
        <v>2609</v>
      </c>
      <c r="B597" s="58" t="s">
        <v>239</v>
      </c>
      <c r="C597" s="58" t="s">
        <v>267</v>
      </c>
      <c r="D597" s="58" t="s">
        <v>2575</v>
      </c>
      <c r="E597" s="58" t="s">
        <v>897</v>
      </c>
      <c r="F597" s="58" t="s">
        <v>103</v>
      </c>
      <c r="G597" s="59">
        <v>46227.0</v>
      </c>
      <c r="H597" s="58" t="s">
        <v>118</v>
      </c>
      <c r="I597" s="60" t="s">
        <v>2610</v>
      </c>
      <c r="J597" s="61" t="s">
        <v>2611</v>
      </c>
      <c r="K597" s="61" t="s">
        <v>2612</v>
      </c>
      <c r="L597" s="61" t="s">
        <v>2613</v>
      </c>
      <c r="M597" s="58">
        <v>2005.0</v>
      </c>
      <c r="N597" s="58">
        <v>23.0</v>
      </c>
      <c r="O597" s="62">
        <v>826.0</v>
      </c>
      <c r="P597" s="62">
        <f t="shared" si="12"/>
        <v>2312.8</v>
      </c>
      <c r="Q597" s="63">
        <v>12.0</v>
      </c>
      <c r="R597" s="58">
        <v>12.0</v>
      </c>
      <c r="S597" s="58">
        <v>12.0</v>
      </c>
      <c r="T597" s="58">
        <v>0.0</v>
      </c>
      <c r="U597" s="58">
        <v>26.0</v>
      </c>
      <c r="V597" s="58" t="s">
        <v>130</v>
      </c>
      <c r="W597" s="61" t="s">
        <v>76</v>
      </c>
      <c r="X597" s="28" t="s">
        <v>1033</v>
      </c>
      <c r="Y597" s="17">
        <v>31.0</v>
      </c>
      <c r="Z597" s="30">
        <f t="shared" si="13"/>
        <v>20.15</v>
      </c>
      <c r="AA597" s="30">
        <f t="shared" si="14"/>
        <v>46602.92</v>
      </c>
      <c r="AB597" s="30">
        <f t="shared" si="15"/>
        <v>2059.956758</v>
      </c>
      <c r="AC597" s="34">
        <v>1.0</v>
      </c>
      <c r="AD597" s="98"/>
      <c r="AE597" s="97">
        <f t="shared" si="16"/>
        <v>6557.377049</v>
      </c>
      <c r="AF597" s="28">
        <v>8000.0</v>
      </c>
      <c r="AG597" s="97">
        <f t="shared" si="17"/>
        <v>78688.52459</v>
      </c>
      <c r="AH597" s="98">
        <f t="shared" si="18"/>
        <v>96000</v>
      </c>
      <c r="AI597" s="99"/>
      <c r="AJ597" s="99"/>
      <c r="AK597" s="99"/>
      <c r="AL597" s="99"/>
    </row>
    <row r="598">
      <c r="A598" s="57" t="s">
        <v>2614</v>
      </c>
      <c r="B598" s="58" t="s">
        <v>239</v>
      </c>
      <c r="C598" s="58" t="s">
        <v>267</v>
      </c>
      <c r="D598" s="58" t="s">
        <v>2575</v>
      </c>
      <c r="E598" s="58" t="s">
        <v>897</v>
      </c>
      <c r="F598" s="58" t="s">
        <v>103</v>
      </c>
      <c r="G598" s="59">
        <v>46227.0</v>
      </c>
      <c r="H598" s="58" t="s">
        <v>118</v>
      </c>
      <c r="I598" s="60" t="s">
        <v>2615</v>
      </c>
      <c r="J598" s="61" t="s">
        <v>2616</v>
      </c>
      <c r="K598" s="61" t="s">
        <v>2617</v>
      </c>
      <c r="L598" s="61" t="s">
        <v>2618</v>
      </c>
      <c r="M598" s="58">
        <v>2004.0</v>
      </c>
      <c r="N598" s="58">
        <v>24.0</v>
      </c>
      <c r="O598" s="62">
        <v>368.0</v>
      </c>
      <c r="P598" s="62">
        <f t="shared" si="12"/>
        <v>1030.4</v>
      </c>
      <c r="Q598" s="63">
        <v>2.0</v>
      </c>
      <c r="R598" s="58">
        <v>2.0</v>
      </c>
      <c r="S598" s="58">
        <v>2.0</v>
      </c>
      <c r="T598" s="58">
        <v>0.0</v>
      </c>
      <c r="U598" s="58">
        <v>8.0</v>
      </c>
      <c r="V598" s="58" t="s">
        <v>130</v>
      </c>
      <c r="W598" s="61" t="s">
        <v>76</v>
      </c>
      <c r="X598" s="28" t="s">
        <v>1033</v>
      </c>
      <c r="Y598" s="17">
        <v>31.0</v>
      </c>
      <c r="Z598" s="30">
        <f t="shared" si="13"/>
        <v>20.15</v>
      </c>
      <c r="AA598" s="30">
        <f t="shared" si="14"/>
        <v>20762.56</v>
      </c>
      <c r="AB598" s="30">
        <f t="shared" si="15"/>
        <v>770.6178814</v>
      </c>
      <c r="AC598" s="34">
        <v>1.0</v>
      </c>
      <c r="AD598" s="36"/>
      <c r="AE598" s="97">
        <f t="shared" si="16"/>
        <v>6557.377049</v>
      </c>
      <c r="AF598" s="28">
        <v>8000.0</v>
      </c>
      <c r="AG598" s="97">
        <f t="shared" si="17"/>
        <v>13114.7541</v>
      </c>
      <c r="AH598" s="98">
        <f t="shared" si="18"/>
        <v>16000</v>
      </c>
      <c r="AI598" s="99"/>
      <c r="AJ598" s="99"/>
      <c r="AK598" s="99"/>
      <c r="AL598" s="99"/>
    </row>
    <row r="599">
      <c r="A599" s="57" t="s">
        <v>2614</v>
      </c>
      <c r="B599" s="58" t="s">
        <v>239</v>
      </c>
      <c r="C599" s="58" t="s">
        <v>267</v>
      </c>
      <c r="D599" s="58" t="s">
        <v>2575</v>
      </c>
      <c r="E599" s="58" t="s">
        <v>897</v>
      </c>
      <c r="F599" s="58" t="s">
        <v>103</v>
      </c>
      <c r="G599" s="59">
        <v>46227.0</v>
      </c>
      <c r="H599" s="58" t="s">
        <v>118</v>
      </c>
      <c r="I599" s="60" t="s">
        <v>2615</v>
      </c>
      <c r="J599" s="61" t="s">
        <v>2619</v>
      </c>
      <c r="K599" s="61" t="s">
        <v>2620</v>
      </c>
      <c r="L599" s="61" t="s">
        <v>2621</v>
      </c>
      <c r="M599" s="58">
        <v>2005.0</v>
      </c>
      <c r="N599" s="58">
        <v>24.0</v>
      </c>
      <c r="O599" s="62">
        <v>368.0</v>
      </c>
      <c r="P599" s="62">
        <f t="shared" si="12"/>
        <v>1030.4</v>
      </c>
      <c r="Q599" s="63">
        <v>2.0</v>
      </c>
      <c r="R599" s="58">
        <v>2.0</v>
      </c>
      <c r="S599" s="58">
        <v>2.0</v>
      </c>
      <c r="T599" s="58">
        <v>0.0</v>
      </c>
      <c r="U599" s="58">
        <v>8.0</v>
      </c>
      <c r="V599" s="58" t="s">
        <v>130</v>
      </c>
      <c r="W599" s="61" t="s">
        <v>76</v>
      </c>
      <c r="X599" s="28" t="s">
        <v>1033</v>
      </c>
      <c r="Y599" s="64">
        <v>31.0</v>
      </c>
      <c r="Z599" s="65">
        <f t="shared" si="13"/>
        <v>20.15</v>
      </c>
      <c r="AA599" s="65">
        <f t="shared" si="14"/>
        <v>20762.56</v>
      </c>
      <c r="AB599" s="65">
        <f t="shared" si="15"/>
        <v>770.6178814</v>
      </c>
      <c r="AC599" s="66">
        <v>1.0</v>
      </c>
      <c r="AD599" s="67"/>
      <c r="AE599" s="68">
        <f t="shared" si="16"/>
        <v>6557.377049</v>
      </c>
      <c r="AF599" s="69">
        <v>8000.0</v>
      </c>
      <c r="AG599" s="68">
        <f t="shared" si="17"/>
        <v>13114.7541</v>
      </c>
      <c r="AH599" s="70">
        <f t="shared" si="18"/>
        <v>16000</v>
      </c>
      <c r="AI599" s="71"/>
      <c r="AJ599" s="71"/>
      <c r="AK599" s="71"/>
      <c r="AL599" s="71"/>
    </row>
    <row r="600">
      <c r="A600" s="57" t="s">
        <v>2614</v>
      </c>
      <c r="B600" s="58" t="s">
        <v>239</v>
      </c>
      <c r="C600" s="58" t="s">
        <v>267</v>
      </c>
      <c r="D600" s="58" t="s">
        <v>2575</v>
      </c>
      <c r="E600" s="58" t="s">
        <v>897</v>
      </c>
      <c r="F600" s="58" t="s">
        <v>103</v>
      </c>
      <c r="G600" s="59">
        <v>46227.0</v>
      </c>
      <c r="H600" s="58" t="s">
        <v>118</v>
      </c>
      <c r="I600" s="60" t="s">
        <v>2615</v>
      </c>
      <c r="J600" s="61" t="s">
        <v>2622</v>
      </c>
      <c r="K600" s="61" t="s">
        <v>2623</v>
      </c>
      <c r="L600" s="61" t="s">
        <v>2624</v>
      </c>
      <c r="M600" s="58">
        <v>2004.0</v>
      </c>
      <c r="N600" s="58">
        <v>16.0</v>
      </c>
      <c r="O600" s="62">
        <v>250.0</v>
      </c>
      <c r="P600" s="62">
        <f t="shared" si="12"/>
        <v>700</v>
      </c>
      <c r="Q600" s="63">
        <v>4.0</v>
      </c>
      <c r="R600" s="58">
        <v>4.0</v>
      </c>
      <c r="S600" s="58">
        <v>2.0</v>
      </c>
      <c r="T600" s="58">
        <v>0.0</v>
      </c>
      <c r="U600" s="58">
        <v>8.0</v>
      </c>
      <c r="V600" s="58" t="s">
        <v>130</v>
      </c>
      <c r="W600" s="61" t="s">
        <v>76</v>
      </c>
      <c r="X600" s="28" t="s">
        <v>1033</v>
      </c>
      <c r="Y600" s="64">
        <v>31.0</v>
      </c>
      <c r="Z600" s="65">
        <f t="shared" si="13"/>
        <v>40.3</v>
      </c>
      <c r="AA600" s="65">
        <f t="shared" si="14"/>
        <v>28210</v>
      </c>
      <c r="AB600" s="65">
        <f t="shared" si="15"/>
        <v>1134.349521</v>
      </c>
      <c r="AC600" s="66">
        <v>1.0</v>
      </c>
      <c r="AD600" s="70"/>
      <c r="AE600" s="68">
        <f t="shared" si="16"/>
        <v>6557.377049</v>
      </c>
      <c r="AF600" s="69">
        <v>8000.0</v>
      </c>
      <c r="AG600" s="68">
        <f t="shared" si="17"/>
        <v>26229.5082</v>
      </c>
      <c r="AH600" s="70">
        <f t="shared" si="18"/>
        <v>32000</v>
      </c>
      <c r="AI600" s="71"/>
      <c r="AJ600" s="71"/>
      <c r="AK600" s="71"/>
      <c r="AL600" s="71"/>
    </row>
    <row r="601">
      <c r="A601" s="57" t="s">
        <v>2625</v>
      </c>
      <c r="B601" s="58" t="s">
        <v>239</v>
      </c>
      <c r="C601" s="58" t="s">
        <v>267</v>
      </c>
      <c r="D601" s="58" t="s">
        <v>2575</v>
      </c>
      <c r="E601" s="58" t="s">
        <v>897</v>
      </c>
      <c r="F601" s="58" t="s">
        <v>103</v>
      </c>
      <c r="G601" s="59">
        <v>46227.0</v>
      </c>
      <c r="H601" s="58" t="s">
        <v>118</v>
      </c>
      <c r="I601" s="60" t="s">
        <v>2626</v>
      </c>
      <c r="J601" s="61" t="s">
        <v>2627</v>
      </c>
      <c r="K601" s="61" t="s">
        <v>2628</v>
      </c>
      <c r="L601" s="61" t="s">
        <v>2629</v>
      </c>
      <c r="M601" s="58">
        <v>2005.0</v>
      </c>
      <c r="N601" s="58">
        <v>24.0</v>
      </c>
      <c r="O601" s="62">
        <v>368.0</v>
      </c>
      <c r="P601" s="62">
        <f t="shared" si="12"/>
        <v>1030.4</v>
      </c>
      <c r="Q601" s="63">
        <v>2.0</v>
      </c>
      <c r="R601" s="58">
        <v>2.0</v>
      </c>
      <c r="S601" s="58">
        <v>2.0</v>
      </c>
      <c r="T601" s="58">
        <v>0.0</v>
      </c>
      <c r="U601" s="58">
        <v>8.0</v>
      </c>
      <c r="V601" s="58" t="s">
        <v>130</v>
      </c>
      <c r="W601" s="61" t="s">
        <v>76</v>
      </c>
      <c r="X601" s="28" t="s">
        <v>1033</v>
      </c>
      <c r="Y601" s="64">
        <v>31.0</v>
      </c>
      <c r="Z601" s="65">
        <f t="shared" si="13"/>
        <v>20.15</v>
      </c>
      <c r="AA601" s="65">
        <f t="shared" si="14"/>
        <v>20762.56</v>
      </c>
      <c r="AB601" s="65">
        <f t="shared" si="15"/>
        <v>770.6178814</v>
      </c>
      <c r="AC601" s="66">
        <v>1.0</v>
      </c>
      <c r="AD601" s="70"/>
      <c r="AE601" s="68">
        <f t="shared" si="16"/>
        <v>6557.377049</v>
      </c>
      <c r="AF601" s="69">
        <v>8000.0</v>
      </c>
      <c r="AG601" s="68">
        <f t="shared" si="17"/>
        <v>13114.7541</v>
      </c>
      <c r="AH601" s="70">
        <f t="shared" si="18"/>
        <v>16000</v>
      </c>
      <c r="AI601" s="71"/>
      <c r="AJ601" s="71"/>
      <c r="AK601" s="71"/>
      <c r="AL601" s="71"/>
    </row>
    <row r="602">
      <c r="A602" s="57" t="s">
        <v>2625</v>
      </c>
      <c r="B602" s="58" t="s">
        <v>239</v>
      </c>
      <c r="C602" s="58" t="s">
        <v>267</v>
      </c>
      <c r="D602" s="58" t="s">
        <v>2575</v>
      </c>
      <c r="E602" s="58" t="s">
        <v>897</v>
      </c>
      <c r="F602" s="58" t="s">
        <v>103</v>
      </c>
      <c r="G602" s="59">
        <v>46227.0</v>
      </c>
      <c r="H602" s="58" t="s">
        <v>118</v>
      </c>
      <c r="I602" s="60" t="s">
        <v>2626</v>
      </c>
      <c r="J602" s="61" t="s">
        <v>2630</v>
      </c>
      <c r="K602" s="61" t="s">
        <v>2631</v>
      </c>
      <c r="L602" s="61" t="s">
        <v>2632</v>
      </c>
      <c r="M602" s="58">
        <v>2005.0</v>
      </c>
      <c r="N602" s="58">
        <v>24.0</v>
      </c>
      <c r="O602" s="62">
        <v>368.0</v>
      </c>
      <c r="P602" s="62">
        <f t="shared" si="12"/>
        <v>1030.4</v>
      </c>
      <c r="Q602" s="63">
        <v>2.0</v>
      </c>
      <c r="R602" s="58">
        <v>2.0</v>
      </c>
      <c r="S602" s="58">
        <v>2.0</v>
      </c>
      <c r="T602" s="58">
        <v>0.0</v>
      </c>
      <c r="U602" s="58">
        <v>8.0</v>
      </c>
      <c r="V602" s="58" t="s">
        <v>130</v>
      </c>
      <c r="W602" s="61" t="s">
        <v>76</v>
      </c>
      <c r="X602" s="28" t="s">
        <v>1033</v>
      </c>
      <c r="Y602" s="64">
        <v>31.0</v>
      </c>
      <c r="Z602" s="65">
        <f t="shared" si="13"/>
        <v>20.15</v>
      </c>
      <c r="AA602" s="65">
        <f t="shared" si="14"/>
        <v>20762.56</v>
      </c>
      <c r="AB602" s="65">
        <f t="shared" si="15"/>
        <v>770.6178814</v>
      </c>
      <c r="AC602" s="66">
        <v>1.0</v>
      </c>
      <c r="AD602" s="70"/>
      <c r="AE602" s="68">
        <f t="shared" si="16"/>
        <v>6557.377049</v>
      </c>
      <c r="AF602" s="69">
        <v>8000.0</v>
      </c>
      <c r="AG602" s="68">
        <f t="shared" si="17"/>
        <v>13114.7541</v>
      </c>
      <c r="AH602" s="70">
        <f t="shared" si="18"/>
        <v>16000</v>
      </c>
      <c r="AI602" s="71"/>
      <c r="AJ602" s="71"/>
      <c r="AK602" s="71"/>
      <c r="AL602" s="71"/>
    </row>
    <row r="603">
      <c r="A603" s="57" t="s">
        <v>2625</v>
      </c>
      <c r="B603" s="58" t="s">
        <v>239</v>
      </c>
      <c r="C603" s="58" t="s">
        <v>267</v>
      </c>
      <c r="D603" s="58" t="s">
        <v>2575</v>
      </c>
      <c r="E603" s="58" t="s">
        <v>897</v>
      </c>
      <c r="F603" s="58" t="s">
        <v>103</v>
      </c>
      <c r="G603" s="59">
        <v>46227.0</v>
      </c>
      <c r="H603" s="58" t="s">
        <v>118</v>
      </c>
      <c r="I603" s="60" t="s">
        <v>2626</v>
      </c>
      <c r="J603" s="61" t="s">
        <v>2633</v>
      </c>
      <c r="K603" s="61" t="s">
        <v>2634</v>
      </c>
      <c r="L603" s="61" t="s">
        <v>2635</v>
      </c>
      <c r="M603" s="58">
        <v>2005.0</v>
      </c>
      <c r="N603" s="58">
        <v>24.0</v>
      </c>
      <c r="O603" s="62">
        <v>177.0</v>
      </c>
      <c r="P603" s="62">
        <f t="shared" si="12"/>
        <v>495.6</v>
      </c>
      <c r="Q603" s="63">
        <v>1.0</v>
      </c>
      <c r="R603" s="58">
        <v>1.0</v>
      </c>
      <c r="S603" s="58">
        <v>1.0</v>
      </c>
      <c r="T603" s="58">
        <v>0.0</v>
      </c>
      <c r="U603" s="58">
        <v>4.0</v>
      </c>
      <c r="V603" s="58" t="s">
        <v>75</v>
      </c>
      <c r="W603" s="61" t="s">
        <v>76</v>
      </c>
      <c r="X603" s="28" t="s">
        <v>1033</v>
      </c>
      <c r="Y603" s="64">
        <v>31.0</v>
      </c>
      <c r="Z603" s="65">
        <f t="shared" si="13"/>
        <v>20.15</v>
      </c>
      <c r="AA603" s="65">
        <f t="shared" si="14"/>
        <v>9986.34</v>
      </c>
      <c r="AB603" s="65">
        <f t="shared" si="15"/>
        <v>801.0942948</v>
      </c>
      <c r="AC603" s="66">
        <v>1.0</v>
      </c>
      <c r="AD603" s="67"/>
      <c r="AE603" s="68">
        <f t="shared" si="16"/>
        <v>6557.377049</v>
      </c>
      <c r="AF603" s="69">
        <v>8000.0</v>
      </c>
      <c r="AG603" s="68">
        <f t="shared" si="17"/>
        <v>6557.377049</v>
      </c>
      <c r="AH603" s="70">
        <f t="shared" si="18"/>
        <v>8000</v>
      </c>
      <c r="AI603" s="71"/>
      <c r="AJ603" s="71"/>
      <c r="AK603" s="71"/>
      <c r="AL603" s="71"/>
    </row>
    <row r="604">
      <c r="A604" s="57" t="s">
        <v>2636</v>
      </c>
      <c r="B604" s="58" t="s">
        <v>239</v>
      </c>
      <c r="C604" s="58" t="s">
        <v>267</v>
      </c>
      <c r="D604" s="58" t="s">
        <v>2575</v>
      </c>
      <c r="E604" s="58" t="s">
        <v>897</v>
      </c>
      <c r="F604" s="58" t="s">
        <v>103</v>
      </c>
      <c r="G604" s="59">
        <v>46227.0</v>
      </c>
      <c r="H604" s="58" t="s">
        <v>118</v>
      </c>
      <c r="I604" s="60" t="s">
        <v>2626</v>
      </c>
      <c r="J604" s="61" t="s">
        <v>2637</v>
      </c>
      <c r="K604" s="61" t="s">
        <v>2638</v>
      </c>
      <c r="L604" s="61" t="s">
        <v>2639</v>
      </c>
      <c r="M604" s="58">
        <v>2005.0</v>
      </c>
      <c r="N604" s="58">
        <v>16.0</v>
      </c>
      <c r="O604" s="62">
        <v>125.0</v>
      </c>
      <c r="P604" s="62">
        <f t="shared" si="12"/>
        <v>350</v>
      </c>
      <c r="Q604" s="63">
        <v>2.0</v>
      </c>
      <c r="R604" s="58">
        <v>2.0</v>
      </c>
      <c r="S604" s="58">
        <v>2.0</v>
      </c>
      <c r="T604" s="58">
        <v>0.0</v>
      </c>
      <c r="U604" s="58">
        <v>4.0</v>
      </c>
      <c r="V604" s="58" t="s">
        <v>130</v>
      </c>
      <c r="W604" s="61" t="s">
        <v>76</v>
      </c>
      <c r="X604" s="28" t="s">
        <v>1033</v>
      </c>
      <c r="Y604" s="64">
        <v>31.0</v>
      </c>
      <c r="Z604" s="65">
        <f t="shared" si="13"/>
        <v>20.15</v>
      </c>
      <c r="AA604" s="65">
        <f t="shared" si="14"/>
        <v>7052.5</v>
      </c>
      <c r="AB604" s="65">
        <f t="shared" si="15"/>
        <v>2268.699043</v>
      </c>
      <c r="AC604" s="66">
        <v>1.0</v>
      </c>
      <c r="AD604" s="67"/>
      <c r="AE604" s="68">
        <f t="shared" si="16"/>
        <v>6557.377049</v>
      </c>
      <c r="AF604" s="69">
        <v>8000.0</v>
      </c>
      <c r="AG604" s="68">
        <f t="shared" si="17"/>
        <v>13114.7541</v>
      </c>
      <c r="AH604" s="70">
        <f t="shared" si="18"/>
        <v>16000</v>
      </c>
      <c r="AI604" s="71"/>
      <c r="AJ604" s="71"/>
      <c r="AK604" s="71"/>
      <c r="AL604" s="71"/>
    </row>
    <row r="605">
      <c r="A605" s="57" t="s">
        <v>2640</v>
      </c>
      <c r="B605" s="58" t="s">
        <v>239</v>
      </c>
      <c r="C605" s="58" t="s">
        <v>267</v>
      </c>
      <c r="D605" s="58" t="s">
        <v>2575</v>
      </c>
      <c r="E605" s="58" t="s">
        <v>897</v>
      </c>
      <c r="F605" s="58" t="s">
        <v>103</v>
      </c>
      <c r="G605" s="59">
        <v>46227.0</v>
      </c>
      <c r="H605" s="58" t="s">
        <v>118</v>
      </c>
      <c r="I605" s="60" t="s">
        <v>2641</v>
      </c>
      <c r="J605" s="61" t="s">
        <v>2642</v>
      </c>
      <c r="K605" s="61" t="s">
        <v>2643</v>
      </c>
      <c r="L605" s="61" t="s">
        <v>2644</v>
      </c>
      <c r="M605" s="58">
        <v>2005.0</v>
      </c>
      <c r="N605" s="58">
        <v>23.0</v>
      </c>
      <c r="O605" s="62">
        <v>783.0</v>
      </c>
      <c r="P605" s="62">
        <f t="shared" si="12"/>
        <v>2192.4</v>
      </c>
      <c r="Q605" s="63">
        <v>11.0</v>
      </c>
      <c r="R605" s="58">
        <v>11.0</v>
      </c>
      <c r="S605" s="58">
        <v>11.0</v>
      </c>
      <c r="T605" s="58">
        <v>0.0</v>
      </c>
      <c r="U605" s="58">
        <v>24.0</v>
      </c>
      <c r="V605" s="58" t="s">
        <v>130</v>
      </c>
      <c r="W605" s="61" t="s">
        <v>76</v>
      </c>
      <c r="X605" s="28" t="s">
        <v>1033</v>
      </c>
      <c r="Y605" s="64">
        <v>31.0</v>
      </c>
      <c r="Z605" s="65">
        <f t="shared" si="13"/>
        <v>20.15</v>
      </c>
      <c r="AA605" s="65">
        <f t="shared" si="14"/>
        <v>44176.86</v>
      </c>
      <c r="AB605" s="65">
        <f t="shared" si="15"/>
        <v>1991.993093</v>
      </c>
      <c r="AC605" s="66">
        <v>1.0</v>
      </c>
      <c r="AD605" s="70"/>
      <c r="AE605" s="68">
        <f t="shared" si="16"/>
        <v>6557.377049</v>
      </c>
      <c r="AF605" s="69">
        <v>8000.0</v>
      </c>
      <c r="AG605" s="68">
        <f t="shared" si="17"/>
        <v>72131.14754</v>
      </c>
      <c r="AH605" s="70">
        <f t="shared" si="18"/>
        <v>88000</v>
      </c>
      <c r="AI605" s="71"/>
      <c r="AJ605" s="71"/>
      <c r="AK605" s="71"/>
      <c r="AL605" s="71"/>
    </row>
    <row r="606">
      <c r="A606" s="57" t="s">
        <v>2645</v>
      </c>
      <c r="B606" s="58" t="s">
        <v>239</v>
      </c>
      <c r="C606" s="58" t="s">
        <v>290</v>
      </c>
      <c r="D606" s="58" t="s">
        <v>2646</v>
      </c>
      <c r="E606" s="58" t="s">
        <v>897</v>
      </c>
      <c r="F606" s="58" t="s">
        <v>103</v>
      </c>
      <c r="G606" s="59">
        <v>46092.0</v>
      </c>
      <c r="H606" s="58" t="s">
        <v>118</v>
      </c>
      <c r="I606" s="60" t="s">
        <v>2647</v>
      </c>
      <c r="J606" s="61" t="s">
        <v>2648</v>
      </c>
      <c r="K606" s="61" t="s">
        <v>2649</v>
      </c>
      <c r="L606" s="61" t="s">
        <v>2650</v>
      </c>
      <c r="M606" s="58">
        <v>2011.0</v>
      </c>
      <c r="N606" s="58">
        <v>22.0</v>
      </c>
      <c r="O606" s="62">
        <v>748.0</v>
      </c>
      <c r="P606" s="62">
        <f t="shared" si="12"/>
        <v>2094.4</v>
      </c>
      <c r="Q606" s="63">
        <v>9.0</v>
      </c>
      <c r="R606" s="58">
        <v>9.0</v>
      </c>
      <c r="S606" s="58">
        <v>9.0</v>
      </c>
      <c r="T606" s="58">
        <v>0.0</v>
      </c>
      <c r="U606" s="58">
        <v>27.0</v>
      </c>
      <c r="V606" s="58" t="s">
        <v>75</v>
      </c>
      <c r="W606" s="61" t="s">
        <v>76</v>
      </c>
      <c r="X606" s="28" t="s">
        <v>1033</v>
      </c>
      <c r="Y606" s="64">
        <v>31.0</v>
      </c>
      <c r="Z606" s="65">
        <f t="shared" si="13"/>
        <v>20.15</v>
      </c>
      <c r="AA606" s="65">
        <f t="shared" si="14"/>
        <v>42202.16</v>
      </c>
      <c r="AB606" s="65">
        <f t="shared" si="15"/>
        <v>1706.073812</v>
      </c>
      <c r="AC606" s="66">
        <v>1.0</v>
      </c>
      <c r="AD606" s="70"/>
      <c r="AE606" s="68">
        <f t="shared" si="16"/>
        <v>6557.377049</v>
      </c>
      <c r="AF606" s="69">
        <v>8000.0</v>
      </c>
      <c r="AG606" s="68">
        <f t="shared" si="17"/>
        <v>59016.39344</v>
      </c>
      <c r="AH606" s="70">
        <f t="shared" si="18"/>
        <v>72000</v>
      </c>
      <c r="AI606" s="71"/>
      <c r="AJ606" s="71"/>
      <c r="AK606" s="71"/>
      <c r="AL606" s="71"/>
    </row>
    <row r="607">
      <c r="A607" s="57" t="s">
        <v>2651</v>
      </c>
      <c r="B607" s="58" t="s">
        <v>239</v>
      </c>
      <c r="C607" s="58" t="s">
        <v>290</v>
      </c>
      <c r="D607" s="58" t="s">
        <v>2646</v>
      </c>
      <c r="E607" s="58" t="s">
        <v>897</v>
      </c>
      <c r="F607" s="58" t="s">
        <v>103</v>
      </c>
      <c r="G607" s="59">
        <v>46118.0</v>
      </c>
      <c r="H607" s="58" t="s">
        <v>104</v>
      </c>
      <c r="I607" s="60" t="s">
        <v>2652</v>
      </c>
      <c r="J607" s="61" t="s">
        <v>2653</v>
      </c>
      <c r="K607" s="61" t="s">
        <v>2654</v>
      </c>
      <c r="L607" s="61" t="s">
        <v>2655</v>
      </c>
      <c r="M607" s="58">
        <v>2012.0</v>
      </c>
      <c r="N607" s="58">
        <v>22.0</v>
      </c>
      <c r="O607" s="62">
        <v>304.0</v>
      </c>
      <c r="P607" s="62">
        <f t="shared" si="12"/>
        <v>851.2</v>
      </c>
      <c r="Q607" s="63">
        <v>9.0</v>
      </c>
      <c r="R607" s="58">
        <v>4.0</v>
      </c>
      <c r="S607" s="58">
        <v>3.0</v>
      </c>
      <c r="T607" s="58">
        <v>5.0</v>
      </c>
      <c r="U607" s="58">
        <v>9.0</v>
      </c>
      <c r="V607" s="58" t="s">
        <v>75</v>
      </c>
      <c r="W607" s="61" t="s">
        <v>76</v>
      </c>
      <c r="X607" s="28" t="s">
        <v>1033</v>
      </c>
      <c r="Y607" s="64">
        <v>31.0</v>
      </c>
      <c r="Z607" s="65">
        <f t="shared" si="13"/>
        <v>49.25555556</v>
      </c>
      <c r="AA607" s="65">
        <f t="shared" si="14"/>
        <v>41926.32889</v>
      </c>
      <c r="AB607" s="65">
        <f t="shared" si="15"/>
        <v>1717.297982</v>
      </c>
      <c r="AC607" s="66">
        <v>1.0</v>
      </c>
      <c r="AD607" s="70"/>
      <c r="AE607" s="68">
        <f t="shared" si="16"/>
        <v>6557.377049</v>
      </c>
      <c r="AF607" s="69">
        <v>8000.0</v>
      </c>
      <c r="AG607" s="68">
        <f t="shared" si="17"/>
        <v>59016.39344</v>
      </c>
      <c r="AH607" s="70">
        <f t="shared" si="18"/>
        <v>72000</v>
      </c>
      <c r="AI607" s="71"/>
      <c r="AJ607" s="71"/>
      <c r="AK607" s="71"/>
      <c r="AL607" s="71"/>
    </row>
    <row r="608">
      <c r="A608" s="63" t="s">
        <v>2656</v>
      </c>
      <c r="B608" s="58" t="s">
        <v>239</v>
      </c>
      <c r="C608" s="58" t="s">
        <v>290</v>
      </c>
      <c r="D608" s="58" t="s">
        <v>2646</v>
      </c>
      <c r="E608" s="58" t="s">
        <v>897</v>
      </c>
      <c r="F608" s="58" t="s">
        <v>103</v>
      </c>
      <c r="G608" s="59">
        <v>46212.0</v>
      </c>
      <c r="H608" s="58" t="s">
        <v>104</v>
      </c>
      <c r="I608" s="60" t="s">
        <v>2657</v>
      </c>
      <c r="J608" s="61" t="s">
        <v>2658</v>
      </c>
      <c r="K608" s="61" t="s">
        <v>2659</v>
      </c>
      <c r="L608" s="61" t="s">
        <v>2660</v>
      </c>
      <c r="M608" s="58">
        <v>2011.0</v>
      </c>
      <c r="N608" s="58">
        <v>17.0</v>
      </c>
      <c r="O608" s="62">
        <v>1140.0</v>
      </c>
      <c r="P608" s="62">
        <f t="shared" si="12"/>
        <v>3192</v>
      </c>
      <c r="Q608" s="63">
        <v>4.0</v>
      </c>
      <c r="R608" s="58">
        <v>6.0</v>
      </c>
      <c r="S608" s="58">
        <v>4.0</v>
      </c>
      <c r="T608" s="58">
        <v>4.0</v>
      </c>
      <c r="U608" s="58">
        <v>8.0</v>
      </c>
      <c r="V608" s="58" t="s">
        <v>130</v>
      </c>
      <c r="W608" s="61" t="s">
        <v>76</v>
      </c>
      <c r="X608" s="28" t="s">
        <v>1033</v>
      </c>
      <c r="Y608" s="64">
        <v>31.0</v>
      </c>
      <c r="Z608" s="65">
        <f t="shared" si="13"/>
        <v>50.375</v>
      </c>
      <c r="AA608" s="65">
        <f t="shared" si="14"/>
        <v>160797</v>
      </c>
      <c r="AB608" s="65">
        <f t="shared" si="15"/>
        <v>199.008688</v>
      </c>
      <c r="AC608" s="66">
        <v>1.0</v>
      </c>
      <c r="AD608" s="67"/>
      <c r="AE608" s="68">
        <f t="shared" si="16"/>
        <v>6557.377049</v>
      </c>
      <c r="AF608" s="69">
        <v>8000.0</v>
      </c>
      <c r="AG608" s="68">
        <f t="shared" si="17"/>
        <v>26229.5082</v>
      </c>
      <c r="AH608" s="70">
        <f t="shared" si="18"/>
        <v>32000</v>
      </c>
      <c r="AI608" s="71"/>
      <c r="AJ608" s="71"/>
      <c r="AK608" s="71"/>
      <c r="AL608" s="71"/>
    </row>
    <row r="609">
      <c r="A609" s="63" t="s">
        <v>2656</v>
      </c>
      <c r="B609" s="58" t="s">
        <v>239</v>
      </c>
      <c r="C609" s="58" t="s">
        <v>290</v>
      </c>
      <c r="D609" s="58" t="s">
        <v>2646</v>
      </c>
      <c r="E609" s="58" t="s">
        <v>897</v>
      </c>
      <c r="F609" s="58" t="s">
        <v>103</v>
      </c>
      <c r="G609" s="59">
        <v>46212.0</v>
      </c>
      <c r="H609" s="58" t="s">
        <v>104</v>
      </c>
      <c r="I609" s="60" t="s">
        <v>2657</v>
      </c>
      <c r="J609" s="61" t="s">
        <v>2661</v>
      </c>
      <c r="K609" s="61" t="s">
        <v>2662</v>
      </c>
      <c r="L609" s="61" t="s">
        <v>2663</v>
      </c>
      <c r="M609" s="58">
        <v>2011.0</v>
      </c>
      <c r="N609" s="58">
        <v>17.0</v>
      </c>
      <c r="O609" s="62">
        <v>1140.0</v>
      </c>
      <c r="P609" s="62">
        <f t="shared" si="12"/>
        <v>3192</v>
      </c>
      <c r="Q609" s="63">
        <v>2.0</v>
      </c>
      <c r="R609" s="58">
        <v>6.0</v>
      </c>
      <c r="S609" s="58">
        <v>3.0</v>
      </c>
      <c r="T609" s="58">
        <v>4.0</v>
      </c>
      <c r="U609" s="58">
        <v>12.0</v>
      </c>
      <c r="V609" s="58" t="s">
        <v>130</v>
      </c>
      <c r="W609" s="61" t="s">
        <v>76</v>
      </c>
      <c r="X609" s="28" t="s">
        <v>1033</v>
      </c>
      <c r="Y609" s="64">
        <v>31.0</v>
      </c>
      <c r="Z609" s="65">
        <f t="shared" si="13"/>
        <v>53.73333333</v>
      </c>
      <c r="AA609" s="65">
        <f t="shared" si="14"/>
        <v>171516.8</v>
      </c>
      <c r="AB609" s="65">
        <f t="shared" si="15"/>
        <v>93.28532249</v>
      </c>
      <c r="AC609" s="66">
        <v>1.0</v>
      </c>
      <c r="AD609" s="67"/>
      <c r="AE609" s="68">
        <f t="shared" si="16"/>
        <v>6557.377049</v>
      </c>
      <c r="AF609" s="69">
        <v>8000.0</v>
      </c>
      <c r="AG609" s="68">
        <f t="shared" si="17"/>
        <v>13114.7541</v>
      </c>
      <c r="AH609" s="70">
        <f t="shared" si="18"/>
        <v>16000</v>
      </c>
      <c r="AI609" s="71"/>
      <c r="AJ609" s="71"/>
      <c r="AK609" s="71"/>
      <c r="AL609" s="71"/>
    </row>
    <row r="610">
      <c r="A610" s="63" t="s">
        <v>2656</v>
      </c>
      <c r="B610" s="58" t="s">
        <v>239</v>
      </c>
      <c r="C610" s="58" t="s">
        <v>290</v>
      </c>
      <c r="D610" s="58" t="s">
        <v>2646</v>
      </c>
      <c r="E610" s="58" t="s">
        <v>897</v>
      </c>
      <c r="F610" s="58" t="s">
        <v>103</v>
      </c>
      <c r="G610" s="59">
        <v>46212.0</v>
      </c>
      <c r="H610" s="58" t="s">
        <v>104</v>
      </c>
      <c r="I610" s="60" t="s">
        <v>2657</v>
      </c>
      <c r="J610" s="61" t="s">
        <v>2664</v>
      </c>
      <c r="K610" s="61" t="s">
        <v>2665</v>
      </c>
      <c r="L610" s="61" t="s">
        <v>2666</v>
      </c>
      <c r="M610" s="58">
        <v>2011.0</v>
      </c>
      <c r="N610" s="58">
        <v>17.0</v>
      </c>
      <c r="O610" s="62">
        <v>1140.0</v>
      </c>
      <c r="P610" s="62">
        <f t="shared" si="12"/>
        <v>3192</v>
      </c>
      <c r="Q610" s="63">
        <v>4.0</v>
      </c>
      <c r="R610" s="58">
        <v>6.0</v>
      </c>
      <c r="S610" s="58">
        <v>2.0</v>
      </c>
      <c r="T610" s="58">
        <v>4.0</v>
      </c>
      <c r="U610" s="58">
        <v>4.0</v>
      </c>
      <c r="V610" s="58" t="s">
        <v>130</v>
      </c>
      <c r="W610" s="61" t="s">
        <v>76</v>
      </c>
      <c r="X610" s="28" t="s">
        <v>1033</v>
      </c>
      <c r="Y610" s="64">
        <v>31.0</v>
      </c>
      <c r="Z610" s="65">
        <f t="shared" si="13"/>
        <v>100.75</v>
      </c>
      <c r="AA610" s="65">
        <f t="shared" si="14"/>
        <v>321594</v>
      </c>
      <c r="AB610" s="65">
        <f t="shared" si="15"/>
        <v>99.50434399</v>
      </c>
      <c r="AC610" s="66">
        <v>1.0</v>
      </c>
      <c r="AD610" s="70"/>
      <c r="AE610" s="68">
        <f t="shared" si="16"/>
        <v>6557.377049</v>
      </c>
      <c r="AF610" s="69">
        <v>8000.0</v>
      </c>
      <c r="AG610" s="68">
        <f t="shared" si="17"/>
        <v>26229.5082</v>
      </c>
      <c r="AH610" s="70">
        <f t="shared" si="18"/>
        <v>32000</v>
      </c>
      <c r="AI610" s="71"/>
      <c r="AJ610" s="71"/>
      <c r="AK610" s="71"/>
      <c r="AL610" s="71"/>
    </row>
    <row r="611">
      <c r="A611" s="57" t="s">
        <v>2667</v>
      </c>
      <c r="B611" s="58" t="s">
        <v>239</v>
      </c>
      <c r="C611" s="58" t="s">
        <v>314</v>
      </c>
      <c r="D611" s="58" t="s">
        <v>61</v>
      </c>
      <c r="E611" s="58" t="s">
        <v>897</v>
      </c>
      <c r="F611" s="58" t="s">
        <v>103</v>
      </c>
      <c r="G611" s="59">
        <v>46105.0</v>
      </c>
      <c r="H611" s="58" t="s">
        <v>104</v>
      </c>
      <c r="I611" s="60" t="s">
        <v>2668</v>
      </c>
      <c r="J611" s="61" t="s">
        <v>2669</v>
      </c>
      <c r="K611" s="61" t="s">
        <v>2670</v>
      </c>
      <c r="L611" s="61" t="s">
        <v>2671</v>
      </c>
      <c r="M611" s="58">
        <v>2024.0</v>
      </c>
      <c r="N611" s="58">
        <v>18.0</v>
      </c>
      <c r="O611" s="62">
        <v>341.0</v>
      </c>
      <c r="P611" s="62">
        <f t="shared" si="12"/>
        <v>954.8</v>
      </c>
      <c r="Q611" s="63">
        <v>4.0</v>
      </c>
      <c r="R611" s="58">
        <v>4.0</v>
      </c>
      <c r="S611" s="58">
        <v>4.0</v>
      </c>
      <c r="T611" s="58">
        <v>0.0</v>
      </c>
      <c r="U611" s="58">
        <v>8.0</v>
      </c>
      <c r="V611" s="58" t="s">
        <v>75</v>
      </c>
      <c r="W611" s="61" t="s">
        <v>76</v>
      </c>
      <c r="X611" s="28" t="s">
        <v>1033</v>
      </c>
      <c r="Y611" s="64">
        <v>31.0</v>
      </c>
      <c r="Z611" s="65">
        <f t="shared" si="13"/>
        <v>20.15</v>
      </c>
      <c r="AA611" s="65">
        <f t="shared" si="14"/>
        <v>19239.22</v>
      </c>
      <c r="AB611" s="65">
        <f t="shared" si="15"/>
        <v>1663.269093</v>
      </c>
      <c r="AC611" s="66">
        <v>1.0</v>
      </c>
      <c r="AD611" s="70"/>
      <c r="AE611" s="68">
        <f t="shared" si="16"/>
        <v>6557.377049</v>
      </c>
      <c r="AF611" s="69">
        <v>8000.0</v>
      </c>
      <c r="AG611" s="68">
        <f t="shared" si="17"/>
        <v>26229.5082</v>
      </c>
      <c r="AH611" s="70">
        <f t="shared" si="18"/>
        <v>32000</v>
      </c>
      <c r="AI611" s="71"/>
      <c r="AJ611" s="71"/>
      <c r="AK611" s="71"/>
      <c r="AL611" s="71"/>
    </row>
    <row r="612">
      <c r="A612" s="57" t="s">
        <v>2667</v>
      </c>
      <c r="B612" s="58" t="s">
        <v>239</v>
      </c>
      <c r="C612" s="58" t="s">
        <v>314</v>
      </c>
      <c r="D612" s="58" t="s">
        <v>2672</v>
      </c>
      <c r="E612" s="58" t="s">
        <v>897</v>
      </c>
      <c r="F612" s="58" t="s">
        <v>103</v>
      </c>
      <c r="G612" s="59">
        <v>46105.0</v>
      </c>
      <c r="H612" s="58" t="s">
        <v>104</v>
      </c>
      <c r="I612" s="60" t="s">
        <v>2668</v>
      </c>
      <c r="J612" s="61" t="s">
        <v>2673</v>
      </c>
      <c r="K612" s="61" t="s">
        <v>2674</v>
      </c>
      <c r="L612" s="61" t="s">
        <v>2675</v>
      </c>
      <c r="M612" s="58">
        <v>2023.0</v>
      </c>
      <c r="N612" s="58">
        <v>17.0</v>
      </c>
      <c r="O612" s="62">
        <v>341.0</v>
      </c>
      <c r="P612" s="62">
        <f t="shared" si="12"/>
        <v>954.8</v>
      </c>
      <c r="Q612" s="63">
        <v>3.0</v>
      </c>
      <c r="R612" s="58">
        <v>3.0</v>
      </c>
      <c r="S612" s="58">
        <v>3.0</v>
      </c>
      <c r="T612" s="58">
        <v>0.0</v>
      </c>
      <c r="U612" s="58">
        <v>6.0</v>
      </c>
      <c r="V612" s="58" t="s">
        <v>75</v>
      </c>
      <c r="W612" s="61" t="s">
        <v>76</v>
      </c>
      <c r="X612" s="28" t="s">
        <v>1033</v>
      </c>
      <c r="Y612" s="64">
        <v>31.0</v>
      </c>
      <c r="Z612" s="65">
        <f t="shared" si="13"/>
        <v>20.15</v>
      </c>
      <c r="AA612" s="65">
        <f t="shared" si="14"/>
        <v>19239.22</v>
      </c>
      <c r="AB612" s="65">
        <f t="shared" si="15"/>
        <v>1247.45182</v>
      </c>
      <c r="AC612" s="66">
        <v>1.0</v>
      </c>
      <c r="AD612" s="70"/>
      <c r="AE612" s="68">
        <f t="shared" si="16"/>
        <v>6557.377049</v>
      </c>
      <c r="AF612" s="69">
        <v>8000.0</v>
      </c>
      <c r="AG612" s="68">
        <f t="shared" si="17"/>
        <v>19672.13115</v>
      </c>
      <c r="AH612" s="70">
        <f t="shared" si="18"/>
        <v>24000</v>
      </c>
      <c r="AI612" s="71"/>
      <c r="AJ612" s="71"/>
      <c r="AK612" s="71"/>
      <c r="AL612" s="71"/>
    </row>
    <row r="613">
      <c r="A613" s="57" t="s">
        <v>2667</v>
      </c>
      <c r="B613" s="58" t="s">
        <v>239</v>
      </c>
      <c r="C613" s="58" t="s">
        <v>314</v>
      </c>
      <c r="D613" s="58" t="s">
        <v>2672</v>
      </c>
      <c r="E613" s="58" t="s">
        <v>897</v>
      </c>
      <c r="F613" s="58" t="s">
        <v>103</v>
      </c>
      <c r="G613" s="59">
        <v>46105.0</v>
      </c>
      <c r="H613" s="58" t="s">
        <v>104</v>
      </c>
      <c r="I613" s="60" t="s">
        <v>2668</v>
      </c>
      <c r="J613" s="61" t="s">
        <v>2676</v>
      </c>
      <c r="K613" s="61" t="s">
        <v>2677</v>
      </c>
      <c r="L613" s="61" t="s">
        <v>2678</v>
      </c>
      <c r="M613" s="58">
        <v>2024.0</v>
      </c>
      <c r="N613" s="58">
        <v>18.0</v>
      </c>
      <c r="O613" s="62">
        <v>305.0</v>
      </c>
      <c r="P613" s="62">
        <f t="shared" si="12"/>
        <v>854</v>
      </c>
      <c r="Q613" s="63">
        <v>4.0</v>
      </c>
      <c r="R613" s="58">
        <v>4.0</v>
      </c>
      <c r="S613" s="58">
        <v>4.0</v>
      </c>
      <c r="T613" s="58">
        <v>0.0</v>
      </c>
      <c r="U613" s="58">
        <v>8.0</v>
      </c>
      <c r="V613" s="58" t="s">
        <v>75</v>
      </c>
      <c r="W613" s="61" t="s">
        <v>76</v>
      </c>
      <c r="X613" s="28" t="s">
        <v>1033</v>
      </c>
      <c r="Y613" s="64">
        <v>31.0</v>
      </c>
      <c r="Z613" s="65">
        <f t="shared" si="13"/>
        <v>20.15</v>
      </c>
      <c r="AA613" s="65">
        <f t="shared" si="14"/>
        <v>17208.1</v>
      </c>
      <c r="AB613" s="65">
        <f t="shared" si="15"/>
        <v>1859.589379</v>
      </c>
      <c r="AC613" s="66">
        <v>1.0</v>
      </c>
      <c r="AD613" s="67"/>
      <c r="AE613" s="68">
        <f t="shared" si="16"/>
        <v>6557.377049</v>
      </c>
      <c r="AF613" s="69">
        <v>8000.0</v>
      </c>
      <c r="AG613" s="68">
        <f t="shared" si="17"/>
        <v>26229.5082</v>
      </c>
      <c r="AH613" s="70">
        <f t="shared" si="18"/>
        <v>32000</v>
      </c>
      <c r="AI613" s="71"/>
      <c r="AJ613" s="71"/>
      <c r="AK613" s="71"/>
      <c r="AL613" s="71"/>
    </row>
    <row r="614">
      <c r="A614" s="57" t="s">
        <v>2679</v>
      </c>
      <c r="B614" s="58" t="s">
        <v>239</v>
      </c>
      <c r="C614" s="58" t="s">
        <v>314</v>
      </c>
      <c r="D614" s="58" t="s">
        <v>2672</v>
      </c>
      <c r="E614" s="58" t="s">
        <v>897</v>
      </c>
      <c r="F614" s="58" t="s">
        <v>103</v>
      </c>
      <c r="G614" s="59">
        <v>46105.0</v>
      </c>
      <c r="H614" s="58" t="s">
        <v>104</v>
      </c>
      <c r="I614" s="60" t="s">
        <v>2680</v>
      </c>
      <c r="J614" s="61" t="s">
        <v>2681</v>
      </c>
      <c r="K614" s="61" t="s">
        <v>2682</v>
      </c>
      <c r="L614" s="61" t="s">
        <v>2683</v>
      </c>
      <c r="M614" s="58">
        <v>2024.0</v>
      </c>
      <c r="N614" s="58">
        <v>18.0</v>
      </c>
      <c r="O614" s="62">
        <v>305.0</v>
      </c>
      <c r="P614" s="62">
        <f t="shared" si="12"/>
        <v>854</v>
      </c>
      <c r="Q614" s="63">
        <v>4.0</v>
      </c>
      <c r="R614" s="58">
        <v>4.0</v>
      </c>
      <c r="S614" s="58">
        <v>4.0</v>
      </c>
      <c r="T614" s="58">
        <v>0.0</v>
      </c>
      <c r="U614" s="58">
        <v>8.0</v>
      </c>
      <c r="V614" s="58" t="s">
        <v>75</v>
      </c>
      <c r="W614" s="61" t="s">
        <v>76</v>
      </c>
      <c r="X614" s="28" t="s">
        <v>1033</v>
      </c>
      <c r="Y614" s="64">
        <v>31.0</v>
      </c>
      <c r="Z614" s="65">
        <f t="shared" si="13"/>
        <v>20.15</v>
      </c>
      <c r="AA614" s="65">
        <f t="shared" si="14"/>
        <v>17208.1</v>
      </c>
      <c r="AB614" s="65">
        <f t="shared" si="15"/>
        <v>1859.589379</v>
      </c>
      <c r="AC614" s="66">
        <v>1.0</v>
      </c>
      <c r="AD614" s="67"/>
      <c r="AE614" s="68">
        <f t="shared" si="16"/>
        <v>6557.377049</v>
      </c>
      <c r="AF614" s="69">
        <v>8000.0</v>
      </c>
      <c r="AG614" s="68">
        <f t="shared" si="17"/>
        <v>26229.5082</v>
      </c>
      <c r="AH614" s="70">
        <f t="shared" si="18"/>
        <v>32000</v>
      </c>
      <c r="AI614" s="71"/>
      <c r="AJ614" s="71"/>
      <c r="AK614" s="71"/>
      <c r="AL614" s="71"/>
    </row>
    <row r="615">
      <c r="A615" s="57" t="s">
        <v>2679</v>
      </c>
      <c r="B615" s="58" t="s">
        <v>239</v>
      </c>
      <c r="C615" s="58" t="s">
        <v>314</v>
      </c>
      <c r="D615" s="58" t="s">
        <v>2672</v>
      </c>
      <c r="E615" s="58" t="s">
        <v>897</v>
      </c>
      <c r="F615" s="58" t="s">
        <v>103</v>
      </c>
      <c r="G615" s="59">
        <v>46105.0</v>
      </c>
      <c r="H615" s="58" t="s">
        <v>104</v>
      </c>
      <c r="I615" s="60" t="s">
        <v>2680</v>
      </c>
      <c r="J615" s="61" t="s">
        <v>2684</v>
      </c>
      <c r="K615" s="61" t="s">
        <v>2685</v>
      </c>
      <c r="L615" s="61" t="s">
        <v>2686</v>
      </c>
      <c r="M615" s="58">
        <v>2022.0</v>
      </c>
      <c r="N615" s="58">
        <v>18.0</v>
      </c>
      <c r="O615" s="62">
        <v>466.0</v>
      </c>
      <c r="P615" s="62">
        <f t="shared" si="12"/>
        <v>1304.8</v>
      </c>
      <c r="Q615" s="63">
        <v>4.0</v>
      </c>
      <c r="R615" s="58">
        <v>4.0</v>
      </c>
      <c r="S615" s="58">
        <v>4.0</v>
      </c>
      <c r="T615" s="58">
        <v>0.0</v>
      </c>
      <c r="U615" s="58">
        <v>8.0</v>
      </c>
      <c r="V615" s="58" t="s">
        <v>75</v>
      </c>
      <c r="W615" s="61" t="s">
        <v>76</v>
      </c>
      <c r="X615" s="28" t="s">
        <v>1033</v>
      </c>
      <c r="Y615" s="64">
        <v>31.0</v>
      </c>
      <c r="Z615" s="65">
        <f t="shared" si="13"/>
        <v>20.15</v>
      </c>
      <c r="AA615" s="65">
        <f t="shared" si="14"/>
        <v>26291.72</v>
      </c>
      <c r="AB615" s="65">
        <f t="shared" si="15"/>
        <v>1217.11322</v>
      </c>
      <c r="AC615" s="66">
        <v>1.0</v>
      </c>
      <c r="AD615" s="70"/>
      <c r="AE615" s="68">
        <f t="shared" si="16"/>
        <v>6557.377049</v>
      </c>
      <c r="AF615" s="69">
        <v>8000.0</v>
      </c>
      <c r="AG615" s="68">
        <f t="shared" si="17"/>
        <v>26229.5082</v>
      </c>
      <c r="AH615" s="70">
        <f t="shared" si="18"/>
        <v>32000</v>
      </c>
      <c r="AI615" s="71"/>
      <c r="AJ615" s="71"/>
      <c r="AK615" s="71"/>
      <c r="AL615" s="71"/>
    </row>
    <row r="616">
      <c r="A616" s="57" t="s">
        <v>2679</v>
      </c>
      <c r="B616" s="58" t="s">
        <v>239</v>
      </c>
      <c r="C616" s="58" t="s">
        <v>314</v>
      </c>
      <c r="D616" s="58" t="s">
        <v>2672</v>
      </c>
      <c r="E616" s="58" t="s">
        <v>897</v>
      </c>
      <c r="F616" s="58" t="s">
        <v>103</v>
      </c>
      <c r="G616" s="59">
        <v>46105.0</v>
      </c>
      <c r="H616" s="58" t="s">
        <v>104</v>
      </c>
      <c r="I616" s="60" t="s">
        <v>2680</v>
      </c>
      <c r="J616" s="61" t="s">
        <v>2687</v>
      </c>
      <c r="K616" s="61" t="s">
        <v>2688</v>
      </c>
      <c r="L616" s="61" t="s">
        <v>2689</v>
      </c>
      <c r="M616" s="58">
        <v>2024.0</v>
      </c>
      <c r="N616" s="58">
        <v>18.0</v>
      </c>
      <c r="O616" s="62">
        <v>418.0</v>
      </c>
      <c r="P616" s="62">
        <f t="shared" si="12"/>
        <v>1170.4</v>
      </c>
      <c r="Q616" s="63">
        <v>3.0</v>
      </c>
      <c r="R616" s="58">
        <v>3.0</v>
      </c>
      <c r="S616" s="58">
        <v>4.0</v>
      </c>
      <c r="T616" s="58">
        <v>0.0</v>
      </c>
      <c r="U616" s="58">
        <v>8.0</v>
      </c>
      <c r="V616" s="58" t="s">
        <v>75</v>
      </c>
      <c r="W616" s="61" t="s">
        <v>76</v>
      </c>
      <c r="X616" s="28" t="s">
        <v>1033</v>
      </c>
      <c r="Y616" s="64">
        <v>31.0</v>
      </c>
      <c r="Z616" s="65">
        <f t="shared" si="13"/>
        <v>15.1125</v>
      </c>
      <c r="AA616" s="65">
        <f t="shared" si="14"/>
        <v>17687.67</v>
      </c>
      <c r="AB616" s="65">
        <f t="shared" si="15"/>
        <v>1356.877418</v>
      </c>
      <c r="AC616" s="66">
        <v>1.0</v>
      </c>
      <c r="AD616" s="70"/>
      <c r="AE616" s="68">
        <f t="shared" si="16"/>
        <v>6557.377049</v>
      </c>
      <c r="AF616" s="69">
        <v>8000.0</v>
      </c>
      <c r="AG616" s="68">
        <f t="shared" si="17"/>
        <v>19672.13115</v>
      </c>
      <c r="AH616" s="70">
        <f t="shared" si="18"/>
        <v>24000</v>
      </c>
      <c r="AI616" s="71"/>
      <c r="AJ616" s="71"/>
      <c r="AK616" s="71"/>
      <c r="AL616" s="71"/>
    </row>
    <row r="617">
      <c r="A617" s="57" t="s">
        <v>2690</v>
      </c>
      <c r="B617" s="58" t="s">
        <v>239</v>
      </c>
      <c r="C617" s="58" t="s">
        <v>314</v>
      </c>
      <c r="D617" s="58" t="s">
        <v>2672</v>
      </c>
      <c r="E617" s="58" t="s">
        <v>897</v>
      </c>
      <c r="F617" s="58" t="s">
        <v>103</v>
      </c>
      <c r="G617" s="59">
        <v>46105.0</v>
      </c>
      <c r="H617" s="58" t="s">
        <v>104</v>
      </c>
      <c r="I617" s="60" t="s">
        <v>2691</v>
      </c>
      <c r="J617" s="61" t="s">
        <v>2692</v>
      </c>
      <c r="K617" s="61" t="s">
        <v>2693</v>
      </c>
      <c r="L617" s="61" t="s">
        <v>2694</v>
      </c>
      <c r="M617" s="58">
        <v>2023.0</v>
      </c>
      <c r="N617" s="58">
        <v>18.0</v>
      </c>
      <c r="O617" s="62">
        <v>140.0</v>
      </c>
      <c r="P617" s="62">
        <f t="shared" si="12"/>
        <v>392</v>
      </c>
      <c r="Q617" s="63">
        <v>2.0</v>
      </c>
      <c r="R617" s="58">
        <v>2.0</v>
      </c>
      <c r="S617" s="58">
        <v>4.0</v>
      </c>
      <c r="T617" s="58">
        <v>0.0</v>
      </c>
      <c r="U617" s="58">
        <v>3.0</v>
      </c>
      <c r="V617" s="58" t="s">
        <v>75</v>
      </c>
      <c r="W617" s="61" t="s">
        <v>76</v>
      </c>
      <c r="X617" s="28" t="s">
        <v>1033</v>
      </c>
      <c r="Y617" s="64">
        <v>31.0</v>
      </c>
      <c r="Z617" s="65">
        <f t="shared" si="13"/>
        <v>10.075</v>
      </c>
      <c r="AA617" s="65">
        <f t="shared" si="14"/>
        <v>3949.4</v>
      </c>
      <c r="AB617" s="65">
        <f t="shared" si="15"/>
        <v>4051.248291</v>
      </c>
      <c r="AC617" s="66">
        <v>1.0</v>
      </c>
      <c r="AD617" s="70"/>
      <c r="AE617" s="68">
        <f t="shared" si="16"/>
        <v>6557.377049</v>
      </c>
      <c r="AF617" s="69">
        <v>8000.0</v>
      </c>
      <c r="AG617" s="68">
        <f t="shared" si="17"/>
        <v>13114.7541</v>
      </c>
      <c r="AH617" s="70">
        <f t="shared" si="18"/>
        <v>16000</v>
      </c>
      <c r="AI617" s="71"/>
      <c r="AJ617" s="71"/>
      <c r="AK617" s="71"/>
      <c r="AL617" s="71"/>
    </row>
    <row r="618">
      <c r="A618" s="57" t="s">
        <v>2690</v>
      </c>
      <c r="B618" s="58" t="s">
        <v>239</v>
      </c>
      <c r="C618" s="58" t="s">
        <v>314</v>
      </c>
      <c r="D618" s="58" t="s">
        <v>61</v>
      </c>
      <c r="E618" s="58" t="s">
        <v>897</v>
      </c>
      <c r="F618" s="58" t="s">
        <v>103</v>
      </c>
      <c r="G618" s="59">
        <v>46105.0</v>
      </c>
      <c r="H618" s="58" t="s">
        <v>104</v>
      </c>
      <c r="I618" s="60" t="s">
        <v>2691</v>
      </c>
      <c r="J618" s="61" t="s">
        <v>2695</v>
      </c>
      <c r="K618" s="61" t="s">
        <v>2696</v>
      </c>
      <c r="L618" s="61" t="s">
        <v>2697</v>
      </c>
      <c r="M618" s="58">
        <v>2017.0</v>
      </c>
      <c r="N618" s="58">
        <v>18.0</v>
      </c>
      <c r="O618" s="62">
        <v>352.0</v>
      </c>
      <c r="P618" s="62">
        <f t="shared" si="12"/>
        <v>985.6</v>
      </c>
      <c r="Q618" s="63">
        <v>2.0</v>
      </c>
      <c r="R618" s="58">
        <v>2.0</v>
      </c>
      <c r="S618" s="58">
        <v>4.0</v>
      </c>
      <c r="T618" s="58">
        <v>0.0</v>
      </c>
      <c r="U618" s="58">
        <v>8.0</v>
      </c>
      <c r="V618" s="58" t="s">
        <v>75</v>
      </c>
      <c r="W618" s="61" t="s">
        <v>76</v>
      </c>
      <c r="X618" s="28" t="s">
        <v>1033</v>
      </c>
      <c r="Y618" s="64">
        <v>31.0</v>
      </c>
      <c r="Z618" s="65">
        <f t="shared" si="13"/>
        <v>10.075</v>
      </c>
      <c r="AA618" s="65">
        <f t="shared" si="14"/>
        <v>9929.92</v>
      </c>
      <c r="AB618" s="65">
        <f t="shared" si="15"/>
        <v>1611.291934</v>
      </c>
      <c r="AC618" s="66">
        <v>1.0</v>
      </c>
      <c r="AD618" s="67"/>
      <c r="AE618" s="68">
        <f t="shared" si="16"/>
        <v>6557.377049</v>
      </c>
      <c r="AF618" s="69">
        <v>8000.0</v>
      </c>
      <c r="AG618" s="68">
        <f t="shared" si="17"/>
        <v>13114.7541</v>
      </c>
      <c r="AH618" s="70">
        <f t="shared" si="18"/>
        <v>16000</v>
      </c>
      <c r="AI618" s="71"/>
      <c r="AJ618" s="71"/>
      <c r="AK618" s="71"/>
      <c r="AL618" s="71"/>
    </row>
    <row r="619">
      <c r="A619" s="57" t="s">
        <v>2690</v>
      </c>
      <c r="B619" s="58" t="s">
        <v>239</v>
      </c>
      <c r="C619" s="58" t="s">
        <v>314</v>
      </c>
      <c r="D619" s="58" t="s">
        <v>61</v>
      </c>
      <c r="E619" s="58" t="s">
        <v>897</v>
      </c>
      <c r="F619" s="58" t="s">
        <v>103</v>
      </c>
      <c r="G619" s="59">
        <v>46105.0</v>
      </c>
      <c r="H619" s="58" t="s">
        <v>104</v>
      </c>
      <c r="I619" s="60" t="s">
        <v>2691</v>
      </c>
      <c r="J619" s="61" t="s">
        <v>2698</v>
      </c>
      <c r="K619" s="61" t="s">
        <v>2699</v>
      </c>
      <c r="L619" s="61" t="s">
        <v>2700</v>
      </c>
      <c r="M619" s="58">
        <v>2023.0</v>
      </c>
      <c r="N619" s="58">
        <v>18.0</v>
      </c>
      <c r="O619" s="62">
        <v>144.0</v>
      </c>
      <c r="P619" s="62">
        <f t="shared" si="12"/>
        <v>403.2</v>
      </c>
      <c r="Q619" s="63">
        <v>1.0</v>
      </c>
      <c r="R619" s="58">
        <v>1.0</v>
      </c>
      <c r="S619" s="58">
        <v>1.0</v>
      </c>
      <c r="T619" s="58">
        <v>0.0</v>
      </c>
      <c r="U619" s="58">
        <v>3.0</v>
      </c>
      <c r="V619" s="58" t="s">
        <v>75</v>
      </c>
      <c r="W619" s="61" t="s">
        <v>76</v>
      </c>
      <c r="X619" s="28" t="s">
        <v>1033</v>
      </c>
      <c r="Y619" s="64">
        <v>31.0</v>
      </c>
      <c r="Z619" s="65">
        <f t="shared" si="13"/>
        <v>20.15</v>
      </c>
      <c r="AA619" s="65">
        <f t="shared" si="14"/>
        <v>8124.48</v>
      </c>
      <c r="AB619" s="65">
        <f t="shared" si="15"/>
        <v>984.678404</v>
      </c>
      <c r="AC619" s="66">
        <v>1.0</v>
      </c>
      <c r="AD619" s="67"/>
      <c r="AE619" s="68">
        <f t="shared" si="16"/>
        <v>6557.377049</v>
      </c>
      <c r="AF619" s="69">
        <v>8000.0</v>
      </c>
      <c r="AG619" s="68">
        <f t="shared" si="17"/>
        <v>6557.377049</v>
      </c>
      <c r="AH619" s="70">
        <f t="shared" si="18"/>
        <v>8000</v>
      </c>
      <c r="AI619" s="71"/>
      <c r="AJ619" s="71"/>
      <c r="AK619" s="71"/>
      <c r="AL619" s="71"/>
    </row>
    <row r="620">
      <c r="A620" s="57" t="s">
        <v>2690</v>
      </c>
      <c r="B620" s="58" t="s">
        <v>239</v>
      </c>
      <c r="C620" s="58" t="s">
        <v>314</v>
      </c>
      <c r="D620" s="58" t="s">
        <v>61</v>
      </c>
      <c r="E620" s="58" t="s">
        <v>897</v>
      </c>
      <c r="F620" s="58" t="s">
        <v>103</v>
      </c>
      <c r="G620" s="59">
        <v>46105.0</v>
      </c>
      <c r="H620" s="58" t="s">
        <v>104</v>
      </c>
      <c r="I620" s="60" t="s">
        <v>2691</v>
      </c>
      <c r="J620" s="61" t="s">
        <v>2701</v>
      </c>
      <c r="K620" s="61" t="s">
        <v>2702</v>
      </c>
      <c r="L620" s="61" t="s">
        <v>2703</v>
      </c>
      <c r="M620" s="58">
        <v>2023.0</v>
      </c>
      <c r="N620" s="58">
        <v>18.0</v>
      </c>
      <c r="O620" s="62">
        <v>176.0</v>
      </c>
      <c r="P620" s="62">
        <f t="shared" si="12"/>
        <v>492.8</v>
      </c>
      <c r="Q620" s="63">
        <v>1.0</v>
      </c>
      <c r="R620" s="58">
        <v>1.0</v>
      </c>
      <c r="S620" s="58">
        <v>1.0</v>
      </c>
      <c r="T620" s="58">
        <v>0.0</v>
      </c>
      <c r="U620" s="58">
        <v>3.0</v>
      </c>
      <c r="V620" s="58" t="s">
        <v>75</v>
      </c>
      <c r="W620" s="61" t="s">
        <v>76</v>
      </c>
      <c r="X620" s="28" t="s">
        <v>1033</v>
      </c>
      <c r="Y620" s="64">
        <v>31.0</v>
      </c>
      <c r="Z620" s="65">
        <f t="shared" si="13"/>
        <v>20.15</v>
      </c>
      <c r="AA620" s="65">
        <f t="shared" si="14"/>
        <v>9929.92</v>
      </c>
      <c r="AB620" s="65">
        <f t="shared" si="15"/>
        <v>805.6459669</v>
      </c>
      <c r="AC620" s="66">
        <v>1.0</v>
      </c>
      <c r="AD620" s="70"/>
      <c r="AE620" s="68">
        <f t="shared" si="16"/>
        <v>6557.377049</v>
      </c>
      <c r="AF620" s="69">
        <v>8000.0</v>
      </c>
      <c r="AG620" s="68">
        <f t="shared" si="17"/>
        <v>6557.377049</v>
      </c>
      <c r="AH620" s="70">
        <f t="shared" si="18"/>
        <v>8000</v>
      </c>
      <c r="AI620" s="71"/>
      <c r="AJ620" s="71"/>
      <c r="AK620" s="71"/>
      <c r="AL620" s="71"/>
    </row>
    <row r="621">
      <c r="A621" s="57" t="s">
        <v>2690</v>
      </c>
      <c r="B621" s="58" t="s">
        <v>239</v>
      </c>
      <c r="C621" s="58" t="s">
        <v>314</v>
      </c>
      <c r="D621" s="58" t="s">
        <v>61</v>
      </c>
      <c r="E621" s="58" t="s">
        <v>897</v>
      </c>
      <c r="F621" s="58" t="s">
        <v>103</v>
      </c>
      <c r="G621" s="59">
        <v>46105.0</v>
      </c>
      <c r="H621" s="58" t="s">
        <v>104</v>
      </c>
      <c r="I621" s="60" t="s">
        <v>2691</v>
      </c>
      <c r="J621" s="61" t="s">
        <v>2704</v>
      </c>
      <c r="K621" s="61" t="s">
        <v>2705</v>
      </c>
      <c r="L621" s="61" t="s">
        <v>2706</v>
      </c>
      <c r="M621" s="58">
        <v>2023.0</v>
      </c>
      <c r="N621" s="58">
        <v>18.0</v>
      </c>
      <c r="O621" s="62">
        <v>176.0</v>
      </c>
      <c r="P621" s="62">
        <f t="shared" si="12"/>
        <v>492.8</v>
      </c>
      <c r="Q621" s="63">
        <v>1.0</v>
      </c>
      <c r="R621" s="58">
        <v>1.0</v>
      </c>
      <c r="S621" s="58">
        <v>1.0</v>
      </c>
      <c r="T621" s="58">
        <v>0.0</v>
      </c>
      <c r="U621" s="58">
        <v>3.0</v>
      </c>
      <c r="V621" s="58" t="s">
        <v>75</v>
      </c>
      <c r="W621" s="61" t="s">
        <v>76</v>
      </c>
      <c r="X621" s="28" t="s">
        <v>1033</v>
      </c>
      <c r="Y621" s="64">
        <v>31.0</v>
      </c>
      <c r="Z621" s="65">
        <f t="shared" si="13"/>
        <v>20.15</v>
      </c>
      <c r="AA621" s="65">
        <f t="shared" si="14"/>
        <v>9929.92</v>
      </c>
      <c r="AB621" s="65">
        <f t="shared" si="15"/>
        <v>805.6459669</v>
      </c>
      <c r="AC621" s="66">
        <v>1.0</v>
      </c>
      <c r="AD621" s="70"/>
      <c r="AE621" s="68">
        <f t="shared" si="16"/>
        <v>6557.377049</v>
      </c>
      <c r="AF621" s="69">
        <v>8000.0</v>
      </c>
      <c r="AG621" s="68">
        <f t="shared" si="17"/>
        <v>6557.377049</v>
      </c>
      <c r="AH621" s="70">
        <f t="shared" si="18"/>
        <v>8000</v>
      </c>
      <c r="AI621" s="71"/>
      <c r="AJ621" s="71"/>
      <c r="AK621" s="71"/>
      <c r="AL621" s="71"/>
    </row>
    <row r="622">
      <c r="A622" s="57" t="s">
        <v>2707</v>
      </c>
      <c r="B622" s="58" t="s">
        <v>239</v>
      </c>
      <c r="C622" s="58" t="s">
        <v>314</v>
      </c>
      <c r="D622" s="58" t="s">
        <v>61</v>
      </c>
      <c r="E622" s="58" t="s">
        <v>897</v>
      </c>
      <c r="F622" s="58" t="s">
        <v>103</v>
      </c>
      <c r="G622" s="59">
        <v>46105.0</v>
      </c>
      <c r="H622" s="58" t="s">
        <v>104</v>
      </c>
      <c r="I622" s="60" t="s">
        <v>2708</v>
      </c>
      <c r="J622" s="61" t="s">
        <v>2709</v>
      </c>
      <c r="K622" s="61" t="s">
        <v>2710</v>
      </c>
      <c r="L622" s="61" t="s">
        <v>2711</v>
      </c>
      <c r="M622" s="58">
        <v>2024.0</v>
      </c>
      <c r="N622" s="58">
        <v>18.0</v>
      </c>
      <c r="O622" s="62">
        <v>352.0</v>
      </c>
      <c r="P622" s="62">
        <f t="shared" si="12"/>
        <v>985.6</v>
      </c>
      <c r="Q622" s="63">
        <v>2.0</v>
      </c>
      <c r="R622" s="58">
        <v>2.0</v>
      </c>
      <c r="S622" s="58">
        <v>2.0</v>
      </c>
      <c r="T622" s="58">
        <v>0.0</v>
      </c>
      <c r="U622" s="58">
        <v>6.0</v>
      </c>
      <c r="V622" s="58" t="s">
        <v>75</v>
      </c>
      <c r="W622" s="61" t="s">
        <v>76</v>
      </c>
      <c r="X622" s="28" t="s">
        <v>1033</v>
      </c>
      <c r="Y622" s="64">
        <v>31.0</v>
      </c>
      <c r="Z622" s="65">
        <f t="shared" si="13"/>
        <v>20.15</v>
      </c>
      <c r="AA622" s="65">
        <f t="shared" si="14"/>
        <v>19859.84</v>
      </c>
      <c r="AB622" s="65">
        <f t="shared" si="15"/>
        <v>805.6459669</v>
      </c>
      <c r="AC622" s="66">
        <v>1.0</v>
      </c>
      <c r="AD622" s="70"/>
      <c r="AE622" s="68">
        <f t="shared" si="16"/>
        <v>6557.377049</v>
      </c>
      <c r="AF622" s="69">
        <v>8000.0</v>
      </c>
      <c r="AG622" s="68">
        <f t="shared" si="17"/>
        <v>13114.7541</v>
      </c>
      <c r="AH622" s="70">
        <f t="shared" si="18"/>
        <v>16000</v>
      </c>
      <c r="AI622" s="71"/>
      <c r="AJ622" s="71"/>
      <c r="AK622" s="71"/>
      <c r="AL622" s="71"/>
    </row>
    <row r="623">
      <c r="A623" s="57" t="s">
        <v>2707</v>
      </c>
      <c r="B623" s="58" t="s">
        <v>239</v>
      </c>
      <c r="C623" s="58" t="s">
        <v>314</v>
      </c>
      <c r="D623" s="58" t="s">
        <v>61</v>
      </c>
      <c r="E623" s="58" t="s">
        <v>897</v>
      </c>
      <c r="F623" s="58" t="s">
        <v>103</v>
      </c>
      <c r="G623" s="59">
        <v>46105.0</v>
      </c>
      <c r="H623" s="58" t="s">
        <v>104</v>
      </c>
      <c r="I623" s="60" t="s">
        <v>2708</v>
      </c>
      <c r="J623" s="61" t="s">
        <v>2712</v>
      </c>
      <c r="K623" s="61" t="s">
        <v>2713</v>
      </c>
      <c r="L623" s="61" t="s">
        <v>2714</v>
      </c>
      <c r="M623" s="58">
        <v>2024.0</v>
      </c>
      <c r="N623" s="58">
        <v>18.0</v>
      </c>
      <c r="O623" s="62">
        <v>352.0</v>
      </c>
      <c r="P623" s="62">
        <f t="shared" si="12"/>
        <v>985.6</v>
      </c>
      <c r="Q623" s="63">
        <v>2.0</v>
      </c>
      <c r="R623" s="58">
        <v>2.0</v>
      </c>
      <c r="S623" s="58">
        <v>2.0</v>
      </c>
      <c r="T623" s="58">
        <v>0.0</v>
      </c>
      <c r="U623" s="58">
        <v>6.0</v>
      </c>
      <c r="V623" s="58" t="s">
        <v>75</v>
      </c>
      <c r="W623" s="61" t="s">
        <v>76</v>
      </c>
      <c r="X623" s="28" t="s">
        <v>1033</v>
      </c>
      <c r="Y623" s="64">
        <v>31.0</v>
      </c>
      <c r="Z623" s="65">
        <f t="shared" si="13"/>
        <v>20.15</v>
      </c>
      <c r="AA623" s="65">
        <f t="shared" si="14"/>
        <v>19859.84</v>
      </c>
      <c r="AB623" s="65">
        <f t="shared" si="15"/>
        <v>805.6459669</v>
      </c>
      <c r="AC623" s="66">
        <v>1.0</v>
      </c>
      <c r="AD623" s="67"/>
      <c r="AE623" s="68">
        <f t="shared" si="16"/>
        <v>6557.377049</v>
      </c>
      <c r="AF623" s="69">
        <v>8000.0</v>
      </c>
      <c r="AG623" s="68">
        <f t="shared" si="17"/>
        <v>13114.7541</v>
      </c>
      <c r="AH623" s="70">
        <f t="shared" si="18"/>
        <v>16000</v>
      </c>
      <c r="AI623" s="71"/>
      <c r="AJ623" s="71"/>
      <c r="AK623" s="71"/>
      <c r="AL623" s="71"/>
    </row>
    <row r="624">
      <c r="A624" s="57" t="s">
        <v>2707</v>
      </c>
      <c r="B624" s="58" t="s">
        <v>239</v>
      </c>
      <c r="C624" s="58" t="s">
        <v>314</v>
      </c>
      <c r="D624" s="58" t="s">
        <v>61</v>
      </c>
      <c r="E624" s="58" t="s">
        <v>897</v>
      </c>
      <c r="F624" s="58" t="s">
        <v>103</v>
      </c>
      <c r="G624" s="59">
        <v>46105.0</v>
      </c>
      <c r="H624" s="58" t="s">
        <v>104</v>
      </c>
      <c r="I624" s="60" t="s">
        <v>2708</v>
      </c>
      <c r="J624" s="61" t="s">
        <v>2715</v>
      </c>
      <c r="K624" s="61" t="s">
        <v>2716</v>
      </c>
      <c r="L624" s="61" t="s">
        <v>2717</v>
      </c>
      <c r="M624" s="58">
        <v>2024.0</v>
      </c>
      <c r="N624" s="58">
        <v>18.0</v>
      </c>
      <c r="O624" s="62">
        <v>466.0</v>
      </c>
      <c r="P624" s="62">
        <f t="shared" si="12"/>
        <v>1304.8</v>
      </c>
      <c r="Q624" s="63">
        <v>4.0</v>
      </c>
      <c r="R624" s="58">
        <v>4.0</v>
      </c>
      <c r="S624" s="58">
        <v>4.0</v>
      </c>
      <c r="T624" s="58">
        <v>0.0</v>
      </c>
      <c r="U624" s="58">
        <v>8.0</v>
      </c>
      <c r="V624" s="58" t="s">
        <v>75</v>
      </c>
      <c r="W624" s="61" t="s">
        <v>76</v>
      </c>
      <c r="X624" s="28" t="s">
        <v>1033</v>
      </c>
      <c r="Y624" s="64">
        <v>31.0</v>
      </c>
      <c r="Z624" s="65">
        <f t="shared" si="13"/>
        <v>20.15</v>
      </c>
      <c r="AA624" s="65">
        <f t="shared" si="14"/>
        <v>26291.72</v>
      </c>
      <c r="AB624" s="65">
        <f t="shared" si="15"/>
        <v>1217.11322</v>
      </c>
      <c r="AC624" s="66">
        <v>1.0</v>
      </c>
      <c r="AD624" s="67"/>
      <c r="AE624" s="68">
        <f t="shared" si="16"/>
        <v>6557.377049</v>
      </c>
      <c r="AF624" s="69">
        <v>8000.0</v>
      </c>
      <c r="AG624" s="68">
        <f t="shared" si="17"/>
        <v>26229.5082</v>
      </c>
      <c r="AH624" s="70">
        <f t="shared" si="18"/>
        <v>32000</v>
      </c>
      <c r="AI624" s="71"/>
      <c r="AJ624" s="71"/>
      <c r="AK624" s="71"/>
      <c r="AL624" s="71"/>
    </row>
    <row r="625">
      <c r="A625" s="57" t="s">
        <v>2718</v>
      </c>
      <c r="B625" s="58" t="s">
        <v>239</v>
      </c>
      <c r="C625" s="58" t="s">
        <v>314</v>
      </c>
      <c r="D625" s="58" t="s">
        <v>61</v>
      </c>
      <c r="E625" s="58" t="s">
        <v>897</v>
      </c>
      <c r="F625" s="58" t="s">
        <v>103</v>
      </c>
      <c r="G625" s="59">
        <v>46118.0</v>
      </c>
      <c r="H625" s="58" t="s">
        <v>104</v>
      </c>
      <c r="I625" s="60" t="s">
        <v>2719</v>
      </c>
      <c r="J625" s="61" t="s">
        <v>2720</v>
      </c>
      <c r="K625" s="61" t="s">
        <v>2721</v>
      </c>
      <c r="L625" s="61" t="s">
        <v>2722</v>
      </c>
      <c r="M625" s="58">
        <v>2023.0</v>
      </c>
      <c r="N625" s="58">
        <v>17.0</v>
      </c>
      <c r="O625" s="62">
        <v>176.0</v>
      </c>
      <c r="P625" s="62">
        <f t="shared" si="12"/>
        <v>492.8</v>
      </c>
      <c r="Q625" s="63">
        <v>1.0</v>
      </c>
      <c r="R625" s="58">
        <v>1.0</v>
      </c>
      <c r="S625" s="58">
        <v>1.0</v>
      </c>
      <c r="T625" s="58">
        <v>0.0</v>
      </c>
      <c r="U625" s="58">
        <v>3.0</v>
      </c>
      <c r="V625" s="58" t="s">
        <v>75</v>
      </c>
      <c r="W625" s="61" t="s">
        <v>76</v>
      </c>
      <c r="X625" s="28" t="s">
        <v>1033</v>
      </c>
      <c r="Y625" s="64">
        <v>31.0</v>
      </c>
      <c r="Z625" s="65">
        <f t="shared" si="13"/>
        <v>20.15</v>
      </c>
      <c r="AA625" s="65">
        <f t="shared" si="14"/>
        <v>9929.92</v>
      </c>
      <c r="AB625" s="65">
        <f t="shared" si="15"/>
        <v>805.6459669</v>
      </c>
      <c r="AC625" s="66">
        <v>1.0</v>
      </c>
      <c r="AD625" s="70"/>
      <c r="AE625" s="68">
        <f t="shared" si="16"/>
        <v>6557.377049</v>
      </c>
      <c r="AF625" s="69">
        <v>8000.0</v>
      </c>
      <c r="AG625" s="68">
        <f t="shared" si="17"/>
        <v>6557.377049</v>
      </c>
      <c r="AH625" s="70">
        <f t="shared" si="18"/>
        <v>8000</v>
      </c>
      <c r="AI625" s="71"/>
      <c r="AJ625" s="71"/>
      <c r="AK625" s="71"/>
      <c r="AL625" s="71"/>
    </row>
    <row r="626">
      <c r="A626" s="57" t="s">
        <v>2718</v>
      </c>
      <c r="B626" s="58" t="s">
        <v>239</v>
      </c>
      <c r="C626" s="58" t="s">
        <v>314</v>
      </c>
      <c r="D626" s="58" t="s">
        <v>61</v>
      </c>
      <c r="E626" s="58" t="s">
        <v>897</v>
      </c>
      <c r="F626" s="58" t="s">
        <v>103</v>
      </c>
      <c r="G626" s="59">
        <v>46118.0</v>
      </c>
      <c r="H626" s="58" t="s">
        <v>104</v>
      </c>
      <c r="I626" s="60" t="s">
        <v>2719</v>
      </c>
      <c r="J626" s="61" t="s">
        <v>2723</v>
      </c>
      <c r="K626" s="61" t="s">
        <v>2724</v>
      </c>
      <c r="L626" s="61" t="s">
        <v>2725</v>
      </c>
      <c r="M626" s="58">
        <v>2023.0</v>
      </c>
      <c r="N626" s="58">
        <v>17.0</v>
      </c>
      <c r="O626" s="62">
        <v>576.0</v>
      </c>
      <c r="P626" s="62">
        <f t="shared" si="12"/>
        <v>1612.8</v>
      </c>
      <c r="Q626" s="63">
        <v>4.0</v>
      </c>
      <c r="R626" s="58">
        <v>4.0</v>
      </c>
      <c r="S626" s="58">
        <v>5.0</v>
      </c>
      <c r="T626" s="58">
        <v>0.0</v>
      </c>
      <c r="U626" s="58">
        <v>10.0</v>
      </c>
      <c r="V626" s="58" t="s">
        <v>75</v>
      </c>
      <c r="W626" s="61" t="s">
        <v>76</v>
      </c>
      <c r="X626" s="28" t="s">
        <v>1033</v>
      </c>
      <c r="Y626" s="64">
        <v>31.0</v>
      </c>
      <c r="Z626" s="65">
        <f t="shared" si="13"/>
        <v>16.12</v>
      </c>
      <c r="AA626" s="65">
        <f t="shared" si="14"/>
        <v>25998.336</v>
      </c>
      <c r="AB626" s="65">
        <f t="shared" si="15"/>
        <v>1230.848005</v>
      </c>
      <c r="AC626" s="66">
        <v>1.0</v>
      </c>
      <c r="AD626" s="67"/>
      <c r="AE626" s="68">
        <f t="shared" si="16"/>
        <v>6557.377049</v>
      </c>
      <c r="AF626" s="69">
        <v>8000.0</v>
      </c>
      <c r="AG626" s="68">
        <f t="shared" si="17"/>
        <v>26229.5082</v>
      </c>
      <c r="AH626" s="70">
        <f t="shared" si="18"/>
        <v>32000</v>
      </c>
      <c r="AI626" s="71"/>
      <c r="AJ626" s="71"/>
      <c r="AK626" s="71"/>
      <c r="AL626" s="71"/>
    </row>
    <row r="627">
      <c r="A627" s="57" t="s">
        <v>2718</v>
      </c>
      <c r="B627" s="58" t="s">
        <v>239</v>
      </c>
      <c r="C627" s="58" t="s">
        <v>314</v>
      </c>
      <c r="D627" s="58" t="s">
        <v>61</v>
      </c>
      <c r="E627" s="58" t="s">
        <v>897</v>
      </c>
      <c r="F627" s="58" t="s">
        <v>103</v>
      </c>
      <c r="G627" s="59">
        <v>46118.0</v>
      </c>
      <c r="H627" s="58" t="s">
        <v>104</v>
      </c>
      <c r="I627" s="60" t="s">
        <v>2719</v>
      </c>
      <c r="J627" s="61" t="s">
        <v>2726</v>
      </c>
      <c r="K627" s="61" t="s">
        <v>2727</v>
      </c>
      <c r="L627" s="61" t="s">
        <v>2728</v>
      </c>
      <c r="M627" s="58">
        <v>2023.0</v>
      </c>
      <c r="N627" s="58">
        <v>17.0</v>
      </c>
      <c r="O627" s="62">
        <v>341.0</v>
      </c>
      <c r="P627" s="62">
        <f t="shared" si="12"/>
        <v>954.8</v>
      </c>
      <c r="Q627" s="63">
        <v>3.0</v>
      </c>
      <c r="R627" s="58">
        <v>3.0</v>
      </c>
      <c r="S627" s="58">
        <v>4.0</v>
      </c>
      <c r="T627" s="58">
        <v>0.0</v>
      </c>
      <c r="U627" s="58">
        <v>8.0</v>
      </c>
      <c r="V627" s="58" t="s">
        <v>75</v>
      </c>
      <c r="W627" s="61" t="s">
        <v>76</v>
      </c>
      <c r="X627" s="28" t="s">
        <v>1033</v>
      </c>
      <c r="Y627" s="64">
        <v>31.0</v>
      </c>
      <c r="Z627" s="65">
        <f t="shared" si="13"/>
        <v>15.1125</v>
      </c>
      <c r="AA627" s="65">
        <f t="shared" si="14"/>
        <v>14429.415</v>
      </c>
      <c r="AB627" s="65">
        <f t="shared" si="15"/>
        <v>1663.269093</v>
      </c>
      <c r="AC627" s="66">
        <v>1.0</v>
      </c>
      <c r="AD627" s="67"/>
      <c r="AE627" s="68">
        <f t="shared" si="16"/>
        <v>6557.377049</v>
      </c>
      <c r="AF627" s="69">
        <v>8000.0</v>
      </c>
      <c r="AG627" s="68">
        <f t="shared" si="17"/>
        <v>19672.13115</v>
      </c>
      <c r="AH627" s="70">
        <f t="shared" si="18"/>
        <v>24000</v>
      </c>
      <c r="AI627" s="71"/>
      <c r="AJ627" s="71"/>
      <c r="AK627" s="71"/>
      <c r="AL627" s="71"/>
    </row>
    <row r="628">
      <c r="A628" s="57" t="s">
        <v>2729</v>
      </c>
      <c r="B628" s="58" t="s">
        <v>239</v>
      </c>
      <c r="C628" s="58" t="s">
        <v>314</v>
      </c>
      <c r="D628" s="58" t="s">
        <v>61</v>
      </c>
      <c r="E628" s="58" t="s">
        <v>897</v>
      </c>
      <c r="F628" s="58" t="s">
        <v>103</v>
      </c>
      <c r="G628" s="59">
        <v>46190.0</v>
      </c>
      <c r="H628" s="58" t="s">
        <v>104</v>
      </c>
      <c r="I628" s="60" t="s">
        <v>2730</v>
      </c>
      <c r="J628" s="61" t="s">
        <v>2731</v>
      </c>
      <c r="K628" s="61" t="s">
        <v>2732</v>
      </c>
      <c r="L628" s="61" t="s">
        <v>2733</v>
      </c>
      <c r="M628" s="58">
        <v>2024.0</v>
      </c>
      <c r="N628" s="58">
        <v>17.0</v>
      </c>
      <c r="O628" s="62">
        <v>621.0</v>
      </c>
      <c r="P628" s="62">
        <f t="shared" si="12"/>
        <v>1738.8</v>
      </c>
      <c r="Q628" s="63">
        <v>8.0</v>
      </c>
      <c r="R628" s="58">
        <v>8.0</v>
      </c>
      <c r="S628" s="58">
        <v>8.0</v>
      </c>
      <c r="T628" s="58">
        <v>0.0</v>
      </c>
      <c r="U628" s="58">
        <v>16.0</v>
      </c>
      <c r="V628" s="58" t="s">
        <v>75</v>
      </c>
      <c r="W628" s="61" t="s">
        <v>76</v>
      </c>
      <c r="X628" s="28" t="s">
        <v>1033</v>
      </c>
      <c r="Y628" s="64">
        <v>31.0</v>
      </c>
      <c r="Z628" s="65">
        <f t="shared" si="13"/>
        <v>20.15</v>
      </c>
      <c r="AA628" s="65">
        <f t="shared" si="14"/>
        <v>35036.82</v>
      </c>
      <c r="AB628" s="65">
        <f t="shared" si="15"/>
        <v>1826.649793</v>
      </c>
      <c r="AC628" s="66">
        <v>1.0</v>
      </c>
      <c r="AD628" s="70"/>
      <c r="AE628" s="68">
        <f t="shared" si="16"/>
        <v>6557.377049</v>
      </c>
      <c r="AF628" s="69">
        <v>8000.0</v>
      </c>
      <c r="AG628" s="68">
        <f t="shared" si="17"/>
        <v>52459.01639</v>
      </c>
      <c r="AH628" s="70">
        <f t="shared" si="18"/>
        <v>64000</v>
      </c>
      <c r="AI628" s="71"/>
      <c r="AJ628" s="71"/>
      <c r="AK628" s="71"/>
      <c r="AL628" s="71"/>
    </row>
    <row r="629">
      <c r="A629" s="57" t="s">
        <v>2729</v>
      </c>
      <c r="B629" s="58" t="s">
        <v>239</v>
      </c>
      <c r="C629" s="58" t="s">
        <v>314</v>
      </c>
      <c r="D629" s="58" t="s">
        <v>61</v>
      </c>
      <c r="E629" s="58" t="s">
        <v>897</v>
      </c>
      <c r="F629" s="58" t="s">
        <v>103</v>
      </c>
      <c r="G629" s="59">
        <v>46190.0</v>
      </c>
      <c r="H629" s="58" t="s">
        <v>104</v>
      </c>
      <c r="I629" s="60" t="s">
        <v>2730</v>
      </c>
      <c r="J629" s="61" t="s">
        <v>2734</v>
      </c>
      <c r="K629" s="61" t="s">
        <v>2735</v>
      </c>
      <c r="L629" s="61" t="s">
        <v>2736</v>
      </c>
      <c r="M629" s="58">
        <v>2024.0</v>
      </c>
      <c r="N629" s="58">
        <v>17.0</v>
      </c>
      <c r="O629" s="62">
        <v>304.0</v>
      </c>
      <c r="P629" s="62">
        <f t="shared" si="12"/>
        <v>851.2</v>
      </c>
      <c r="Q629" s="63">
        <v>3.0</v>
      </c>
      <c r="R629" s="58">
        <v>3.0</v>
      </c>
      <c r="S629" s="58">
        <v>3.0</v>
      </c>
      <c r="T629" s="58">
        <v>0.0</v>
      </c>
      <c r="U629" s="58">
        <v>6.0</v>
      </c>
      <c r="V629" s="58" t="s">
        <v>75</v>
      </c>
      <c r="W629" s="61" t="s">
        <v>76</v>
      </c>
      <c r="X629" s="28" t="s">
        <v>1033</v>
      </c>
      <c r="Y629" s="64">
        <v>31.0</v>
      </c>
      <c r="Z629" s="65">
        <f t="shared" si="13"/>
        <v>20.15</v>
      </c>
      <c r="AA629" s="65">
        <f t="shared" si="14"/>
        <v>17151.68</v>
      </c>
      <c r="AB629" s="65">
        <f t="shared" si="15"/>
        <v>1399.279837</v>
      </c>
      <c r="AC629" s="66">
        <v>1.0</v>
      </c>
      <c r="AD629" s="67"/>
      <c r="AE629" s="68">
        <f t="shared" si="16"/>
        <v>6557.377049</v>
      </c>
      <c r="AF629" s="69">
        <v>8000.0</v>
      </c>
      <c r="AG629" s="68">
        <f t="shared" si="17"/>
        <v>19672.13115</v>
      </c>
      <c r="AH629" s="70">
        <f t="shared" si="18"/>
        <v>24000</v>
      </c>
      <c r="AI629" s="71"/>
      <c r="AJ629" s="71"/>
      <c r="AK629" s="71"/>
      <c r="AL629" s="71"/>
    </row>
    <row r="630">
      <c r="A630" s="57" t="s">
        <v>2737</v>
      </c>
      <c r="B630" s="58" t="s">
        <v>239</v>
      </c>
      <c r="C630" s="58" t="s">
        <v>314</v>
      </c>
      <c r="D630" s="58" t="s">
        <v>61</v>
      </c>
      <c r="E630" s="58" t="s">
        <v>897</v>
      </c>
      <c r="F630" s="58" t="s">
        <v>103</v>
      </c>
      <c r="G630" s="59">
        <v>46190.0</v>
      </c>
      <c r="H630" s="58" t="s">
        <v>104</v>
      </c>
      <c r="I630" s="60" t="s">
        <v>2738</v>
      </c>
      <c r="J630" s="61" t="s">
        <v>2739</v>
      </c>
      <c r="K630" s="61" t="s">
        <v>2740</v>
      </c>
      <c r="L630" s="61" t="s">
        <v>2741</v>
      </c>
      <c r="M630" s="58">
        <v>2024.0</v>
      </c>
      <c r="N630" s="58">
        <v>17.0</v>
      </c>
      <c r="O630" s="62">
        <v>521.0</v>
      </c>
      <c r="P630" s="62">
        <f t="shared" si="12"/>
        <v>1458.8</v>
      </c>
      <c r="Q630" s="63">
        <v>4.0</v>
      </c>
      <c r="R630" s="58">
        <v>4.0</v>
      </c>
      <c r="S630" s="58">
        <v>4.0</v>
      </c>
      <c r="T630" s="58">
        <v>0.0</v>
      </c>
      <c r="U630" s="58">
        <v>8.0</v>
      </c>
      <c r="V630" s="58" t="s">
        <v>75</v>
      </c>
      <c r="W630" s="61" t="s">
        <v>76</v>
      </c>
      <c r="X630" s="28" t="s">
        <v>1033</v>
      </c>
      <c r="Y630" s="64">
        <v>31.0</v>
      </c>
      <c r="Z630" s="65">
        <f t="shared" si="13"/>
        <v>20.15</v>
      </c>
      <c r="AA630" s="65">
        <f t="shared" si="14"/>
        <v>29394.82</v>
      </c>
      <c r="AB630" s="65">
        <f t="shared" si="15"/>
        <v>1088.62718</v>
      </c>
      <c r="AC630" s="66">
        <v>1.0</v>
      </c>
      <c r="AD630" s="67"/>
      <c r="AE630" s="68">
        <f t="shared" si="16"/>
        <v>6557.377049</v>
      </c>
      <c r="AF630" s="69">
        <v>8000.0</v>
      </c>
      <c r="AG630" s="68">
        <f t="shared" si="17"/>
        <v>26229.5082</v>
      </c>
      <c r="AH630" s="70">
        <f t="shared" si="18"/>
        <v>32000</v>
      </c>
      <c r="AI630" s="71"/>
      <c r="AJ630" s="71"/>
      <c r="AK630" s="71"/>
      <c r="AL630" s="71"/>
    </row>
    <row r="631">
      <c r="A631" s="57" t="s">
        <v>2737</v>
      </c>
      <c r="B631" s="58" t="s">
        <v>239</v>
      </c>
      <c r="C631" s="58" t="s">
        <v>314</v>
      </c>
      <c r="D631" s="58" t="s">
        <v>61</v>
      </c>
      <c r="E631" s="58" t="s">
        <v>897</v>
      </c>
      <c r="F631" s="58" t="s">
        <v>103</v>
      </c>
      <c r="G631" s="59">
        <v>46190.0</v>
      </c>
      <c r="H631" s="58" t="s">
        <v>104</v>
      </c>
      <c r="I631" s="60" t="s">
        <v>2738</v>
      </c>
      <c r="J631" s="61" t="s">
        <v>2742</v>
      </c>
      <c r="K631" s="61" t="s">
        <v>2743</v>
      </c>
      <c r="L631" s="61" t="s">
        <v>2744</v>
      </c>
      <c r="M631" s="58">
        <v>2024.0</v>
      </c>
      <c r="N631" s="58">
        <v>17.0</v>
      </c>
      <c r="O631" s="62">
        <v>352.0</v>
      </c>
      <c r="P631" s="62">
        <f t="shared" si="12"/>
        <v>985.6</v>
      </c>
      <c r="Q631" s="63">
        <v>3.0</v>
      </c>
      <c r="R631" s="58">
        <v>3.0</v>
      </c>
      <c r="S631" s="58">
        <v>2.0</v>
      </c>
      <c r="T631" s="58">
        <v>0.0</v>
      </c>
      <c r="U631" s="58">
        <v>6.0</v>
      </c>
      <c r="V631" s="58" t="s">
        <v>75</v>
      </c>
      <c r="W631" s="61" t="s">
        <v>76</v>
      </c>
      <c r="X631" s="28" t="s">
        <v>1033</v>
      </c>
      <c r="Y631" s="64">
        <v>31.0</v>
      </c>
      <c r="Z631" s="65">
        <f t="shared" si="13"/>
        <v>30.225</v>
      </c>
      <c r="AA631" s="65">
        <f t="shared" si="14"/>
        <v>29789.76</v>
      </c>
      <c r="AB631" s="65">
        <f t="shared" si="15"/>
        <v>805.6459669</v>
      </c>
      <c r="AC631" s="66">
        <v>1.0</v>
      </c>
      <c r="AD631" s="70"/>
      <c r="AE631" s="68">
        <f t="shared" si="16"/>
        <v>6557.377049</v>
      </c>
      <c r="AF631" s="69">
        <v>8000.0</v>
      </c>
      <c r="AG631" s="68">
        <f t="shared" si="17"/>
        <v>19672.13115</v>
      </c>
      <c r="AH631" s="70">
        <f t="shared" si="18"/>
        <v>24000</v>
      </c>
      <c r="AI631" s="71"/>
      <c r="AJ631" s="71"/>
      <c r="AK631" s="71"/>
      <c r="AL631" s="71"/>
    </row>
    <row r="632">
      <c r="A632" s="57" t="s">
        <v>2737</v>
      </c>
      <c r="B632" s="58" t="s">
        <v>239</v>
      </c>
      <c r="C632" s="58" t="s">
        <v>314</v>
      </c>
      <c r="D632" s="58" t="s">
        <v>61</v>
      </c>
      <c r="E632" s="58" t="s">
        <v>897</v>
      </c>
      <c r="F632" s="58" t="s">
        <v>103</v>
      </c>
      <c r="G632" s="59">
        <v>46190.0</v>
      </c>
      <c r="H632" s="58" t="s">
        <v>104</v>
      </c>
      <c r="I632" s="60" t="s">
        <v>2738</v>
      </c>
      <c r="J632" s="61" t="s">
        <v>2745</v>
      </c>
      <c r="K632" s="61" t="s">
        <v>2746</v>
      </c>
      <c r="L632" s="61" t="s">
        <v>2747</v>
      </c>
      <c r="M632" s="58">
        <v>2024.0</v>
      </c>
      <c r="N632" s="58">
        <v>17.0</v>
      </c>
      <c r="O632" s="62">
        <v>352.0</v>
      </c>
      <c r="P632" s="62">
        <f t="shared" si="12"/>
        <v>985.6</v>
      </c>
      <c r="Q632" s="63">
        <v>1.0</v>
      </c>
      <c r="R632" s="58">
        <v>1.0</v>
      </c>
      <c r="S632" s="58">
        <v>4.0</v>
      </c>
      <c r="T632" s="58">
        <v>0.0</v>
      </c>
      <c r="U632" s="58">
        <v>8.0</v>
      </c>
      <c r="V632" s="58" t="s">
        <v>75</v>
      </c>
      <c r="W632" s="61" t="s">
        <v>76</v>
      </c>
      <c r="X632" s="28" t="s">
        <v>1033</v>
      </c>
      <c r="Y632" s="64">
        <v>31.0</v>
      </c>
      <c r="Z632" s="65">
        <f t="shared" si="13"/>
        <v>5.0375</v>
      </c>
      <c r="AA632" s="65">
        <f t="shared" si="14"/>
        <v>4964.96</v>
      </c>
      <c r="AB632" s="65">
        <f t="shared" si="15"/>
        <v>1611.291934</v>
      </c>
      <c r="AC632" s="66">
        <v>1.0</v>
      </c>
      <c r="AD632" s="67"/>
      <c r="AE632" s="68">
        <f t="shared" si="16"/>
        <v>6557.377049</v>
      </c>
      <c r="AF632" s="69">
        <v>8000.0</v>
      </c>
      <c r="AG632" s="68">
        <f t="shared" si="17"/>
        <v>6557.377049</v>
      </c>
      <c r="AH632" s="70">
        <f t="shared" si="18"/>
        <v>8000</v>
      </c>
      <c r="AI632" s="71"/>
      <c r="AJ632" s="71"/>
      <c r="AK632" s="71"/>
      <c r="AL632" s="71"/>
    </row>
    <row r="633">
      <c r="A633" s="57" t="s">
        <v>2737</v>
      </c>
      <c r="B633" s="58" t="s">
        <v>239</v>
      </c>
      <c r="C633" s="58" t="s">
        <v>314</v>
      </c>
      <c r="D633" s="58" t="s">
        <v>61</v>
      </c>
      <c r="E633" s="58" t="s">
        <v>897</v>
      </c>
      <c r="F633" s="58" t="s">
        <v>103</v>
      </c>
      <c r="G633" s="59">
        <v>46190.0</v>
      </c>
      <c r="H633" s="58" t="s">
        <v>104</v>
      </c>
      <c r="I633" s="60" t="s">
        <v>2738</v>
      </c>
      <c r="J633" s="61" t="s">
        <v>2748</v>
      </c>
      <c r="K633" s="61" t="s">
        <v>2749</v>
      </c>
      <c r="L633" s="61" t="s">
        <v>2750</v>
      </c>
      <c r="M633" s="58">
        <v>2024.0</v>
      </c>
      <c r="N633" s="58">
        <v>17.0</v>
      </c>
      <c r="O633" s="62">
        <v>176.0</v>
      </c>
      <c r="P633" s="62">
        <f t="shared" si="12"/>
        <v>492.8</v>
      </c>
      <c r="Q633" s="63">
        <v>1.0</v>
      </c>
      <c r="R633" s="58">
        <v>1.0</v>
      </c>
      <c r="S633" s="58">
        <v>1.0</v>
      </c>
      <c r="T633" s="58">
        <v>0.0</v>
      </c>
      <c r="U633" s="58">
        <v>3.0</v>
      </c>
      <c r="V633" s="58" t="s">
        <v>75</v>
      </c>
      <c r="W633" s="61" t="s">
        <v>76</v>
      </c>
      <c r="X633" s="28" t="s">
        <v>1033</v>
      </c>
      <c r="Y633" s="64">
        <v>31.0</v>
      </c>
      <c r="Z633" s="65">
        <f t="shared" si="13"/>
        <v>20.15</v>
      </c>
      <c r="AA633" s="65">
        <f t="shared" si="14"/>
        <v>9929.92</v>
      </c>
      <c r="AB633" s="65">
        <f t="shared" si="15"/>
        <v>805.6459669</v>
      </c>
      <c r="AC633" s="66">
        <v>1.0</v>
      </c>
      <c r="AD633" s="67"/>
      <c r="AE633" s="68">
        <f t="shared" si="16"/>
        <v>6557.377049</v>
      </c>
      <c r="AF633" s="69">
        <v>8000.0</v>
      </c>
      <c r="AG633" s="68">
        <f t="shared" si="17"/>
        <v>6557.377049</v>
      </c>
      <c r="AH633" s="70">
        <f t="shared" si="18"/>
        <v>8000</v>
      </c>
      <c r="AI633" s="71"/>
      <c r="AJ633" s="71"/>
      <c r="AK633" s="71"/>
      <c r="AL633" s="71"/>
    </row>
    <row r="634">
      <c r="A634" s="57" t="s">
        <v>2737</v>
      </c>
      <c r="B634" s="58" t="s">
        <v>239</v>
      </c>
      <c r="C634" s="58" t="s">
        <v>314</v>
      </c>
      <c r="D634" s="58" t="s">
        <v>61</v>
      </c>
      <c r="E634" s="58" t="s">
        <v>897</v>
      </c>
      <c r="F634" s="58" t="s">
        <v>103</v>
      </c>
      <c r="G634" s="59">
        <v>46190.0</v>
      </c>
      <c r="H634" s="58" t="s">
        <v>104</v>
      </c>
      <c r="I634" s="60" t="s">
        <v>2738</v>
      </c>
      <c r="J634" s="61" t="s">
        <v>2751</v>
      </c>
      <c r="K634" s="61" t="s">
        <v>2752</v>
      </c>
      <c r="L634" s="61" t="s">
        <v>2753</v>
      </c>
      <c r="M634" s="58">
        <v>2024.0</v>
      </c>
      <c r="N634" s="58">
        <v>17.0</v>
      </c>
      <c r="O634" s="62">
        <v>352.0</v>
      </c>
      <c r="P634" s="62">
        <f t="shared" si="12"/>
        <v>985.6</v>
      </c>
      <c r="Q634" s="63">
        <v>2.0</v>
      </c>
      <c r="R634" s="58">
        <v>2.0</v>
      </c>
      <c r="S634" s="58">
        <v>2.0</v>
      </c>
      <c r="T634" s="58">
        <v>0.0</v>
      </c>
      <c r="U634" s="58">
        <v>6.0</v>
      </c>
      <c r="V634" s="58" t="s">
        <v>75</v>
      </c>
      <c r="W634" s="61" t="s">
        <v>76</v>
      </c>
      <c r="X634" s="28" t="s">
        <v>1033</v>
      </c>
      <c r="Y634" s="64">
        <v>31.0</v>
      </c>
      <c r="Z634" s="65">
        <f t="shared" si="13"/>
        <v>20.15</v>
      </c>
      <c r="AA634" s="65">
        <f t="shared" si="14"/>
        <v>19859.84</v>
      </c>
      <c r="AB634" s="65">
        <f t="shared" si="15"/>
        <v>805.6459669</v>
      </c>
      <c r="AC634" s="66">
        <v>1.0</v>
      </c>
      <c r="AD634" s="70"/>
      <c r="AE634" s="68">
        <f t="shared" si="16"/>
        <v>6557.377049</v>
      </c>
      <c r="AF634" s="69">
        <v>8000.0</v>
      </c>
      <c r="AG634" s="68">
        <f t="shared" si="17"/>
        <v>13114.7541</v>
      </c>
      <c r="AH634" s="70">
        <f t="shared" si="18"/>
        <v>16000</v>
      </c>
      <c r="AI634" s="71"/>
      <c r="AJ634" s="71"/>
      <c r="AK634" s="71"/>
      <c r="AL634" s="71"/>
    </row>
    <row r="635">
      <c r="A635" s="57" t="s">
        <v>2754</v>
      </c>
      <c r="B635" s="58" t="s">
        <v>239</v>
      </c>
      <c r="C635" s="58" t="s">
        <v>314</v>
      </c>
      <c r="D635" s="58" t="s">
        <v>61</v>
      </c>
      <c r="E635" s="58" t="s">
        <v>897</v>
      </c>
      <c r="F635" s="58" t="s">
        <v>103</v>
      </c>
      <c r="G635" s="59">
        <v>46190.0</v>
      </c>
      <c r="H635" s="58" t="s">
        <v>104</v>
      </c>
      <c r="I635" s="60" t="s">
        <v>2755</v>
      </c>
      <c r="J635" s="61" t="s">
        <v>2756</v>
      </c>
      <c r="K635" s="61" t="s">
        <v>2757</v>
      </c>
      <c r="L635" s="61" t="s">
        <v>2758</v>
      </c>
      <c r="M635" s="58">
        <v>2024.0</v>
      </c>
      <c r="N635" s="58">
        <v>17.0</v>
      </c>
      <c r="O635" s="62">
        <v>658.0</v>
      </c>
      <c r="P635" s="62">
        <f t="shared" si="12"/>
        <v>1842.4</v>
      </c>
      <c r="Q635" s="63">
        <v>5.0</v>
      </c>
      <c r="R635" s="58">
        <v>5.0</v>
      </c>
      <c r="S635" s="58">
        <v>5.0</v>
      </c>
      <c r="T635" s="58">
        <v>0.0</v>
      </c>
      <c r="U635" s="58">
        <v>10.0</v>
      </c>
      <c r="V635" s="58" t="s">
        <v>75</v>
      </c>
      <c r="W635" s="61" t="s">
        <v>76</v>
      </c>
      <c r="X635" s="28" t="s">
        <v>1033</v>
      </c>
      <c r="Y635" s="64">
        <v>31.0</v>
      </c>
      <c r="Z635" s="65">
        <f t="shared" si="13"/>
        <v>20.15</v>
      </c>
      <c r="AA635" s="65">
        <f t="shared" si="14"/>
        <v>37124.36</v>
      </c>
      <c r="AB635" s="65">
        <f t="shared" si="15"/>
        <v>1077.459652</v>
      </c>
      <c r="AC635" s="66">
        <v>1.0</v>
      </c>
      <c r="AD635" s="67"/>
      <c r="AE635" s="68">
        <f t="shared" si="16"/>
        <v>6557.377049</v>
      </c>
      <c r="AF635" s="69">
        <v>8000.0</v>
      </c>
      <c r="AG635" s="68">
        <f t="shared" si="17"/>
        <v>32786.88525</v>
      </c>
      <c r="AH635" s="70">
        <f t="shared" si="18"/>
        <v>40000</v>
      </c>
      <c r="AI635" s="71"/>
      <c r="AJ635" s="71"/>
      <c r="AK635" s="71"/>
      <c r="AL635" s="71"/>
    </row>
    <row r="636">
      <c r="A636" s="57" t="s">
        <v>2754</v>
      </c>
      <c r="B636" s="58" t="s">
        <v>239</v>
      </c>
      <c r="C636" s="58" t="s">
        <v>314</v>
      </c>
      <c r="D636" s="58" t="s">
        <v>61</v>
      </c>
      <c r="E636" s="58" t="s">
        <v>897</v>
      </c>
      <c r="F636" s="58" t="s">
        <v>103</v>
      </c>
      <c r="G636" s="59">
        <v>46190.0</v>
      </c>
      <c r="H636" s="58" t="s">
        <v>104</v>
      </c>
      <c r="I636" s="60" t="s">
        <v>2755</v>
      </c>
      <c r="J636" s="61" t="s">
        <v>2759</v>
      </c>
      <c r="K636" s="61" t="s">
        <v>2760</v>
      </c>
      <c r="L636" s="61" t="s">
        <v>2761</v>
      </c>
      <c r="M636" s="58">
        <v>2024.0</v>
      </c>
      <c r="N636" s="58">
        <v>17.0</v>
      </c>
      <c r="O636" s="62">
        <v>407.0</v>
      </c>
      <c r="P636" s="62">
        <f t="shared" si="12"/>
        <v>1139.6</v>
      </c>
      <c r="Q636" s="63">
        <v>3.0</v>
      </c>
      <c r="R636" s="58">
        <v>3.0</v>
      </c>
      <c r="S636" s="58">
        <v>3.0</v>
      </c>
      <c r="T636" s="58">
        <v>0.0</v>
      </c>
      <c r="U636" s="58">
        <v>6.0</v>
      </c>
      <c r="V636" s="58" t="s">
        <v>75</v>
      </c>
      <c r="W636" s="61" t="s">
        <v>76</v>
      </c>
      <c r="X636" s="28" t="s">
        <v>1033</v>
      </c>
      <c r="Y636" s="64">
        <v>31.0</v>
      </c>
      <c r="Z636" s="65">
        <f t="shared" si="13"/>
        <v>20.15</v>
      </c>
      <c r="AA636" s="65">
        <f t="shared" si="14"/>
        <v>22962.94</v>
      </c>
      <c r="AB636" s="65">
        <f t="shared" si="15"/>
        <v>1045.162335</v>
      </c>
      <c r="AC636" s="66">
        <v>1.0</v>
      </c>
      <c r="AD636" s="67"/>
      <c r="AE636" s="68">
        <f t="shared" si="16"/>
        <v>6557.377049</v>
      </c>
      <c r="AF636" s="69">
        <v>8000.0</v>
      </c>
      <c r="AG636" s="68">
        <f t="shared" si="17"/>
        <v>19672.13115</v>
      </c>
      <c r="AH636" s="70">
        <f t="shared" si="18"/>
        <v>24000</v>
      </c>
      <c r="AI636" s="71"/>
      <c r="AJ636" s="71"/>
      <c r="AK636" s="71"/>
      <c r="AL636" s="71"/>
    </row>
    <row r="637">
      <c r="A637" s="57" t="s">
        <v>2762</v>
      </c>
      <c r="B637" s="58" t="s">
        <v>239</v>
      </c>
      <c r="C637" s="58" t="s">
        <v>314</v>
      </c>
      <c r="D637" s="58" t="s">
        <v>61</v>
      </c>
      <c r="E637" s="58" t="s">
        <v>897</v>
      </c>
      <c r="F637" s="58" t="s">
        <v>103</v>
      </c>
      <c r="G637" s="59">
        <v>46190.0</v>
      </c>
      <c r="H637" s="58" t="s">
        <v>104</v>
      </c>
      <c r="I637" s="60" t="s">
        <v>2763</v>
      </c>
      <c r="J637" s="61" t="s">
        <v>2764</v>
      </c>
      <c r="K637" s="61" t="s">
        <v>2765</v>
      </c>
      <c r="L637" s="61" t="s">
        <v>2766</v>
      </c>
      <c r="M637" s="58">
        <v>2024.0</v>
      </c>
      <c r="N637" s="58">
        <v>17.0</v>
      </c>
      <c r="O637" s="62">
        <v>304.0</v>
      </c>
      <c r="P637" s="62">
        <f t="shared" si="12"/>
        <v>851.2</v>
      </c>
      <c r="Q637" s="63">
        <v>6.0</v>
      </c>
      <c r="R637" s="58">
        <v>6.0</v>
      </c>
      <c r="S637" s="58">
        <v>3.0</v>
      </c>
      <c r="T637" s="58">
        <v>0.0</v>
      </c>
      <c r="U637" s="58">
        <v>6.0</v>
      </c>
      <c r="V637" s="58" t="s">
        <v>75</v>
      </c>
      <c r="W637" s="61" t="s">
        <v>76</v>
      </c>
      <c r="X637" s="28" t="s">
        <v>1033</v>
      </c>
      <c r="Y637" s="64">
        <v>31.0</v>
      </c>
      <c r="Z637" s="65">
        <f t="shared" si="13"/>
        <v>40.3</v>
      </c>
      <c r="AA637" s="65">
        <f t="shared" si="14"/>
        <v>34303.36</v>
      </c>
      <c r="AB637" s="65">
        <f t="shared" si="15"/>
        <v>1399.279837</v>
      </c>
      <c r="AC637" s="66">
        <v>1.0</v>
      </c>
      <c r="AD637" s="70"/>
      <c r="AE637" s="68">
        <f t="shared" si="16"/>
        <v>6557.377049</v>
      </c>
      <c r="AF637" s="69">
        <v>8000.0</v>
      </c>
      <c r="AG637" s="68">
        <f t="shared" si="17"/>
        <v>39344.2623</v>
      </c>
      <c r="AH637" s="70">
        <f t="shared" si="18"/>
        <v>48000</v>
      </c>
      <c r="AI637" s="71"/>
      <c r="AJ637" s="71"/>
      <c r="AK637" s="71"/>
      <c r="AL637" s="71"/>
    </row>
    <row r="638">
      <c r="A638" s="57" t="s">
        <v>2762</v>
      </c>
      <c r="B638" s="58" t="s">
        <v>239</v>
      </c>
      <c r="C638" s="58" t="s">
        <v>314</v>
      </c>
      <c r="D638" s="58" t="s">
        <v>61</v>
      </c>
      <c r="E638" s="58" t="s">
        <v>897</v>
      </c>
      <c r="F638" s="58" t="s">
        <v>103</v>
      </c>
      <c r="G638" s="59">
        <v>46190.0</v>
      </c>
      <c r="H638" s="58" t="s">
        <v>104</v>
      </c>
      <c r="I638" s="60" t="s">
        <v>2763</v>
      </c>
      <c r="J638" s="61" t="s">
        <v>2767</v>
      </c>
      <c r="K638" s="61" t="s">
        <v>2768</v>
      </c>
      <c r="L638" s="61" t="s">
        <v>2769</v>
      </c>
      <c r="M638" s="58">
        <v>2024.0</v>
      </c>
      <c r="N638" s="58">
        <v>17.0</v>
      </c>
      <c r="O638" s="62">
        <v>256.0</v>
      </c>
      <c r="P638" s="62">
        <f t="shared" si="12"/>
        <v>716.8</v>
      </c>
      <c r="Q638" s="63">
        <v>3.0</v>
      </c>
      <c r="R638" s="58">
        <v>3.0</v>
      </c>
      <c r="S638" s="58">
        <v>1.0</v>
      </c>
      <c r="T638" s="58">
        <v>0.0</v>
      </c>
      <c r="U638" s="58">
        <v>3.0</v>
      </c>
      <c r="V638" s="58" t="s">
        <v>75</v>
      </c>
      <c r="W638" s="61" t="s">
        <v>76</v>
      </c>
      <c r="X638" s="28" t="s">
        <v>1033</v>
      </c>
      <c r="Y638" s="64">
        <v>31.0</v>
      </c>
      <c r="Z638" s="65">
        <f t="shared" si="13"/>
        <v>60.45</v>
      </c>
      <c r="AA638" s="65">
        <f t="shared" si="14"/>
        <v>43330.56</v>
      </c>
      <c r="AB638" s="65">
        <f t="shared" si="15"/>
        <v>553.8816023</v>
      </c>
      <c r="AC638" s="66">
        <v>1.0</v>
      </c>
      <c r="AD638" s="67"/>
      <c r="AE638" s="68">
        <f t="shared" si="16"/>
        <v>6557.377049</v>
      </c>
      <c r="AF638" s="69">
        <v>8000.0</v>
      </c>
      <c r="AG638" s="68">
        <f t="shared" si="17"/>
        <v>19672.13115</v>
      </c>
      <c r="AH638" s="70">
        <f t="shared" si="18"/>
        <v>24000</v>
      </c>
      <c r="AI638" s="71"/>
      <c r="AJ638" s="71"/>
      <c r="AK638" s="71"/>
      <c r="AL638" s="71"/>
    </row>
    <row r="639">
      <c r="A639" s="57" t="s">
        <v>2770</v>
      </c>
      <c r="B639" s="58" t="s">
        <v>239</v>
      </c>
      <c r="C639" s="58" t="s">
        <v>329</v>
      </c>
      <c r="D639" s="58" t="s">
        <v>2771</v>
      </c>
      <c r="E639" s="58" t="s">
        <v>897</v>
      </c>
      <c r="F639" s="58" t="s">
        <v>63</v>
      </c>
      <c r="G639" s="59">
        <v>46146.0</v>
      </c>
      <c r="H639" s="58" t="s">
        <v>104</v>
      </c>
      <c r="I639" s="60" t="s">
        <v>1586</v>
      </c>
      <c r="J639" s="61" t="s">
        <v>2772</v>
      </c>
      <c r="K639" s="61" t="s">
        <v>2773</v>
      </c>
      <c r="L639" s="61" t="s">
        <v>2774</v>
      </c>
      <c r="M639" s="58">
        <v>2023.0</v>
      </c>
      <c r="N639" s="58">
        <v>15.0</v>
      </c>
      <c r="O639" s="62">
        <v>259.0</v>
      </c>
      <c r="P639" s="62">
        <f t="shared" si="12"/>
        <v>725.2</v>
      </c>
      <c r="Q639" s="63">
        <v>1.0</v>
      </c>
      <c r="R639" s="58">
        <v>1.0</v>
      </c>
      <c r="S639" s="58">
        <v>3.0</v>
      </c>
      <c r="T639" s="58">
        <v>0.0</v>
      </c>
      <c r="U639" s="58">
        <v>6.0</v>
      </c>
      <c r="V639" s="58" t="s">
        <v>75</v>
      </c>
      <c r="W639" s="61" t="s">
        <v>76</v>
      </c>
      <c r="X639" s="28" t="s">
        <v>1033</v>
      </c>
      <c r="Y639" s="64">
        <v>31.0</v>
      </c>
      <c r="Z639" s="65">
        <f t="shared" si="13"/>
        <v>6.716666667</v>
      </c>
      <c r="AA639" s="65">
        <f t="shared" si="14"/>
        <v>4870.926667</v>
      </c>
      <c r="AB639" s="65">
        <f t="shared" si="15"/>
        <v>1642.397956</v>
      </c>
      <c r="AC639" s="66">
        <v>1.0</v>
      </c>
      <c r="AD639" s="67"/>
      <c r="AE639" s="68">
        <f t="shared" si="16"/>
        <v>6557.377049</v>
      </c>
      <c r="AF639" s="69">
        <v>8000.0</v>
      </c>
      <c r="AG639" s="68">
        <f t="shared" si="17"/>
        <v>6557.377049</v>
      </c>
      <c r="AH639" s="70">
        <f t="shared" si="18"/>
        <v>8000</v>
      </c>
      <c r="AI639" s="71"/>
      <c r="AJ639" s="71"/>
      <c r="AK639" s="71"/>
      <c r="AL639" s="71"/>
    </row>
    <row r="640">
      <c r="A640" s="57" t="s">
        <v>2770</v>
      </c>
      <c r="B640" s="58" t="s">
        <v>239</v>
      </c>
      <c r="C640" s="58" t="s">
        <v>329</v>
      </c>
      <c r="D640" s="58" t="s">
        <v>2771</v>
      </c>
      <c r="E640" s="58" t="s">
        <v>897</v>
      </c>
      <c r="F640" s="58" t="s">
        <v>63</v>
      </c>
      <c r="G640" s="59">
        <v>46146.0</v>
      </c>
      <c r="H640" s="58" t="s">
        <v>104</v>
      </c>
      <c r="I640" s="60" t="s">
        <v>1586</v>
      </c>
      <c r="J640" s="61" t="s">
        <v>2775</v>
      </c>
      <c r="K640" s="61" t="s">
        <v>2776</v>
      </c>
      <c r="L640" s="61" t="s">
        <v>2777</v>
      </c>
      <c r="M640" s="58">
        <v>2023.0</v>
      </c>
      <c r="N640" s="58">
        <v>15.0</v>
      </c>
      <c r="O640" s="62">
        <v>233.0</v>
      </c>
      <c r="P640" s="62">
        <f t="shared" si="12"/>
        <v>652.4</v>
      </c>
      <c r="Q640" s="63">
        <v>2.0</v>
      </c>
      <c r="R640" s="58">
        <v>2.0</v>
      </c>
      <c r="S640" s="58">
        <v>3.0</v>
      </c>
      <c r="T640" s="58">
        <v>0.0</v>
      </c>
      <c r="U640" s="58">
        <v>6.0</v>
      </c>
      <c r="V640" s="58" t="s">
        <v>75</v>
      </c>
      <c r="W640" s="61" t="s">
        <v>76</v>
      </c>
      <c r="X640" s="28" t="s">
        <v>1033</v>
      </c>
      <c r="Y640" s="64">
        <v>31.0</v>
      </c>
      <c r="Z640" s="65">
        <f t="shared" si="13"/>
        <v>13.43333333</v>
      </c>
      <c r="AA640" s="65">
        <f t="shared" si="14"/>
        <v>8763.906667</v>
      </c>
      <c r="AB640" s="65">
        <f t="shared" si="15"/>
        <v>1825.669831</v>
      </c>
      <c r="AC640" s="66">
        <v>1.0</v>
      </c>
      <c r="AD640" s="70"/>
      <c r="AE640" s="68">
        <f t="shared" si="16"/>
        <v>6557.377049</v>
      </c>
      <c r="AF640" s="69">
        <v>8000.0</v>
      </c>
      <c r="AG640" s="68">
        <f t="shared" si="17"/>
        <v>13114.7541</v>
      </c>
      <c r="AH640" s="70">
        <f t="shared" si="18"/>
        <v>16000</v>
      </c>
      <c r="AI640" s="71"/>
      <c r="AJ640" s="71"/>
      <c r="AK640" s="71"/>
      <c r="AL640" s="71"/>
    </row>
    <row r="641">
      <c r="A641" s="57" t="s">
        <v>2770</v>
      </c>
      <c r="B641" s="58" t="s">
        <v>239</v>
      </c>
      <c r="C641" s="58" t="s">
        <v>329</v>
      </c>
      <c r="D641" s="58" t="s">
        <v>2771</v>
      </c>
      <c r="E641" s="58" t="s">
        <v>897</v>
      </c>
      <c r="F641" s="58" t="s">
        <v>63</v>
      </c>
      <c r="G641" s="59">
        <v>46146.0</v>
      </c>
      <c r="H641" s="58" t="s">
        <v>104</v>
      </c>
      <c r="I641" s="60" t="s">
        <v>1586</v>
      </c>
      <c r="J641" s="61" t="s">
        <v>2778</v>
      </c>
      <c r="K641" s="61" t="s">
        <v>2779</v>
      </c>
      <c r="L641" s="61" t="s">
        <v>2780</v>
      </c>
      <c r="M641" s="58">
        <v>2023.0</v>
      </c>
      <c r="N641" s="58">
        <v>15.0</v>
      </c>
      <c r="O641" s="62">
        <v>143.0</v>
      </c>
      <c r="P641" s="62">
        <f t="shared" si="12"/>
        <v>400.4</v>
      </c>
      <c r="Q641" s="63">
        <v>3.0</v>
      </c>
      <c r="R641" s="58">
        <v>3.0</v>
      </c>
      <c r="S641" s="58">
        <v>2.0</v>
      </c>
      <c r="T641" s="58">
        <v>0.0</v>
      </c>
      <c r="U641" s="58">
        <v>4.0</v>
      </c>
      <c r="V641" s="58" t="s">
        <v>75</v>
      </c>
      <c r="W641" s="61" t="s">
        <v>76</v>
      </c>
      <c r="X641" s="28" t="s">
        <v>1033</v>
      </c>
      <c r="Y641" s="64">
        <v>31.0</v>
      </c>
      <c r="Z641" s="65">
        <f t="shared" si="13"/>
        <v>30.225</v>
      </c>
      <c r="AA641" s="65">
        <f t="shared" si="14"/>
        <v>12102.09</v>
      </c>
      <c r="AB641" s="65">
        <f t="shared" si="15"/>
        <v>1983.128534</v>
      </c>
      <c r="AC641" s="66">
        <v>1.0</v>
      </c>
      <c r="AD641" s="67"/>
      <c r="AE641" s="68">
        <f t="shared" si="16"/>
        <v>6557.377049</v>
      </c>
      <c r="AF641" s="69">
        <v>8000.0</v>
      </c>
      <c r="AG641" s="68">
        <f t="shared" si="17"/>
        <v>19672.13115</v>
      </c>
      <c r="AH641" s="70">
        <f t="shared" si="18"/>
        <v>24000</v>
      </c>
      <c r="AI641" s="71"/>
      <c r="AJ641" s="71"/>
      <c r="AK641" s="71"/>
      <c r="AL641" s="71"/>
    </row>
    <row r="642">
      <c r="A642" s="57" t="s">
        <v>2770</v>
      </c>
      <c r="B642" s="58" t="s">
        <v>239</v>
      </c>
      <c r="C642" s="58" t="s">
        <v>329</v>
      </c>
      <c r="D642" s="58" t="s">
        <v>2771</v>
      </c>
      <c r="E642" s="58" t="s">
        <v>897</v>
      </c>
      <c r="F642" s="58" t="s">
        <v>63</v>
      </c>
      <c r="G642" s="59">
        <v>46146.0</v>
      </c>
      <c r="H642" s="58" t="s">
        <v>104</v>
      </c>
      <c r="I642" s="60" t="s">
        <v>1586</v>
      </c>
      <c r="J642" s="61" t="s">
        <v>2778</v>
      </c>
      <c r="K642" s="61" t="s">
        <v>2779</v>
      </c>
      <c r="L642" s="61" t="s">
        <v>2780</v>
      </c>
      <c r="M642" s="58">
        <v>2023.0</v>
      </c>
      <c r="N642" s="58">
        <v>15.0</v>
      </c>
      <c r="O642" s="62">
        <v>143.0</v>
      </c>
      <c r="P642" s="62">
        <f t="shared" si="12"/>
        <v>400.4</v>
      </c>
      <c r="Q642" s="63">
        <v>1.0</v>
      </c>
      <c r="R642" s="58">
        <v>1.0</v>
      </c>
      <c r="S642" s="58">
        <v>2.0</v>
      </c>
      <c r="T642" s="58">
        <v>0.0</v>
      </c>
      <c r="U642" s="58">
        <v>4.0</v>
      </c>
      <c r="V642" s="58" t="s">
        <v>130</v>
      </c>
      <c r="W642" s="61" t="s">
        <v>76</v>
      </c>
      <c r="X642" s="28" t="s">
        <v>1033</v>
      </c>
      <c r="Y642" s="64">
        <v>31.0</v>
      </c>
      <c r="Z642" s="65">
        <f t="shared" si="13"/>
        <v>10.075</v>
      </c>
      <c r="AA642" s="65">
        <f t="shared" si="14"/>
        <v>4034.03</v>
      </c>
      <c r="AB642" s="65">
        <f t="shared" si="15"/>
        <v>1983.128534</v>
      </c>
      <c r="AC642" s="66">
        <v>1.0</v>
      </c>
      <c r="AD642" s="67"/>
      <c r="AE642" s="68">
        <f t="shared" si="16"/>
        <v>6557.377049</v>
      </c>
      <c r="AF642" s="69">
        <v>8000.0</v>
      </c>
      <c r="AG642" s="68">
        <f t="shared" si="17"/>
        <v>6557.377049</v>
      </c>
      <c r="AH642" s="70">
        <f t="shared" si="18"/>
        <v>8000</v>
      </c>
      <c r="AI642" s="71"/>
      <c r="AJ642" s="71"/>
      <c r="AK642" s="71"/>
      <c r="AL642" s="71"/>
    </row>
    <row r="643">
      <c r="A643" s="57" t="s">
        <v>2781</v>
      </c>
      <c r="B643" s="58" t="s">
        <v>239</v>
      </c>
      <c r="C643" s="58" t="s">
        <v>329</v>
      </c>
      <c r="D643" s="58" t="s">
        <v>2771</v>
      </c>
      <c r="E643" s="58" t="s">
        <v>897</v>
      </c>
      <c r="F643" s="58" t="s">
        <v>63</v>
      </c>
      <c r="G643" s="59">
        <v>46146.0</v>
      </c>
      <c r="H643" s="58" t="s">
        <v>104</v>
      </c>
      <c r="I643" s="60" t="s">
        <v>2782</v>
      </c>
      <c r="J643" s="61" t="s">
        <v>2783</v>
      </c>
      <c r="K643" s="61" t="s">
        <v>2784</v>
      </c>
      <c r="L643" s="61" t="s">
        <v>2785</v>
      </c>
      <c r="M643" s="58">
        <v>2023.0</v>
      </c>
      <c r="N643" s="58">
        <v>15.0</v>
      </c>
      <c r="O643" s="62">
        <v>143.0</v>
      </c>
      <c r="P643" s="62">
        <f t="shared" si="12"/>
        <v>400.4</v>
      </c>
      <c r="Q643" s="63">
        <v>1.0</v>
      </c>
      <c r="R643" s="58">
        <v>1.0</v>
      </c>
      <c r="S643" s="58">
        <v>2.0</v>
      </c>
      <c r="T643" s="58">
        <v>0.0</v>
      </c>
      <c r="U643" s="58">
        <v>4.0</v>
      </c>
      <c r="V643" s="58" t="s">
        <v>130</v>
      </c>
      <c r="W643" s="61" t="s">
        <v>76</v>
      </c>
      <c r="X643" s="28" t="s">
        <v>1033</v>
      </c>
      <c r="Y643" s="64">
        <v>31.0</v>
      </c>
      <c r="Z643" s="65">
        <f t="shared" si="13"/>
        <v>10.075</v>
      </c>
      <c r="AA643" s="65">
        <f t="shared" si="14"/>
        <v>4034.03</v>
      </c>
      <c r="AB643" s="65">
        <f t="shared" si="15"/>
        <v>1983.128534</v>
      </c>
      <c r="AC643" s="66">
        <v>1.0</v>
      </c>
      <c r="AD643" s="70"/>
      <c r="AE643" s="68">
        <f t="shared" si="16"/>
        <v>6557.377049</v>
      </c>
      <c r="AF643" s="69">
        <v>8000.0</v>
      </c>
      <c r="AG643" s="68">
        <f t="shared" si="17"/>
        <v>6557.377049</v>
      </c>
      <c r="AH643" s="70">
        <f t="shared" si="18"/>
        <v>8000</v>
      </c>
      <c r="AI643" s="71"/>
      <c r="AJ643" s="71"/>
      <c r="AK643" s="71"/>
      <c r="AL643" s="71"/>
    </row>
    <row r="644">
      <c r="A644" s="57" t="s">
        <v>2781</v>
      </c>
      <c r="B644" s="58" t="s">
        <v>239</v>
      </c>
      <c r="C644" s="58" t="s">
        <v>329</v>
      </c>
      <c r="D644" s="58" t="s">
        <v>2771</v>
      </c>
      <c r="E644" s="58" t="s">
        <v>897</v>
      </c>
      <c r="F644" s="58" t="s">
        <v>63</v>
      </c>
      <c r="G644" s="59">
        <v>46146.0</v>
      </c>
      <c r="H644" s="58" t="s">
        <v>104</v>
      </c>
      <c r="I644" s="60" t="s">
        <v>2782</v>
      </c>
      <c r="J644" s="61" t="s">
        <v>2786</v>
      </c>
      <c r="K644" s="61" t="s">
        <v>2787</v>
      </c>
      <c r="L644" s="61" t="s">
        <v>2788</v>
      </c>
      <c r="M644" s="58">
        <v>2023.0</v>
      </c>
      <c r="N644" s="58">
        <v>15.0</v>
      </c>
      <c r="O644" s="62">
        <v>143.0</v>
      </c>
      <c r="P644" s="62">
        <f t="shared" si="12"/>
        <v>400.4</v>
      </c>
      <c r="Q644" s="63">
        <v>1.0</v>
      </c>
      <c r="R644" s="58">
        <v>1.0</v>
      </c>
      <c r="S644" s="58">
        <v>2.0</v>
      </c>
      <c r="T644" s="58">
        <v>0.0</v>
      </c>
      <c r="U644" s="58">
        <v>4.0</v>
      </c>
      <c r="V644" s="58" t="s">
        <v>130</v>
      </c>
      <c r="W644" s="61" t="s">
        <v>76</v>
      </c>
      <c r="X644" s="28" t="s">
        <v>1033</v>
      </c>
      <c r="Y644" s="64">
        <v>31.0</v>
      </c>
      <c r="Z644" s="65">
        <f t="shared" si="13"/>
        <v>10.075</v>
      </c>
      <c r="AA644" s="65">
        <f t="shared" si="14"/>
        <v>4034.03</v>
      </c>
      <c r="AB644" s="65">
        <f t="shared" si="15"/>
        <v>1983.128534</v>
      </c>
      <c r="AC644" s="66">
        <v>1.0</v>
      </c>
      <c r="AD644" s="67"/>
      <c r="AE644" s="68">
        <f t="shared" si="16"/>
        <v>6557.377049</v>
      </c>
      <c r="AF644" s="69">
        <v>8000.0</v>
      </c>
      <c r="AG644" s="68">
        <f t="shared" si="17"/>
        <v>6557.377049</v>
      </c>
      <c r="AH644" s="70">
        <f t="shared" si="18"/>
        <v>8000</v>
      </c>
      <c r="AI644" s="71"/>
      <c r="AJ644" s="71"/>
      <c r="AK644" s="71"/>
      <c r="AL644" s="71"/>
    </row>
    <row r="645">
      <c r="A645" s="57" t="s">
        <v>2781</v>
      </c>
      <c r="B645" s="58" t="s">
        <v>239</v>
      </c>
      <c r="C645" s="58" t="s">
        <v>329</v>
      </c>
      <c r="D645" s="58" t="s">
        <v>2771</v>
      </c>
      <c r="E645" s="58" t="s">
        <v>897</v>
      </c>
      <c r="F645" s="58" t="s">
        <v>63</v>
      </c>
      <c r="G645" s="59">
        <v>46146.0</v>
      </c>
      <c r="H645" s="58" t="s">
        <v>104</v>
      </c>
      <c r="I645" s="60" t="s">
        <v>2782</v>
      </c>
      <c r="J645" s="61" t="s">
        <v>2789</v>
      </c>
      <c r="K645" s="61" t="s">
        <v>2790</v>
      </c>
      <c r="L645" s="61" t="s">
        <v>2791</v>
      </c>
      <c r="M645" s="58">
        <v>2023.0</v>
      </c>
      <c r="N645" s="58">
        <v>15.0</v>
      </c>
      <c r="O645" s="62">
        <v>143.0</v>
      </c>
      <c r="P645" s="62">
        <f t="shared" si="12"/>
        <v>400.4</v>
      </c>
      <c r="Q645" s="63">
        <v>1.0</v>
      </c>
      <c r="R645" s="58">
        <v>1.0</v>
      </c>
      <c r="S645" s="58">
        <v>1.0</v>
      </c>
      <c r="T645" s="58">
        <v>0.0</v>
      </c>
      <c r="U645" s="58">
        <v>3.0</v>
      </c>
      <c r="V645" s="58" t="s">
        <v>130</v>
      </c>
      <c r="W645" s="61" t="s">
        <v>76</v>
      </c>
      <c r="X645" s="28" t="s">
        <v>1033</v>
      </c>
      <c r="Y645" s="64">
        <v>31.0</v>
      </c>
      <c r="Z645" s="65">
        <f t="shared" si="13"/>
        <v>20.15</v>
      </c>
      <c r="AA645" s="65">
        <f t="shared" si="14"/>
        <v>8068.06</v>
      </c>
      <c r="AB645" s="65">
        <f t="shared" si="15"/>
        <v>991.564267</v>
      </c>
      <c r="AC645" s="66">
        <v>1.0</v>
      </c>
      <c r="AD645" s="67"/>
      <c r="AE645" s="68">
        <f t="shared" si="16"/>
        <v>6557.377049</v>
      </c>
      <c r="AF645" s="69">
        <v>8000.0</v>
      </c>
      <c r="AG645" s="68">
        <f t="shared" si="17"/>
        <v>6557.377049</v>
      </c>
      <c r="AH645" s="70">
        <f t="shared" si="18"/>
        <v>8000</v>
      </c>
      <c r="AI645" s="71"/>
      <c r="AJ645" s="71"/>
      <c r="AK645" s="71"/>
      <c r="AL645" s="71"/>
    </row>
    <row r="646">
      <c r="A646" s="57" t="s">
        <v>2781</v>
      </c>
      <c r="B646" s="58" t="s">
        <v>239</v>
      </c>
      <c r="C646" s="58" t="s">
        <v>329</v>
      </c>
      <c r="D646" s="58" t="s">
        <v>2771</v>
      </c>
      <c r="E646" s="58" t="s">
        <v>897</v>
      </c>
      <c r="F646" s="58" t="s">
        <v>63</v>
      </c>
      <c r="G646" s="59">
        <v>46146.0</v>
      </c>
      <c r="H646" s="58" t="s">
        <v>104</v>
      </c>
      <c r="I646" s="60" t="s">
        <v>2782</v>
      </c>
      <c r="J646" s="61" t="s">
        <v>2792</v>
      </c>
      <c r="K646" s="61" t="s">
        <v>2793</v>
      </c>
      <c r="L646" s="61" t="s">
        <v>2794</v>
      </c>
      <c r="M646" s="58">
        <v>2023.0</v>
      </c>
      <c r="N646" s="58">
        <v>15.0</v>
      </c>
      <c r="O646" s="62">
        <v>234.0</v>
      </c>
      <c r="P646" s="62">
        <f t="shared" si="12"/>
        <v>655.2</v>
      </c>
      <c r="Q646" s="63">
        <v>3.0</v>
      </c>
      <c r="R646" s="58">
        <v>3.0</v>
      </c>
      <c r="S646" s="58">
        <v>3.0</v>
      </c>
      <c r="T646" s="58">
        <v>0.0</v>
      </c>
      <c r="U646" s="58">
        <v>9.0</v>
      </c>
      <c r="V646" s="58" t="s">
        <v>130</v>
      </c>
      <c r="W646" s="61" t="s">
        <v>76</v>
      </c>
      <c r="X646" s="28" t="s">
        <v>1033</v>
      </c>
      <c r="Y646" s="64">
        <v>31.0</v>
      </c>
      <c r="Z646" s="65">
        <f t="shared" si="13"/>
        <v>20.15</v>
      </c>
      <c r="AA646" s="65">
        <f t="shared" si="14"/>
        <v>13202.28</v>
      </c>
      <c r="AB646" s="65">
        <f t="shared" si="15"/>
        <v>1817.867823</v>
      </c>
      <c r="AC646" s="66">
        <v>1.0</v>
      </c>
      <c r="AD646" s="70"/>
      <c r="AE646" s="68">
        <f t="shared" si="16"/>
        <v>6557.377049</v>
      </c>
      <c r="AF646" s="69">
        <v>8000.0</v>
      </c>
      <c r="AG646" s="68">
        <f t="shared" si="17"/>
        <v>19672.13115</v>
      </c>
      <c r="AH646" s="70">
        <f t="shared" si="18"/>
        <v>24000</v>
      </c>
      <c r="AI646" s="71"/>
      <c r="AJ646" s="71"/>
      <c r="AK646" s="71"/>
      <c r="AL646" s="71"/>
    </row>
    <row r="647">
      <c r="A647" s="57" t="s">
        <v>2781</v>
      </c>
      <c r="B647" s="58" t="s">
        <v>239</v>
      </c>
      <c r="C647" s="58" t="s">
        <v>329</v>
      </c>
      <c r="D647" s="58" t="s">
        <v>2771</v>
      </c>
      <c r="E647" s="58" t="s">
        <v>897</v>
      </c>
      <c r="F647" s="58" t="s">
        <v>63</v>
      </c>
      <c r="G647" s="59">
        <v>46146.0</v>
      </c>
      <c r="H647" s="58" t="s">
        <v>104</v>
      </c>
      <c r="I647" s="58" t="s">
        <v>2782</v>
      </c>
      <c r="J647" s="61" t="s">
        <v>2795</v>
      </c>
      <c r="K647" s="61" t="s">
        <v>2796</v>
      </c>
      <c r="L647" s="61" t="s">
        <v>2797</v>
      </c>
      <c r="M647" s="58">
        <v>2023.0</v>
      </c>
      <c r="N647" s="58">
        <v>15.0</v>
      </c>
      <c r="O647" s="62">
        <v>143.0</v>
      </c>
      <c r="P647" s="62">
        <f t="shared" si="12"/>
        <v>400.4</v>
      </c>
      <c r="Q647" s="63">
        <v>1.0</v>
      </c>
      <c r="R647" s="58">
        <v>1.0</v>
      </c>
      <c r="S647" s="58">
        <v>2.0</v>
      </c>
      <c r="T647" s="58">
        <v>0.0</v>
      </c>
      <c r="U647" s="58">
        <v>4.0</v>
      </c>
      <c r="V647" s="58" t="s">
        <v>130</v>
      </c>
      <c r="W647" s="61" t="s">
        <v>76</v>
      </c>
      <c r="X647" s="28" t="s">
        <v>1033</v>
      </c>
      <c r="Y647" s="64">
        <v>31.0</v>
      </c>
      <c r="Z647" s="65">
        <f t="shared" si="13"/>
        <v>10.075</v>
      </c>
      <c r="AA647" s="65">
        <f t="shared" si="14"/>
        <v>4034.03</v>
      </c>
      <c r="AB647" s="65">
        <f t="shared" si="15"/>
        <v>1983.128534</v>
      </c>
      <c r="AC647" s="66">
        <v>1.0</v>
      </c>
      <c r="AD647" s="67"/>
      <c r="AE647" s="68">
        <f t="shared" si="16"/>
        <v>6557.377049</v>
      </c>
      <c r="AF647" s="69">
        <v>8000.0</v>
      </c>
      <c r="AG647" s="68">
        <f t="shared" si="17"/>
        <v>6557.377049</v>
      </c>
      <c r="AH647" s="70">
        <f t="shared" si="18"/>
        <v>8000</v>
      </c>
      <c r="AI647" s="71"/>
      <c r="AJ647" s="71"/>
      <c r="AK647" s="71"/>
      <c r="AL647" s="71"/>
    </row>
    <row r="648">
      <c r="A648" s="57" t="s">
        <v>2798</v>
      </c>
      <c r="B648" s="58" t="s">
        <v>239</v>
      </c>
      <c r="C648" s="58" t="s">
        <v>329</v>
      </c>
      <c r="D648" s="58" t="s">
        <v>2771</v>
      </c>
      <c r="E648" s="58" t="s">
        <v>897</v>
      </c>
      <c r="F648" s="58" t="s">
        <v>63</v>
      </c>
      <c r="G648" s="59">
        <v>46146.0</v>
      </c>
      <c r="H648" s="58" t="s">
        <v>104</v>
      </c>
      <c r="I648" s="58" t="s">
        <v>2799</v>
      </c>
      <c r="J648" s="61" t="s">
        <v>2800</v>
      </c>
      <c r="K648" s="61" t="s">
        <v>2801</v>
      </c>
      <c r="L648" s="61" t="s">
        <v>2802</v>
      </c>
      <c r="M648" s="58">
        <v>2023.0</v>
      </c>
      <c r="N648" s="58">
        <v>15.0</v>
      </c>
      <c r="O648" s="62">
        <v>234.0</v>
      </c>
      <c r="P648" s="62">
        <f t="shared" si="12"/>
        <v>655.2</v>
      </c>
      <c r="Q648" s="63">
        <v>1.0</v>
      </c>
      <c r="R648" s="58">
        <v>1.0</v>
      </c>
      <c r="S648" s="58">
        <v>3.0</v>
      </c>
      <c r="T648" s="58">
        <v>0.0</v>
      </c>
      <c r="U648" s="58">
        <v>9.0</v>
      </c>
      <c r="V648" s="58" t="s">
        <v>130</v>
      </c>
      <c r="W648" s="61" t="s">
        <v>76</v>
      </c>
      <c r="X648" s="28" t="s">
        <v>1033</v>
      </c>
      <c r="Y648" s="64">
        <v>31.0</v>
      </c>
      <c r="Z648" s="65">
        <f t="shared" si="13"/>
        <v>6.716666667</v>
      </c>
      <c r="AA648" s="65">
        <f t="shared" si="14"/>
        <v>4400.76</v>
      </c>
      <c r="AB648" s="65">
        <f t="shared" si="15"/>
        <v>1817.867823</v>
      </c>
      <c r="AC648" s="66">
        <v>1.0</v>
      </c>
      <c r="AD648" s="67"/>
      <c r="AE648" s="68">
        <f t="shared" si="16"/>
        <v>6557.377049</v>
      </c>
      <c r="AF648" s="69">
        <v>8000.0</v>
      </c>
      <c r="AG648" s="68">
        <f t="shared" si="17"/>
        <v>6557.377049</v>
      </c>
      <c r="AH648" s="70">
        <f t="shared" si="18"/>
        <v>8000</v>
      </c>
      <c r="AI648" s="71"/>
      <c r="AJ648" s="71"/>
      <c r="AK648" s="71"/>
      <c r="AL648" s="71"/>
    </row>
    <row r="649">
      <c r="A649" s="57" t="s">
        <v>2798</v>
      </c>
      <c r="B649" s="58" t="s">
        <v>239</v>
      </c>
      <c r="C649" s="58" t="s">
        <v>329</v>
      </c>
      <c r="D649" s="58" t="s">
        <v>2771</v>
      </c>
      <c r="E649" s="58" t="s">
        <v>897</v>
      </c>
      <c r="F649" s="58" t="s">
        <v>63</v>
      </c>
      <c r="G649" s="59">
        <v>46146.0</v>
      </c>
      <c r="H649" s="58" t="s">
        <v>104</v>
      </c>
      <c r="I649" s="58" t="s">
        <v>2799</v>
      </c>
      <c r="J649" s="61" t="s">
        <v>2803</v>
      </c>
      <c r="K649" s="61" t="s">
        <v>2804</v>
      </c>
      <c r="L649" s="61" t="s">
        <v>2805</v>
      </c>
      <c r="M649" s="58">
        <v>2023.0</v>
      </c>
      <c r="N649" s="58">
        <v>15.0</v>
      </c>
      <c r="O649" s="62">
        <v>143.0</v>
      </c>
      <c r="P649" s="62">
        <f t="shared" si="12"/>
        <v>400.4</v>
      </c>
      <c r="Q649" s="63">
        <v>1.0</v>
      </c>
      <c r="R649" s="58">
        <v>1.0</v>
      </c>
      <c r="S649" s="58">
        <v>2.0</v>
      </c>
      <c r="T649" s="58">
        <v>0.0</v>
      </c>
      <c r="U649" s="58">
        <v>4.0</v>
      </c>
      <c r="V649" s="58" t="s">
        <v>130</v>
      </c>
      <c r="W649" s="61" t="s">
        <v>76</v>
      </c>
      <c r="X649" s="28" t="s">
        <v>1033</v>
      </c>
      <c r="Y649" s="64">
        <v>31.0</v>
      </c>
      <c r="Z649" s="65">
        <f t="shared" si="13"/>
        <v>10.075</v>
      </c>
      <c r="AA649" s="65">
        <f t="shared" si="14"/>
        <v>4034.03</v>
      </c>
      <c r="AB649" s="65">
        <f t="shared" si="15"/>
        <v>1983.128534</v>
      </c>
      <c r="AC649" s="66">
        <v>1.0</v>
      </c>
      <c r="AD649" s="70"/>
      <c r="AE649" s="68">
        <f t="shared" si="16"/>
        <v>6557.377049</v>
      </c>
      <c r="AF649" s="69">
        <v>8000.0</v>
      </c>
      <c r="AG649" s="68">
        <f t="shared" si="17"/>
        <v>6557.377049</v>
      </c>
      <c r="AH649" s="70">
        <f t="shared" si="18"/>
        <v>8000</v>
      </c>
      <c r="AI649" s="71"/>
      <c r="AJ649" s="71"/>
      <c r="AK649" s="71"/>
      <c r="AL649" s="71"/>
    </row>
    <row r="650">
      <c r="A650" s="57" t="s">
        <v>2798</v>
      </c>
      <c r="B650" s="58" t="s">
        <v>239</v>
      </c>
      <c r="C650" s="58" t="s">
        <v>329</v>
      </c>
      <c r="D650" s="58" t="s">
        <v>2771</v>
      </c>
      <c r="E650" s="58" t="s">
        <v>897</v>
      </c>
      <c r="F650" s="58" t="s">
        <v>63</v>
      </c>
      <c r="G650" s="59">
        <v>46146.0</v>
      </c>
      <c r="H650" s="58" t="s">
        <v>104</v>
      </c>
      <c r="I650" s="58" t="s">
        <v>2799</v>
      </c>
      <c r="J650" s="61" t="s">
        <v>2806</v>
      </c>
      <c r="K650" s="61" t="s">
        <v>2807</v>
      </c>
      <c r="L650" s="61" t="s">
        <v>2808</v>
      </c>
      <c r="M650" s="58">
        <v>2023.0</v>
      </c>
      <c r="N650" s="58">
        <v>15.0</v>
      </c>
      <c r="O650" s="62">
        <v>247.0</v>
      </c>
      <c r="P650" s="62">
        <f t="shared" si="12"/>
        <v>691.6</v>
      </c>
      <c r="Q650" s="63">
        <v>3.0</v>
      </c>
      <c r="R650" s="58">
        <v>3.0</v>
      </c>
      <c r="S650" s="58">
        <v>3.0</v>
      </c>
      <c r="T650" s="58">
        <v>0.0</v>
      </c>
      <c r="U650" s="58">
        <v>6.0</v>
      </c>
      <c r="V650" s="58" t="s">
        <v>130</v>
      </c>
      <c r="W650" s="61" t="s">
        <v>76</v>
      </c>
      <c r="X650" s="28" t="s">
        <v>1033</v>
      </c>
      <c r="Y650" s="64">
        <v>31.0</v>
      </c>
      <c r="Z650" s="65">
        <f t="shared" si="13"/>
        <v>20.15</v>
      </c>
      <c r="AA650" s="65">
        <f t="shared" si="14"/>
        <v>13935.74</v>
      </c>
      <c r="AB650" s="65">
        <f t="shared" si="15"/>
        <v>1722.190569</v>
      </c>
      <c r="AC650" s="66">
        <v>1.0</v>
      </c>
      <c r="AD650" s="67"/>
      <c r="AE650" s="68">
        <f t="shared" si="16"/>
        <v>6557.377049</v>
      </c>
      <c r="AF650" s="69">
        <v>8000.0</v>
      </c>
      <c r="AG650" s="68">
        <f t="shared" si="17"/>
        <v>19672.13115</v>
      </c>
      <c r="AH650" s="70">
        <f t="shared" si="18"/>
        <v>24000</v>
      </c>
      <c r="AI650" s="71"/>
      <c r="AJ650" s="71"/>
      <c r="AK650" s="71"/>
      <c r="AL650" s="71"/>
    </row>
    <row r="651">
      <c r="A651" s="57" t="s">
        <v>2798</v>
      </c>
      <c r="B651" s="58" t="s">
        <v>239</v>
      </c>
      <c r="C651" s="58" t="s">
        <v>329</v>
      </c>
      <c r="D651" s="58" t="s">
        <v>2771</v>
      </c>
      <c r="E651" s="58" t="s">
        <v>897</v>
      </c>
      <c r="F651" s="58" t="s">
        <v>63</v>
      </c>
      <c r="G651" s="59">
        <v>46146.0</v>
      </c>
      <c r="H651" s="58" t="s">
        <v>104</v>
      </c>
      <c r="I651" s="58" t="s">
        <v>2799</v>
      </c>
      <c r="J651" s="61" t="s">
        <v>2809</v>
      </c>
      <c r="K651" s="61" t="s">
        <v>2810</v>
      </c>
      <c r="L651" s="61" t="s">
        <v>2811</v>
      </c>
      <c r="M651" s="58">
        <v>2023.0</v>
      </c>
      <c r="N651" s="58">
        <v>15.0</v>
      </c>
      <c r="O651" s="62">
        <v>338.0</v>
      </c>
      <c r="P651" s="62">
        <f t="shared" si="12"/>
        <v>946.4</v>
      </c>
      <c r="Q651" s="63">
        <v>3.0</v>
      </c>
      <c r="R651" s="58">
        <v>3.0</v>
      </c>
      <c r="S651" s="58">
        <v>3.0</v>
      </c>
      <c r="T651" s="58">
        <v>0.0</v>
      </c>
      <c r="U651" s="58">
        <v>9.0</v>
      </c>
      <c r="V651" s="58" t="s">
        <v>130</v>
      </c>
      <c r="W651" s="61" t="s">
        <v>76</v>
      </c>
      <c r="X651" s="28" t="s">
        <v>1033</v>
      </c>
      <c r="Y651" s="64">
        <v>31.0</v>
      </c>
      <c r="Z651" s="65">
        <f t="shared" si="13"/>
        <v>20.15</v>
      </c>
      <c r="AA651" s="65">
        <f t="shared" si="14"/>
        <v>19069.96</v>
      </c>
      <c r="AB651" s="65">
        <f t="shared" si="15"/>
        <v>1258.523877</v>
      </c>
      <c r="AC651" s="66">
        <v>1.0</v>
      </c>
      <c r="AD651" s="67"/>
      <c r="AE651" s="68">
        <f t="shared" si="16"/>
        <v>6557.377049</v>
      </c>
      <c r="AF651" s="69">
        <v>8000.0</v>
      </c>
      <c r="AG651" s="68">
        <f t="shared" si="17"/>
        <v>19672.13115</v>
      </c>
      <c r="AH651" s="70">
        <f t="shared" si="18"/>
        <v>24000</v>
      </c>
      <c r="AI651" s="71"/>
      <c r="AJ651" s="71"/>
      <c r="AK651" s="71"/>
      <c r="AL651" s="71"/>
    </row>
    <row r="652">
      <c r="A652" s="57" t="s">
        <v>2812</v>
      </c>
      <c r="B652" s="58" t="s">
        <v>239</v>
      </c>
      <c r="C652" s="58" t="s">
        <v>329</v>
      </c>
      <c r="D652" s="58" t="s">
        <v>2771</v>
      </c>
      <c r="E652" s="58" t="s">
        <v>897</v>
      </c>
      <c r="F652" s="58" t="s">
        <v>63</v>
      </c>
      <c r="G652" s="59">
        <v>46146.0</v>
      </c>
      <c r="H652" s="58" t="s">
        <v>104</v>
      </c>
      <c r="I652" s="58" t="s">
        <v>2813</v>
      </c>
      <c r="J652" s="61" t="s">
        <v>2814</v>
      </c>
      <c r="K652" s="61" t="s">
        <v>2815</v>
      </c>
      <c r="L652" s="61" t="s">
        <v>2816</v>
      </c>
      <c r="M652" s="58">
        <v>2023.0</v>
      </c>
      <c r="N652" s="58">
        <v>15.0</v>
      </c>
      <c r="O652" s="62">
        <v>234.0</v>
      </c>
      <c r="P652" s="62">
        <f t="shared" si="12"/>
        <v>655.2</v>
      </c>
      <c r="Q652" s="63">
        <v>2.0</v>
      </c>
      <c r="R652" s="58">
        <v>2.0</v>
      </c>
      <c r="S652" s="58">
        <v>3.0</v>
      </c>
      <c r="T652" s="58">
        <v>0.0</v>
      </c>
      <c r="U652" s="58">
        <v>9.0</v>
      </c>
      <c r="V652" s="58" t="s">
        <v>130</v>
      </c>
      <c r="W652" s="61" t="s">
        <v>76</v>
      </c>
      <c r="X652" s="28" t="s">
        <v>1033</v>
      </c>
      <c r="Y652" s="64">
        <v>31.0</v>
      </c>
      <c r="Z652" s="65">
        <f t="shared" si="13"/>
        <v>13.43333333</v>
      </c>
      <c r="AA652" s="65">
        <f t="shared" si="14"/>
        <v>8801.52</v>
      </c>
      <c r="AB652" s="65">
        <f t="shared" si="15"/>
        <v>1817.867823</v>
      </c>
      <c r="AC652" s="66">
        <v>1.0</v>
      </c>
      <c r="AD652" s="70"/>
      <c r="AE652" s="68">
        <f t="shared" si="16"/>
        <v>6557.377049</v>
      </c>
      <c r="AF652" s="69">
        <v>8000.0</v>
      </c>
      <c r="AG652" s="68">
        <f t="shared" si="17"/>
        <v>13114.7541</v>
      </c>
      <c r="AH652" s="70">
        <f t="shared" si="18"/>
        <v>16000</v>
      </c>
      <c r="AI652" s="71"/>
      <c r="AJ652" s="71"/>
      <c r="AK652" s="71"/>
      <c r="AL652" s="71"/>
    </row>
    <row r="653">
      <c r="A653" s="57" t="s">
        <v>2812</v>
      </c>
      <c r="B653" s="58" t="s">
        <v>239</v>
      </c>
      <c r="C653" s="58" t="s">
        <v>329</v>
      </c>
      <c r="D653" s="58" t="s">
        <v>2771</v>
      </c>
      <c r="E653" s="58" t="s">
        <v>897</v>
      </c>
      <c r="F653" s="58" t="s">
        <v>63</v>
      </c>
      <c r="G653" s="59">
        <v>46146.0</v>
      </c>
      <c r="H653" s="58" t="s">
        <v>104</v>
      </c>
      <c r="I653" s="58" t="s">
        <v>2813</v>
      </c>
      <c r="J653" s="61" t="s">
        <v>2817</v>
      </c>
      <c r="K653" s="61" t="s">
        <v>2818</v>
      </c>
      <c r="L653" s="61" t="s">
        <v>2819</v>
      </c>
      <c r="M653" s="58">
        <v>2023.0</v>
      </c>
      <c r="N653" s="58">
        <v>15.0</v>
      </c>
      <c r="O653" s="62">
        <v>143.0</v>
      </c>
      <c r="P653" s="62">
        <f t="shared" si="12"/>
        <v>400.4</v>
      </c>
      <c r="Q653" s="63">
        <v>1.0</v>
      </c>
      <c r="R653" s="58">
        <v>1.0</v>
      </c>
      <c r="S653" s="58">
        <v>2.0</v>
      </c>
      <c r="T653" s="58">
        <v>0.0</v>
      </c>
      <c r="U653" s="58">
        <v>4.0</v>
      </c>
      <c r="V653" s="58" t="s">
        <v>130</v>
      </c>
      <c r="W653" s="61" t="s">
        <v>76</v>
      </c>
      <c r="X653" s="28" t="s">
        <v>1033</v>
      </c>
      <c r="Y653" s="64">
        <v>31.0</v>
      </c>
      <c r="Z653" s="65">
        <f t="shared" si="13"/>
        <v>10.075</v>
      </c>
      <c r="AA653" s="65">
        <f t="shared" si="14"/>
        <v>4034.03</v>
      </c>
      <c r="AB653" s="65">
        <f t="shared" si="15"/>
        <v>1983.128534</v>
      </c>
      <c r="AC653" s="66">
        <v>1.0</v>
      </c>
      <c r="AD653" s="67"/>
      <c r="AE653" s="68">
        <f t="shared" si="16"/>
        <v>6557.377049</v>
      </c>
      <c r="AF653" s="69">
        <v>8000.0</v>
      </c>
      <c r="AG653" s="68">
        <f t="shared" si="17"/>
        <v>6557.377049</v>
      </c>
      <c r="AH653" s="70">
        <f t="shared" si="18"/>
        <v>8000</v>
      </c>
      <c r="AI653" s="71"/>
      <c r="AJ653" s="71"/>
      <c r="AK653" s="71"/>
      <c r="AL653" s="71"/>
    </row>
    <row r="654">
      <c r="A654" s="57" t="s">
        <v>2812</v>
      </c>
      <c r="B654" s="58" t="s">
        <v>239</v>
      </c>
      <c r="C654" s="58" t="s">
        <v>329</v>
      </c>
      <c r="D654" s="58" t="s">
        <v>2771</v>
      </c>
      <c r="E654" s="58" t="s">
        <v>897</v>
      </c>
      <c r="F654" s="58" t="s">
        <v>63</v>
      </c>
      <c r="G654" s="59">
        <v>46146.0</v>
      </c>
      <c r="H654" s="58" t="s">
        <v>104</v>
      </c>
      <c r="I654" s="58" t="s">
        <v>2813</v>
      </c>
      <c r="J654" s="61" t="s">
        <v>2820</v>
      </c>
      <c r="K654" s="61" t="s">
        <v>2821</v>
      </c>
      <c r="L654" s="61" t="s">
        <v>2822</v>
      </c>
      <c r="M654" s="58">
        <v>2023.0</v>
      </c>
      <c r="N654" s="58">
        <v>15.0</v>
      </c>
      <c r="O654" s="62">
        <v>247.0</v>
      </c>
      <c r="P654" s="62">
        <f t="shared" si="12"/>
        <v>691.6</v>
      </c>
      <c r="Q654" s="63">
        <v>3.0</v>
      </c>
      <c r="R654" s="58">
        <v>3.0</v>
      </c>
      <c r="S654" s="58">
        <v>3.0</v>
      </c>
      <c r="T654" s="58">
        <v>0.0</v>
      </c>
      <c r="U654" s="58">
        <v>6.0</v>
      </c>
      <c r="V654" s="58" t="s">
        <v>130</v>
      </c>
      <c r="W654" s="61" t="s">
        <v>76</v>
      </c>
      <c r="X654" s="28" t="s">
        <v>1033</v>
      </c>
      <c r="Y654" s="64">
        <v>31.0</v>
      </c>
      <c r="Z654" s="65">
        <f t="shared" si="13"/>
        <v>20.15</v>
      </c>
      <c r="AA654" s="65">
        <f t="shared" si="14"/>
        <v>13935.74</v>
      </c>
      <c r="AB654" s="65">
        <f t="shared" si="15"/>
        <v>1722.190569</v>
      </c>
      <c r="AC654" s="66">
        <v>1.0</v>
      </c>
      <c r="AD654" s="67"/>
      <c r="AE654" s="68">
        <f t="shared" si="16"/>
        <v>6557.377049</v>
      </c>
      <c r="AF654" s="69">
        <v>8000.0</v>
      </c>
      <c r="AG654" s="68">
        <f t="shared" si="17"/>
        <v>19672.13115</v>
      </c>
      <c r="AH654" s="70">
        <f t="shared" si="18"/>
        <v>24000</v>
      </c>
      <c r="AI654" s="71"/>
      <c r="AJ654" s="71"/>
      <c r="AK654" s="71"/>
      <c r="AL654" s="71"/>
    </row>
    <row r="655">
      <c r="A655" s="57" t="s">
        <v>2812</v>
      </c>
      <c r="B655" s="58" t="s">
        <v>239</v>
      </c>
      <c r="C655" s="58" t="s">
        <v>329</v>
      </c>
      <c r="D655" s="58" t="s">
        <v>2771</v>
      </c>
      <c r="E655" s="58" t="s">
        <v>897</v>
      </c>
      <c r="F655" s="58" t="s">
        <v>63</v>
      </c>
      <c r="G655" s="59">
        <v>46146.0</v>
      </c>
      <c r="H655" s="58" t="s">
        <v>104</v>
      </c>
      <c r="I655" s="58" t="s">
        <v>2813</v>
      </c>
      <c r="J655" s="61" t="s">
        <v>2823</v>
      </c>
      <c r="K655" s="61" t="s">
        <v>2824</v>
      </c>
      <c r="L655" s="61" t="s">
        <v>2825</v>
      </c>
      <c r="M655" s="58">
        <v>2023.0</v>
      </c>
      <c r="N655" s="58">
        <v>15.0</v>
      </c>
      <c r="O655" s="62">
        <v>130.0</v>
      </c>
      <c r="P655" s="62">
        <f t="shared" si="12"/>
        <v>364</v>
      </c>
      <c r="Q655" s="63">
        <v>1.0</v>
      </c>
      <c r="R655" s="58">
        <v>1.0</v>
      </c>
      <c r="S655" s="58">
        <v>2.0</v>
      </c>
      <c r="T655" s="58">
        <v>0.0</v>
      </c>
      <c r="U655" s="58">
        <v>4.0</v>
      </c>
      <c r="V655" s="58" t="s">
        <v>2826</v>
      </c>
      <c r="W655" s="61" t="s">
        <v>76</v>
      </c>
      <c r="X655" s="28" t="s">
        <v>1033</v>
      </c>
      <c r="Y655" s="64">
        <v>31.0</v>
      </c>
      <c r="Z655" s="65">
        <f t="shared" si="13"/>
        <v>10.075</v>
      </c>
      <c r="AA655" s="65">
        <f t="shared" si="14"/>
        <v>3667.3</v>
      </c>
      <c r="AB655" s="65">
        <f t="shared" si="15"/>
        <v>2181.441387</v>
      </c>
      <c r="AC655" s="66">
        <v>1.0</v>
      </c>
      <c r="AD655" s="70"/>
      <c r="AE655" s="68">
        <f t="shared" si="16"/>
        <v>6557.377049</v>
      </c>
      <c r="AF655" s="69">
        <v>8000.0</v>
      </c>
      <c r="AG655" s="68">
        <f t="shared" si="17"/>
        <v>6557.377049</v>
      </c>
      <c r="AH655" s="70">
        <f t="shared" si="18"/>
        <v>8000</v>
      </c>
      <c r="AI655" s="71"/>
      <c r="AJ655" s="71"/>
      <c r="AK655" s="71"/>
      <c r="AL655" s="71"/>
    </row>
    <row r="656">
      <c r="A656" s="57" t="s">
        <v>2827</v>
      </c>
      <c r="B656" s="58" t="s">
        <v>239</v>
      </c>
      <c r="C656" s="58" t="s">
        <v>349</v>
      </c>
      <c r="D656" s="58" t="s">
        <v>349</v>
      </c>
      <c r="E656" s="58" t="s">
        <v>897</v>
      </c>
      <c r="F656" s="58" t="s">
        <v>103</v>
      </c>
      <c r="G656" s="59">
        <v>46202.0</v>
      </c>
      <c r="H656" s="58" t="s">
        <v>104</v>
      </c>
      <c r="I656" s="58" t="s">
        <v>2828</v>
      </c>
      <c r="J656" s="61" t="s">
        <v>2829</v>
      </c>
      <c r="K656" s="61" t="s">
        <v>2830</v>
      </c>
      <c r="L656" s="61" t="s">
        <v>2831</v>
      </c>
      <c r="M656" s="58">
        <v>2023.0</v>
      </c>
      <c r="N656" s="58">
        <v>12.0</v>
      </c>
      <c r="O656" s="62">
        <v>1068.0</v>
      </c>
      <c r="P656" s="62">
        <f t="shared" si="12"/>
        <v>2990.4</v>
      </c>
      <c r="Q656" s="63">
        <v>3.0</v>
      </c>
      <c r="R656" s="58">
        <v>3.0</v>
      </c>
      <c r="S656" s="58">
        <v>3.0</v>
      </c>
      <c r="T656" s="58">
        <v>0.0</v>
      </c>
      <c r="U656" s="58">
        <v>6.0</v>
      </c>
      <c r="V656" s="58" t="s">
        <v>130</v>
      </c>
      <c r="W656" s="61" t="s">
        <v>76</v>
      </c>
      <c r="X656" s="28" t="s">
        <v>1033</v>
      </c>
      <c r="Y656" s="64">
        <v>31.0</v>
      </c>
      <c r="Z656" s="65">
        <f t="shared" si="13"/>
        <v>20.15</v>
      </c>
      <c r="AA656" s="65">
        <f t="shared" si="14"/>
        <v>60256.56</v>
      </c>
      <c r="AB656" s="65">
        <f t="shared" si="15"/>
        <v>398.2968825</v>
      </c>
      <c r="AC656" s="66">
        <v>1.0</v>
      </c>
      <c r="AD656" s="67"/>
      <c r="AE656" s="68">
        <f t="shared" si="16"/>
        <v>6557.377049</v>
      </c>
      <c r="AF656" s="69">
        <v>8000.0</v>
      </c>
      <c r="AG656" s="68">
        <f t="shared" si="17"/>
        <v>19672.13115</v>
      </c>
      <c r="AH656" s="70">
        <f t="shared" si="18"/>
        <v>24000</v>
      </c>
      <c r="AI656" s="71"/>
      <c r="AJ656" s="71"/>
      <c r="AK656" s="71"/>
      <c r="AL656" s="71"/>
    </row>
    <row r="657">
      <c r="A657" s="57" t="s">
        <v>2827</v>
      </c>
      <c r="B657" s="58" t="s">
        <v>239</v>
      </c>
      <c r="C657" s="58" t="s">
        <v>349</v>
      </c>
      <c r="D657" s="58" t="s">
        <v>349</v>
      </c>
      <c r="E657" s="58" t="s">
        <v>897</v>
      </c>
      <c r="F657" s="58" t="s">
        <v>103</v>
      </c>
      <c r="G657" s="59">
        <v>46202.0</v>
      </c>
      <c r="H657" s="58" t="s">
        <v>104</v>
      </c>
      <c r="I657" s="58" t="s">
        <v>2828</v>
      </c>
      <c r="J657" s="61" t="s">
        <v>2832</v>
      </c>
      <c r="K657" s="61" t="s">
        <v>2833</v>
      </c>
      <c r="L657" s="61" t="s">
        <v>2834</v>
      </c>
      <c r="M657" s="58">
        <v>2023.0</v>
      </c>
      <c r="N657" s="58">
        <v>12.0</v>
      </c>
      <c r="O657" s="62">
        <v>1068.0</v>
      </c>
      <c r="P657" s="62">
        <f t="shared" si="12"/>
        <v>2990.4</v>
      </c>
      <c r="Q657" s="63">
        <v>6.0</v>
      </c>
      <c r="R657" s="58">
        <v>6.0</v>
      </c>
      <c r="S657" s="58">
        <v>6.0</v>
      </c>
      <c r="T657" s="58">
        <v>0.0</v>
      </c>
      <c r="U657" s="58">
        <v>12.0</v>
      </c>
      <c r="V657" s="58" t="s">
        <v>2826</v>
      </c>
      <c r="W657" s="61" t="s">
        <v>76</v>
      </c>
      <c r="X657" s="28" t="s">
        <v>1033</v>
      </c>
      <c r="Y657" s="64">
        <v>31.0</v>
      </c>
      <c r="Z657" s="65">
        <f t="shared" si="13"/>
        <v>20.15</v>
      </c>
      <c r="AA657" s="65">
        <f t="shared" si="14"/>
        <v>60256.56</v>
      </c>
      <c r="AB657" s="65">
        <f t="shared" si="15"/>
        <v>796.5937651</v>
      </c>
      <c r="AC657" s="66">
        <v>1.0</v>
      </c>
      <c r="AD657" s="67"/>
      <c r="AE657" s="68">
        <f t="shared" si="16"/>
        <v>6557.377049</v>
      </c>
      <c r="AF657" s="69">
        <v>8000.0</v>
      </c>
      <c r="AG657" s="68">
        <f t="shared" si="17"/>
        <v>39344.2623</v>
      </c>
      <c r="AH657" s="70">
        <f t="shared" si="18"/>
        <v>48000</v>
      </c>
      <c r="AI657" s="71"/>
      <c r="AJ657" s="71"/>
      <c r="AK657" s="71"/>
      <c r="AL657" s="71"/>
    </row>
    <row r="658">
      <c r="A658" s="57" t="s">
        <v>2835</v>
      </c>
      <c r="B658" s="58" t="s">
        <v>239</v>
      </c>
      <c r="C658" s="58" t="s">
        <v>349</v>
      </c>
      <c r="D658" s="58" t="s">
        <v>349</v>
      </c>
      <c r="E658" s="58" t="s">
        <v>897</v>
      </c>
      <c r="F658" s="58" t="s">
        <v>103</v>
      </c>
      <c r="G658" s="59">
        <v>46202.0</v>
      </c>
      <c r="H658" s="58" t="s">
        <v>104</v>
      </c>
      <c r="I658" s="58" t="s">
        <v>2836</v>
      </c>
      <c r="J658" s="61" t="s">
        <v>2837</v>
      </c>
      <c r="K658" s="61" t="s">
        <v>2838</v>
      </c>
      <c r="L658" s="61" t="s">
        <v>2839</v>
      </c>
      <c r="M658" s="58">
        <v>2022.0</v>
      </c>
      <c r="N658" s="58">
        <v>12.0</v>
      </c>
      <c r="O658" s="62">
        <v>300.0</v>
      </c>
      <c r="P658" s="62">
        <f t="shared" si="12"/>
        <v>840</v>
      </c>
      <c r="Q658" s="63">
        <v>6.0</v>
      </c>
      <c r="R658" s="58">
        <v>6.0</v>
      </c>
      <c r="S658" s="58">
        <v>6.0</v>
      </c>
      <c r="T658" s="58">
        <v>0.0</v>
      </c>
      <c r="U658" s="58">
        <v>12.0</v>
      </c>
      <c r="V658" s="58" t="s">
        <v>2826</v>
      </c>
      <c r="W658" s="61" t="s">
        <v>76</v>
      </c>
      <c r="X658" s="28" t="s">
        <v>1033</v>
      </c>
      <c r="Y658" s="64">
        <v>31.0</v>
      </c>
      <c r="Z658" s="65">
        <f t="shared" si="13"/>
        <v>20.15</v>
      </c>
      <c r="AA658" s="65">
        <f t="shared" si="14"/>
        <v>16926</v>
      </c>
      <c r="AB658" s="65">
        <f t="shared" si="15"/>
        <v>2835.873804</v>
      </c>
      <c r="AC658" s="66">
        <v>1.0</v>
      </c>
      <c r="AD658" s="70"/>
      <c r="AE658" s="68">
        <f t="shared" si="16"/>
        <v>6557.377049</v>
      </c>
      <c r="AF658" s="69">
        <v>8000.0</v>
      </c>
      <c r="AG658" s="68">
        <f t="shared" si="17"/>
        <v>39344.2623</v>
      </c>
      <c r="AH658" s="70">
        <f t="shared" si="18"/>
        <v>48000</v>
      </c>
      <c r="AI658" s="71"/>
      <c r="AJ658" s="71"/>
      <c r="AK658" s="71"/>
      <c r="AL658" s="71"/>
    </row>
    <row r="659">
      <c r="A659" s="57" t="s">
        <v>2835</v>
      </c>
      <c r="B659" s="58" t="s">
        <v>239</v>
      </c>
      <c r="C659" s="58" t="s">
        <v>349</v>
      </c>
      <c r="D659" s="58" t="s">
        <v>349</v>
      </c>
      <c r="E659" s="58" t="s">
        <v>897</v>
      </c>
      <c r="F659" s="58" t="s">
        <v>103</v>
      </c>
      <c r="G659" s="59">
        <v>46202.0</v>
      </c>
      <c r="H659" s="58" t="s">
        <v>104</v>
      </c>
      <c r="I659" s="58" t="s">
        <v>2836</v>
      </c>
      <c r="J659" s="61" t="s">
        <v>2840</v>
      </c>
      <c r="K659" s="61" t="s">
        <v>2841</v>
      </c>
      <c r="L659" s="61" t="s">
        <v>2842</v>
      </c>
      <c r="M659" s="58">
        <v>2022.0</v>
      </c>
      <c r="N659" s="58">
        <v>14.0</v>
      </c>
      <c r="O659" s="62">
        <v>346.0</v>
      </c>
      <c r="P659" s="62">
        <f t="shared" si="12"/>
        <v>968.8</v>
      </c>
      <c r="Q659" s="63">
        <v>4.0</v>
      </c>
      <c r="R659" s="58">
        <v>4.0</v>
      </c>
      <c r="S659" s="58">
        <v>4.0</v>
      </c>
      <c r="T659" s="58">
        <v>0.0</v>
      </c>
      <c r="U659" s="58">
        <v>8.0</v>
      </c>
      <c r="V659" s="58" t="s">
        <v>2826</v>
      </c>
      <c r="W659" s="61" t="s">
        <v>76</v>
      </c>
      <c r="X659" s="28" t="s">
        <v>1033</v>
      </c>
      <c r="Y659" s="64">
        <v>31.0</v>
      </c>
      <c r="Z659" s="65">
        <f t="shared" si="13"/>
        <v>20.15</v>
      </c>
      <c r="AA659" s="65">
        <f t="shared" si="14"/>
        <v>19521.32</v>
      </c>
      <c r="AB659" s="65">
        <f t="shared" si="15"/>
        <v>1639.233412</v>
      </c>
      <c r="AC659" s="66">
        <v>1.0</v>
      </c>
      <c r="AD659" s="67"/>
      <c r="AE659" s="68">
        <f t="shared" si="16"/>
        <v>6557.377049</v>
      </c>
      <c r="AF659" s="69">
        <v>8000.0</v>
      </c>
      <c r="AG659" s="68">
        <f t="shared" si="17"/>
        <v>26229.5082</v>
      </c>
      <c r="AH659" s="70">
        <f t="shared" si="18"/>
        <v>32000</v>
      </c>
      <c r="AI659" s="71"/>
      <c r="AJ659" s="71"/>
      <c r="AK659" s="71"/>
      <c r="AL659" s="71"/>
    </row>
    <row r="660">
      <c r="A660" s="57" t="s">
        <v>2843</v>
      </c>
      <c r="B660" s="58" t="s">
        <v>239</v>
      </c>
      <c r="C660" s="58" t="s">
        <v>349</v>
      </c>
      <c r="D660" s="58" t="s">
        <v>349</v>
      </c>
      <c r="E660" s="58" t="s">
        <v>897</v>
      </c>
      <c r="F660" s="58" t="s">
        <v>103</v>
      </c>
      <c r="G660" s="59">
        <v>46202.0</v>
      </c>
      <c r="H660" s="58" t="s">
        <v>104</v>
      </c>
      <c r="I660" s="58" t="s">
        <v>2844</v>
      </c>
      <c r="J660" s="61" t="s">
        <v>2845</v>
      </c>
      <c r="K660" s="61" t="s">
        <v>2846</v>
      </c>
      <c r="L660" s="61" t="s">
        <v>2847</v>
      </c>
      <c r="M660" s="58">
        <v>2022.0</v>
      </c>
      <c r="N660" s="58">
        <v>17.0</v>
      </c>
      <c r="O660" s="62">
        <v>792.0</v>
      </c>
      <c r="P660" s="62">
        <f t="shared" si="12"/>
        <v>2217.6</v>
      </c>
      <c r="Q660" s="63">
        <v>5.0</v>
      </c>
      <c r="R660" s="58">
        <v>5.0</v>
      </c>
      <c r="S660" s="58">
        <v>5.0</v>
      </c>
      <c r="T660" s="58">
        <v>0.0</v>
      </c>
      <c r="U660" s="58">
        <v>10.0</v>
      </c>
      <c r="V660" s="58" t="s">
        <v>2826</v>
      </c>
      <c r="W660" s="61" t="s">
        <v>76</v>
      </c>
      <c r="X660" s="28" t="s">
        <v>1033</v>
      </c>
      <c r="Y660" s="64">
        <v>31.0</v>
      </c>
      <c r="Z660" s="65">
        <f t="shared" si="13"/>
        <v>20.15</v>
      </c>
      <c r="AA660" s="65">
        <f t="shared" si="14"/>
        <v>44684.64</v>
      </c>
      <c r="AB660" s="65">
        <f t="shared" si="15"/>
        <v>895.1621855</v>
      </c>
      <c r="AC660" s="66">
        <v>1.0</v>
      </c>
      <c r="AD660" s="67"/>
      <c r="AE660" s="68">
        <f t="shared" si="16"/>
        <v>6557.377049</v>
      </c>
      <c r="AF660" s="69">
        <v>8000.0</v>
      </c>
      <c r="AG660" s="68">
        <f t="shared" si="17"/>
        <v>32786.88525</v>
      </c>
      <c r="AH660" s="70">
        <f t="shared" si="18"/>
        <v>40000</v>
      </c>
      <c r="AI660" s="71"/>
      <c r="AJ660" s="71"/>
      <c r="AK660" s="71"/>
      <c r="AL660" s="71"/>
    </row>
    <row r="661">
      <c r="A661" s="57" t="s">
        <v>2843</v>
      </c>
      <c r="B661" s="58" t="s">
        <v>239</v>
      </c>
      <c r="C661" s="58" t="s">
        <v>349</v>
      </c>
      <c r="D661" s="58" t="s">
        <v>349</v>
      </c>
      <c r="E661" s="58" t="s">
        <v>897</v>
      </c>
      <c r="F661" s="58" t="s">
        <v>103</v>
      </c>
      <c r="G661" s="59">
        <v>46202.0</v>
      </c>
      <c r="H661" s="58" t="s">
        <v>104</v>
      </c>
      <c r="I661" s="58" t="s">
        <v>2844</v>
      </c>
      <c r="J661" s="61" t="s">
        <v>2848</v>
      </c>
      <c r="K661" s="61" t="s">
        <v>2849</v>
      </c>
      <c r="L661" s="61" t="s">
        <v>2850</v>
      </c>
      <c r="M661" s="58">
        <v>2023.0</v>
      </c>
      <c r="N661" s="58">
        <v>12.0</v>
      </c>
      <c r="O661" s="62">
        <v>210.0</v>
      </c>
      <c r="P661" s="62">
        <f t="shared" si="12"/>
        <v>588</v>
      </c>
      <c r="Q661" s="63">
        <v>2.0</v>
      </c>
      <c r="R661" s="58">
        <v>2.0</v>
      </c>
      <c r="S661" s="58">
        <v>2.0</v>
      </c>
      <c r="T661" s="58">
        <v>0.0</v>
      </c>
      <c r="U661" s="58">
        <v>4.0</v>
      </c>
      <c r="V661" s="58" t="s">
        <v>2826</v>
      </c>
      <c r="W661" s="61" t="s">
        <v>76</v>
      </c>
      <c r="X661" s="28" t="s">
        <v>1033</v>
      </c>
      <c r="Y661" s="64">
        <v>31.0</v>
      </c>
      <c r="Z661" s="65">
        <f t="shared" si="13"/>
        <v>20.15</v>
      </c>
      <c r="AA661" s="65">
        <f t="shared" si="14"/>
        <v>11848.2</v>
      </c>
      <c r="AB661" s="65">
        <f t="shared" si="15"/>
        <v>1350.416097</v>
      </c>
      <c r="AC661" s="66">
        <v>1.0</v>
      </c>
      <c r="AD661" s="70"/>
      <c r="AE661" s="68">
        <f t="shared" si="16"/>
        <v>6557.377049</v>
      </c>
      <c r="AF661" s="69">
        <v>8000.0</v>
      </c>
      <c r="AG661" s="68">
        <f t="shared" si="17"/>
        <v>13114.7541</v>
      </c>
      <c r="AH661" s="70">
        <f t="shared" si="18"/>
        <v>16000</v>
      </c>
      <c r="AI661" s="71"/>
      <c r="AJ661" s="71"/>
      <c r="AK661" s="71"/>
      <c r="AL661" s="71"/>
    </row>
    <row r="662">
      <c r="A662" s="57" t="s">
        <v>2851</v>
      </c>
      <c r="B662" s="58" t="s">
        <v>239</v>
      </c>
      <c r="C662" s="58" t="s">
        <v>349</v>
      </c>
      <c r="D662" s="58" t="s">
        <v>349</v>
      </c>
      <c r="E662" s="58" t="s">
        <v>897</v>
      </c>
      <c r="F662" s="58" t="s">
        <v>103</v>
      </c>
      <c r="G662" s="59">
        <v>46202.0</v>
      </c>
      <c r="H662" s="58" t="s">
        <v>104</v>
      </c>
      <c r="I662" s="58" t="s">
        <v>2852</v>
      </c>
      <c r="J662" s="61" t="s">
        <v>2853</v>
      </c>
      <c r="K662" s="61" t="s">
        <v>2854</v>
      </c>
      <c r="L662" s="61" t="s">
        <v>2855</v>
      </c>
      <c r="M662" s="58">
        <v>2024.0</v>
      </c>
      <c r="N662" s="58">
        <v>14.0</v>
      </c>
      <c r="O662" s="62">
        <v>385.0</v>
      </c>
      <c r="P662" s="62">
        <f t="shared" si="12"/>
        <v>1078</v>
      </c>
      <c r="Q662" s="63">
        <v>4.0</v>
      </c>
      <c r="R662" s="58">
        <v>4.0</v>
      </c>
      <c r="S662" s="58">
        <v>4.0</v>
      </c>
      <c r="T662" s="58">
        <v>0.0</v>
      </c>
      <c r="U662" s="58">
        <v>8.0</v>
      </c>
      <c r="V662" s="58" t="s">
        <v>2826</v>
      </c>
      <c r="W662" s="61" t="s">
        <v>76</v>
      </c>
      <c r="X662" s="28" t="s">
        <v>1033</v>
      </c>
      <c r="Y662" s="64">
        <v>31.0</v>
      </c>
      <c r="Z662" s="65">
        <f t="shared" si="13"/>
        <v>20.15</v>
      </c>
      <c r="AA662" s="65">
        <f t="shared" si="14"/>
        <v>21721.7</v>
      </c>
      <c r="AB662" s="65">
        <f t="shared" si="15"/>
        <v>1473.181197</v>
      </c>
      <c r="AC662" s="66">
        <v>1.0</v>
      </c>
      <c r="AD662" s="67"/>
      <c r="AE662" s="68">
        <f t="shared" si="16"/>
        <v>6557.377049</v>
      </c>
      <c r="AF662" s="69">
        <v>8000.0</v>
      </c>
      <c r="AG662" s="68">
        <f t="shared" si="17"/>
        <v>26229.5082</v>
      </c>
      <c r="AH662" s="70">
        <f t="shared" si="18"/>
        <v>32000</v>
      </c>
      <c r="AI662" s="71"/>
      <c r="AJ662" s="71"/>
      <c r="AK662" s="71"/>
      <c r="AL662" s="71"/>
    </row>
    <row r="663">
      <c r="A663" s="57" t="s">
        <v>2851</v>
      </c>
      <c r="B663" s="58" t="s">
        <v>239</v>
      </c>
      <c r="C663" s="58" t="s">
        <v>349</v>
      </c>
      <c r="D663" s="58" t="s">
        <v>349</v>
      </c>
      <c r="E663" s="58" t="s">
        <v>897</v>
      </c>
      <c r="F663" s="58" t="s">
        <v>103</v>
      </c>
      <c r="G663" s="59">
        <v>46202.0</v>
      </c>
      <c r="H663" s="58" t="s">
        <v>104</v>
      </c>
      <c r="I663" s="58" t="s">
        <v>2852</v>
      </c>
      <c r="J663" s="61" t="s">
        <v>2856</v>
      </c>
      <c r="K663" s="61" t="s">
        <v>2857</v>
      </c>
      <c r="L663" s="61" t="s">
        <v>2858</v>
      </c>
      <c r="M663" s="58">
        <v>2024.0</v>
      </c>
      <c r="N663" s="58">
        <v>16.0</v>
      </c>
      <c r="O663" s="62">
        <v>154.0</v>
      </c>
      <c r="P663" s="62">
        <f t="shared" si="12"/>
        <v>431.2</v>
      </c>
      <c r="Q663" s="63">
        <v>1.0</v>
      </c>
      <c r="R663" s="58">
        <v>1.0</v>
      </c>
      <c r="S663" s="58">
        <v>1.0</v>
      </c>
      <c r="T663" s="58">
        <v>0.0</v>
      </c>
      <c r="U663" s="58">
        <v>2.0</v>
      </c>
      <c r="V663" s="58" t="s">
        <v>2826</v>
      </c>
      <c r="W663" s="61" t="s">
        <v>76</v>
      </c>
      <c r="X663" s="28" t="s">
        <v>1033</v>
      </c>
      <c r="Y663" s="64">
        <v>31.0</v>
      </c>
      <c r="Z663" s="65">
        <f t="shared" si="13"/>
        <v>20.15</v>
      </c>
      <c r="AA663" s="65">
        <f t="shared" si="14"/>
        <v>8688.68</v>
      </c>
      <c r="AB663" s="65">
        <f t="shared" si="15"/>
        <v>920.7382479</v>
      </c>
      <c r="AC663" s="66">
        <v>1.0</v>
      </c>
      <c r="AD663" s="67"/>
      <c r="AE663" s="68">
        <f t="shared" si="16"/>
        <v>6557.377049</v>
      </c>
      <c r="AF663" s="69">
        <v>8000.0</v>
      </c>
      <c r="AG663" s="68">
        <f t="shared" si="17"/>
        <v>6557.377049</v>
      </c>
      <c r="AH663" s="70">
        <f t="shared" si="18"/>
        <v>8000</v>
      </c>
      <c r="AI663" s="71"/>
      <c r="AJ663" s="71"/>
      <c r="AK663" s="71"/>
      <c r="AL663" s="71"/>
    </row>
    <row r="664">
      <c r="A664" s="57" t="s">
        <v>2851</v>
      </c>
      <c r="B664" s="58" t="s">
        <v>239</v>
      </c>
      <c r="C664" s="58" t="s">
        <v>349</v>
      </c>
      <c r="D664" s="58" t="s">
        <v>349</v>
      </c>
      <c r="E664" s="58" t="s">
        <v>897</v>
      </c>
      <c r="F664" s="58" t="s">
        <v>103</v>
      </c>
      <c r="G664" s="59">
        <v>46202.0</v>
      </c>
      <c r="H664" s="58" t="s">
        <v>104</v>
      </c>
      <c r="I664" s="58" t="s">
        <v>2852</v>
      </c>
      <c r="J664" s="61" t="s">
        <v>2859</v>
      </c>
      <c r="K664" s="61" t="s">
        <v>2860</v>
      </c>
      <c r="L664" s="61" t="s">
        <v>2861</v>
      </c>
      <c r="M664" s="58">
        <v>2024.0</v>
      </c>
      <c r="N664" s="58">
        <v>16.0</v>
      </c>
      <c r="O664" s="62">
        <v>140.0</v>
      </c>
      <c r="P664" s="62">
        <f t="shared" si="12"/>
        <v>392</v>
      </c>
      <c r="Q664" s="63">
        <v>1.0</v>
      </c>
      <c r="R664" s="58">
        <v>1.0</v>
      </c>
      <c r="S664" s="58">
        <v>1.0</v>
      </c>
      <c r="T664" s="58">
        <v>0.0</v>
      </c>
      <c r="U664" s="58">
        <v>2.0</v>
      </c>
      <c r="V664" s="58" t="s">
        <v>2826</v>
      </c>
      <c r="W664" s="61" t="s">
        <v>76</v>
      </c>
      <c r="X664" s="28" t="s">
        <v>1033</v>
      </c>
      <c r="Y664" s="64">
        <v>31.0</v>
      </c>
      <c r="Z664" s="65">
        <f t="shared" si="13"/>
        <v>20.15</v>
      </c>
      <c r="AA664" s="65">
        <f t="shared" si="14"/>
        <v>7898.8</v>
      </c>
      <c r="AB664" s="65">
        <f t="shared" si="15"/>
        <v>1012.812073</v>
      </c>
      <c r="AC664" s="66">
        <v>1.0</v>
      </c>
      <c r="AD664" s="70"/>
      <c r="AE664" s="68">
        <f t="shared" si="16"/>
        <v>6557.377049</v>
      </c>
      <c r="AF664" s="69">
        <v>8000.0</v>
      </c>
      <c r="AG664" s="68">
        <f t="shared" si="17"/>
        <v>6557.377049</v>
      </c>
      <c r="AH664" s="70">
        <f t="shared" si="18"/>
        <v>8000</v>
      </c>
      <c r="AI664" s="71"/>
      <c r="AJ664" s="71"/>
      <c r="AK664" s="71"/>
      <c r="AL664" s="71"/>
    </row>
    <row r="665">
      <c r="A665" s="57" t="s">
        <v>2862</v>
      </c>
      <c r="B665" s="58" t="s">
        <v>239</v>
      </c>
      <c r="C665" s="58" t="s">
        <v>349</v>
      </c>
      <c r="D665" s="58" t="s">
        <v>349</v>
      </c>
      <c r="E665" s="58" t="s">
        <v>897</v>
      </c>
      <c r="F665" s="58" t="s">
        <v>103</v>
      </c>
      <c r="G665" s="59">
        <v>46202.0</v>
      </c>
      <c r="H665" s="58" t="s">
        <v>104</v>
      </c>
      <c r="I665" s="58" t="s">
        <v>2863</v>
      </c>
      <c r="J665" s="61" t="s">
        <v>2864</v>
      </c>
      <c r="K665" s="61" t="s">
        <v>2865</v>
      </c>
      <c r="L665" s="61" t="s">
        <v>2858</v>
      </c>
      <c r="M665" s="58">
        <v>2024.0</v>
      </c>
      <c r="N665" s="58">
        <v>14.0</v>
      </c>
      <c r="O665" s="62">
        <v>385.0</v>
      </c>
      <c r="P665" s="62">
        <f t="shared" si="12"/>
        <v>1078</v>
      </c>
      <c r="Q665" s="63">
        <v>4.0</v>
      </c>
      <c r="R665" s="58">
        <v>4.0</v>
      </c>
      <c r="S665" s="58">
        <v>4.0</v>
      </c>
      <c r="T665" s="58">
        <v>0.0</v>
      </c>
      <c r="U665" s="58">
        <v>8.0</v>
      </c>
      <c r="V665" s="58" t="s">
        <v>2826</v>
      </c>
      <c r="W665" s="61" t="s">
        <v>76</v>
      </c>
      <c r="X665" s="28" t="s">
        <v>1033</v>
      </c>
      <c r="Y665" s="64">
        <v>31.0</v>
      </c>
      <c r="Z665" s="65">
        <f t="shared" si="13"/>
        <v>20.15</v>
      </c>
      <c r="AA665" s="65">
        <f t="shared" si="14"/>
        <v>21721.7</v>
      </c>
      <c r="AB665" s="65">
        <f t="shared" si="15"/>
        <v>1473.181197</v>
      </c>
      <c r="AC665" s="66">
        <v>1.0</v>
      </c>
      <c r="AD665" s="67"/>
      <c r="AE665" s="68">
        <f t="shared" si="16"/>
        <v>6557.377049</v>
      </c>
      <c r="AF665" s="69">
        <v>8000.0</v>
      </c>
      <c r="AG665" s="68">
        <f t="shared" si="17"/>
        <v>26229.5082</v>
      </c>
      <c r="AH665" s="70">
        <f t="shared" si="18"/>
        <v>32000</v>
      </c>
      <c r="AI665" s="71"/>
      <c r="AJ665" s="71"/>
      <c r="AK665" s="71"/>
      <c r="AL665" s="71"/>
    </row>
    <row r="666">
      <c r="A666" s="57" t="s">
        <v>2862</v>
      </c>
      <c r="B666" s="58" t="s">
        <v>239</v>
      </c>
      <c r="C666" s="58" t="s">
        <v>349</v>
      </c>
      <c r="D666" s="58" t="s">
        <v>349</v>
      </c>
      <c r="E666" s="58" t="s">
        <v>897</v>
      </c>
      <c r="F666" s="58" t="s">
        <v>103</v>
      </c>
      <c r="G666" s="59">
        <v>46202.0</v>
      </c>
      <c r="H666" s="58" t="s">
        <v>104</v>
      </c>
      <c r="I666" s="58" t="s">
        <v>2863</v>
      </c>
      <c r="J666" s="61" t="s">
        <v>2866</v>
      </c>
      <c r="K666" s="61" t="s">
        <v>2867</v>
      </c>
      <c r="L666" s="61" t="s">
        <v>2868</v>
      </c>
      <c r="M666" s="58">
        <v>2024.0</v>
      </c>
      <c r="N666" s="58">
        <v>16.0</v>
      </c>
      <c r="O666" s="62">
        <v>154.0</v>
      </c>
      <c r="P666" s="62">
        <f t="shared" si="12"/>
        <v>431.2</v>
      </c>
      <c r="Q666" s="63">
        <v>1.0</v>
      </c>
      <c r="R666" s="58">
        <v>1.0</v>
      </c>
      <c r="S666" s="58">
        <v>1.0</v>
      </c>
      <c r="T666" s="58">
        <v>0.0</v>
      </c>
      <c r="U666" s="58">
        <v>2.0</v>
      </c>
      <c r="V666" s="58" t="s">
        <v>2826</v>
      </c>
      <c r="W666" s="61" t="s">
        <v>76</v>
      </c>
      <c r="X666" s="28" t="s">
        <v>1033</v>
      </c>
      <c r="Y666" s="64">
        <v>31.0</v>
      </c>
      <c r="Z666" s="65">
        <f t="shared" si="13"/>
        <v>20.15</v>
      </c>
      <c r="AA666" s="65">
        <f t="shared" si="14"/>
        <v>8688.68</v>
      </c>
      <c r="AB666" s="65">
        <f t="shared" si="15"/>
        <v>920.7382479</v>
      </c>
      <c r="AC666" s="66">
        <v>1.0</v>
      </c>
      <c r="AD666" s="67"/>
      <c r="AE666" s="68">
        <f t="shared" si="16"/>
        <v>6557.377049</v>
      </c>
      <c r="AF666" s="69">
        <v>8000.0</v>
      </c>
      <c r="AG666" s="68">
        <f t="shared" si="17"/>
        <v>6557.377049</v>
      </c>
      <c r="AH666" s="70">
        <f t="shared" si="18"/>
        <v>8000</v>
      </c>
      <c r="AI666" s="71"/>
      <c r="AJ666" s="71"/>
      <c r="AK666" s="71"/>
      <c r="AL666" s="71"/>
    </row>
    <row r="667">
      <c r="A667" s="57" t="s">
        <v>2862</v>
      </c>
      <c r="B667" s="58" t="s">
        <v>239</v>
      </c>
      <c r="C667" s="58" t="s">
        <v>349</v>
      </c>
      <c r="D667" s="58" t="s">
        <v>349</v>
      </c>
      <c r="E667" s="58" t="s">
        <v>897</v>
      </c>
      <c r="F667" s="58" t="s">
        <v>103</v>
      </c>
      <c r="G667" s="59">
        <v>46202.0</v>
      </c>
      <c r="H667" s="58" t="s">
        <v>104</v>
      </c>
      <c r="I667" s="58" t="s">
        <v>2863</v>
      </c>
      <c r="J667" s="61" t="s">
        <v>2869</v>
      </c>
      <c r="K667" s="61" t="s">
        <v>2870</v>
      </c>
      <c r="L667" s="61" t="s">
        <v>2871</v>
      </c>
      <c r="M667" s="58">
        <v>2024.0</v>
      </c>
      <c r="N667" s="58">
        <v>16.0</v>
      </c>
      <c r="O667" s="62">
        <v>140.0</v>
      </c>
      <c r="P667" s="62">
        <f t="shared" si="12"/>
        <v>392</v>
      </c>
      <c r="Q667" s="63">
        <v>1.0</v>
      </c>
      <c r="R667" s="58">
        <v>1.0</v>
      </c>
      <c r="S667" s="58">
        <v>1.0</v>
      </c>
      <c r="T667" s="58">
        <v>0.0</v>
      </c>
      <c r="U667" s="58">
        <v>2.0</v>
      </c>
      <c r="V667" s="58" t="s">
        <v>2826</v>
      </c>
      <c r="W667" s="61" t="s">
        <v>76</v>
      </c>
      <c r="X667" s="28" t="s">
        <v>1033</v>
      </c>
      <c r="Y667" s="64">
        <v>31.0</v>
      </c>
      <c r="Z667" s="65">
        <f t="shared" si="13"/>
        <v>20.15</v>
      </c>
      <c r="AA667" s="65">
        <f t="shared" si="14"/>
        <v>7898.8</v>
      </c>
      <c r="AB667" s="65">
        <f t="shared" si="15"/>
        <v>1012.812073</v>
      </c>
      <c r="AC667" s="66">
        <v>1.0</v>
      </c>
      <c r="AD667" s="70"/>
      <c r="AE667" s="68">
        <f t="shared" si="16"/>
        <v>6557.377049</v>
      </c>
      <c r="AF667" s="69">
        <v>8000.0</v>
      </c>
      <c r="AG667" s="68">
        <f t="shared" si="17"/>
        <v>6557.377049</v>
      </c>
      <c r="AH667" s="70">
        <f t="shared" si="18"/>
        <v>8000</v>
      </c>
      <c r="AI667" s="71"/>
      <c r="AJ667" s="71"/>
      <c r="AK667" s="71"/>
      <c r="AL667" s="71"/>
    </row>
    <row r="668">
      <c r="A668" s="57" t="s">
        <v>2872</v>
      </c>
      <c r="B668" s="58" t="s">
        <v>239</v>
      </c>
      <c r="C668" s="58" t="s">
        <v>349</v>
      </c>
      <c r="D668" s="58" t="s">
        <v>349</v>
      </c>
      <c r="E668" s="58" t="s">
        <v>897</v>
      </c>
      <c r="F668" s="58" t="s">
        <v>103</v>
      </c>
      <c r="G668" s="59">
        <v>46202.0</v>
      </c>
      <c r="H668" s="58" t="s">
        <v>104</v>
      </c>
      <c r="I668" s="58" t="s">
        <v>2873</v>
      </c>
      <c r="J668" s="61" t="s">
        <v>2874</v>
      </c>
      <c r="K668" s="61" t="s">
        <v>2875</v>
      </c>
      <c r="L668" s="61" t="s">
        <v>2876</v>
      </c>
      <c r="M668" s="58">
        <v>2023.0</v>
      </c>
      <c r="N668" s="58">
        <v>15.0</v>
      </c>
      <c r="O668" s="62">
        <v>199.0</v>
      </c>
      <c r="P668" s="62">
        <f t="shared" si="12"/>
        <v>557.2</v>
      </c>
      <c r="Q668" s="63">
        <v>2.0</v>
      </c>
      <c r="R668" s="58">
        <v>2.0</v>
      </c>
      <c r="S668" s="58">
        <v>2.0</v>
      </c>
      <c r="T668" s="58">
        <v>0.0</v>
      </c>
      <c r="U668" s="58">
        <v>4.0</v>
      </c>
      <c r="V668" s="58" t="s">
        <v>2826</v>
      </c>
      <c r="W668" s="61" t="s">
        <v>76</v>
      </c>
      <c r="X668" s="28" t="s">
        <v>1033</v>
      </c>
      <c r="Y668" s="64">
        <v>31.0</v>
      </c>
      <c r="Z668" s="65">
        <f t="shared" si="13"/>
        <v>20.15</v>
      </c>
      <c r="AA668" s="65">
        <f t="shared" si="14"/>
        <v>11227.58</v>
      </c>
      <c r="AB668" s="65">
        <f t="shared" si="15"/>
        <v>1425.062213</v>
      </c>
      <c r="AC668" s="66">
        <v>1.0</v>
      </c>
      <c r="AD668" s="67"/>
      <c r="AE668" s="68">
        <f t="shared" si="16"/>
        <v>6557.377049</v>
      </c>
      <c r="AF668" s="69">
        <v>8000.0</v>
      </c>
      <c r="AG668" s="68">
        <f t="shared" si="17"/>
        <v>13114.7541</v>
      </c>
      <c r="AH668" s="70">
        <f t="shared" si="18"/>
        <v>16000</v>
      </c>
      <c r="AI668" s="71"/>
      <c r="AJ668" s="71"/>
      <c r="AK668" s="71"/>
      <c r="AL668" s="71"/>
    </row>
    <row r="669">
      <c r="A669" s="57" t="s">
        <v>2872</v>
      </c>
      <c r="B669" s="58" t="s">
        <v>239</v>
      </c>
      <c r="C669" s="58" t="s">
        <v>349</v>
      </c>
      <c r="D669" s="58" t="s">
        <v>349</v>
      </c>
      <c r="E669" s="58" t="s">
        <v>897</v>
      </c>
      <c r="F669" s="58" t="s">
        <v>103</v>
      </c>
      <c r="G669" s="59">
        <v>46202.0</v>
      </c>
      <c r="H669" s="58" t="s">
        <v>104</v>
      </c>
      <c r="I669" s="58" t="s">
        <v>2873</v>
      </c>
      <c r="J669" s="61" t="s">
        <v>2877</v>
      </c>
      <c r="K669" s="61" t="s">
        <v>2878</v>
      </c>
      <c r="L669" s="61" t="s">
        <v>2879</v>
      </c>
      <c r="M669" s="58">
        <v>2023.0</v>
      </c>
      <c r="N669" s="58">
        <v>15.0</v>
      </c>
      <c r="O669" s="62">
        <v>423.0</v>
      </c>
      <c r="P669" s="62">
        <f t="shared" si="12"/>
        <v>1184.4</v>
      </c>
      <c r="Q669" s="63">
        <v>3.0</v>
      </c>
      <c r="R669" s="58">
        <v>3.0</v>
      </c>
      <c r="S669" s="58">
        <v>2.0</v>
      </c>
      <c r="T669" s="58">
        <v>0.0</v>
      </c>
      <c r="U669" s="58">
        <v>6.0</v>
      </c>
      <c r="V669" s="58" t="s">
        <v>2826</v>
      </c>
      <c r="W669" s="61" t="s">
        <v>76</v>
      </c>
      <c r="X669" s="28" t="s">
        <v>1033</v>
      </c>
      <c r="Y669" s="64">
        <v>31.0</v>
      </c>
      <c r="Z669" s="65">
        <f t="shared" si="13"/>
        <v>30.225</v>
      </c>
      <c r="AA669" s="65">
        <f t="shared" si="14"/>
        <v>35798.49</v>
      </c>
      <c r="AB669" s="65">
        <f t="shared" si="15"/>
        <v>670.4193389</v>
      </c>
      <c r="AC669" s="66">
        <v>1.0</v>
      </c>
      <c r="AD669" s="67"/>
      <c r="AE669" s="68">
        <f t="shared" si="16"/>
        <v>6557.377049</v>
      </c>
      <c r="AF669" s="69">
        <v>8000.0</v>
      </c>
      <c r="AG669" s="68">
        <f t="shared" si="17"/>
        <v>19672.13115</v>
      </c>
      <c r="AH669" s="70">
        <f t="shared" si="18"/>
        <v>24000</v>
      </c>
      <c r="AI669" s="71"/>
      <c r="AJ669" s="71"/>
      <c r="AK669" s="71"/>
      <c r="AL669" s="71"/>
    </row>
    <row r="670">
      <c r="A670" s="57" t="s">
        <v>2872</v>
      </c>
      <c r="B670" s="58" t="s">
        <v>239</v>
      </c>
      <c r="C670" s="58" t="s">
        <v>349</v>
      </c>
      <c r="D670" s="58" t="s">
        <v>349</v>
      </c>
      <c r="E670" s="58" t="s">
        <v>897</v>
      </c>
      <c r="F670" s="58" t="s">
        <v>103</v>
      </c>
      <c r="G670" s="59">
        <v>46202.0</v>
      </c>
      <c r="H670" s="58" t="s">
        <v>104</v>
      </c>
      <c r="I670" s="58" t="s">
        <v>2873</v>
      </c>
      <c r="J670" s="61" t="s">
        <v>2880</v>
      </c>
      <c r="K670" s="61" t="s">
        <v>2881</v>
      </c>
      <c r="L670" s="61" t="s">
        <v>2882</v>
      </c>
      <c r="M670" s="58">
        <v>2023.0</v>
      </c>
      <c r="N670" s="58">
        <v>15.0</v>
      </c>
      <c r="O670" s="62">
        <v>288.0</v>
      </c>
      <c r="P670" s="62">
        <f t="shared" si="12"/>
        <v>806.4</v>
      </c>
      <c r="Q670" s="63">
        <v>3.0</v>
      </c>
      <c r="R670" s="58">
        <v>3.0</v>
      </c>
      <c r="S670" s="58">
        <v>3.0</v>
      </c>
      <c r="T670" s="58">
        <v>0.0</v>
      </c>
      <c r="U670" s="58">
        <v>6.0</v>
      </c>
      <c r="V670" s="58" t="s">
        <v>2826</v>
      </c>
      <c r="W670" s="61" t="s">
        <v>76</v>
      </c>
      <c r="X670" s="28" t="s">
        <v>1033</v>
      </c>
      <c r="Y670" s="64">
        <v>31.0</v>
      </c>
      <c r="Z670" s="65">
        <f t="shared" si="13"/>
        <v>20.15</v>
      </c>
      <c r="AA670" s="65">
        <f t="shared" si="14"/>
        <v>16248.96</v>
      </c>
      <c r="AB670" s="65">
        <f t="shared" si="15"/>
        <v>1477.017606</v>
      </c>
      <c r="AC670" s="66">
        <v>1.0</v>
      </c>
      <c r="AD670" s="70"/>
      <c r="AE670" s="68">
        <f t="shared" si="16"/>
        <v>6557.377049</v>
      </c>
      <c r="AF670" s="69">
        <v>8000.0</v>
      </c>
      <c r="AG670" s="68">
        <f t="shared" si="17"/>
        <v>19672.13115</v>
      </c>
      <c r="AH670" s="70">
        <f t="shared" si="18"/>
        <v>24000</v>
      </c>
      <c r="AI670" s="71"/>
      <c r="AJ670" s="71"/>
      <c r="AK670" s="71"/>
      <c r="AL670" s="71"/>
    </row>
    <row r="671">
      <c r="A671" s="170" t="s">
        <v>2883</v>
      </c>
      <c r="B671" s="58" t="s">
        <v>239</v>
      </c>
      <c r="C671" s="58" t="s">
        <v>349</v>
      </c>
      <c r="D671" s="58" t="s">
        <v>349</v>
      </c>
      <c r="E671" s="60" t="s">
        <v>897</v>
      </c>
      <c r="F671" s="60" t="s">
        <v>103</v>
      </c>
      <c r="G671" s="59">
        <v>46202.0</v>
      </c>
      <c r="H671" s="60" t="s">
        <v>104</v>
      </c>
      <c r="I671" s="60" t="s">
        <v>2884</v>
      </c>
      <c r="J671" s="32" t="s">
        <v>2885</v>
      </c>
      <c r="K671" s="32" t="s">
        <v>2886</v>
      </c>
      <c r="L671" s="32" t="s">
        <v>2887</v>
      </c>
      <c r="M671" s="60">
        <v>2023.0</v>
      </c>
      <c r="N671" s="60">
        <v>15.0</v>
      </c>
      <c r="O671" s="62">
        <v>535.0</v>
      </c>
      <c r="P671" s="62">
        <f t="shared" si="12"/>
        <v>1498</v>
      </c>
      <c r="Q671" s="171">
        <v>4.0</v>
      </c>
      <c r="R671" s="171">
        <v>4.0</v>
      </c>
      <c r="S671" s="60">
        <v>4.0</v>
      </c>
      <c r="T671" s="60">
        <v>0.0</v>
      </c>
      <c r="U671" s="60">
        <v>8.0</v>
      </c>
      <c r="V671" s="60" t="s">
        <v>2826</v>
      </c>
      <c r="W671" s="32" t="s">
        <v>76</v>
      </c>
      <c r="X671" s="13"/>
      <c r="Y671" s="13"/>
      <c r="Z671" s="13"/>
      <c r="AA671" s="13"/>
      <c r="AB671" s="13"/>
      <c r="AC671" s="13"/>
      <c r="AD671" s="13"/>
      <c r="AE671" s="13"/>
      <c r="AF671" s="13"/>
      <c r="AG671" s="13"/>
      <c r="AH671" s="13"/>
      <c r="AI671" s="4"/>
      <c r="AJ671" s="4"/>
      <c r="AK671" s="4"/>
      <c r="AL671" s="4"/>
    </row>
    <row r="672">
      <c r="A672" s="170" t="s">
        <v>2883</v>
      </c>
      <c r="B672" s="60" t="s">
        <v>239</v>
      </c>
      <c r="C672" s="60" t="s">
        <v>349</v>
      </c>
      <c r="D672" s="60" t="s">
        <v>349</v>
      </c>
      <c r="E672" s="60" t="s">
        <v>897</v>
      </c>
      <c r="F672" s="60" t="s">
        <v>103</v>
      </c>
      <c r="G672" s="59">
        <v>46202.0</v>
      </c>
      <c r="H672" s="60" t="s">
        <v>104</v>
      </c>
      <c r="I672" s="60" t="s">
        <v>2884</v>
      </c>
      <c r="J672" s="32" t="s">
        <v>2888</v>
      </c>
      <c r="K672" s="32" t="s">
        <v>2889</v>
      </c>
      <c r="L672" s="32" t="s">
        <v>2890</v>
      </c>
      <c r="M672" s="60">
        <v>2023.0</v>
      </c>
      <c r="N672" s="60">
        <v>15.0</v>
      </c>
      <c r="O672" s="62">
        <v>423.0</v>
      </c>
      <c r="P672" s="62">
        <f t="shared" si="12"/>
        <v>1184.4</v>
      </c>
      <c r="Q672" s="171">
        <v>3.0</v>
      </c>
      <c r="R672" s="171">
        <v>3.0</v>
      </c>
      <c r="S672" s="60">
        <v>3.0</v>
      </c>
      <c r="T672" s="60">
        <v>0.0</v>
      </c>
      <c r="U672" s="60">
        <v>6.0</v>
      </c>
      <c r="V672" s="60" t="s">
        <v>2826</v>
      </c>
      <c r="W672" s="32" t="s">
        <v>76</v>
      </c>
      <c r="X672" s="13"/>
      <c r="Y672" s="13"/>
      <c r="Z672" s="13"/>
      <c r="AA672" s="13"/>
      <c r="AB672" s="13"/>
      <c r="AC672" s="13"/>
      <c r="AD672" s="13"/>
      <c r="AE672" s="13"/>
      <c r="AF672" s="13"/>
      <c r="AG672" s="13"/>
      <c r="AH672" s="13"/>
      <c r="AI672" s="4"/>
      <c r="AJ672" s="4"/>
      <c r="AK672" s="4"/>
      <c r="AL672" s="4"/>
    </row>
    <row r="673">
      <c r="A673" s="170" t="s">
        <v>2883</v>
      </c>
      <c r="B673" s="60" t="s">
        <v>239</v>
      </c>
      <c r="C673" s="60" t="s">
        <v>349</v>
      </c>
      <c r="D673" s="60" t="s">
        <v>349</v>
      </c>
      <c r="E673" s="60" t="s">
        <v>897</v>
      </c>
      <c r="F673" s="60" t="s">
        <v>103</v>
      </c>
      <c r="G673" s="59">
        <v>46202.0</v>
      </c>
      <c r="H673" s="60" t="s">
        <v>104</v>
      </c>
      <c r="I673" s="60" t="s">
        <v>2884</v>
      </c>
      <c r="J673" s="32" t="s">
        <v>2891</v>
      </c>
      <c r="K673" s="32" t="s">
        <v>2892</v>
      </c>
      <c r="L673" s="32" t="s">
        <v>2893</v>
      </c>
      <c r="M673" s="60">
        <v>2022.0</v>
      </c>
      <c r="N673" s="60">
        <v>15.0</v>
      </c>
      <c r="O673" s="62">
        <v>293.0</v>
      </c>
      <c r="P673" s="62">
        <f t="shared" si="12"/>
        <v>820.4</v>
      </c>
      <c r="Q673" s="171">
        <v>2.0</v>
      </c>
      <c r="R673" s="171">
        <v>2.0</v>
      </c>
      <c r="S673" s="60">
        <v>2.0</v>
      </c>
      <c r="T673" s="60">
        <v>0.0</v>
      </c>
      <c r="U673" s="60">
        <v>4.0</v>
      </c>
      <c r="V673" s="60" t="s">
        <v>2826</v>
      </c>
      <c r="W673" s="32" t="s">
        <v>76</v>
      </c>
      <c r="X673" s="13"/>
      <c r="Y673" s="13"/>
      <c r="Z673" s="13"/>
      <c r="AA673" s="13"/>
      <c r="AB673" s="13"/>
      <c r="AC673" s="13"/>
      <c r="AD673" s="13"/>
      <c r="AE673" s="13"/>
      <c r="AF673" s="13"/>
      <c r="AG673" s="13"/>
      <c r="AH673" s="13"/>
      <c r="AI673" s="4"/>
      <c r="AJ673" s="4"/>
      <c r="AK673" s="4"/>
      <c r="AL673" s="4"/>
    </row>
    <row r="674">
      <c r="A674" s="170" t="s">
        <v>2894</v>
      </c>
      <c r="B674" s="60" t="s">
        <v>239</v>
      </c>
      <c r="C674" s="60" t="s">
        <v>349</v>
      </c>
      <c r="D674" s="60" t="s">
        <v>349</v>
      </c>
      <c r="E674" s="60" t="s">
        <v>897</v>
      </c>
      <c r="F674" s="60" t="s">
        <v>103</v>
      </c>
      <c r="G674" s="59">
        <v>46202.0</v>
      </c>
      <c r="H674" s="60" t="s">
        <v>104</v>
      </c>
      <c r="I674" s="60" t="s">
        <v>2895</v>
      </c>
      <c r="J674" s="32" t="s">
        <v>2896</v>
      </c>
      <c r="K674" s="32" t="s">
        <v>2897</v>
      </c>
      <c r="L674" s="32" t="s">
        <v>2898</v>
      </c>
      <c r="M674" s="60">
        <v>2022.0</v>
      </c>
      <c r="N674" s="60">
        <v>15.0</v>
      </c>
      <c r="O674" s="62">
        <v>608.0</v>
      </c>
      <c r="P674" s="62">
        <f t="shared" si="12"/>
        <v>1702.4</v>
      </c>
      <c r="Q674" s="171">
        <v>8.0</v>
      </c>
      <c r="R674" s="171">
        <v>8.0</v>
      </c>
      <c r="S674" s="60">
        <v>8.0</v>
      </c>
      <c r="T674" s="60">
        <v>0.0</v>
      </c>
      <c r="U674" s="60">
        <v>16.0</v>
      </c>
      <c r="V674" s="60" t="s">
        <v>2826</v>
      </c>
      <c r="W674" s="32" t="s">
        <v>76</v>
      </c>
      <c r="X674" s="13"/>
      <c r="Y674" s="13"/>
      <c r="Z674" s="13"/>
      <c r="AA674" s="13"/>
      <c r="AB674" s="13"/>
      <c r="AC674" s="13"/>
      <c r="AD674" s="13"/>
      <c r="AE674" s="13"/>
      <c r="AF674" s="13"/>
      <c r="AG674" s="13"/>
      <c r="AH674" s="13"/>
      <c r="AI674" s="4"/>
      <c r="AJ674" s="4"/>
      <c r="AK674" s="4"/>
      <c r="AL674" s="4"/>
    </row>
    <row r="675">
      <c r="A675" s="170" t="s">
        <v>2899</v>
      </c>
      <c r="B675" s="60" t="s">
        <v>239</v>
      </c>
      <c r="C675" s="60" t="s">
        <v>349</v>
      </c>
      <c r="D675" s="60" t="s">
        <v>349</v>
      </c>
      <c r="E675" s="60" t="s">
        <v>897</v>
      </c>
      <c r="F675" s="60" t="s">
        <v>103</v>
      </c>
      <c r="G675" s="59">
        <v>46202.0</v>
      </c>
      <c r="H675" s="60" t="s">
        <v>104</v>
      </c>
      <c r="I675" s="60" t="s">
        <v>2900</v>
      </c>
      <c r="J675" s="32" t="s">
        <v>2901</v>
      </c>
      <c r="K675" s="32" t="s">
        <v>2902</v>
      </c>
      <c r="L675" s="32" t="s">
        <v>2903</v>
      </c>
      <c r="M675" s="60">
        <v>2022.0</v>
      </c>
      <c r="N675" s="60">
        <v>15.0</v>
      </c>
      <c r="O675" s="62">
        <v>674.0</v>
      </c>
      <c r="P675" s="62">
        <f t="shared" si="12"/>
        <v>1887.2</v>
      </c>
      <c r="Q675" s="171">
        <v>8.0</v>
      </c>
      <c r="R675" s="171">
        <v>8.0</v>
      </c>
      <c r="S675" s="60">
        <v>8.0</v>
      </c>
      <c r="T675" s="60">
        <v>0.0</v>
      </c>
      <c r="U675" s="60">
        <v>16.0</v>
      </c>
      <c r="V675" s="60" t="s">
        <v>2826</v>
      </c>
      <c r="W675" s="32" t="s">
        <v>76</v>
      </c>
      <c r="X675" s="13"/>
      <c r="Y675" s="13"/>
      <c r="Z675" s="13"/>
      <c r="AA675" s="13"/>
      <c r="AB675" s="13"/>
      <c r="AC675" s="13"/>
      <c r="AD675" s="13"/>
      <c r="AE675" s="13"/>
      <c r="AF675" s="13"/>
      <c r="AG675" s="13"/>
      <c r="AH675" s="13"/>
      <c r="AI675" s="4"/>
      <c r="AJ675" s="4"/>
      <c r="AK675" s="4"/>
      <c r="AL675" s="4"/>
    </row>
    <row r="676">
      <c r="A676" s="170" t="s">
        <v>2904</v>
      </c>
      <c r="B676" s="60" t="s">
        <v>239</v>
      </c>
      <c r="C676" s="60" t="s">
        <v>349</v>
      </c>
      <c r="D676" s="60" t="s">
        <v>349</v>
      </c>
      <c r="E676" s="60" t="s">
        <v>897</v>
      </c>
      <c r="F676" s="60" t="s">
        <v>103</v>
      </c>
      <c r="G676" s="59">
        <v>46202.0</v>
      </c>
      <c r="H676" s="60" t="s">
        <v>104</v>
      </c>
      <c r="I676" s="60" t="s">
        <v>2905</v>
      </c>
      <c r="J676" s="32" t="s">
        <v>2906</v>
      </c>
      <c r="K676" s="32" t="s">
        <v>2907</v>
      </c>
      <c r="L676" s="32" t="s">
        <v>2908</v>
      </c>
      <c r="M676" s="60">
        <v>2022.0</v>
      </c>
      <c r="N676" s="60">
        <v>15.0</v>
      </c>
      <c r="O676" s="62">
        <v>614.0</v>
      </c>
      <c r="P676" s="62">
        <f t="shared" si="12"/>
        <v>1719.2</v>
      </c>
      <c r="Q676" s="171">
        <v>8.0</v>
      </c>
      <c r="R676" s="171">
        <v>8.0</v>
      </c>
      <c r="S676" s="60">
        <v>8.0</v>
      </c>
      <c r="T676" s="60">
        <v>0.0</v>
      </c>
      <c r="U676" s="60">
        <v>16.0</v>
      </c>
      <c r="V676" s="60" t="s">
        <v>2826</v>
      </c>
      <c r="W676" s="32" t="s">
        <v>76</v>
      </c>
      <c r="X676" s="13"/>
      <c r="Y676" s="13"/>
      <c r="Z676" s="13"/>
      <c r="AA676" s="13"/>
      <c r="AB676" s="13"/>
      <c r="AC676" s="13"/>
      <c r="AD676" s="13"/>
      <c r="AE676" s="13"/>
      <c r="AF676" s="13"/>
      <c r="AG676" s="13"/>
      <c r="AH676" s="13"/>
      <c r="AI676" s="4"/>
      <c r="AJ676" s="4"/>
      <c r="AK676" s="4"/>
      <c r="AL676" s="4"/>
    </row>
    <row r="677">
      <c r="A677" s="170" t="s">
        <v>2909</v>
      </c>
      <c r="B677" s="60" t="s">
        <v>239</v>
      </c>
      <c r="C677" s="60" t="s">
        <v>349</v>
      </c>
      <c r="D677" s="60" t="s">
        <v>349</v>
      </c>
      <c r="E677" s="60" t="s">
        <v>897</v>
      </c>
      <c r="F677" s="60" t="s">
        <v>103</v>
      </c>
      <c r="G677" s="59">
        <v>46202.0</v>
      </c>
      <c r="H677" s="60" t="s">
        <v>104</v>
      </c>
      <c r="I677" s="60" t="s">
        <v>2910</v>
      </c>
      <c r="J677" s="32" t="s">
        <v>2911</v>
      </c>
      <c r="K677" s="32" t="s">
        <v>2912</v>
      </c>
      <c r="L677" s="32" t="s">
        <v>2913</v>
      </c>
      <c r="M677" s="60">
        <v>2021.0</v>
      </c>
      <c r="N677" s="60">
        <v>15.0</v>
      </c>
      <c r="O677" s="62">
        <v>678.0</v>
      </c>
      <c r="P677" s="62">
        <f t="shared" si="12"/>
        <v>1898.4</v>
      </c>
      <c r="Q677" s="171">
        <v>8.0</v>
      </c>
      <c r="R677" s="171">
        <v>8.0</v>
      </c>
      <c r="S677" s="60">
        <v>8.0</v>
      </c>
      <c r="T677" s="60">
        <v>0.0</v>
      </c>
      <c r="U677" s="60">
        <v>16.0</v>
      </c>
      <c r="V677" s="60" t="s">
        <v>2826</v>
      </c>
      <c r="W677" s="32" t="s">
        <v>76</v>
      </c>
      <c r="X677" s="13"/>
      <c r="Y677" s="13"/>
      <c r="Z677" s="13"/>
      <c r="AA677" s="13"/>
      <c r="AB677" s="13"/>
      <c r="AC677" s="13"/>
      <c r="AD677" s="13"/>
      <c r="AE677" s="13"/>
      <c r="AF677" s="13"/>
      <c r="AG677" s="13"/>
      <c r="AH677" s="13"/>
      <c r="AI677" s="4"/>
      <c r="AJ677" s="4"/>
      <c r="AK677" s="4"/>
      <c r="AL677" s="4"/>
    </row>
    <row r="678">
      <c r="A678" s="170" t="s">
        <v>2914</v>
      </c>
      <c r="B678" s="60" t="s">
        <v>239</v>
      </c>
      <c r="C678" s="60" t="s">
        <v>349</v>
      </c>
      <c r="D678" s="60" t="s">
        <v>349</v>
      </c>
      <c r="E678" s="60" t="s">
        <v>897</v>
      </c>
      <c r="F678" s="60" t="s">
        <v>103</v>
      </c>
      <c r="G678" s="59">
        <v>46202.0</v>
      </c>
      <c r="H678" s="60" t="s">
        <v>104</v>
      </c>
      <c r="I678" s="60" t="s">
        <v>2915</v>
      </c>
      <c r="J678" s="32" t="s">
        <v>2916</v>
      </c>
      <c r="K678" s="32" t="s">
        <v>2917</v>
      </c>
      <c r="L678" s="32" t="s">
        <v>2918</v>
      </c>
      <c r="M678" s="60">
        <v>2024.0</v>
      </c>
      <c r="N678" s="60">
        <v>15.0</v>
      </c>
      <c r="O678" s="62">
        <v>757.0</v>
      </c>
      <c r="P678" s="62">
        <f t="shared" si="12"/>
        <v>2119.6</v>
      </c>
      <c r="Q678" s="171">
        <v>3.0</v>
      </c>
      <c r="R678" s="171">
        <v>3.0</v>
      </c>
      <c r="S678" s="60">
        <v>3.0</v>
      </c>
      <c r="T678" s="60">
        <v>0.0</v>
      </c>
      <c r="U678" s="60">
        <v>6.0</v>
      </c>
      <c r="V678" s="60" t="s">
        <v>2826</v>
      </c>
      <c r="W678" s="32" t="s">
        <v>76</v>
      </c>
      <c r="X678" s="13"/>
      <c r="Y678" s="13"/>
      <c r="Z678" s="13"/>
      <c r="AA678" s="13"/>
      <c r="AB678" s="13"/>
      <c r="AC678" s="13"/>
      <c r="AD678" s="13"/>
      <c r="AE678" s="13"/>
      <c r="AF678" s="13"/>
      <c r="AG678" s="13"/>
      <c r="AH678" s="13"/>
      <c r="AI678" s="4"/>
      <c r="AJ678" s="4"/>
      <c r="AK678" s="4"/>
      <c r="AL678" s="4"/>
    </row>
    <row r="679">
      <c r="A679" s="170" t="s">
        <v>2914</v>
      </c>
      <c r="B679" s="60" t="s">
        <v>239</v>
      </c>
      <c r="C679" s="60" t="s">
        <v>349</v>
      </c>
      <c r="D679" s="60" t="s">
        <v>349</v>
      </c>
      <c r="E679" s="60" t="s">
        <v>897</v>
      </c>
      <c r="F679" s="60" t="s">
        <v>103</v>
      </c>
      <c r="G679" s="59">
        <v>46202.0</v>
      </c>
      <c r="H679" s="60" t="s">
        <v>104</v>
      </c>
      <c r="I679" s="60" t="s">
        <v>2915</v>
      </c>
      <c r="J679" s="32" t="s">
        <v>2919</v>
      </c>
      <c r="K679" s="32" t="s">
        <v>2920</v>
      </c>
      <c r="L679" s="32" t="s">
        <v>2921</v>
      </c>
      <c r="M679" s="60">
        <v>2024.0</v>
      </c>
      <c r="N679" s="60">
        <v>15.0</v>
      </c>
      <c r="O679" s="62">
        <v>569.0</v>
      </c>
      <c r="P679" s="62">
        <f t="shared" si="12"/>
        <v>1593.2</v>
      </c>
      <c r="Q679" s="171">
        <v>5.0</v>
      </c>
      <c r="R679" s="171">
        <v>5.0</v>
      </c>
      <c r="S679" s="60">
        <v>5.0</v>
      </c>
      <c r="T679" s="60">
        <v>0.0</v>
      </c>
      <c r="U679" s="60">
        <v>16.0</v>
      </c>
      <c r="V679" s="60" t="s">
        <v>2922</v>
      </c>
      <c r="W679" s="32" t="s">
        <v>76</v>
      </c>
      <c r="X679" s="13"/>
      <c r="Y679" s="13"/>
      <c r="Z679" s="13"/>
      <c r="AA679" s="13"/>
      <c r="AB679" s="13"/>
      <c r="AC679" s="13"/>
      <c r="AD679" s="13"/>
      <c r="AE679" s="13"/>
      <c r="AF679" s="13"/>
      <c r="AG679" s="13"/>
      <c r="AH679" s="13"/>
      <c r="AI679" s="4"/>
      <c r="AJ679" s="4"/>
      <c r="AK679" s="4"/>
      <c r="AL679" s="4"/>
    </row>
    <row r="680">
      <c r="A680" s="170" t="s">
        <v>2923</v>
      </c>
      <c r="B680" s="60" t="s">
        <v>239</v>
      </c>
      <c r="C680" s="60" t="s">
        <v>349</v>
      </c>
      <c r="D680" s="60" t="s">
        <v>349</v>
      </c>
      <c r="E680" s="60" t="s">
        <v>897</v>
      </c>
      <c r="F680" s="60" t="s">
        <v>103</v>
      </c>
      <c r="G680" s="59">
        <v>46202.0</v>
      </c>
      <c r="H680" s="60" t="s">
        <v>104</v>
      </c>
      <c r="I680" s="60" t="s">
        <v>2924</v>
      </c>
      <c r="J680" s="32" t="s">
        <v>2925</v>
      </c>
      <c r="K680" s="32" t="s">
        <v>2926</v>
      </c>
      <c r="L680" s="32" t="s">
        <v>2927</v>
      </c>
      <c r="M680" s="60">
        <v>2024.0</v>
      </c>
      <c r="N680" s="60">
        <v>15.0</v>
      </c>
      <c r="O680" s="62">
        <v>617.0</v>
      </c>
      <c r="P680" s="62">
        <f t="shared" si="12"/>
        <v>1727.6</v>
      </c>
      <c r="Q680" s="171">
        <v>6.0</v>
      </c>
      <c r="R680" s="171">
        <v>6.0</v>
      </c>
      <c r="S680" s="60">
        <v>6.0</v>
      </c>
      <c r="T680" s="60">
        <v>0.0</v>
      </c>
      <c r="U680" s="60">
        <v>12.0</v>
      </c>
      <c r="V680" s="60" t="s">
        <v>2922</v>
      </c>
      <c r="W680" s="32" t="s">
        <v>76</v>
      </c>
      <c r="X680" s="13"/>
      <c r="Y680" s="13"/>
      <c r="Z680" s="13"/>
      <c r="AA680" s="13"/>
      <c r="AB680" s="13"/>
      <c r="AC680" s="13"/>
      <c r="AD680" s="13"/>
      <c r="AE680" s="13"/>
      <c r="AF680" s="13"/>
      <c r="AG680" s="13"/>
      <c r="AH680" s="13"/>
      <c r="AI680" s="4"/>
      <c r="AJ680" s="4"/>
      <c r="AK680" s="4"/>
      <c r="AL680" s="4"/>
    </row>
    <row r="681">
      <c r="A681" s="170" t="s">
        <v>2923</v>
      </c>
      <c r="B681" s="60" t="s">
        <v>239</v>
      </c>
      <c r="C681" s="60" t="s">
        <v>349</v>
      </c>
      <c r="D681" s="60" t="s">
        <v>349</v>
      </c>
      <c r="E681" s="60" t="s">
        <v>897</v>
      </c>
      <c r="F681" s="60" t="s">
        <v>103</v>
      </c>
      <c r="G681" s="59">
        <v>46202.0</v>
      </c>
      <c r="H681" s="60" t="s">
        <v>104</v>
      </c>
      <c r="I681" s="60" t="s">
        <v>2924</v>
      </c>
      <c r="J681" s="32" t="s">
        <v>2928</v>
      </c>
      <c r="K681" s="32" t="s">
        <v>2929</v>
      </c>
      <c r="L681" s="32" t="s">
        <v>2930</v>
      </c>
      <c r="M681" s="60">
        <v>2024.0</v>
      </c>
      <c r="N681" s="60">
        <v>15.0</v>
      </c>
      <c r="O681" s="62">
        <v>189.0</v>
      </c>
      <c r="P681" s="62">
        <f t="shared" si="12"/>
        <v>529.2</v>
      </c>
      <c r="Q681" s="171">
        <v>1.0</v>
      </c>
      <c r="R681" s="171">
        <v>1.0</v>
      </c>
      <c r="S681" s="60">
        <v>1.0</v>
      </c>
      <c r="T681" s="60">
        <v>0.0</v>
      </c>
      <c r="U681" s="60">
        <v>1.0</v>
      </c>
      <c r="V681" s="60" t="s">
        <v>2826</v>
      </c>
      <c r="W681" s="32" t="s">
        <v>76</v>
      </c>
      <c r="X681" s="13"/>
      <c r="Y681" s="13"/>
      <c r="Z681" s="13"/>
      <c r="AA681" s="13"/>
      <c r="AB681" s="13"/>
      <c r="AC681" s="13"/>
      <c r="AD681" s="13"/>
      <c r="AE681" s="13"/>
      <c r="AF681" s="13"/>
      <c r="AG681" s="13"/>
      <c r="AH681" s="13"/>
      <c r="AI681" s="4"/>
      <c r="AJ681" s="4"/>
      <c r="AK681" s="4"/>
      <c r="AL681" s="4"/>
    </row>
    <row r="682">
      <c r="A682" s="13"/>
      <c r="B682" s="13"/>
      <c r="C682" s="13"/>
      <c r="D682" s="13"/>
      <c r="E682" s="13"/>
      <c r="F682" s="13"/>
      <c r="G682" s="13"/>
      <c r="H682" s="13"/>
      <c r="I682" s="13"/>
      <c r="J682" s="13"/>
      <c r="K682" s="13"/>
      <c r="L682" s="13"/>
      <c r="M682" s="13"/>
      <c r="N682" s="13"/>
      <c r="O682" s="13"/>
      <c r="P682" s="13"/>
      <c r="Q682" s="172"/>
      <c r="R682" s="13"/>
      <c r="S682" s="13"/>
      <c r="T682" s="13"/>
      <c r="U682" s="13"/>
      <c r="V682" s="13"/>
      <c r="W682" s="13"/>
      <c r="X682" s="13"/>
      <c r="Y682" s="13"/>
      <c r="Z682" s="13"/>
      <c r="AA682" s="13"/>
      <c r="AB682" s="13"/>
      <c r="AC682" s="13"/>
      <c r="AD682" s="13"/>
      <c r="AE682" s="13"/>
      <c r="AF682" s="13"/>
      <c r="AG682" s="13"/>
      <c r="AH682" s="13"/>
      <c r="AI682" s="4"/>
      <c r="AJ682" s="4"/>
      <c r="AK682" s="4"/>
      <c r="AL682" s="4"/>
    </row>
    <row r="683">
      <c r="A683" s="13"/>
      <c r="B683" s="13"/>
      <c r="C683" s="13"/>
      <c r="D683" s="13"/>
      <c r="E683" s="13"/>
      <c r="F683" s="13"/>
      <c r="G683" s="13"/>
      <c r="H683" s="13"/>
      <c r="I683" s="13"/>
      <c r="J683" s="13"/>
      <c r="K683" s="13"/>
      <c r="L683" s="13"/>
      <c r="M683" s="13"/>
      <c r="N683" s="13"/>
      <c r="O683" s="13"/>
      <c r="P683" s="13"/>
      <c r="Q683" s="172"/>
      <c r="R683" s="13"/>
      <c r="S683" s="13"/>
      <c r="T683" s="13"/>
      <c r="U683" s="13"/>
      <c r="V683" s="13"/>
      <c r="W683" s="13"/>
      <c r="X683" s="13"/>
      <c r="Y683" s="13"/>
      <c r="Z683" s="13"/>
      <c r="AA683" s="13"/>
      <c r="AB683" s="13"/>
      <c r="AC683" s="13"/>
      <c r="AD683" s="13"/>
      <c r="AE683" s="13"/>
      <c r="AF683" s="13"/>
      <c r="AG683" s="13"/>
      <c r="AH683" s="13"/>
      <c r="AI683" s="4"/>
      <c r="AJ683" s="4"/>
      <c r="AK683" s="4"/>
      <c r="AL683" s="4"/>
    </row>
    <row r="684">
      <c r="A684" s="13"/>
      <c r="B684" s="13"/>
      <c r="C684" s="13"/>
      <c r="D684" s="13"/>
      <c r="E684" s="13"/>
      <c r="F684" s="13"/>
      <c r="G684" s="13"/>
      <c r="H684" s="13"/>
      <c r="I684" s="13"/>
      <c r="J684" s="13"/>
      <c r="K684" s="13"/>
      <c r="L684" s="13"/>
      <c r="M684" s="13"/>
      <c r="N684" s="13"/>
      <c r="O684" s="13"/>
      <c r="P684" s="13"/>
      <c r="Q684" s="172"/>
      <c r="R684" s="13"/>
      <c r="S684" s="13"/>
      <c r="T684" s="13"/>
      <c r="U684" s="13"/>
      <c r="V684" s="13"/>
      <c r="W684" s="13"/>
      <c r="X684" s="13"/>
      <c r="Y684" s="13"/>
      <c r="Z684" s="13"/>
      <c r="AA684" s="13"/>
      <c r="AB684" s="13"/>
      <c r="AC684" s="13"/>
      <c r="AD684" s="13"/>
      <c r="AE684" s="13"/>
      <c r="AF684" s="13"/>
      <c r="AG684" s="13"/>
      <c r="AH684" s="13"/>
      <c r="AI684" s="4"/>
      <c r="AJ684" s="4"/>
      <c r="AK684" s="4"/>
      <c r="AL684" s="4"/>
    </row>
    <row r="685">
      <c r="A685" s="13"/>
      <c r="B685" s="13"/>
      <c r="C685" s="13"/>
      <c r="D685" s="13"/>
      <c r="E685" s="13"/>
      <c r="F685" s="13"/>
      <c r="G685" s="13"/>
      <c r="H685" s="13"/>
      <c r="I685" s="13"/>
      <c r="J685" s="13"/>
      <c r="K685" s="13"/>
      <c r="L685" s="13"/>
      <c r="M685" s="13"/>
      <c r="N685" s="13"/>
      <c r="O685" s="13"/>
      <c r="P685" s="13"/>
      <c r="Q685" s="172"/>
      <c r="R685" s="13"/>
      <c r="S685" s="13"/>
      <c r="T685" s="13"/>
      <c r="U685" s="13"/>
      <c r="V685" s="13"/>
      <c r="W685" s="13"/>
      <c r="X685" s="13"/>
      <c r="Y685" s="13"/>
      <c r="Z685" s="13"/>
      <c r="AA685" s="13"/>
      <c r="AB685" s="13"/>
      <c r="AC685" s="13"/>
      <c r="AD685" s="13"/>
      <c r="AE685" s="13"/>
      <c r="AF685" s="13"/>
      <c r="AG685" s="13"/>
      <c r="AH685" s="13"/>
      <c r="AI685" s="4"/>
      <c r="AJ685" s="4"/>
      <c r="AK685" s="4"/>
      <c r="AL685" s="4"/>
    </row>
    <row r="686">
      <c r="A686" s="13"/>
      <c r="B686" s="13"/>
      <c r="C686" s="13"/>
      <c r="D686" s="13"/>
      <c r="E686" s="13"/>
      <c r="F686" s="13"/>
      <c r="G686" s="13"/>
      <c r="H686" s="13"/>
      <c r="I686" s="13"/>
      <c r="J686" s="13"/>
      <c r="K686" s="13"/>
      <c r="L686" s="13"/>
      <c r="M686" s="13"/>
      <c r="N686" s="13"/>
      <c r="O686" s="13"/>
      <c r="P686" s="13"/>
      <c r="Q686" s="172"/>
      <c r="R686" s="13"/>
      <c r="S686" s="13"/>
      <c r="T686" s="13"/>
      <c r="U686" s="13"/>
      <c r="V686" s="13"/>
      <c r="W686" s="13"/>
      <c r="X686" s="13"/>
      <c r="Y686" s="13"/>
      <c r="Z686" s="13"/>
      <c r="AA686" s="13"/>
      <c r="AB686" s="13"/>
      <c r="AC686" s="13"/>
      <c r="AD686" s="13"/>
      <c r="AE686" s="13"/>
      <c r="AF686" s="13"/>
      <c r="AG686" s="13"/>
      <c r="AH686" s="13"/>
      <c r="AI686" s="4"/>
      <c r="AJ686" s="4"/>
      <c r="AK686" s="4"/>
      <c r="AL686" s="4"/>
    </row>
    <row r="687">
      <c r="A687" s="13"/>
      <c r="B687" s="13"/>
      <c r="C687" s="13"/>
      <c r="D687" s="13"/>
      <c r="E687" s="13"/>
      <c r="F687" s="13"/>
      <c r="G687" s="13"/>
      <c r="H687" s="13"/>
      <c r="I687" s="13"/>
      <c r="J687" s="13"/>
      <c r="K687" s="13"/>
      <c r="L687" s="13"/>
      <c r="M687" s="13"/>
      <c r="N687" s="13"/>
      <c r="O687" s="13"/>
      <c r="P687" s="13"/>
      <c r="Q687" s="172"/>
      <c r="R687" s="13"/>
      <c r="S687" s="13"/>
      <c r="T687" s="13"/>
      <c r="U687" s="13"/>
      <c r="V687" s="13"/>
      <c r="W687" s="13"/>
      <c r="X687" s="13"/>
      <c r="Y687" s="13"/>
      <c r="Z687" s="13"/>
      <c r="AA687" s="13"/>
      <c r="AB687" s="13"/>
      <c r="AC687" s="13"/>
      <c r="AD687" s="13"/>
      <c r="AE687" s="13"/>
      <c r="AF687" s="13"/>
      <c r="AG687" s="13"/>
      <c r="AH687" s="13"/>
      <c r="AI687" s="4"/>
      <c r="AJ687" s="4"/>
      <c r="AK687" s="4"/>
      <c r="AL687" s="4"/>
    </row>
    <row r="688">
      <c r="A688" s="13"/>
      <c r="B688" s="13"/>
      <c r="C688" s="13"/>
      <c r="D688" s="13"/>
      <c r="E688" s="13"/>
      <c r="F688" s="13"/>
      <c r="G688" s="13"/>
      <c r="H688" s="13"/>
      <c r="I688" s="13"/>
      <c r="J688" s="13"/>
      <c r="K688" s="13"/>
      <c r="L688" s="13"/>
      <c r="M688" s="13"/>
      <c r="N688" s="13"/>
      <c r="O688" s="13"/>
      <c r="P688" s="13"/>
      <c r="Q688" s="172"/>
      <c r="R688" s="13"/>
      <c r="S688" s="13"/>
      <c r="T688" s="13"/>
      <c r="U688" s="13"/>
      <c r="V688" s="13"/>
      <c r="W688" s="13"/>
      <c r="X688" s="13"/>
      <c r="Y688" s="13"/>
      <c r="Z688" s="13"/>
      <c r="AA688" s="13"/>
      <c r="AB688" s="13"/>
      <c r="AC688" s="13"/>
      <c r="AD688" s="13"/>
      <c r="AE688" s="13"/>
      <c r="AF688" s="13"/>
      <c r="AG688" s="13"/>
      <c r="AH688" s="13"/>
      <c r="AI688" s="4"/>
      <c r="AJ688" s="4"/>
      <c r="AK688" s="4"/>
      <c r="AL688" s="4"/>
    </row>
    <row r="689">
      <c r="A689" s="13"/>
      <c r="B689" s="13"/>
      <c r="C689" s="13"/>
      <c r="D689" s="13"/>
      <c r="E689" s="13"/>
      <c r="F689" s="13"/>
      <c r="G689" s="13"/>
      <c r="H689" s="13"/>
      <c r="I689" s="13"/>
      <c r="J689" s="13"/>
      <c r="K689" s="13"/>
      <c r="L689" s="13"/>
      <c r="M689" s="13"/>
      <c r="N689" s="13"/>
      <c r="O689" s="13"/>
      <c r="P689" s="13"/>
      <c r="Q689" s="172"/>
      <c r="R689" s="13"/>
      <c r="S689" s="13"/>
      <c r="T689" s="13"/>
      <c r="U689" s="13"/>
      <c r="V689" s="13"/>
      <c r="W689" s="13"/>
      <c r="X689" s="13"/>
      <c r="Y689" s="13"/>
      <c r="Z689" s="13"/>
      <c r="AA689" s="13"/>
      <c r="AB689" s="13"/>
      <c r="AC689" s="13"/>
      <c r="AD689" s="13"/>
      <c r="AE689" s="13"/>
      <c r="AF689" s="13"/>
      <c r="AG689" s="13"/>
      <c r="AH689" s="13"/>
      <c r="AI689" s="4"/>
      <c r="AJ689" s="4"/>
      <c r="AK689" s="4"/>
      <c r="AL689" s="4"/>
    </row>
    <row r="690">
      <c r="A690" s="13"/>
      <c r="B690" s="13"/>
      <c r="C690" s="13"/>
      <c r="D690" s="13"/>
      <c r="E690" s="13"/>
      <c r="F690" s="13"/>
      <c r="G690" s="13"/>
      <c r="H690" s="13"/>
      <c r="I690" s="13"/>
      <c r="J690" s="13"/>
      <c r="K690" s="13"/>
      <c r="L690" s="13"/>
      <c r="M690" s="13"/>
      <c r="N690" s="13"/>
      <c r="O690" s="13"/>
      <c r="P690" s="13"/>
      <c r="Q690" s="172"/>
      <c r="R690" s="13"/>
      <c r="S690" s="13"/>
      <c r="T690" s="13"/>
      <c r="U690" s="13"/>
      <c r="V690" s="13"/>
      <c r="W690" s="13"/>
      <c r="X690" s="13"/>
      <c r="Y690" s="13"/>
      <c r="Z690" s="13"/>
      <c r="AA690" s="13"/>
      <c r="AB690" s="13"/>
      <c r="AC690" s="13"/>
      <c r="AD690" s="13"/>
      <c r="AE690" s="13"/>
      <c r="AF690" s="13"/>
      <c r="AG690" s="13"/>
      <c r="AH690" s="13"/>
      <c r="AI690" s="4"/>
      <c r="AJ690" s="4"/>
      <c r="AK690" s="4"/>
      <c r="AL690" s="4"/>
    </row>
    <row r="691">
      <c r="A691" s="13"/>
      <c r="B691" s="13"/>
      <c r="C691" s="13"/>
      <c r="D691" s="13"/>
      <c r="E691" s="13"/>
      <c r="F691" s="13"/>
      <c r="G691" s="13"/>
      <c r="H691" s="13"/>
      <c r="I691" s="13"/>
      <c r="J691" s="13"/>
      <c r="K691" s="13"/>
      <c r="L691" s="13"/>
      <c r="M691" s="13"/>
      <c r="N691" s="13"/>
      <c r="O691" s="13"/>
      <c r="P691" s="13"/>
      <c r="Q691" s="172"/>
      <c r="R691" s="13"/>
      <c r="S691" s="13"/>
      <c r="T691" s="13"/>
      <c r="U691" s="13"/>
      <c r="V691" s="13"/>
      <c r="W691" s="13"/>
      <c r="X691" s="13"/>
      <c r="Y691" s="13"/>
      <c r="Z691" s="13"/>
      <c r="AA691" s="13"/>
      <c r="AB691" s="13"/>
      <c r="AC691" s="13"/>
      <c r="AD691" s="13"/>
      <c r="AE691" s="13"/>
      <c r="AF691" s="13"/>
      <c r="AG691" s="13"/>
      <c r="AH691" s="13"/>
      <c r="AI691" s="4"/>
      <c r="AJ691" s="4"/>
      <c r="AK691" s="4"/>
      <c r="AL691" s="4"/>
    </row>
    <row r="692">
      <c r="A692" s="13"/>
      <c r="B692" s="13"/>
      <c r="C692" s="13"/>
      <c r="D692" s="13"/>
      <c r="E692" s="13"/>
      <c r="F692" s="13"/>
      <c r="G692" s="13"/>
      <c r="H692" s="13"/>
      <c r="I692" s="13"/>
      <c r="J692" s="13"/>
      <c r="K692" s="13"/>
      <c r="L692" s="13"/>
      <c r="M692" s="13"/>
      <c r="N692" s="13"/>
      <c r="O692" s="13"/>
      <c r="P692" s="13"/>
      <c r="Q692" s="172"/>
      <c r="R692" s="13"/>
      <c r="S692" s="13"/>
      <c r="T692" s="13"/>
      <c r="U692" s="13"/>
      <c r="V692" s="13"/>
      <c r="W692" s="13"/>
      <c r="X692" s="13"/>
      <c r="Y692" s="13"/>
      <c r="Z692" s="13"/>
      <c r="AA692" s="13"/>
      <c r="AB692" s="13"/>
      <c r="AC692" s="13"/>
      <c r="AD692" s="13"/>
      <c r="AE692" s="13"/>
      <c r="AF692" s="13"/>
      <c r="AG692" s="13"/>
      <c r="AH692" s="13"/>
      <c r="AI692" s="4"/>
      <c r="AJ692" s="4"/>
      <c r="AK692" s="4"/>
      <c r="AL692" s="4"/>
    </row>
    <row r="693">
      <c r="A693" s="13"/>
      <c r="B693" s="13"/>
      <c r="C693" s="13"/>
      <c r="D693" s="13"/>
      <c r="E693" s="13"/>
      <c r="F693" s="13"/>
      <c r="G693" s="13"/>
      <c r="H693" s="13"/>
      <c r="I693" s="13"/>
      <c r="J693" s="13"/>
      <c r="K693" s="13"/>
      <c r="L693" s="13"/>
      <c r="M693" s="13"/>
      <c r="N693" s="13"/>
      <c r="O693" s="13"/>
      <c r="P693" s="13"/>
      <c r="Q693" s="172"/>
      <c r="R693" s="13"/>
      <c r="S693" s="13"/>
      <c r="T693" s="13"/>
      <c r="U693" s="13"/>
      <c r="V693" s="13"/>
      <c r="W693" s="13"/>
      <c r="X693" s="13"/>
      <c r="Y693" s="13"/>
      <c r="Z693" s="13"/>
      <c r="AA693" s="13"/>
      <c r="AB693" s="13"/>
      <c r="AC693" s="13"/>
      <c r="AD693" s="13"/>
      <c r="AE693" s="13"/>
      <c r="AF693" s="13"/>
      <c r="AG693" s="13"/>
      <c r="AH693" s="13"/>
      <c r="AI693" s="4"/>
      <c r="AJ693" s="4"/>
      <c r="AK693" s="4"/>
      <c r="AL693" s="4"/>
    </row>
    <row r="694">
      <c r="A694" s="13"/>
      <c r="B694" s="13"/>
      <c r="C694" s="13"/>
      <c r="D694" s="13"/>
      <c r="E694" s="13"/>
      <c r="F694" s="13"/>
      <c r="G694" s="13"/>
      <c r="H694" s="13"/>
      <c r="I694" s="13"/>
      <c r="J694" s="13"/>
      <c r="K694" s="13"/>
      <c r="L694" s="13"/>
      <c r="M694" s="13"/>
      <c r="N694" s="13"/>
      <c r="O694" s="13"/>
      <c r="P694" s="13"/>
      <c r="Q694" s="172"/>
      <c r="R694" s="13"/>
      <c r="S694" s="13"/>
      <c r="T694" s="13"/>
      <c r="U694" s="13"/>
      <c r="V694" s="13"/>
      <c r="W694" s="13"/>
      <c r="X694" s="13"/>
      <c r="Y694" s="13"/>
      <c r="Z694" s="13"/>
      <c r="AA694" s="13"/>
      <c r="AB694" s="13"/>
      <c r="AC694" s="13"/>
      <c r="AD694" s="13"/>
      <c r="AE694" s="13"/>
      <c r="AF694" s="13"/>
      <c r="AG694" s="13"/>
      <c r="AH694" s="13"/>
      <c r="AI694" s="4"/>
      <c r="AJ694" s="4"/>
      <c r="AK694" s="4"/>
      <c r="AL694" s="4"/>
    </row>
    <row r="695">
      <c r="A695" s="13"/>
      <c r="B695" s="13"/>
      <c r="C695" s="13"/>
      <c r="D695" s="13"/>
      <c r="E695" s="13"/>
      <c r="F695" s="13"/>
      <c r="G695" s="13"/>
      <c r="H695" s="13"/>
      <c r="I695" s="13"/>
      <c r="J695" s="13"/>
      <c r="K695" s="13"/>
      <c r="L695" s="13"/>
      <c r="M695" s="13"/>
      <c r="N695" s="13"/>
      <c r="O695" s="13"/>
      <c r="P695" s="13"/>
      <c r="Q695" s="172"/>
      <c r="R695" s="13"/>
      <c r="S695" s="13"/>
      <c r="T695" s="13"/>
      <c r="U695" s="13"/>
      <c r="V695" s="13"/>
      <c r="W695" s="13"/>
      <c r="X695" s="13"/>
      <c r="Y695" s="13"/>
      <c r="Z695" s="13"/>
      <c r="AA695" s="13"/>
      <c r="AB695" s="13"/>
      <c r="AC695" s="13"/>
      <c r="AD695" s="13"/>
      <c r="AE695" s="13"/>
      <c r="AF695" s="13"/>
      <c r="AG695" s="13"/>
      <c r="AH695" s="13"/>
      <c r="AI695" s="4"/>
      <c r="AJ695" s="4"/>
      <c r="AK695" s="4"/>
      <c r="AL695" s="4"/>
    </row>
    <row r="696">
      <c r="A696" s="13"/>
      <c r="B696" s="13"/>
      <c r="C696" s="13"/>
      <c r="D696" s="13"/>
      <c r="E696" s="13"/>
      <c r="F696" s="13"/>
      <c r="G696" s="13"/>
      <c r="H696" s="13"/>
      <c r="I696" s="13"/>
      <c r="J696" s="13"/>
      <c r="K696" s="13"/>
      <c r="L696" s="13"/>
      <c r="M696" s="13"/>
      <c r="N696" s="13"/>
      <c r="O696" s="13"/>
      <c r="P696" s="13"/>
      <c r="Q696" s="172"/>
      <c r="R696" s="13"/>
      <c r="S696" s="13"/>
      <c r="T696" s="13"/>
      <c r="U696" s="13"/>
      <c r="V696" s="13"/>
      <c r="W696" s="13"/>
      <c r="X696" s="13"/>
      <c r="Y696" s="13"/>
      <c r="Z696" s="13"/>
      <c r="AA696" s="13"/>
      <c r="AB696" s="13"/>
      <c r="AC696" s="13"/>
      <c r="AD696" s="13"/>
      <c r="AE696" s="13"/>
      <c r="AF696" s="13"/>
      <c r="AG696" s="13"/>
      <c r="AH696" s="13"/>
      <c r="AI696" s="4"/>
      <c r="AJ696" s="4"/>
      <c r="AK696" s="4"/>
      <c r="AL696" s="4"/>
    </row>
    <row r="697">
      <c r="A697" s="13"/>
      <c r="B697" s="13"/>
      <c r="C697" s="13"/>
      <c r="D697" s="13"/>
      <c r="E697" s="13"/>
      <c r="F697" s="13"/>
      <c r="G697" s="13"/>
      <c r="H697" s="13"/>
      <c r="I697" s="13"/>
      <c r="J697" s="13"/>
      <c r="K697" s="13"/>
      <c r="L697" s="13"/>
      <c r="M697" s="13"/>
      <c r="N697" s="13"/>
      <c r="O697" s="13"/>
      <c r="P697" s="13"/>
      <c r="Q697" s="172"/>
      <c r="R697" s="13"/>
      <c r="S697" s="13"/>
      <c r="T697" s="13"/>
      <c r="U697" s="13"/>
      <c r="V697" s="13"/>
      <c r="W697" s="13"/>
      <c r="X697" s="13"/>
      <c r="Y697" s="13"/>
      <c r="Z697" s="13"/>
      <c r="AA697" s="13"/>
      <c r="AB697" s="13"/>
      <c r="AC697" s="13"/>
      <c r="AD697" s="13"/>
      <c r="AE697" s="13"/>
      <c r="AF697" s="13"/>
      <c r="AG697" s="13"/>
      <c r="AH697" s="13"/>
      <c r="AI697" s="4"/>
      <c r="AJ697" s="4"/>
      <c r="AK697" s="4"/>
      <c r="AL697" s="4"/>
    </row>
    <row r="698">
      <c r="A698" s="13"/>
      <c r="B698" s="13"/>
      <c r="C698" s="13"/>
      <c r="D698" s="13"/>
      <c r="E698" s="13"/>
      <c r="F698" s="13"/>
      <c r="G698" s="13"/>
      <c r="H698" s="13"/>
      <c r="I698" s="13"/>
      <c r="J698" s="13"/>
      <c r="K698" s="13"/>
      <c r="L698" s="13"/>
      <c r="M698" s="13"/>
      <c r="N698" s="13"/>
      <c r="O698" s="13"/>
      <c r="P698" s="13"/>
      <c r="Q698" s="172"/>
      <c r="R698" s="13"/>
      <c r="S698" s="13"/>
      <c r="T698" s="13"/>
      <c r="U698" s="13"/>
      <c r="V698" s="13"/>
      <c r="W698" s="13"/>
      <c r="X698" s="13"/>
      <c r="Y698" s="13"/>
      <c r="Z698" s="13"/>
      <c r="AA698" s="13"/>
      <c r="AB698" s="13"/>
      <c r="AC698" s="13"/>
      <c r="AD698" s="13"/>
      <c r="AE698" s="13"/>
      <c r="AF698" s="13"/>
      <c r="AG698" s="13"/>
      <c r="AH698" s="13"/>
      <c r="AI698" s="4"/>
      <c r="AJ698" s="4"/>
      <c r="AK698" s="4"/>
      <c r="AL698" s="4"/>
    </row>
    <row r="699">
      <c r="A699" s="13"/>
      <c r="B699" s="13"/>
      <c r="C699" s="13"/>
      <c r="D699" s="13"/>
      <c r="E699" s="13"/>
      <c r="F699" s="13"/>
      <c r="G699" s="13"/>
      <c r="H699" s="13"/>
      <c r="I699" s="13"/>
      <c r="J699" s="13"/>
      <c r="K699" s="13"/>
      <c r="L699" s="13"/>
      <c r="M699" s="13"/>
      <c r="N699" s="13"/>
      <c r="O699" s="13"/>
      <c r="P699" s="13"/>
      <c r="Q699" s="172"/>
      <c r="R699" s="13"/>
      <c r="S699" s="13"/>
      <c r="T699" s="13"/>
      <c r="U699" s="13"/>
      <c r="V699" s="13"/>
      <c r="W699" s="13"/>
      <c r="X699" s="13"/>
      <c r="Y699" s="13"/>
      <c r="Z699" s="13"/>
      <c r="AA699" s="13"/>
      <c r="AB699" s="13"/>
      <c r="AC699" s="13"/>
      <c r="AD699" s="13"/>
      <c r="AE699" s="13"/>
      <c r="AF699" s="13"/>
      <c r="AG699" s="13"/>
      <c r="AH699" s="13"/>
      <c r="AI699" s="4"/>
      <c r="AJ699" s="4"/>
      <c r="AK699" s="4"/>
      <c r="AL699" s="4"/>
    </row>
    <row r="700">
      <c r="A700" s="13"/>
      <c r="B700" s="13"/>
      <c r="C700" s="13"/>
      <c r="D700" s="13"/>
      <c r="E700" s="13"/>
      <c r="F700" s="13"/>
      <c r="G700" s="13"/>
      <c r="H700" s="13"/>
      <c r="I700" s="13"/>
      <c r="J700" s="13"/>
      <c r="K700" s="13"/>
      <c r="L700" s="13"/>
      <c r="M700" s="13"/>
      <c r="N700" s="13"/>
      <c r="O700" s="13"/>
      <c r="P700" s="13"/>
      <c r="Q700" s="172"/>
      <c r="R700" s="13"/>
      <c r="S700" s="13"/>
      <c r="T700" s="13"/>
      <c r="U700" s="13"/>
      <c r="V700" s="13"/>
      <c r="W700" s="13"/>
      <c r="X700" s="13"/>
      <c r="Y700" s="13"/>
      <c r="Z700" s="13"/>
      <c r="AA700" s="13"/>
      <c r="AB700" s="13"/>
      <c r="AC700" s="13"/>
      <c r="AD700" s="13"/>
      <c r="AE700" s="13"/>
      <c r="AF700" s="13"/>
      <c r="AG700" s="13"/>
      <c r="AH700" s="13"/>
      <c r="AI700" s="4"/>
      <c r="AJ700" s="4"/>
      <c r="AK700" s="4"/>
      <c r="AL700" s="4"/>
    </row>
    <row r="701">
      <c r="A701" s="13"/>
      <c r="B701" s="13"/>
      <c r="C701" s="13"/>
      <c r="D701" s="13"/>
      <c r="E701" s="13"/>
      <c r="F701" s="13"/>
      <c r="G701" s="13"/>
      <c r="H701" s="13"/>
      <c r="I701" s="13"/>
      <c r="J701" s="13"/>
      <c r="K701" s="13"/>
      <c r="L701" s="13"/>
      <c r="M701" s="13"/>
      <c r="N701" s="13"/>
      <c r="O701" s="13"/>
      <c r="P701" s="13"/>
      <c r="Q701" s="172"/>
      <c r="R701" s="13"/>
      <c r="S701" s="13"/>
      <c r="T701" s="13"/>
      <c r="U701" s="13"/>
      <c r="V701" s="13"/>
      <c r="W701" s="13"/>
      <c r="X701" s="13"/>
      <c r="Y701" s="13"/>
      <c r="Z701" s="13"/>
      <c r="AA701" s="13"/>
      <c r="AB701" s="13"/>
      <c r="AC701" s="13"/>
      <c r="AD701" s="13"/>
      <c r="AE701" s="13"/>
      <c r="AF701" s="13"/>
      <c r="AG701" s="13"/>
      <c r="AH701" s="13"/>
      <c r="AI701" s="4"/>
      <c r="AJ701" s="4"/>
      <c r="AK701" s="4"/>
      <c r="AL701" s="4"/>
    </row>
    <row r="702">
      <c r="A702" s="13"/>
      <c r="B702" s="13"/>
      <c r="C702" s="13"/>
      <c r="D702" s="13"/>
      <c r="E702" s="13"/>
      <c r="F702" s="13"/>
      <c r="G702" s="13"/>
      <c r="H702" s="13"/>
      <c r="I702" s="13"/>
      <c r="J702" s="13"/>
      <c r="K702" s="13"/>
      <c r="L702" s="13"/>
      <c r="M702" s="13"/>
      <c r="N702" s="13"/>
      <c r="O702" s="13"/>
      <c r="P702" s="13"/>
      <c r="Q702" s="172"/>
      <c r="R702" s="13"/>
      <c r="S702" s="13"/>
      <c r="T702" s="13"/>
      <c r="U702" s="13"/>
      <c r="V702" s="13"/>
      <c r="W702" s="13"/>
      <c r="X702" s="13"/>
      <c r="Y702" s="13"/>
      <c r="Z702" s="13"/>
      <c r="AA702" s="13"/>
      <c r="AB702" s="13"/>
      <c r="AC702" s="13"/>
      <c r="AD702" s="13"/>
      <c r="AE702" s="13"/>
      <c r="AF702" s="13"/>
      <c r="AG702" s="13"/>
      <c r="AH702" s="13"/>
      <c r="AI702" s="4"/>
      <c r="AJ702" s="4"/>
      <c r="AK702" s="4"/>
      <c r="AL702" s="4"/>
    </row>
    <row r="703">
      <c r="A703" s="13"/>
      <c r="B703" s="13"/>
      <c r="C703" s="13"/>
      <c r="D703" s="13"/>
      <c r="E703" s="13"/>
      <c r="F703" s="13"/>
      <c r="G703" s="13"/>
      <c r="H703" s="13"/>
      <c r="I703" s="13"/>
      <c r="J703" s="13"/>
      <c r="K703" s="13"/>
      <c r="L703" s="13"/>
      <c r="M703" s="13"/>
      <c r="N703" s="13"/>
      <c r="O703" s="13"/>
      <c r="P703" s="13"/>
      <c r="Q703" s="172"/>
      <c r="R703" s="13"/>
      <c r="S703" s="13"/>
      <c r="T703" s="13"/>
      <c r="U703" s="13"/>
      <c r="V703" s="13"/>
      <c r="W703" s="13"/>
      <c r="X703" s="13"/>
      <c r="Y703" s="13"/>
      <c r="Z703" s="13"/>
      <c r="AA703" s="13"/>
      <c r="AB703" s="13"/>
      <c r="AC703" s="13"/>
      <c r="AD703" s="13"/>
      <c r="AE703" s="13"/>
      <c r="AF703" s="13"/>
      <c r="AG703" s="13"/>
      <c r="AH703" s="13"/>
      <c r="AI703" s="4"/>
      <c r="AJ703" s="4"/>
      <c r="AK703" s="4"/>
      <c r="AL703" s="4"/>
    </row>
    <row r="704">
      <c r="A704" s="13"/>
      <c r="B704" s="13"/>
      <c r="C704" s="13"/>
      <c r="D704" s="13"/>
      <c r="E704" s="13"/>
      <c r="F704" s="13"/>
      <c r="G704" s="13"/>
      <c r="H704" s="13"/>
      <c r="I704" s="13"/>
      <c r="J704" s="13"/>
      <c r="K704" s="13"/>
      <c r="L704" s="13"/>
      <c r="M704" s="13"/>
      <c r="N704" s="13"/>
      <c r="O704" s="13"/>
      <c r="P704" s="13"/>
      <c r="Q704" s="172"/>
      <c r="R704" s="13"/>
      <c r="S704" s="13"/>
      <c r="T704" s="13"/>
      <c r="U704" s="13"/>
      <c r="V704" s="13"/>
      <c r="W704" s="13"/>
      <c r="X704" s="13"/>
      <c r="Y704" s="13"/>
      <c r="Z704" s="13"/>
      <c r="AA704" s="13"/>
      <c r="AB704" s="13"/>
      <c r="AC704" s="13"/>
      <c r="AD704" s="13"/>
      <c r="AE704" s="13"/>
      <c r="AF704" s="13"/>
      <c r="AG704" s="13"/>
      <c r="AH704" s="13"/>
      <c r="AI704" s="4"/>
      <c r="AJ704" s="4"/>
      <c r="AK704" s="4"/>
      <c r="AL704" s="4"/>
    </row>
    <row r="705">
      <c r="A705" s="13"/>
      <c r="B705" s="13"/>
      <c r="C705" s="13"/>
      <c r="D705" s="13"/>
      <c r="E705" s="13"/>
      <c r="F705" s="13"/>
      <c r="G705" s="13"/>
      <c r="H705" s="13"/>
      <c r="I705" s="13"/>
      <c r="J705" s="13"/>
      <c r="K705" s="13"/>
      <c r="L705" s="13"/>
      <c r="M705" s="13"/>
      <c r="N705" s="13"/>
      <c r="O705" s="13"/>
      <c r="P705" s="13"/>
      <c r="Q705" s="172"/>
      <c r="R705" s="13"/>
      <c r="S705" s="13"/>
      <c r="T705" s="13"/>
      <c r="U705" s="13"/>
      <c r="V705" s="13"/>
      <c r="W705" s="13"/>
      <c r="X705" s="13"/>
      <c r="Y705" s="13"/>
      <c r="Z705" s="13"/>
      <c r="AA705" s="13"/>
      <c r="AB705" s="13"/>
      <c r="AC705" s="13"/>
      <c r="AD705" s="13"/>
      <c r="AE705" s="13"/>
      <c r="AF705" s="13"/>
      <c r="AG705" s="13"/>
      <c r="AH705" s="13"/>
      <c r="AI705" s="4"/>
      <c r="AJ705" s="4"/>
      <c r="AK705" s="4"/>
      <c r="AL705" s="4"/>
    </row>
    <row r="706">
      <c r="A706" s="13"/>
      <c r="B706" s="13"/>
      <c r="C706" s="13"/>
      <c r="D706" s="13"/>
      <c r="E706" s="13"/>
      <c r="F706" s="13"/>
      <c r="G706" s="13"/>
      <c r="H706" s="13"/>
      <c r="I706" s="13"/>
      <c r="J706" s="13"/>
      <c r="K706" s="13"/>
      <c r="L706" s="13"/>
      <c r="M706" s="13"/>
      <c r="N706" s="13"/>
      <c r="O706" s="13"/>
      <c r="P706" s="13"/>
      <c r="Q706" s="172"/>
      <c r="R706" s="13"/>
      <c r="S706" s="13"/>
      <c r="T706" s="13"/>
      <c r="U706" s="13"/>
      <c r="V706" s="13"/>
      <c r="W706" s="13"/>
      <c r="X706" s="13"/>
      <c r="Y706" s="13"/>
      <c r="Z706" s="13"/>
      <c r="AA706" s="13"/>
      <c r="AB706" s="13"/>
      <c r="AC706" s="13"/>
      <c r="AD706" s="13"/>
      <c r="AE706" s="13"/>
      <c r="AF706" s="13"/>
      <c r="AG706" s="13"/>
      <c r="AH706" s="13"/>
      <c r="AI706" s="4"/>
      <c r="AJ706" s="4"/>
      <c r="AK706" s="4"/>
      <c r="AL706" s="4"/>
    </row>
    <row r="707">
      <c r="A707" s="13"/>
      <c r="B707" s="13"/>
      <c r="C707" s="13"/>
      <c r="D707" s="13"/>
      <c r="E707" s="13"/>
      <c r="F707" s="13"/>
      <c r="G707" s="13"/>
      <c r="H707" s="13"/>
      <c r="I707" s="13"/>
      <c r="J707" s="13"/>
      <c r="K707" s="13"/>
      <c r="L707" s="13"/>
      <c r="M707" s="13"/>
      <c r="N707" s="13"/>
      <c r="O707" s="13"/>
      <c r="P707" s="13"/>
      <c r="Q707" s="172"/>
      <c r="R707" s="13"/>
      <c r="S707" s="13"/>
      <c r="T707" s="13"/>
      <c r="U707" s="13"/>
      <c r="V707" s="13"/>
      <c r="W707" s="13"/>
      <c r="X707" s="13"/>
      <c r="Y707" s="13"/>
      <c r="Z707" s="13"/>
      <c r="AA707" s="13"/>
      <c r="AB707" s="13"/>
      <c r="AC707" s="13"/>
      <c r="AD707" s="13"/>
      <c r="AE707" s="13"/>
      <c r="AF707" s="13"/>
      <c r="AG707" s="13"/>
      <c r="AH707" s="13"/>
      <c r="AI707" s="4"/>
      <c r="AJ707" s="4"/>
      <c r="AK707" s="4"/>
      <c r="AL707" s="4"/>
    </row>
    <row r="708">
      <c r="A708" s="13"/>
      <c r="B708" s="13"/>
      <c r="C708" s="13"/>
      <c r="D708" s="13"/>
      <c r="E708" s="13"/>
      <c r="F708" s="13"/>
      <c r="G708" s="13"/>
      <c r="H708" s="13"/>
      <c r="I708" s="13"/>
      <c r="J708" s="13"/>
      <c r="K708" s="13"/>
      <c r="L708" s="13"/>
      <c r="M708" s="13"/>
      <c r="N708" s="13"/>
      <c r="O708" s="13"/>
      <c r="P708" s="13"/>
      <c r="Q708" s="172"/>
      <c r="R708" s="13"/>
      <c r="S708" s="13"/>
      <c r="T708" s="13"/>
      <c r="U708" s="13"/>
      <c r="V708" s="13"/>
      <c r="W708" s="13"/>
      <c r="X708" s="13"/>
      <c r="Y708" s="13"/>
      <c r="Z708" s="13"/>
      <c r="AA708" s="13"/>
      <c r="AB708" s="13"/>
      <c r="AC708" s="13"/>
      <c r="AD708" s="13"/>
      <c r="AE708" s="13"/>
      <c r="AF708" s="13"/>
      <c r="AG708" s="13"/>
      <c r="AH708" s="13"/>
      <c r="AI708" s="4"/>
      <c r="AJ708" s="4"/>
      <c r="AK708" s="4"/>
      <c r="AL708" s="4"/>
    </row>
    <row r="709">
      <c r="A709" s="13"/>
      <c r="B709" s="13"/>
      <c r="C709" s="13"/>
      <c r="D709" s="13"/>
      <c r="E709" s="13"/>
      <c r="F709" s="13"/>
      <c r="G709" s="13"/>
      <c r="H709" s="13"/>
      <c r="I709" s="13"/>
      <c r="J709" s="13"/>
      <c r="K709" s="13"/>
      <c r="L709" s="13"/>
      <c r="M709" s="13"/>
      <c r="N709" s="13"/>
      <c r="O709" s="13"/>
      <c r="P709" s="13"/>
      <c r="Q709" s="172"/>
      <c r="R709" s="13"/>
      <c r="S709" s="13"/>
      <c r="T709" s="13"/>
      <c r="U709" s="13"/>
      <c r="V709" s="13"/>
      <c r="W709" s="13"/>
      <c r="X709" s="13"/>
      <c r="Y709" s="13"/>
      <c r="Z709" s="13"/>
      <c r="AA709" s="13"/>
      <c r="AB709" s="13"/>
      <c r="AC709" s="13"/>
      <c r="AD709" s="13"/>
      <c r="AE709" s="13"/>
      <c r="AF709" s="13"/>
      <c r="AG709" s="13"/>
      <c r="AH709" s="13"/>
      <c r="AI709" s="4"/>
      <c r="AJ709" s="4"/>
      <c r="AK709" s="4"/>
      <c r="AL709" s="4"/>
    </row>
    <row r="710">
      <c r="A710" s="13"/>
      <c r="B710" s="13"/>
      <c r="C710" s="13"/>
      <c r="D710" s="13"/>
      <c r="E710" s="13"/>
      <c r="F710" s="13"/>
      <c r="G710" s="13"/>
      <c r="H710" s="13"/>
      <c r="I710" s="13"/>
      <c r="J710" s="13"/>
      <c r="K710" s="13"/>
      <c r="L710" s="13"/>
      <c r="M710" s="13"/>
      <c r="N710" s="13"/>
      <c r="O710" s="13"/>
      <c r="P710" s="13"/>
      <c r="Q710" s="172"/>
      <c r="R710" s="13"/>
      <c r="S710" s="13"/>
      <c r="T710" s="13"/>
      <c r="U710" s="13"/>
      <c r="V710" s="13"/>
      <c r="W710" s="13"/>
      <c r="X710" s="13"/>
      <c r="Y710" s="13"/>
      <c r="Z710" s="13"/>
      <c r="AA710" s="13"/>
      <c r="AB710" s="13"/>
      <c r="AC710" s="13"/>
      <c r="AD710" s="13"/>
      <c r="AE710" s="13"/>
      <c r="AF710" s="13"/>
      <c r="AG710" s="13"/>
      <c r="AH710" s="13"/>
      <c r="AI710" s="4"/>
      <c r="AJ710" s="4"/>
      <c r="AK710" s="4"/>
      <c r="AL710" s="4"/>
    </row>
    <row r="711">
      <c r="A711" s="13"/>
      <c r="B711" s="13"/>
      <c r="C711" s="13"/>
      <c r="D711" s="13"/>
      <c r="E711" s="13"/>
      <c r="F711" s="13"/>
      <c r="G711" s="13"/>
      <c r="H711" s="13"/>
      <c r="I711" s="13"/>
      <c r="J711" s="13"/>
      <c r="K711" s="13"/>
      <c r="L711" s="13"/>
      <c r="M711" s="13"/>
      <c r="N711" s="13"/>
      <c r="O711" s="13"/>
      <c r="P711" s="13"/>
      <c r="Q711" s="172"/>
      <c r="R711" s="13"/>
      <c r="S711" s="13"/>
      <c r="T711" s="13"/>
      <c r="U711" s="13"/>
      <c r="V711" s="13"/>
      <c r="W711" s="13"/>
      <c r="X711" s="13"/>
      <c r="Y711" s="13"/>
      <c r="Z711" s="13"/>
      <c r="AA711" s="13"/>
      <c r="AB711" s="13"/>
      <c r="AC711" s="13"/>
      <c r="AD711" s="13"/>
      <c r="AE711" s="13"/>
      <c r="AF711" s="13"/>
      <c r="AG711" s="13"/>
      <c r="AH711" s="13"/>
      <c r="AI711" s="4"/>
      <c r="AJ711" s="4"/>
      <c r="AK711" s="4"/>
      <c r="AL711" s="4"/>
    </row>
    <row r="712">
      <c r="A712" s="13"/>
      <c r="B712" s="13"/>
      <c r="C712" s="13"/>
      <c r="D712" s="13"/>
      <c r="E712" s="13"/>
      <c r="F712" s="13"/>
      <c r="G712" s="13"/>
      <c r="H712" s="13"/>
      <c r="I712" s="13"/>
      <c r="J712" s="13"/>
      <c r="K712" s="13"/>
      <c r="L712" s="13"/>
      <c r="M712" s="13"/>
      <c r="N712" s="13"/>
      <c r="O712" s="13"/>
      <c r="P712" s="13"/>
      <c r="Q712" s="172"/>
      <c r="R712" s="13"/>
      <c r="S712" s="13"/>
      <c r="T712" s="13"/>
      <c r="U712" s="13"/>
      <c r="V712" s="13"/>
      <c r="W712" s="13"/>
      <c r="X712" s="13"/>
      <c r="Y712" s="13"/>
      <c r="Z712" s="13"/>
      <c r="AA712" s="13"/>
      <c r="AB712" s="13"/>
      <c r="AC712" s="13"/>
      <c r="AD712" s="13"/>
      <c r="AE712" s="13"/>
      <c r="AF712" s="13"/>
      <c r="AG712" s="13"/>
      <c r="AH712" s="13"/>
      <c r="AI712" s="4"/>
      <c r="AJ712" s="4"/>
      <c r="AK712" s="4"/>
      <c r="AL712" s="4"/>
    </row>
    <row r="713">
      <c r="A713" s="13"/>
      <c r="B713" s="13"/>
      <c r="C713" s="13"/>
      <c r="D713" s="13"/>
      <c r="E713" s="13"/>
      <c r="F713" s="13"/>
      <c r="G713" s="13"/>
      <c r="H713" s="13"/>
      <c r="I713" s="13"/>
      <c r="J713" s="13"/>
      <c r="K713" s="13"/>
      <c r="L713" s="13"/>
      <c r="M713" s="13"/>
      <c r="N713" s="13"/>
      <c r="O713" s="13"/>
      <c r="P713" s="13"/>
      <c r="Q713" s="172"/>
      <c r="R713" s="13"/>
      <c r="S713" s="13"/>
      <c r="T713" s="13"/>
      <c r="U713" s="13"/>
      <c r="V713" s="13"/>
      <c r="W713" s="13"/>
      <c r="X713" s="13"/>
      <c r="Y713" s="13"/>
      <c r="Z713" s="13"/>
      <c r="AA713" s="13"/>
      <c r="AB713" s="13"/>
      <c r="AC713" s="13"/>
      <c r="AD713" s="13"/>
      <c r="AE713" s="13"/>
      <c r="AF713" s="13"/>
      <c r="AG713" s="13"/>
      <c r="AH713" s="13"/>
      <c r="AI713" s="4"/>
      <c r="AJ713" s="4"/>
      <c r="AK713" s="4"/>
      <c r="AL713" s="4"/>
    </row>
    <row r="714">
      <c r="A714" s="13"/>
      <c r="B714" s="13"/>
      <c r="C714" s="13"/>
      <c r="D714" s="13"/>
      <c r="E714" s="13"/>
      <c r="F714" s="13"/>
      <c r="G714" s="13"/>
      <c r="H714" s="13"/>
      <c r="I714" s="13"/>
      <c r="J714" s="13"/>
      <c r="K714" s="13"/>
      <c r="L714" s="13"/>
      <c r="M714" s="13"/>
      <c r="N714" s="13"/>
      <c r="O714" s="13"/>
      <c r="P714" s="13"/>
      <c r="Q714" s="172"/>
      <c r="R714" s="13"/>
      <c r="S714" s="13"/>
      <c r="T714" s="13"/>
      <c r="U714" s="13"/>
      <c r="V714" s="13"/>
      <c r="W714" s="13"/>
      <c r="X714" s="13"/>
      <c r="Y714" s="13"/>
      <c r="Z714" s="13"/>
      <c r="AA714" s="13"/>
      <c r="AB714" s="13"/>
      <c r="AC714" s="13"/>
      <c r="AD714" s="13"/>
      <c r="AE714" s="13"/>
      <c r="AF714" s="13"/>
      <c r="AG714" s="13"/>
      <c r="AH714" s="13"/>
      <c r="AI714" s="4"/>
      <c r="AJ714" s="4"/>
      <c r="AK714" s="4"/>
      <c r="AL714" s="4"/>
    </row>
    <row r="715">
      <c r="A715" s="13"/>
      <c r="B715" s="13"/>
      <c r="C715" s="13"/>
      <c r="D715" s="13"/>
      <c r="E715" s="13"/>
      <c r="F715" s="13"/>
      <c r="G715" s="13"/>
      <c r="H715" s="13"/>
      <c r="I715" s="13"/>
      <c r="J715" s="13"/>
      <c r="K715" s="13"/>
      <c r="L715" s="13"/>
      <c r="M715" s="13"/>
      <c r="N715" s="13"/>
      <c r="O715" s="13"/>
      <c r="P715" s="13"/>
      <c r="Q715" s="172"/>
      <c r="R715" s="13"/>
      <c r="S715" s="13"/>
      <c r="T715" s="13"/>
      <c r="U715" s="13"/>
      <c r="V715" s="13"/>
      <c r="W715" s="13"/>
      <c r="X715" s="13"/>
      <c r="Y715" s="13"/>
      <c r="Z715" s="13"/>
      <c r="AA715" s="13"/>
      <c r="AB715" s="13"/>
      <c r="AC715" s="13"/>
      <c r="AD715" s="13"/>
      <c r="AE715" s="13"/>
      <c r="AF715" s="13"/>
      <c r="AG715" s="13"/>
      <c r="AH715" s="13"/>
      <c r="AI715" s="4"/>
      <c r="AJ715" s="4"/>
      <c r="AK715" s="4"/>
      <c r="AL715" s="4"/>
    </row>
    <row r="716">
      <c r="A716" s="13"/>
      <c r="B716" s="13"/>
      <c r="C716" s="13"/>
      <c r="D716" s="13"/>
      <c r="E716" s="13"/>
      <c r="F716" s="13"/>
      <c r="G716" s="13"/>
      <c r="H716" s="13"/>
      <c r="I716" s="13"/>
      <c r="J716" s="13"/>
      <c r="K716" s="13"/>
      <c r="L716" s="13"/>
      <c r="M716" s="13"/>
      <c r="N716" s="13"/>
      <c r="O716" s="13"/>
      <c r="P716" s="13"/>
      <c r="Q716" s="172"/>
      <c r="R716" s="13"/>
      <c r="S716" s="13"/>
      <c r="T716" s="13"/>
      <c r="U716" s="13"/>
      <c r="V716" s="13"/>
      <c r="W716" s="13"/>
      <c r="X716" s="13"/>
      <c r="Y716" s="13"/>
      <c r="Z716" s="13"/>
      <c r="AA716" s="13"/>
      <c r="AB716" s="13"/>
      <c r="AC716" s="13"/>
      <c r="AD716" s="13"/>
      <c r="AE716" s="13"/>
      <c r="AF716" s="13"/>
      <c r="AG716" s="13"/>
      <c r="AH716" s="13"/>
      <c r="AI716" s="4"/>
      <c r="AJ716" s="4"/>
      <c r="AK716" s="4"/>
      <c r="AL716" s="4"/>
    </row>
    <row r="717">
      <c r="A717" s="13"/>
      <c r="B717" s="13"/>
      <c r="C717" s="13"/>
      <c r="D717" s="13"/>
      <c r="E717" s="13"/>
      <c r="F717" s="13"/>
      <c r="G717" s="13"/>
      <c r="H717" s="13"/>
      <c r="I717" s="13"/>
      <c r="J717" s="13"/>
      <c r="K717" s="13"/>
      <c r="L717" s="13"/>
      <c r="M717" s="13"/>
      <c r="N717" s="13"/>
      <c r="O717" s="13"/>
      <c r="P717" s="13"/>
      <c r="Q717" s="172"/>
      <c r="R717" s="13"/>
      <c r="S717" s="13"/>
      <c r="T717" s="13"/>
      <c r="U717" s="13"/>
      <c r="V717" s="13"/>
      <c r="W717" s="13"/>
      <c r="X717" s="13"/>
      <c r="Y717" s="13"/>
      <c r="Z717" s="13"/>
      <c r="AA717" s="13"/>
      <c r="AB717" s="13"/>
      <c r="AC717" s="13"/>
      <c r="AD717" s="13"/>
      <c r="AE717" s="13"/>
      <c r="AF717" s="13"/>
      <c r="AG717" s="13"/>
      <c r="AH717" s="13"/>
      <c r="AI717" s="4"/>
      <c r="AJ717" s="4"/>
      <c r="AK717" s="4"/>
      <c r="AL717" s="4"/>
    </row>
    <row r="718">
      <c r="A718" s="13"/>
      <c r="B718" s="13"/>
      <c r="C718" s="13"/>
      <c r="D718" s="13"/>
      <c r="E718" s="13"/>
      <c r="F718" s="13"/>
      <c r="G718" s="13"/>
      <c r="H718" s="13"/>
      <c r="I718" s="13"/>
      <c r="J718" s="13"/>
      <c r="K718" s="13"/>
      <c r="L718" s="13"/>
      <c r="M718" s="13"/>
      <c r="N718" s="13"/>
      <c r="O718" s="13"/>
      <c r="P718" s="13"/>
      <c r="Q718" s="172"/>
      <c r="R718" s="13"/>
      <c r="S718" s="13"/>
      <c r="T718" s="13"/>
      <c r="U718" s="13"/>
      <c r="V718" s="13"/>
      <c r="W718" s="13"/>
      <c r="X718" s="13"/>
      <c r="Y718" s="13"/>
      <c r="Z718" s="13"/>
      <c r="AA718" s="13"/>
      <c r="AB718" s="13"/>
      <c r="AC718" s="13"/>
      <c r="AD718" s="13"/>
      <c r="AE718" s="13"/>
      <c r="AF718" s="13"/>
      <c r="AG718" s="13"/>
      <c r="AH718" s="13"/>
      <c r="AI718" s="4"/>
      <c r="AJ718" s="4"/>
      <c r="AK718" s="4"/>
      <c r="AL718" s="4"/>
    </row>
    <row r="719">
      <c r="A719" s="13"/>
      <c r="B719" s="13"/>
      <c r="C719" s="13"/>
      <c r="D719" s="13"/>
      <c r="E719" s="13"/>
      <c r="F719" s="13"/>
      <c r="G719" s="13"/>
      <c r="H719" s="13"/>
      <c r="I719" s="13"/>
      <c r="J719" s="13"/>
      <c r="K719" s="13"/>
      <c r="L719" s="13"/>
      <c r="M719" s="13"/>
      <c r="N719" s="13"/>
      <c r="O719" s="13"/>
      <c r="P719" s="13"/>
      <c r="Q719" s="172"/>
      <c r="R719" s="13"/>
      <c r="S719" s="13"/>
      <c r="T719" s="13"/>
      <c r="U719" s="13"/>
      <c r="V719" s="13"/>
      <c r="W719" s="13"/>
      <c r="X719" s="13"/>
      <c r="Y719" s="13"/>
      <c r="Z719" s="13"/>
      <c r="AA719" s="13"/>
      <c r="AB719" s="13"/>
      <c r="AC719" s="13"/>
      <c r="AD719" s="13"/>
      <c r="AE719" s="13"/>
      <c r="AF719" s="13"/>
      <c r="AG719" s="13"/>
      <c r="AH719" s="13"/>
      <c r="AI719" s="4"/>
      <c r="AJ719" s="4"/>
      <c r="AK719" s="4"/>
      <c r="AL719" s="4"/>
    </row>
    <row r="720">
      <c r="A720" s="13"/>
      <c r="B720" s="13"/>
      <c r="C720" s="13"/>
      <c r="D720" s="13"/>
      <c r="E720" s="13"/>
      <c r="F720" s="13"/>
      <c r="G720" s="13"/>
      <c r="H720" s="13"/>
      <c r="I720" s="13"/>
      <c r="J720" s="13"/>
      <c r="K720" s="13"/>
      <c r="L720" s="13"/>
      <c r="M720" s="13"/>
      <c r="N720" s="13"/>
      <c r="O720" s="13"/>
      <c r="P720" s="13"/>
      <c r="Q720" s="172"/>
      <c r="R720" s="13"/>
      <c r="S720" s="13"/>
      <c r="T720" s="13"/>
      <c r="U720" s="13"/>
      <c r="V720" s="13"/>
      <c r="W720" s="13"/>
      <c r="X720" s="13"/>
      <c r="Y720" s="13"/>
      <c r="Z720" s="13"/>
      <c r="AA720" s="13"/>
      <c r="AB720" s="13"/>
      <c r="AC720" s="13"/>
      <c r="AD720" s="13"/>
      <c r="AE720" s="13"/>
      <c r="AF720" s="13"/>
      <c r="AG720" s="13"/>
      <c r="AH720" s="13"/>
      <c r="AI720" s="4"/>
      <c r="AJ720" s="4"/>
      <c r="AK720" s="4"/>
      <c r="AL720" s="4"/>
    </row>
    <row r="721">
      <c r="A721" s="13"/>
      <c r="B721" s="13"/>
      <c r="C721" s="13"/>
      <c r="D721" s="13"/>
      <c r="E721" s="13"/>
      <c r="F721" s="13"/>
      <c r="G721" s="13"/>
      <c r="H721" s="13"/>
      <c r="I721" s="13"/>
      <c r="J721" s="13"/>
      <c r="K721" s="13"/>
      <c r="L721" s="13"/>
      <c r="M721" s="13"/>
      <c r="N721" s="13"/>
      <c r="O721" s="13"/>
      <c r="P721" s="13"/>
      <c r="Q721" s="172"/>
      <c r="R721" s="13"/>
      <c r="S721" s="13"/>
      <c r="T721" s="13"/>
      <c r="U721" s="13"/>
      <c r="V721" s="13"/>
      <c r="W721" s="13"/>
      <c r="X721" s="13"/>
      <c r="Y721" s="13"/>
      <c r="Z721" s="13"/>
      <c r="AA721" s="13"/>
      <c r="AB721" s="13"/>
      <c r="AC721" s="13"/>
      <c r="AD721" s="13"/>
      <c r="AE721" s="13"/>
      <c r="AF721" s="13"/>
      <c r="AG721" s="13"/>
      <c r="AH721" s="13"/>
      <c r="AI721" s="4"/>
      <c r="AJ721" s="4"/>
      <c r="AK721" s="4"/>
      <c r="AL721" s="4"/>
    </row>
    <row r="722">
      <c r="A722" s="13"/>
      <c r="B722" s="13"/>
      <c r="C722" s="13"/>
      <c r="D722" s="13"/>
      <c r="E722" s="13"/>
      <c r="F722" s="13"/>
      <c r="G722" s="13"/>
      <c r="H722" s="13"/>
      <c r="I722" s="13"/>
      <c r="J722" s="13"/>
      <c r="K722" s="13"/>
      <c r="L722" s="13"/>
      <c r="M722" s="13"/>
      <c r="N722" s="13"/>
      <c r="O722" s="13"/>
      <c r="P722" s="13"/>
      <c r="Q722" s="172"/>
      <c r="R722" s="13"/>
      <c r="S722" s="13"/>
      <c r="T722" s="13"/>
      <c r="U722" s="13"/>
      <c r="V722" s="13"/>
      <c r="W722" s="13"/>
      <c r="X722" s="13"/>
      <c r="Y722" s="13"/>
      <c r="Z722" s="13"/>
      <c r="AA722" s="13"/>
      <c r="AB722" s="13"/>
      <c r="AC722" s="13"/>
      <c r="AD722" s="13"/>
      <c r="AE722" s="13"/>
      <c r="AF722" s="13"/>
      <c r="AG722" s="13"/>
      <c r="AH722" s="13"/>
      <c r="AI722" s="4"/>
      <c r="AJ722" s="4"/>
      <c r="AK722" s="4"/>
      <c r="AL722" s="4"/>
    </row>
    <row r="723">
      <c r="A723" s="13"/>
      <c r="B723" s="13"/>
      <c r="C723" s="13"/>
      <c r="D723" s="13"/>
      <c r="E723" s="13"/>
      <c r="F723" s="13"/>
      <c r="G723" s="13"/>
      <c r="H723" s="13"/>
      <c r="I723" s="13"/>
      <c r="J723" s="13"/>
      <c r="K723" s="13"/>
      <c r="L723" s="13"/>
      <c r="M723" s="13"/>
      <c r="N723" s="13"/>
      <c r="O723" s="13"/>
      <c r="P723" s="13"/>
      <c r="Q723" s="172"/>
      <c r="R723" s="13"/>
      <c r="S723" s="13"/>
      <c r="T723" s="13"/>
      <c r="U723" s="13"/>
      <c r="V723" s="13"/>
      <c r="W723" s="13"/>
      <c r="X723" s="13"/>
      <c r="Y723" s="13"/>
      <c r="Z723" s="13"/>
      <c r="AA723" s="13"/>
      <c r="AB723" s="13"/>
      <c r="AC723" s="13"/>
      <c r="AD723" s="13"/>
      <c r="AE723" s="13"/>
      <c r="AF723" s="13"/>
      <c r="AG723" s="13"/>
      <c r="AH723" s="13"/>
      <c r="AI723" s="4"/>
      <c r="AJ723" s="4"/>
      <c r="AK723" s="4"/>
      <c r="AL723" s="4"/>
    </row>
    <row r="724">
      <c r="A724" s="13"/>
      <c r="B724" s="13"/>
      <c r="C724" s="13"/>
      <c r="D724" s="13"/>
      <c r="E724" s="13"/>
      <c r="F724" s="13"/>
      <c r="G724" s="13"/>
      <c r="H724" s="13"/>
      <c r="I724" s="13"/>
      <c r="J724" s="13"/>
      <c r="K724" s="13"/>
      <c r="L724" s="13"/>
      <c r="M724" s="13"/>
      <c r="N724" s="13"/>
      <c r="O724" s="13"/>
      <c r="P724" s="13"/>
      <c r="Q724" s="172"/>
      <c r="R724" s="13"/>
      <c r="S724" s="13"/>
      <c r="T724" s="13"/>
      <c r="U724" s="13"/>
      <c r="V724" s="13"/>
      <c r="W724" s="13"/>
      <c r="X724" s="13"/>
      <c r="Y724" s="13"/>
      <c r="Z724" s="13"/>
      <c r="AA724" s="13"/>
      <c r="AB724" s="13"/>
      <c r="AC724" s="13"/>
      <c r="AD724" s="13"/>
      <c r="AE724" s="13"/>
      <c r="AF724" s="13"/>
      <c r="AG724" s="13"/>
      <c r="AH724" s="13"/>
      <c r="AI724" s="4"/>
      <c r="AJ724" s="4"/>
      <c r="AK724" s="4"/>
      <c r="AL724" s="4"/>
    </row>
    <row r="725">
      <c r="A725" s="13"/>
      <c r="B725" s="13"/>
      <c r="C725" s="13"/>
      <c r="D725" s="13"/>
      <c r="E725" s="13"/>
      <c r="F725" s="13"/>
      <c r="G725" s="13"/>
      <c r="H725" s="13"/>
      <c r="I725" s="13"/>
      <c r="J725" s="13"/>
      <c r="K725" s="13"/>
      <c r="L725" s="13"/>
      <c r="M725" s="13"/>
      <c r="N725" s="13"/>
      <c r="O725" s="13"/>
      <c r="P725" s="13"/>
      <c r="Q725" s="172"/>
      <c r="R725" s="13"/>
      <c r="S725" s="13"/>
      <c r="T725" s="13"/>
      <c r="U725" s="13"/>
      <c r="V725" s="13"/>
      <c r="W725" s="13"/>
      <c r="X725" s="13"/>
      <c r="Y725" s="13"/>
      <c r="Z725" s="13"/>
      <c r="AA725" s="13"/>
      <c r="AB725" s="13"/>
      <c r="AC725" s="13"/>
      <c r="AD725" s="13"/>
      <c r="AE725" s="13"/>
      <c r="AF725" s="13"/>
      <c r="AG725" s="13"/>
      <c r="AH725" s="13"/>
      <c r="AI725" s="4"/>
      <c r="AJ725" s="4"/>
      <c r="AK725" s="4"/>
      <c r="AL725" s="4"/>
    </row>
    <row r="726">
      <c r="A726" s="13"/>
      <c r="B726" s="13"/>
      <c r="C726" s="13"/>
      <c r="D726" s="13"/>
      <c r="E726" s="13"/>
      <c r="F726" s="13"/>
      <c r="G726" s="13"/>
      <c r="H726" s="13"/>
      <c r="I726" s="13"/>
      <c r="J726" s="13"/>
      <c r="K726" s="13"/>
      <c r="L726" s="13"/>
      <c r="M726" s="13"/>
      <c r="N726" s="13"/>
      <c r="O726" s="13"/>
      <c r="P726" s="13"/>
      <c r="Q726" s="172"/>
      <c r="R726" s="13"/>
      <c r="S726" s="13"/>
      <c r="T726" s="13"/>
      <c r="U726" s="13"/>
      <c r="V726" s="13"/>
      <c r="W726" s="13"/>
      <c r="X726" s="13"/>
      <c r="Y726" s="13"/>
      <c r="Z726" s="13"/>
      <c r="AA726" s="13"/>
      <c r="AB726" s="13"/>
      <c r="AC726" s="13"/>
      <c r="AD726" s="13"/>
      <c r="AE726" s="13"/>
      <c r="AF726" s="13"/>
      <c r="AG726" s="13"/>
      <c r="AH726" s="13"/>
      <c r="AI726" s="4"/>
      <c r="AJ726" s="4"/>
      <c r="AK726" s="4"/>
      <c r="AL726" s="4"/>
    </row>
    <row r="727">
      <c r="A727" s="13"/>
      <c r="B727" s="13"/>
      <c r="C727" s="13"/>
      <c r="D727" s="13"/>
      <c r="E727" s="13"/>
      <c r="F727" s="13"/>
      <c r="G727" s="13"/>
      <c r="H727" s="13"/>
      <c r="I727" s="13"/>
      <c r="J727" s="13"/>
      <c r="K727" s="13"/>
      <c r="L727" s="13"/>
      <c r="M727" s="13"/>
      <c r="N727" s="13"/>
      <c r="O727" s="13"/>
      <c r="P727" s="13"/>
      <c r="Q727" s="172"/>
      <c r="R727" s="13"/>
      <c r="S727" s="13"/>
      <c r="T727" s="13"/>
      <c r="U727" s="13"/>
      <c r="V727" s="13"/>
      <c r="W727" s="13"/>
      <c r="X727" s="13"/>
      <c r="Y727" s="13"/>
      <c r="Z727" s="13"/>
      <c r="AA727" s="13"/>
      <c r="AB727" s="13"/>
      <c r="AC727" s="13"/>
      <c r="AD727" s="13"/>
      <c r="AE727" s="13"/>
      <c r="AF727" s="13"/>
      <c r="AG727" s="13"/>
      <c r="AH727" s="13"/>
      <c r="AI727" s="4"/>
      <c r="AJ727" s="4"/>
      <c r="AK727" s="4"/>
      <c r="AL727" s="4"/>
    </row>
    <row r="728">
      <c r="A728" s="13"/>
      <c r="B728" s="13"/>
      <c r="C728" s="13"/>
      <c r="D728" s="13"/>
      <c r="E728" s="13"/>
      <c r="F728" s="13"/>
      <c r="G728" s="13"/>
      <c r="H728" s="13"/>
      <c r="I728" s="13"/>
      <c r="J728" s="13"/>
      <c r="K728" s="13"/>
      <c r="L728" s="13"/>
      <c r="M728" s="13"/>
      <c r="N728" s="13"/>
      <c r="O728" s="13"/>
      <c r="P728" s="13"/>
      <c r="Q728" s="172"/>
      <c r="R728" s="13"/>
      <c r="S728" s="13"/>
      <c r="T728" s="13"/>
      <c r="U728" s="13"/>
      <c r="V728" s="13"/>
      <c r="W728" s="13"/>
      <c r="X728" s="13"/>
      <c r="Y728" s="13"/>
      <c r="Z728" s="13"/>
      <c r="AA728" s="13"/>
      <c r="AB728" s="13"/>
      <c r="AC728" s="13"/>
      <c r="AD728" s="13"/>
      <c r="AE728" s="13"/>
      <c r="AF728" s="13"/>
      <c r="AG728" s="13"/>
      <c r="AH728" s="13"/>
      <c r="AI728" s="4"/>
      <c r="AJ728" s="4"/>
      <c r="AK728" s="4"/>
      <c r="AL728" s="4"/>
    </row>
    <row r="729">
      <c r="A729" s="13"/>
      <c r="B729" s="13"/>
      <c r="C729" s="13"/>
      <c r="D729" s="13"/>
      <c r="E729" s="13"/>
      <c r="F729" s="13"/>
      <c r="G729" s="13"/>
      <c r="H729" s="13"/>
      <c r="I729" s="13"/>
      <c r="J729" s="13"/>
      <c r="K729" s="13"/>
      <c r="L729" s="13"/>
      <c r="M729" s="13"/>
      <c r="N729" s="13"/>
      <c r="O729" s="13"/>
      <c r="P729" s="13"/>
      <c r="Q729" s="172"/>
      <c r="R729" s="13"/>
      <c r="S729" s="13"/>
      <c r="T729" s="13"/>
      <c r="U729" s="13"/>
      <c r="V729" s="13"/>
      <c r="W729" s="13"/>
      <c r="X729" s="13"/>
      <c r="Y729" s="13"/>
      <c r="Z729" s="13"/>
      <c r="AA729" s="13"/>
      <c r="AB729" s="13"/>
      <c r="AC729" s="13"/>
      <c r="AD729" s="13"/>
      <c r="AE729" s="13"/>
      <c r="AF729" s="13"/>
      <c r="AG729" s="13"/>
      <c r="AH729" s="13"/>
      <c r="AI729" s="4"/>
      <c r="AJ729" s="4"/>
      <c r="AK729" s="4"/>
      <c r="AL729" s="4"/>
    </row>
    <row r="730">
      <c r="A730" s="13"/>
      <c r="B730" s="13"/>
      <c r="C730" s="13"/>
      <c r="D730" s="13"/>
      <c r="E730" s="13"/>
      <c r="F730" s="13"/>
      <c r="G730" s="13"/>
      <c r="H730" s="13"/>
      <c r="I730" s="13"/>
      <c r="J730" s="13"/>
      <c r="K730" s="13"/>
      <c r="L730" s="13"/>
      <c r="M730" s="13"/>
      <c r="N730" s="13"/>
      <c r="O730" s="13"/>
      <c r="P730" s="13"/>
      <c r="Q730" s="172"/>
      <c r="R730" s="13"/>
      <c r="S730" s="13"/>
      <c r="T730" s="13"/>
      <c r="U730" s="13"/>
      <c r="V730" s="13"/>
      <c r="W730" s="13"/>
      <c r="X730" s="13"/>
      <c r="Y730" s="13"/>
      <c r="Z730" s="13"/>
      <c r="AA730" s="13"/>
      <c r="AB730" s="13"/>
      <c r="AC730" s="13"/>
      <c r="AD730" s="13"/>
      <c r="AE730" s="13"/>
      <c r="AF730" s="13"/>
      <c r="AG730" s="13"/>
      <c r="AH730" s="13"/>
      <c r="AI730" s="4"/>
      <c r="AJ730" s="4"/>
      <c r="AK730" s="4"/>
      <c r="AL730" s="4"/>
    </row>
    <row r="731">
      <c r="A731" s="13"/>
      <c r="B731" s="13"/>
      <c r="C731" s="13"/>
      <c r="D731" s="13"/>
      <c r="E731" s="13"/>
      <c r="F731" s="13"/>
      <c r="G731" s="13"/>
      <c r="H731" s="13"/>
      <c r="I731" s="13"/>
      <c r="J731" s="13"/>
      <c r="K731" s="13"/>
      <c r="L731" s="13"/>
      <c r="M731" s="13"/>
      <c r="N731" s="13"/>
      <c r="O731" s="13"/>
      <c r="P731" s="13"/>
      <c r="Q731" s="172"/>
      <c r="R731" s="13"/>
      <c r="S731" s="13"/>
      <c r="T731" s="13"/>
      <c r="U731" s="13"/>
      <c r="V731" s="13"/>
      <c r="W731" s="13"/>
      <c r="X731" s="13"/>
      <c r="Y731" s="13"/>
      <c r="Z731" s="13"/>
      <c r="AA731" s="13"/>
      <c r="AB731" s="13"/>
      <c r="AC731" s="13"/>
      <c r="AD731" s="13"/>
      <c r="AE731" s="13"/>
      <c r="AF731" s="13"/>
      <c r="AG731" s="13"/>
      <c r="AH731" s="13"/>
      <c r="AI731" s="4"/>
      <c r="AJ731" s="4"/>
      <c r="AK731" s="4"/>
      <c r="AL731" s="4"/>
    </row>
    <row r="732">
      <c r="A732" s="13"/>
      <c r="B732" s="13"/>
      <c r="C732" s="13"/>
      <c r="D732" s="13"/>
      <c r="E732" s="13"/>
      <c r="F732" s="13"/>
      <c r="G732" s="13"/>
      <c r="H732" s="13"/>
      <c r="I732" s="13"/>
      <c r="J732" s="13"/>
      <c r="K732" s="13"/>
      <c r="L732" s="13"/>
      <c r="M732" s="13"/>
      <c r="N732" s="13"/>
      <c r="O732" s="13"/>
      <c r="P732" s="13"/>
      <c r="Q732" s="172"/>
      <c r="R732" s="13"/>
      <c r="S732" s="13"/>
      <c r="T732" s="13"/>
      <c r="U732" s="13"/>
      <c r="V732" s="13"/>
      <c r="W732" s="13"/>
      <c r="X732" s="13"/>
      <c r="Y732" s="13"/>
      <c r="Z732" s="13"/>
      <c r="AA732" s="13"/>
      <c r="AB732" s="13"/>
      <c r="AC732" s="13"/>
      <c r="AD732" s="13"/>
      <c r="AE732" s="13"/>
      <c r="AF732" s="13"/>
      <c r="AG732" s="13"/>
      <c r="AH732" s="13"/>
      <c r="AI732" s="4"/>
      <c r="AJ732" s="4"/>
      <c r="AK732" s="4"/>
      <c r="AL732" s="4"/>
    </row>
    <row r="733">
      <c r="A733" s="13"/>
      <c r="B733" s="13"/>
      <c r="C733" s="13"/>
      <c r="D733" s="13"/>
      <c r="E733" s="13"/>
      <c r="F733" s="13"/>
      <c r="G733" s="13"/>
      <c r="H733" s="13"/>
      <c r="I733" s="13"/>
      <c r="J733" s="13"/>
      <c r="K733" s="13"/>
      <c r="L733" s="13"/>
      <c r="M733" s="13"/>
      <c r="N733" s="13"/>
      <c r="O733" s="13"/>
      <c r="P733" s="13"/>
      <c r="Q733" s="172"/>
      <c r="R733" s="13"/>
      <c r="S733" s="13"/>
      <c r="T733" s="13"/>
      <c r="U733" s="13"/>
      <c r="V733" s="13"/>
      <c r="W733" s="13"/>
      <c r="X733" s="13"/>
      <c r="Y733" s="13"/>
      <c r="Z733" s="13"/>
      <c r="AA733" s="13"/>
      <c r="AB733" s="13"/>
      <c r="AC733" s="13"/>
      <c r="AD733" s="13"/>
      <c r="AE733" s="13"/>
      <c r="AF733" s="13"/>
      <c r="AG733" s="13"/>
      <c r="AH733" s="13"/>
      <c r="AI733" s="4"/>
      <c r="AJ733" s="4"/>
      <c r="AK733" s="4"/>
      <c r="AL733" s="4"/>
    </row>
    <row r="734">
      <c r="A734" s="13"/>
      <c r="B734" s="13"/>
      <c r="C734" s="13"/>
      <c r="D734" s="13"/>
      <c r="E734" s="13"/>
      <c r="F734" s="13"/>
      <c r="G734" s="13"/>
      <c r="H734" s="13"/>
      <c r="I734" s="13"/>
      <c r="J734" s="13"/>
      <c r="K734" s="13"/>
      <c r="L734" s="13"/>
      <c r="M734" s="13"/>
      <c r="N734" s="13"/>
      <c r="O734" s="13"/>
      <c r="P734" s="13"/>
      <c r="Q734" s="172"/>
      <c r="R734" s="13"/>
      <c r="S734" s="13"/>
      <c r="T734" s="13"/>
      <c r="U734" s="13"/>
      <c r="V734" s="13"/>
      <c r="W734" s="13"/>
      <c r="X734" s="13"/>
      <c r="Y734" s="13"/>
      <c r="Z734" s="13"/>
      <c r="AA734" s="13"/>
      <c r="AB734" s="13"/>
      <c r="AC734" s="13"/>
      <c r="AD734" s="13"/>
      <c r="AE734" s="13"/>
      <c r="AF734" s="13"/>
      <c r="AG734" s="13"/>
      <c r="AH734" s="13"/>
      <c r="AI734" s="4"/>
      <c r="AJ734" s="4"/>
      <c r="AK734" s="4"/>
      <c r="AL734" s="4"/>
    </row>
    <row r="735">
      <c r="A735" s="13"/>
      <c r="B735" s="13"/>
      <c r="C735" s="13"/>
      <c r="D735" s="13"/>
      <c r="E735" s="13"/>
      <c r="F735" s="13"/>
      <c r="G735" s="13"/>
      <c r="H735" s="13"/>
      <c r="I735" s="13"/>
      <c r="J735" s="13"/>
      <c r="K735" s="13"/>
      <c r="L735" s="13"/>
      <c r="M735" s="13"/>
      <c r="N735" s="13"/>
      <c r="O735" s="13"/>
      <c r="P735" s="13"/>
      <c r="Q735" s="172"/>
      <c r="R735" s="13"/>
      <c r="S735" s="13"/>
      <c r="T735" s="13"/>
      <c r="U735" s="13"/>
      <c r="V735" s="13"/>
      <c r="W735" s="13"/>
      <c r="X735" s="13"/>
      <c r="Y735" s="13"/>
      <c r="Z735" s="13"/>
      <c r="AA735" s="13"/>
      <c r="AB735" s="13"/>
      <c r="AC735" s="13"/>
      <c r="AD735" s="13"/>
      <c r="AE735" s="13"/>
      <c r="AF735" s="13"/>
      <c r="AG735" s="13"/>
      <c r="AH735" s="13"/>
      <c r="AI735" s="4"/>
      <c r="AJ735" s="4"/>
      <c r="AK735" s="4"/>
      <c r="AL735" s="4"/>
    </row>
    <row r="736">
      <c r="A736" s="13"/>
      <c r="B736" s="13"/>
      <c r="C736" s="13"/>
      <c r="D736" s="13"/>
      <c r="E736" s="13"/>
      <c r="F736" s="13"/>
      <c r="G736" s="13"/>
      <c r="H736" s="13"/>
      <c r="I736" s="13"/>
      <c r="J736" s="13"/>
      <c r="K736" s="13"/>
      <c r="L736" s="13"/>
      <c r="M736" s="13"/>
      <c r="N736" s="13"/>
      <c r="O736" s="13"/>
      <c r="P736" s="13"/>
      <c r="Q736" s="172"/>
      <c r="R736" s="13"/>
      <c r="S736" s="13"/>
      <c r="T736" s="13"/>
      <c r="U736" s="13"/>
      <c r="V736" s="13"/>
      <c r="W736" s="13"/>
      <c r="X736" s="13"/>
      <c r="Y736" s="13"/>
      <c r="Z736" s="13"/>
      <c r="AA736" s="13"/>
      <c r="AB736" s="13"/>
      <c r="AC736" s="13"/>
      <c r="AD736" s="13"/>
      <c r="AE736" s="13"/>
      <c r="AF736" s="13"/>
      <c r="AG736" s="13"/>
      <c r="AH736" s="13"/>
      <c r="AI736" s="4"/>
      <c r="AJ736" s="4"/>
      <c r="AK736" s="4"/>
      <c r="AL736" s="4"/>
    </row>
    <row r="737">
      <c r="A737" s="13"/>
      <c r="B737" s="13"/>
      <c r="C737" s="13"/>
      <c r="D737" s="13"/>
      <c r="E737" s="13"/>
      <c r="F737" s="13"/>
      <c r="G737" s="13"/>
      <c r="H737" s="13"/>
      <c r="I737" s="13"/>
      <c r="J737" s="13"/>
      <c r="K737" s="13"/>
      <c r="L737" s="13"/>
      <c r="M737" s="13"/>
      <c r="N737" s="13"/>
      <c r="O737" s="13"/>
      <c r="P737" s="13"/>
      <c r="Q737" s="172"/>
      <c r="R737" s="13"/>
      <c r="S737" s="13"/>
      <c r="T737" s="13"/>
      <c r="U737" s="13"/>
      <c r="V737" s="13"/>
      <c r="W737" s="13"/>
      <c r="X737" s="13"/>
      <c r="Y737" s="13"/>
      <c r="Z737" s="13"/>
      <c r="AA737" s="13"/>
      <c r="AB737" s="13"/>
      <c r="AC737" s="13"/>
      <c r="AD737" s="13"/>
      <c r="AE737" s="13"/>
      <c r="AF737" s="13"/>
      <c r="AG737" s="13"/>
      <c r="AH737" s="13"/>
      <c r="AI737" s="4"/>
      <c r="AJ737" s="4"/>
      <c r="AK737" s="4"/>
      <c r="AL737" s="4"/>
    </row>
    <row r="738">
      <c r="A738" s="13"/>
      <c r="B738" s="13"/>
      <c r="C738" s="13"/>
      <c r="D738" s="13"/>
      <c r="E738" s="13"/>
      <c r="F738" s="13"/>
      <c r="G738" s="13"/>
      <c r="H738" s="13"/>
      <c r="I738" s="13"/>
      <c r="J738" s="13"/>
      <c r="K738" s="13"/>
      <c r="L738" s="13"/>
      <c r="M738" s="13"/>
      <c r="N738" s="13"/>
      <c r="O738" s="13"/>
      <c r="P738" s="13"/>
      <c r="Q738" s="172"/>
      <c r="R738" s="13"/>
      <c r="S738" s="13"/>
      <c r="T738" s="13"/>
      <c r="U738" s="13"/>
      <c r="V738" s="13"/>
      <c r="W738" s="13"/>
      <c r="X738" s="13"/>
      <c r="Y738" s="13"/>
      <c r="Z738" s="13"/>
      <c r="AA738" s="13"/>
      <c r="AB738" s="13"/>
      <c r="AC738" s="13"/>
      <c r="AD738" s="13"/>
      <c r="AE738" s="13"/>
      <c r="AF738" s="13"/>
      <c r="AG738" s="13"/>
      <c r="AH738" s="13"/>
      <c r="AI738" s="4"/>
      <c r="AJ738" s="4"/>
      <c r="AK738" s="4"/>
      <c r="AL738" s="4"/>
    </row>
    <row r="739">
      <c r="A739" s="13"/>
      <c r="B739" s="13"/>
      <c r="C739" s="13"/>
      <c r="D739" s="13"/>
      <c r="E739" s="13"/>
      <c r="F739" s="13"/>
      <c r="G739" s="13"/>
      <c r="H739" s="13"/>
      <c r="I739" s="13"/>
      <c r="J739" s="13"/>
      <c r="K739" s="13"/>
      <c r="L739" s="13"/>
      <c r="M739" s="13"/>
      <c r="N739" s="13"/>
      <c r="O739" s="13"/>
      <c r="P739" s="13"/>
      <c r="Q739" s="172"/>
      <c r="R739" s="13"/>
      <c r="S739" s="13"/>
      <c r="T739" s="13"/>
      <c r="U739" s="13"/>
      <c r="V739" s="13"/>
      <c r="W739" s="13"/>
      <c r="X739" s="13"/>
      <c r="Y739" s="13"/>
      <c r="Z739" s="13"/>
      <c r="AA739" s="13"/>
      <c r="AB739" s="13"/>
      <c r="AC739" s="13"/>
      <c r="AD739" s="13"/>
      <c r="AE739" s="13"/>
      <c r="AF739" s="13"/>
      <c r="AG739" s="13"/>
      <c r="AH739" s="13"/>
      <c r="AI739" s="4"/>
      <c r="AJ739" s="4"/>
      <c r="AK739" s="4"/>
      <c r="AL739" s="4"/>
    </row>
    <row r="740">
      <c r="A740" s="13"/>
      <c r="B740" s="13"/>
      <c r="C740" s="13"/>
      <c r="D740" s="13"/>
      <c r="E740" s="13"/>
      <c r="F740" s="13"/>
      <c r="G740" s="13"/>
      <c r="H740" s="13"/>
      <c r="I740" s="13"/>
      <c r="J740" s="13"/>
      <c r="K740" s="13"/>
      <c r="L740" s="13"/>
      <c r="M740" s="13"/>
      <c r="N740" s="13"/>
      <c r="O740" s="13"/>
      <c r="P740" s="13"/>
      <c r="Q740" s="172"/>
      <c r="R740" s="13"/>
      <c r="S740" s="13"/>
      <c r="T740" s="13"/>
      <c r="U740" s="13"/>
      <c r="V740" s="13"/>
      <c r="W740" s="13"/>
      <c r="X740" s="13"/>
      <c r="Y740" s="13"/>
      <c r="Z740" s="13"/>
      <c r="AA740" s="13"/>
      <c r="AB740" s="13"/>
      <c r="AC740" s="13"/>
      <c r="AD740" s="13"/>
      <c r="AE740" s="13"/>
      <c r="AF740" s="13"/>
      <c r="AG740" s="13"/>
      <c r="AH740" s="13"/>
      <c r="AI740" s="4"/>
      <c r="AJ740" s="4"/>
      <c r="AK740" s="4"/>
      <c r="AL740" s="4"/>
    </row>
    <row r="741">
      <c r="A741" s="13"/>
      <c r="B741" s="13"/>
      <c r="C741" s="13"/>
      <c r="D741" s="13"/>
      <c r="E741" s="13"/>
      <c r="F741" s="13"/>
      <c r="G741" s="13"/>
      <c r="H741" s="13"/>
      <c r="I741" s="13"/>
      <c r="J741" s="13"/>
      <c r="K741" s="13"/>
      <c r="L741" s="13"/>
      <c r="M741" s="13"/>
      <c r="N741" s="13"/>
      <c r="O741" s="13"/>
      <c r="P741" s="13"/>
      <c r="Q741" s="172"/>
      <c r="R741" s="13"/>
      <c r="S741" s="13"/>
      <c r="T741" s="13"/>
      <c r="U741" s="13"/>
      <c r="V741" s="13"/>
      <c r="W741" s="13"/>
      <c r="X741" s="13"/>
      <c r="Y741" s="13"/>
      <c r="Z741" s="13"/>
      <c r="AA741" s="13"/>
      <c r="AB741" s="13"/>
      <c r="AC741" s="13"/>
      <c r="AD741" s="13"/>
      <c r="AE741" s="13"/>
      <c r="AF741" s="13"/>
      <c r="AG741" s="13"/>
      <c r="AH741" s="13"/>
      <c r="AI741" s="4"/>
      <c r="AJ741" s="4"/>
      <c r="AK741" s="4"/>
      <c r="AL741" s="4"/>
    </row>
    <row r="742">
      <c r="A742" s="13"/>
      <c r="B742" s="13"/>
      <c r="C742" s="13"/>
      <c r="D742" s="13"/>
      <c r="E742" s="13"/>
      <c r="F742" s="13"/>
      <c r="G742" s="13"/>
      <c r="H742" s="13"/>
      <c r="I742" s="13"/>
      <c r="J742" s="13"/>
      <c r="K742" s="13"/>
      <c r="L742" s="13"/>
      <c r="M742" s="13"/>
      <c r="N742" s="13"/>
      <c r="O742" s="13"/>
      <c r="P742" s="13"/>
      <c r="Q742" s="172"/>
      <c r="R742" s="13"/>
      <c r="S742" s="13"/>
      <c r="T742" s="13"/>
      <c r="U742" s="13"/>
      <c r="V742" s="13"/>
      <c r="W742" s="13"/>
      <c r="X742" s="13"/>
      <c r="Y742" s="13"/>
      <c r="Z742" s="13"/>
      <c r="AA742" s="13"/>
      <c r="AB742" s="13"/>
      <c r="AC742" s="13"/>
      <c r="AD742" s="13"/>
      <c r="AE742" s="13"/>
      <c r="AF742" s="13"/>
      <c r="AG742" s="13"/>
      <c r="AH742" s="13"/>
      <c r="AI742" s="4"/>
      <c r="AJ742" s="4"/>
      <c r="AK742" s="4"/>
      <c r="AL742" s="4"/>
    </row>
    <row r="743">
      <c r="A743" s="13"/>
      <c r="B743" s="13"/>
      <c r="C743" s="13"/>
      <c r="D743" s="13"/>
      <c r="E743" s="13"/>
      <c r="F743" s="13"/>
      <c r="G743" s="13"/>
      <c r="H743" s="13"/>
      <c r="I743" s="13"/>
      <c r="J743" s="13"/>
      <c r="K743" s="13"/>
      <c r="L743" s="13"/>
      <c r="M743" s="13"/>
      <c r="N743" s="13"/>
      <c r="O743" s="13"/>
      <c r="P743" s="13"/>
      <c r="Q743" s="172"/>
      <c r="R743" s="13"/>
      <c r="S743" s="13"/>
      <c r="T743" s="13"/>
      <c r="U743" s="13"/>
      <c r="V743" s="13"/>
      <c r="W743" s="13"/>
      <c r="X743" s="13"/>
      <c r="Y743" s="13"/>
      <c r="Z743" s="13"/>
      <c r="AA743" s="13"/>
      <c r="AB743" s="13"/>
      <c r="AC743" s="13"/>
      <c r="AD743" s="13"/>
      <c r="AE743" s="13"/>
      <c r="AF743" s="13"/>
      <c r="AG743" s="13"/>
      <c r="AH743" s="13"/>
      <c r="AI743" s="4"/>
      <c r="AJ743" s="4"/>
      <c r="AK743" s="4"/>
      <c r="AL743" s="4"/>
    </row>
    <row r="744">
      <c r="A744" s="13"/>
      <c r="B744" s="13"/>
      <c r="C744" s="13"/>
      <c r="D744" s="13"/>
      <c r="E744" s="13"/>
      <c r="F744" s="13"/>
      <c r="G744" s="13"/>
      <c r="H744" s="13"/>
      <c r="I744" s="13"/>
      <c r="J744" s="13"/>
      <c r="K744" s="13"/>
      <c r="L744" s="13"/>
      <c r="M744" s="13"/>
      <c r="N744" s="13"/>
      <c r="O744" s="13"/>
      <c r="P744" s="13"/>
      <c r="Q744" s="172"/>
      <c r="R744" s="13"/>
      <c r="S744" s="13"/>
      <c r="T744" s="13"/>
      <c r="U744" s="13"/>
      <c r="V744" s="13"/>
      <c r="W744" s="13"/>
      <c r="X744" s="13"/>
      <c r="Y744" s="13"/>
      <c r="Z744" s="13"/>
      <c r="AA744" s="13"/>
      <c r="AB744" s="13"/>
      <c r="AC744" s="13"/>
      <c r="AD744" s="13"/>
      <c r="AE744" s="13"/>
      <c r="AF744" s="13"/>
      <c r="AG744" s="13"/>
      <c r="AH744" s="13"/>
      <c r="AI744" s="4"/>
      <c r="AJ744" s="4"/>
      <c r="AK744" s="4"/>
      <c r="AL744" s="4"/>
    </row>
    <row r="745">
      <c r="A745" s="13"/>
      <c r="B745" s="13"/>
      <c r="C745" s="13"/>
      <c r="D745" s="13"/>
      <c r="E745" s="13"/>
      <c r="F745" s="13"/>
      <c r="G745" s="13"/>
      <c r="H745" s="13"/>
      <c r="I745" s="13"/>
      <c r="J745" s="13"/>
      <c r="K745" s="13"/>
      <c r="L745" s="13"/>
      <c r="M745" s="13"/>
      <c r="N745" s="13"/>
      <c r="O745" s="13"/>
      <c r="P745" s="13"/>
      <c r="Q745" s="172"/>
      <c r="R745" s="13"/>
      <c r="S745" s="13"/>
      <c r="T745" s="13"/>
      <c r="U745" s="13"/>
      <c r="V745" s="13"/>
      <c r="W745" s="13"/>
      <c r="X745" s="13"/>
      <c r="Y745" s="13"/>
      <c r="Z745" s="13"/>
      <c r="AA745" s="13"/>
      <c r="AB745" s="13"/>
      <c r="AC745" s="13"/>
      <c r="AD745" s="13"/>
      <c r="AE745" s="13"/>
      <c r="AF745" s="13"/>
      <c r="AG745" s="13"/>
      <c r="AH745" s="13"/>
      <c r="AI745" s="4"/>
      <c r="AJ745" s="4"/>
      <c r="AK745" s="4"/>
      <c r="AL745" s="4"/>
    </row>
    <row r="746">
      <c r="A746" s="13"/>
      <c r="B746" s="13"/>
      <c r="C746" s="13"/>
      <c r="D746" s="13"/>
      <c r="E746" s="13"/>
      <c r="F746" s="13"/>
      <c r="G746" s="13"/>
      <c r="H746" s="13"/>
      <c r="I746" s="13"/>
      <c r="J746" s="13"/>
      <c r="K746" s="13"/>
      <c r="L746" s="13"/>
      <c r="M746" s="13"/>
      <c r="N746" s="13"/>
      <c r="O746" s="13"/>
      <c r="P746" s="13"/>
      <c r="Q746" s="172"/>
      <c r="R746" s="13"/>
      <c r="S746" s="13"/>
      <c r="T746" s="13"/>
      <c r="U746" s="13"/>
      <c r="V746" s="13"/>
      <c r="W746" s="13"/>
      <c r="X746" s="13"/>
      <c r="Y746" s="13"/>
      <c r="Z746" s="13"/>
      <c r="AA746" s="13"/>
      <c r="AB746" s="13"/>
      <c r="AC746" s="13"/>
      <c r="AD746" s="13"/>
      <c r="AE746" s="13"/>
      <c r="AF746" s="13"/>
      <c r="AG746" s="13"/>
      <c r="AH746" s="13"/>
      <c r="AI746" s="4"/>
      <c r="AJ746" s="4"/>
      <c r="AK746" s="4"/>
      <c r="AL746" s="4"/>
    </row>
    <row r="747">
      <c r="A747" s="13"/>
      <c r="B747" s="13"/>
      <c r="C747" s="13"/>
      <c r="D747" s="13"/>
      <c r="E747" s="13"/>
      <c r="F747" s="13"/>
      <c r="G747" s="13"/>
      <c r="H747" s="13"/>
      <c r="I747" s="13"/>
      <c r="J747" s="13"/>
      <c r="K747" s="13"/>
      <c r="L747" s="13"/>
      <c r="M747" s="13"/>
      <c r="N747" s="13"/>
      <c r="O747" s="13"/>
      <c r="P747" s="13"/>
      <c r="Q747" s="172"/>
      <c r="R747" s="13"/>
      <c r="S747" s="13"/>
      <c r="T747" s="13"/>
      <c r="U747" s="13"/>
      <c r="V747" s="13"/>
      <c r="W747" s="13"/>
      <c r="X747" s="13"/>
      <c r="Y747" s="13"/>
      <c r="Z747" s="13"/>
      <c r="AA747" s="13"/>
      <c r="AB747" s="13"/>
      <c r="AC747" s="13"/>
      <c r="AD747" s="13"/>
      <c r="AE747" s="13"/>
      <c r="AF747" s="13"/>
      <c r="AG747" s="13"/>
      <c r="AH747" s="13"/>
      <c r="AI747" s="4"/>
      <c r="AJ747" s="4"/>
      <c r="AK747" s="4"/>
      <c r="AL747" s="4"/>
    </row>
    <row r="748">
      <c r="A748" s="13"/>
      <c r="B748" s="13"/>
      <c r="C748" s="13"/>
      <c r="D748" s="13"/>
      <c r="E748" s="13"/>
      <c r="F748" s="13"/>
      <c r="G748" s="13"/>
      <c r="H748" s="13"/>
      <c r="I748" s="13"/>
      <c r="J748" s="13"/>
      <c r="K748" s="13"/>
      <c r="L748" s="13"/>
      <c r="M748" s="13"/>
      <c r="N748" s="13"/>
      <c r="O748" s="13"/>
      <c r="P748" s="13"/>
      <c r="Q748" s="172"/>
      <c r="R748" s="13"/>
      <c r="S748" s="13"/>
      <c r="T748" s="13"/>
      <c r="U748" s="13"/>
      <c r="V748" s="13"/>
      <c r="W748" s="13"/>
      <c r="X748" s="13"/>
      <c r="Y748" s="13"/>
      <c r="Z748" s="13"/>
      <c r="AA748" s="13"/>
      <c r="AB748" s="13"/>
      <c r="AC748" s="13"/>
      <c r="AD748" s="13"/>
      <c r="AE748" s="13"/>
      <c r="AF748" s="13"/>
      <c r="AG748" s="13"/>
      <c r="AH748" s="13"/>
      <c r="AI748" s="4"/>
      <c r="AJ748" s="4"/>
      <c r="AK748" s="4"/>
      <c r="AL748" s="4"/>
    </row>
    <row r="749">
      <c r="A749" s="13"/>
      <c r="B749" s="13"/>
      <c r="C749" s="13"/>
      <c r="D749" s="13"/>
      <c r="E749" s="13"/>
      <c r="F749" s="13"/>
      <c r="G749" s="13"/>
      <c r="H749" s="13"/>
      <c r="I749" s="13"/>
      <c r="J749" s="13"/>
      <c r="K749" s="13"/>
      <c r="L749" s="13"/>
      <c r="M749" s="13"/>
      <c r="N749" s="13"/>
      <c r="O749" s="13"/>
      <c r="P749" s="13"/>
      <c r="Q749" s="172"/>
      <c r="R749" s="13"/>
      <c r="S749" s="13"/>
      <c r="T749" s="13"/>
      <c r="U749" s="13"/>
      <c r="V749" s="13"/>
      <c r="W749" s="13"/>
      <c r="X749" s="13"/>
      <c r="Y749" s="13"/>
      <c r="Z749" s="13"/>
      <c r="AA749" s="13"/>
      <c r="AB749" s="13"/>
      <c r="AC749" s="13"/>
      <c r="AD749" s="13"/>
      <c r="AE749" s="13"/>
      <c r="AF749" s="13"/>
      <c r="AG749" s="13"/>
      <c r="AH749" s="13"/>
      <c r="AI749" s="4"/>
      <c r="AJ749" s="4"/>
      <c r="AK749" s="4"/>
      <c r="AL749" s="4"/>
    </row>
    <row r="750">
      <c r="A750" s="13"/>
      <c r="B750" s="13"/>
      <c r="C750" s="13"/>
      <c r="D750" s="13"/>
      <c r="E750" s="13"/>
      <c r="F750" s="13"/>
      <c r="G750" s="13"/>
      <c r="H750" s="13"/>
      <c r="I750" s="13"/>
      <c r="J750" s="13"/>
      <c r="K750" s="13"/>
      <c r="L750" s="13"/>
      <c r="M750" s="13"/>
      <c r="N750" s="13"/>
      <c r="O750" s="13"/>
      <c r="P750" s="13"/>
      <c r="Q750" s="172"/>
      <c r="R750" s="13"/>
      <c r="S750" s="13"/>
      <c r="T750" s="13"/>
      <c r="U750" s="13"/>
      <c r="V750" s="13"/>
      <c r="W750" s="13"/>
      <c r="X750" s="13"/>
      <c r="Y750" s="13"/>
      <c r="Z750" s="13"/>
      <c r="AA750" s="13"/>
      <c r="AB750" s="13"/>
      <c r="AC750" s="13"/>
      <c r="AD750" s="13"/>
      <c r="AE750" s="13"/>
      <c r="AF750" s="13"/>
      <c r="AG750" s="13"/>
      <c r="AH750" s="13"/>
      <c r="AI750" s="4"/>
      <c r="AJ750" s="4"/>
      <c r="AK750" s="4"/>
      <c r="AL750" s="4"/>
    </row>
    <row r="751">
      <c r="A751" s="13"/>
      <c r="B751" s="13"/>
      <c r="C751" s="13"/>
      <c r="D751" s="13"/>
      <c r="E751" s="13"/>
      <c r="F751" s="13"/>
      <c r="G751" s="13"/>
      <c r="H751" s="13"/>
      <c r="I751" s="13"/>
      <c r="J751" s="13"/>
      <c r="K751" s="13"/>
      <c r="L751" s="13"/>
      <c r="M751" s="13"/>
      <c r="N751" s="13"/>
      <c r="O751" s="13"/>
      <c r="P751" s="13"/>
      <c r="Q751" s="172"/>
      <c r="R751" s="13"/>
      <c r="S751" s="13"/>
      <c r="T751" s="13"/>
      <c r="U751" s="13"/>
      <c r="V751" s="13"/>
      <c r="W751" s="13"/>
      <c r="X751" s="13"/>
      <c r="Y751" s="13"/>
      <c r="Z751" s="13"/>
      <c r="AA751" s="13"/>
      <c r="AB751" s="13"/>
      <c r="AC751" s="13"/>
      <c r="AD751" s="13"/>
      <c r="AE751" s="13"/>
      <c r="AF751" s="13"/>
      <c r="AG751" s="13"/>
      <c r="AH751" s="13"/>
      <c r="AI751" s="4"/>
      <c r="AJ751" s="4"/>
      <c r="AK751" s="4"/>
      <c r="AL751" s="4"/>
    </row>
    <row r="752">
      <c r="A752" s="13"/>
      <c r="B752" s="13"/>
      <c r="C752" s="13"/>
      <c r="D752" s="13"/>
      <c r="E752" s="13"/>
      <c r="F752" s="13"/>
      <c r="G752" s="13"/>
      <c r="H752" s="13"/>
      <c r="I752" s="13"/>
      <c r="J752" s="13"/>
      <c r="K752" s="13"/>
      <c r="L752" s="13"/>
      <c r="M752" s="13"/>
      <c r="N752" s="13"/>
      <c r="O752" s="13"/>
      <c r="P752" s="13"/>
      <c r="Q752" s="172"/>
      <c r="R752" s="13"/>
      <c r="S752" s="13"/>
      <c r="T752" s="13"/>
      <c r="U752" s="13"/>
      <c r="V752" s="13"/>
      <c r="W752" s="13"/>
      <c r="X752" s="13"/>
      <c r="Y752" s="13"/>
      <c r="Z752" s="13"/>
      <c r="AA752" s="13"/>
      <c r="AB752" s="13"/>
      <c r="AC752" s="13"/>
      <c r="AD752" s="13"/>
      <c r="AE752" s="13"/>
      <c r="AF752" s="13"/>
      <c r="AG752" s="13"/>
      <c r="AH752" s="13"/>
      <c r="AI752" s="4"/>
      <c r="AJ752" s="4"/>
      <c r="AK752" s="4"/>
      <c r="AL752" s="4"/>
    </row>
    <row r="753">
      <c r="A753" s="13"/>
      <c r="B753" s="13"/>
      <c r="C753" s="13"/>
      <c r="D753" s="13"/>
      <c r="E753" s="13"/>
      <c r="F753" s="13"/>
      <c r="G753" s="13"/>
      <c r="H753" s="13"/>
      <c r="I753" s="13"/>
      <c r="J753" s="13"/>
      <c r="K753" s="13"/>
      <c r="L753" s="13"/>
      <c r="M753" s="13"/>
      <c r="N753" s="13"/>
      <c r="O753" s="13"/>
      <c r="P753" s="13"/>
      <c r="Q753" s="172"/>
      <c r="R753" s="13"/>
      <c r="S753" s="13"/>
      <c r="T753" s="13"/>
      <c r="U753" s="13"/>
      <c r="V753" s="13"/>
      <c r="W753" s="13"/>
      <c r="X753" s="13"/>
      <c r="Y753" s="13"/>
      <c r="Z753" s="13"/>
      <c r="AA753" s="13"/>
      <c r="AB753" s="13"/>
      <c r="AC753" s="13"/>
      <c r="AD753" s="13"/>
      <c r="AE753" s="13"/>
      <c r="AF753" s="13"/>
      <c r="AG753" s="13"/>
      <c r="AH753" s="13"/>
      <c r="AI753" s="4"/>
      <c r="AJ753" s="4"/>
      <c r="AK753" s="4"/>
      <c r="AL753" s="4"/>
    </row>
    <row r="754">
      <c r="A754" s="13"/>
      <c r="B754" s="13"/>
      <c r="C754" s="13"/>
      <c r="D754" s="13"/>
      <c r="E754" s="13"/>
      <c r="F754" s="13"/>
      <c r="G754" s="13"/>
      <c r="H754" s="13"/>
      <c r="I754" s="13"/>
      <c r="J754" s="13"/>
      <c r="K754" s="13"/>
      <c r="L754" s="13"/>
      <c r="M754" s="13"/>
      <c r="N754" s="13"/>
      <c r="O754" s="13"/>
      <c r="P754" s="13"/>
      <c r="Q754" s="172"/>
      <c r="R754" s="13"/>
      <c r="S754" s="13"/>
      <c r="T754" s="13"/>
      <c r="U754" s="13"/>
      <c r="V754" s="13"/>
      <c r="W754" s="13"/>
      <c r="X754" s="13"/>
      <c r="Y754" s="13"/>
      <c r="Z754" s="13"/>
      <c r="AA754" s="13"/>
      <c r="AB754" s="13"/>
      <c r="AC754" s="13"/>
      <c r="AD754" s="13"/>
      <c r="AE754" s="13"/>
      <c r="AF754" s="13"/>
      <c r="AG754" s="13"/>
      <c r="AH754" s="13"/>
      <c r="AI754" s="4"/>
      <c r="AJ754" s="4"/>
      <c r="AK754" s="4"/>
      <c r="AL754" s="4"/>
    </row>
    <row r="755">
      <c r="A755" s="13"/>
      <c r="B755" s="13"/>
      <c r="C755" s="13"/>
      <c r="D755" s="13"/>
      <c r="E755" s="13"/>
      <c r="F755" s="13"/>
      <c r="G755" s="13"/>
      <c r="H755" s="13"/>
      <c r="I755" s="13"/>
      <c r="J755" s="13"/>
      <c r="K755" s="13"/>
      <c r="L755" s="13"/>
      <c r="M755" s="13"/>
      <c r="N755" s="13"/>
      <c r="O755" s="13"/>
      <c r="P755" s="13"/>
      <c r="Q755" s="172"/>
      <c r="R755" s="13"/>
      <c r="S755" s="13"/>
      <c r="T755" s="13"/>
      <c r="U755" s="13"/>
      <c r="V755" s="13"/>
      <c r="W755" s="13"/>
      <c r="X755" s="13"/>
      <c r="Y755" s="13"/>
      <c r="Z755" s="13"/>
      <c r="AA755" s="13"/>
      <c r="AB755" s="13"/>
      <c r="AC755" s="13"/>
      <c r="AD755" s="13"/>
      <c r="AE755" s="13"/>
      <c r="AF755" s="13"/>
      <c r="AG755" s="13"/>
      <c r="AH755" s="13"/>
      <c r="AI755" s="4"/>
      <c r="AJ755" s="4"/>
      <c r="AK755" s="4"/>
      <c r="AL755" s="4"/>
    </row>
    <row r="756">
      <c r="A756" s="13"/>
      <c r="B756" s="13"/>
      <c r="C756" s="13"/>
      <c r="D756" s="13"/>
      <c r="E756" s="13"/>
      <c r="F756" s="13"/>
      <c r="G756" s="13"/>
      <c r="H756" s="13"/>
      <c r="I756" s="13"/>
      <c r="J756" s="13"/>
      <c r="K756" s="13"/>
      <c r="L756" s="13"/>
      <c r="M756" s="13"/>
      <c r="N756" s="13"/>
      <c r="O756" s="13"/>
      <c r="P756" s="13"/>
      <c r="Q756" s="172"/>
      <c r="R756" s="13"/>
      <c r="S756" s="13"/>
      <c r="T756" s="13"/>
      <c r="U756" s="13"/>
      <c r="V756" s="13"/>
      <c r="W756" s="13"/>
      <c r="X756" s="13"/>
      <c r="Y756" s="13"/>
      <c r="Z756" s="13"/>
      <c r="AA756" s="13"/>
      <c r="AB756" s="13"/>
      <c r="AC756" s="13"/>
      <c r="AD756" s="13"/>
      <c r="AE756" s="13"/>
      <c r="AF756" s="13"/>
      <c r="AG756" s="13"/>
      <c r="AH756" s="13"/>
      <c r="AI756" s="4"/>
      <c r="AJ756" s="4"/>
      <c r="AK756" s="4"/>
      <c r="AL756" s="4"/>
    </row>
    <row r="757">
      <c r="A757" s="13"/>
      <c r="B757" s="13"/>
      <c r="C757" s="13"/>
      <c r="D757" s="13"/>
      <c r="E757" s="13"/>
      <c r="F757" s="13"/>
      <c r="G757" s="13"/>
      <c r="H757" s="13"/>
      <c r="I757" s="13"/>
      <c r="J757" s="13"/>
      <c r="K757" s="13"/>
      <c r="L757" s="13"/>
      <c r="M757" s="13"/>
      <c r="N757" s="13"/>
      <c r="O757" s="13"/>
      <c r="P757" s="13"/>
      <c r="Q757" s="172"/>
      <c r="R757" s="13"/>
      <c r="S757" s="13"/>
      <c r="T757" s="13"/>
      <c r="U757" s="13"/>
      <c r="V757" s="13"/>
      <c r="W757" s="13"/>
      <c r="X757" s="13"/>
      <c r="Y757" s="13"/>
      <c r="Z757" s="13"/>
      <c r="AA757" s="13"/>
      <c r="AB757" s="13"/>
      <c r="AC757" s="13"/>
      <c r="AD757" s="13"/>
      <c r="AE757" s="13"/>
      <c r="AF757" s="13"/>
      <c r="AG757" s="13"/>
      <c r="AH757" s="13"/>
      <c r="AI757" s="4"/>
      <c r="AJ757" s="4"/>
      <c r="AK757" s="4"/>
      <c r="AL757" s="4"/>
    </row>
    <row r="758">
      <c r="A758" s="13"/>
      <c r="B758" s="13"/>
      <c r="C758" s="13"/>
      <c r="D758" s="13"/>
      <c r="E758" s="13"/>
      <c r="F758" s="13"/>
      <c r="G758" s="13"/>
      <c r="H758" s="13"/>
      <c r="I758" s="13"/>
      <c r="J758" s="13"/>
      <c r="K758" s="13"/>
      <c r="L758" s="13"/>
      <c r="M758" s="13"/>
      <c r="N758" s="13"/>
      <c r="O758" s="13"/>
      <c r="P758" s="13"/>
      <c r="Q758" s="172"/>
      <c r="R758" s="13"/>
      <c r="S758" s="13"/>
      <c r="T758" s="13"/>
      <c r="U758" s="13"/>
      <c r="V758" s="13"/>
      <c r="W758" s="13"/>
      <c r="X758" s="13"/>
      <c r="Y758" s="13"/>
      <c r="Z758" s="13"/>
      <c r="AA758" s="13"/>
      <c r="AB758" s="13"/>
      <c r="AC758" s="13"/>
      <c r="AD758" s="13"/>
      <c r="AE758" s="13"/>
      <c r="AF758" s="13"/>
      <c r="AG758" s="13"/>
      <c r="AH758" s="13"/>
      <c r="AI758" s="4"/>
      <c r="AJ758" s="4"/>
      <c r="AK758" s="4"/>
      <c r="AL758" s="4"/>
    </row>
    <row r="759">
      <c r="A759" s="13"/>
      <c r="B759" s="13"/>
      <c r="C759" s="13"/>
      <c r="D759" s="13"/>
      <c r="E759" s="13"/>
      <c r="F759" s="13"/>
      <c r="G759" s="13"/>
      <c r="H759" s="13"/>
      <c r="I759" s="13"/>
      <c r="J759" s="13"/>
      <c r="K759" s="13"/>
      <c r="L759" s="13"/>
      <c r="M759" s="13"/>
      <c r="N759" s="13"/>
      <c r="O759" s="13"/>
      <c r="P759" s="13"/>
      <c r="Q759" s="172"/>
      <c r="R759" s="13"/>
      <c r="S759" s="13"/>
      <c r="T759" s="13"/>
      <c r="U759" s="13"/>
      <c r="V759" s="13"/>
      <c r="W759" s="13"/>
      <c r="X759" s="13"/>
      <c r="Y759" s="13"/>
      <c r="Z759" s="13"/>
      <c r="AA759" s="13"/>
      <c r="AB759" s="13"/>
      <c r="AC759" s="13"/>
      <c r="AD759" s="13"/>
      <c r="AE759" s="13"/>
      <c r="AF759" s="13"/>
      <c r="AG759" s="13"/>
      <c r="AH759" s="13"/>
      <c r="AI759" s="4"/>
      <c r="AJ759" s="4"/>
      <c r="AK759" s="4"/>
      <c r="AL759" s="4"/>
    </row>
    <row r="760">
      <c r="A760" s="13"/>
      <c r="B760" s="13"/>
      <c r="C760" s="13"/>
      <c r="D760" s="13"/>
      <c r="E760" s="13"/>
      <c r="F760" s="13"/>
      <c r="G760" s="13"/>
      <c r="H760" s="13"/>
      <c r="I760" s="13"/>
      <c r="J760" s="13"/>
      <c r="K760" s="13"/>
      <c r="L760" s="13"/>
      <c r="M760" s="13"/>
      <c r="N760" s="13"/>
      <c r="O760" s="13"/>
      <c r="P760" s="13"/>
      <c r="Q760" s="172"/>
      <c r="R760" s="13"/>
      <c r="S760" s="13"/>
      <c r="T760" s="13"/>
      <c r="U760" s="13"/>
      <c r="V760" s="13"/>
      <c r="W760" s="13"/>
      <c r="X760" s="13"/>
      <c r="Y760" s="13"/>
      <c r="Z760" s="13"/>
      <c r="AA760" s="13"/>
      <c r="AB760" s="13"/>
      <c r="AC760" s="13"/>
      <c r="AD760" s="13"/>
      <c r="AE760" s="13"/>
      <c r="AF760" s="13"/>
      <c r="AG760" s="13"/>
      <c r="AH760" s="13"/>
      <c r="AI760" s="4"/>
      <c r="AJ760" s="4"/>
      <c r="AK760" s="4"/>
      <c r="AL760" s="4"/>
    </row>
    <row r="761">
      <c r="A761" s="13"/>
      <c r="B761" s="13"/>
      <c r="C761" s="13"/>
      <c r="D761" s="13"/>
      <c r="E761" s="13"/>
      <c r="F761" s="13"/>
      <c r="G761" s="13"/>
      <c r="H761" s="13"/>
      <c r="I761" s="13"/>
      <c r="J761" s="13"/>
      <c r="K761" s="13"/>
      <c r="L761" s="13"/>
      <c r="M761" s="13"/>
      <c r="N761" s="13"/>
      <c r="O761" s="13"/>
      <c r="P761" s="13"/>
      <c r="Q761" s="172"/>
      <c r="R761" s="13"/>
      <c r="S761" s="13"/>
      <c r="T761" s="13"/>
      <c r="U761" s="13"/>
      <c r="V761" s="13"/>
      <c r="W761" s="13"/>
      <c r="X761" s="13"/>
      <c r="Y761" s="13"/>
      <c r="Z761" s="13"/>
      <c r="AA761" s="13"/>
      <c r="AB761" s="13"/>
      <c r="AC761" s="13"/>
      <c r="AD761" s="13"/>
      <c r="AE761" s="13"/>
      <c r="AF761" s="13"/>
      <c r="AG761" s="13"/>
      <c r="AH761" s="13"/>
      <c r="AI761" s="4"/>
      <c r="AJ761" s="4"/>
      <c r="AK761" s="4"/>
      <c r="AL761" s="4"/>
    </row>
    <row r="762">
      <c r="A762" s="13"/>
      <c r="B762" s="13"/>
      <c r="C762" s="13"/>
      <c r="D762" s="13"/>
      <c r="E762" s="13"/>
      <c r="F762" s="13"/>
      <c r="G762" s="13"/>
      <c r="H762" s="13"/>
      <c r="I762" s="13"/>
      <c r="J762" s="13"/>
      <c r="K762" s="13"/>
      <c r="L762" s="13"/>
      <c r="M762" s="13"/>
      <c r="N762" s="13"/>
      <c r="O762" s="13"/>
      <c r="P762" s="13"/>
      <c r="Q762" s="172"/>
      <c r="R762" s="13"/>
      <c r="S762" s="13"/>
      <c r="T762" s="13"/>
      <c r="U762" s="13"/>
      <c r="V762" s="13"/>
      <c r="W762" s="13"/>
      <c r="X762" s="13"/>
      <c r="Y762" s="13"/>
      <c r="Z762" s="13"/>
      <c r="AA762" s="13"/>
      <c r="AB762" s="13"/>
      <c r="AC762" s="13"/>
      <c r="AD762" s="13"/>
      <c r="AE762" s="13"/>
      <c r="AF762" s="13"/>
      <c r="AG762" s="13"/>
      <c r="AH762" s="13"/>
      <c r="AI762" s="4"/>
      <c r="AJ762" s="4"/>
      <c r="AK762" s="4"/>
      <c r="AL762" s="4"/>
    </row>
    <row r="763">
      <c r="A763" s="13"/>
      <c r="B763" s="13"/>
      <c r="C763" s="13"/>
      <c r="D763" s="13"/>
      <c r="E763" s="13"/>
      <c r="F763" s="13"/>
      <c r="G763" s="13"/>
      <c r="H763" s="13"/>
      <c r="I763" s="13"/>
      <c r="J763" s="13"/>
      <c r="K763" s="13"/>
      <c r="L763" s="13"/>
      <c r="M763" s="13"/>
      <c r="N763" s="13"/>
      <c r="O763" s="13"/>
      <c r="P763" s="13"/>
      <c r="Q763" s="172"/>
      <c r="R763" s="13"/>
      <c r="S763" s="13"/>
      <c r="T763" s="13"/>
      <c r="U763" s="13"/>
      <c r="V763" s="13"/>
      <c r="W763" s="13"/>
      <c r="X763" s="13"/>
      <c r="Y763" s="13"/>
      <c r="Z763" s="13"/>
      <c r="AA763" s="13"/>
      <c r="AB763" s="13"/>
      <c r="AC763" s="13"/>
      <c r="AD763" s="13"/>
      <c r="AE763" s="13"/>
      <c r="AF763" s="13"/>
      <c r="AG763" s="13"/>
      <c r="AH763" s="13"/>
      <c r="AI763" s="4"/>
      <c r="AJ763" s="4"/>
      <c r="AK763" s="4"/>
      <c r="AL763" s="4"/>
    </row>
    <row r="764">
      <c r="A764" s="13"/>
      <c r="B764" s="13"/>
      <c r="C764" s="13"/>
      <c r="D764" s="13"/>
      <c r="E764" s="13"/>
      <c r="F764" s="13"/>
      <c r="G764" s="13"/>
      <c r="H764" s="13"/>
      <c r="I764" s="13"/>
      <c r="J764" s="13"/>
      <c r="K764" s="13"/>
      <c r="L764" s="13"/>
      <c r="M764" s="13"/>
      <c r="N764" s="13"/>
      <c r="O764" s="13"/>
      <c r="P764" s="13"/>
      <c r="Q764" s="172"/>
      <c r="R764" s="13"/>
      <c r="S764" s="13"/>
      <c r="T764" s="13"/>
      <c r="U764" s="13"/>
      <c r="V764" s="13"/>
      <c r="W764" s="13"/>
      <c r="X764" s="13"/>
      <c r="Y764" s="13"/>
      <c r="Z764" s="13"/>
      <c r="AA764" s="13"/>
      <c r="AB764" s="13"/>
      <c r="AC764" s="13"/>
      <c r="AD764" s="13"/>
      <c r="AE764" s="13"/>
      <c r="AF764" s="13"/>
      <c r="AG764" s="13"/>
      <c r="AH764" s="13"/>
      <c r="AI764" s="4"/>
      <c r="AJ764" s="4"/>
      <c r="AK764" s="4"/>
      <c r="AL764" s="4"/>
    </row>
    <row r="765">
      <c r="A765" s="13"/>
      <c r="B765" s="13"/>
      <c r="C765" s="13"/>
      <c r="D765" s="13"/>
      <c r="E765" s="13"/>
      <c r="F765" s="13"/>
      <c r="G765" s="13"/>
      <c r="H765" s="13"/>
      <c r="I765" s="13"/>
      <c r="J765" s="13"/>
      <c r="K765" s="13"/>
      <c r="L765" s="13"/>
      <c r="M765" s="13"/>
      <c r="N765" s="13"/>
      <c r="O765" s="13"/>
      <c r="P765" s="13"/>
      <c r="Q765" s="172"/>
      <c r="R765" s="13"/>
      <c r="S765" s="13"/>
      <c r="T765" s="13"/>
      <c r="U765" s="13"/>
      <c r="V765" s="13"/>
      <c r="W765" s="13"/>
      <c r="X765" s="13"/>
      <c r="Y765" s="13"/>
      <c r="Z765" s="13"/>
      <c r="AA765" s="13"/>
      <c r="AB765" s="13"/>
      <c r="AC765" s="13"/>
      <c r="AD765" s="13"/>
      <c r="AE765" s="13"/>
      <c r="AF765" s="13"/>
      <c r="AG765" s="13"/>
      <c r="AH765" s="13"/>
      <c r="AI765" s="4"/>
      <c r="AJ765" s="4"/>
      <c r="AK765" s="4"/>
      <c r="AL765" s="4"/>
    </row>
    <row r="766">
      <c r="A766" s="13"/>
      <c r="B766" s="13"/>
      <c r="C766" s="13"/>
      <c r="D766" s="13"/>
      <c r="E766" s="13"/>
      <c r="F766" s="13"/>
      <c r="G766" s="13"/>
      <c r="H766" s="13"/>
      <c r="I766" s="13"/>
      <c r="J766" s="13"/>
      <c r="K766" s="13"/>
      <c r="L766" s="13"/>
      <c r="M766" s="13"/>
      <c r="N766" s="13"/>
      <c r="O766" s="13"/>
      <c r="P766" s="13"/>
      <c r="Q766" s="172"/>
      <c r="R766" s="13"/>
      <c r="S766" s="13"/>
      <c r="T766" s="13"/>
      <c r="U766" s="13"/>
      <c r="V766" s="13"/>
      <c r="W766" s="13"/>
      <c r="X766" s="13"/>
      <c r="Y766" s="13"/>
      <c r="Z766" s="13"/>
      <c r="AA766" s="13"/>
      <c r="AB766" s="13"/>
      <c r="AC766" s="13"/>
      <c r="AD766" s="13"/>
      <c r="AE766" s="13"/>
      <c r="AF766" s="13"/>
      <c r="AG766" s="13"/>
      <c r="AH766" s="13"/>
      <c r="AI766" s="4"/>
      <c r="AJ766" s="4"/>
      <c r="AK766" s="4"/>
      <c r="AL766" s="4"/>
    </row>
    <row r="767">
      <c r="A767" s="13"/>
      <c r="B767" s="13"/>
      <c r="C767" s="13"/>
      <c r="D767" s="13"/>
      <c r="E767" s="13"/>
      <c r="F767" s="13"/>
      <c r="G767" s="13"/>
      <c r="H767" s="13"/>
      <c r="I767" s="13"/>
      <c r="J767" s="13"/>
      <c r="K767" s="13"/>
      <c r="L767" s="13"/>
      <c r="M767" s="13"/>
      <c r="N767" s="13"/>
      <c r="O767" s="13"/>
      <c r="P767" s="13"/>
      <c r="Q767" s="172"/>
      <c r="R767" s="13"/>
      <c r="S767" s="13"/>
      <c r="T767" s="13"/>
      <c r="U767" s="13"/>
      <c r="V767" s="13"/>
      <c r="W767" s="13"/>
      <c r="X767" s="13"/>
      <c r="Y767" s="13"/>
      <c r="Z767" s="13"/>
      <c r="AA767" s="13"/>
      <c r="AB767" s="13"/>
      <c r="AC767" s="13"/>
      <c r="AD767" s="13"/>
      <c r="AE767" s="13"/>
      <c r="AF767" s="13"/>
      <c r="AG767" s="13"/>
      <c r="AH767" s="13"/>
      <c r="AI767" s="4"/>
      <c r="AJ767" s="4"/>
      <c r="AK767" s="4"/>
      <c r="AL767" s="4"/>
    </row>
    <row r="768">
      <c r="A768" s="13"/>
      <c r="B768" s="13"/>
      <c r="C768" s="13"/>
      <c r="D768" s="13"/>
      <c r="E768" s="13"/>
      <c r="F768" s="13"/>
      <c r="G768" s="13"/>
      <c r="H768" s="13"/>
      <c r="I768" s="13"/>
      <c r="J768" s="13"/>
      <c r="K768" s="13"/>
      <c r="L768" s="13"/>
      <c r="M768" s="13"/>
      <c r="N768" s="13"/>
      <c r="O768" s="13"/>
      <c r="P768" s="13"/>
      <c r="Q768" s="172"/>
      <c r="R768" s="13"/>
      <c r="S768" s="13"/>
      <c r="T768" s="13"/>
      <c r="U768" s="13"/>
      <c r="V768" s="13"/>
      <c r="W768" s="13"/>
      <c r="X768" s="13"/>
      <c r="Y768" s="13"/>
      <c r="Z768" s="13"/>
      <c r="AA768" s="13"/>
      <c r="AB768" s="13"/>
      <c r="AC768" s="13"/>
      <c r="AD768" s="13"/>
      <c r="AE768" s="13"/>
      <c r="AF768" s="13"/>
      <c r="AG768" s="13"/>
      <c r="AH768" s="13"/>
      <c r="AI768" s="4"/>
      <c r="AJ768" s="4"/>
      <c r="AK768" s="4"/>
      <c r="AL768" s="4"/>
    </row>
    <row r="769">
      <c r="A769" s="13"/>
      <c r="B769" s="13"/>
      <c r="C769" s="13"/>
      <c r="D769" s="13"/>
      <c r="E769" s="13"/>
      <c r="F769" s="13"/>
      <c r="G769" s="13"/>
      <c r="H769" s="13"/>
      <c r="I769" s="13"/>
      <c r="J769" s="13"/>
      <c r="K769" s="13"/>
      <c r="L769" s="13"/>
      <c r="M769" s="13"/>
      <c r="N769" s="13"/>
      <c r="O769" s="13"/>
      <c r="P769" s="13"/>
      <c r="Q769" s="172"/>
      <c r="R769" s="13"/>
      <c r="S769" s="13"/>
      <c r="T769" s="13"/>
      <c r="U769" s="13"/>
      <c r="V769" s="13"/>
      <c r="W769" s="13"/>
      <c r="X769" s="13"/>
      <c r="Y769" s="13"/>
      <c r="Z769" s="13"/>
      <c r="AA769" s="13"/>
      <c r="AB769" s="13"/>
      <c r="AC769" s="13"/>
      <c r="AD769" s="13"/>
      <c r="AE769" s="13"/>
      <c r="AF769" s="13"/>
      <c r="AG769" s="13"/>
      <c r="AH769" s="13"/>
      <c r="AI769" s="4"/>
      <c r="AJ769" s="4"/>
      <c r="AK769" s="4"/>
      <c r="AL769" s="4"/>
    </row>
    <row r="770">
      <c r="A770" s="13"/>
      <c r="B770" s="13"/>
      <c r="C770" s="13"/>
      <c r="D770" s="13"/>
      <c r="E770" s="13"/>
      <c r="F770" s="13"/>
      <c r="G770" s="13"/>
      <c r="H770" s="13"/>
      <c r="I770" s="13"/>
      <c r="J770" s="13"/>
      <c r="K770" s="13"/>
      <c r="L770" s="13"/>
      <c r="M770" s="13"/>
      <c r="N770" s="13"/>
      <c r="O770" s="13"/>
      <c r="P770" s="13"/>
      <c r="Q770" s="172"/>
      <c r="R770" s="13"/>
      <c r="S770" s="13"/>
      <c r="T770" s="13"/>
      <c r="U770" s="13"/>
      <c r="V770" s="13"/>
      <c r="W770" s="13"/>
      <c r="X770" s="13"/>
      <c r="Y770" s="13"/>
      <c r="Z770" s="13"/>
      <c r="AA770" s="13"/>
      <c r="AB770" s="13"/>
      <c r="AC770" s="13"/>
      <c r="AD770" s="13"/>
      <c r="AE770" s="13"/>
      <c r="AF770" s="13"/>
      <c r="AG770" s="13"/>
      <c r="AH770" s="13"/>
      <c r="AI770" s="4"/>
      <c r="AJ770" s="4"/>
      <c r="AK770" s="4"/>
      <c r="AL770" s="4"/>
    </row>
    <row r="771">
      <c r="A771" s="13"/>
      <c r="B771" s="13"/>
      <c r="C771" s="13"/>
      <c r="D771" s="13"/>
      <c r="E771" s="13"/>
      <c r="F771" s="13"/>
      <c r="G771" s="13"/>
      <c r="H771" s="13"/>
      <c r="I771" s="13"/>
      <c r="J771" s="13"/>
      <c r="K771" s="13"/>
      <c r="L771" s="13"/>
      <c r="M771" s="13"/>
      <c r="N771" s="13"/>
      <c r="O771" s="13"/>
      <c r="P771" s="13"/>
      <c r="Q771" s="172"/>
      <c r="R771" s="13"/>
      <c r="S771" s="13"/>
      <c r="T771" s="13"/>
      <c r="U771" s="13"/>
      <c r="V771" s="13"/>
      <c r="W771" s="13"/>
      <c r="X771" s="13"/>
      <c r="Y771" s="13"/>
      <c r="Z771" s="13"/>
      <c r="AA771" s="13"/>
      <c r="AB771" s="13"/>
      <c r="AC771" s="13"/>
      <c r="AD771" s="13"/>
      <c r="AE771" s="13"/>
      <c r="AF771" s="13"/>
      <c r="AG771" s="13"/>
      <c r="AH771" s="13"/>
      <c r="AI771" s="4"/>
      <c r="AJ771" s="4"/>
      <c r="AK771" s="4"/>
      <c r="AL771" s="4"/>
    </row>
    <row r="772">
      <c r="A772" s="13"/>
      <c r="B772" s="13"/>
      <c r="C772" s="13"/>
      <c r="D772" s="13"/>
      <c r="E772" s="13"/>
      <c r="F772" s="13"/>
      <c r="G772" s="13"/>
      <c r="H772" s="13"/>
      <c r="I772" s="13"/>
      <c r="J772" s="13"/>
      <c r="K772" s="13"/>
      <c r="L772" s="13"/>
      <c r="M772" s="13"/>
      <c r="N772" s="13"/>
      <c r="O772" s="13"/>
      <c r="P772" s="13"/>
      <c r="Q772" s="172"/>
      <c r="R772" s="13"/>
      <c r="S772" s="13"/>
      <c r="T772" s="13"/>
      <c r="U772" s="13"/>
      <c r="V772" s="13"/>
      <c r="W772" s="13"/>
      <c r="X772" s="13"/>
      <c r="Y772" s="13"/>
      <c r="Z772" s="13"/>
      <c r="AA772" s="13"/>
      <c r="AB772" s="13"/>
      <c r="AC772" s="13"/>
      <c r="AD772" s="13"/>
      <c r="AE772" s="13"/>
      <c r="AF772" s="13"/>
      <c r="AG772" s="13"/>
      <c r="AH772" s="13"/>
      <c r="AI772" s="4"/>
      <c r="AJ772" s="4"/>
      <c r="AK772" s="4"/>
      <c r="AL772" s="4"/>
    </row>
    <row r="773">
      <c r="A773" s="13"/>
      <c r="B773" s="13"/>
      <c r="C773" s="13"/>
      <c r="D773" s="13"/>
      <c r="E773" s="13"/>
      <c r="F773" s="13"/>
      <c r="G773" s="13"/>
      <c r="H773" s="13"/>
      <c r="I773" s="13"/>
      <c r="J773" s="13"/>
      <c r="K773" s="13"/>
      <c r="L773" s="13"/>
      <c r="M773" s="13"/>
      <c r="N773" s="13"/>
      <c r="O773" s="13"/>
      <c r="P773" s="13"/>
      <c r="Q773" s="172"/>
      <c r="R773" s="13"/>
      <c r="S773" s="13"/>
      <c r="T773" s="13"/>
      <c r="U773" s="13"/>
      <c r="V773" s="13"/>
      <c r="W773" s="13"/>
      <c r="X773" s="13"/>
      <c r="Y773" s="13"/>
      <c r="Z773" s="13"/>
      <c r="AA773" s="13"/>
      <c r="AB773" s="13"/>
      <c r="AC773" s="13"/>
      <c r="AD773" s="13"/>
      <c r="AE773" s="13"/>
      <c r="AF773" s="13"/>
      <c r="AG773" s="13"/>
      <c r="AH773" s="13"/>
      <c r="AI773" s="4"/>
      <c r="AJ773" s="4"/>
      <c r="AK773" s="4"/>
      <c r="AL773" s="4"/>
    </row>
    <row r="774">
      <c r="A774" s="13"/>
      <c r="B774" s="13"/>
      <c r="C774" s="13"/>
      <c r="D774" s="13"/>
      <c r="E774" s="13"/>
      <c r="F774" s="13"/>
      <c r="G774" s="13"/>
      <c r="H774" s="13"/>
      <c r="I774" s="13"/>
      <c r="J774" s="13"/>
      <c r="K774" s="13"/>
      <c r="L774" s="13"/>
      <c r="M774" s="13"/>
      <c r="N774" s="13"/>
      <c r="O774" s="13"/>
      <c r="P774" s="13"/>
      <c r="Q774" s="172"/>
      <c r="R774" s="13"/>
      <c r="S774" s="13"/>
      <c r="T774" s="13"/>
      <c r="U774" s="13"/>
      <c r="V774" s="13"/>
      <c r="W774" s="13"/>
      <c r="X774" s="13"/>
      <c r="Y774" s="13"/>
      <c r="Z774" s="13"/>
      <c r="AA774" s="13"/>
      <c r="AB774" s="13"/>
      <c r="AC774" s="13"/>
      <c r="AD774" s="13"/>
      <c r="AE774" s="13"/>
      <c r="AF774" s="13"/>
      <c r="AG774" s="13"/>
      <c r="AH774" s="13"/>
      <c r="AI774" s="4"/>
      <c r="AJ774" s="4"/>
      <c r="AK774" s="4"/>
      <c r="AL774" s="4"/>
    </row>
    <row r="775">
      <c r="A775" s="13"/>
      <c r="B775" s="13"/>
      <c r="C775" s="13"/>
      <c r="D775" s="13"/>
      <c r="E775" s="13"/>
      <c r="F775" s="13"/>
      <c r="G775" s="13"/>
      <c r="H775" s="13"/>
      <c r="I775" s="13"/>
      <c r="J775" s="13"/>
      <c r="K775" s="13"/>
      <c r="L775" s="13"/>
      <c r="M775" s="13"/>
      <c r="N775" s="13"/>
      <c r="O775" s="13"/>
      <c r="P775" s="13"/>
      <c r="Q775" s="172"/>
      <c r="R775" s="13"/>
      <c r="S775" s="13"/>
      <c r="T775" s="13"/>
      <c r="U775" s="13"/>
      <c r="V775" s="13"/>
      <c r="W775" s="13"/>
      <c r="X775" s="13"/>
      <c r="Y775" s="13"/>
      <c r="Z775" s="13"/>
      <c r="AA775" s="13"/>
      <c r="AB775" s="13"/>
      <c r="AC775" s="13"/>
      <c r="AD775" s="13"/>
      <c r="AE775" s="13"/>
      <c r="AF775" s="13"/>
      <c r="AG775" s="13"/>
      <c r="AH775" s="13"/>
      <c r="AI775" s="4"/>
      <c r="AJ775" s="4"/>
      <c r="AK775" s="4"/>
      <c r="AL775" s="4"/>
    </row>
    <row r="776">
      <c r="A776" s="13"/>
      <c r="B776" s="13"/>
      <c r="C776" s="13"/>
      <c r="D776" s="13"/>
      <c r="E776" s="13"/>
      <c r="F776" s="13"/>
      <c r="G776" s="13"/>
      <c r="H776" s="13"/>
      <c r="I776" s="13"/>
      <c r="J776" s="13"/>
      <c r="K776" s="13"/>
      <c r="L776" s="13"/>
      <c r="M776" s="13"/>
      <c r="N776" s="13"/>
      <c r="O776" s="13"/>
      <c r="P776" s="13"/>
      <c r="Q776" s="172"/>
      <c r="R776" s="13"/>
      <c r="S776" s="13"/>
      <c r="T776" s="13"/>
      <c r="U776" s="13"/>
      <c r="V776" s="13"/>
      <c r="W776" s="13"/>
      <c r="X776" s="13"/>
      <c r="Y776" s="13"/>
      <c r="Z776" s="13"/>
      <c r="AA776" s="13"/>
      <c r="AB776" s="13"/>
      <c r="AC776" s="13"/>
      <c r="AD776" s="13"/>
      <c r="AE776" s="13"/>
      <c r="AF776" s="13"/>
      <c r="AG776" s="13"/>
      <c r="AH776" s="13"/>
      <c r="AI776" s="4"/>
      <c r="AJ776" s="4"/>
      <c r="AK776" s="4"/>
      <c r="AL776" s="4"/>
    </row>
    <row r="777">
      <c r="A777" s="13"/>
      <c r="B777" s="13"/>
      <c r="C777" s="13"/>
      <c r="D777" s="13"/>
      <c r="E777" s="13"/>
      <c r="F777" s="13"/>
      <c r="G777" s="13"/>
      <c r="H777" s="13"/>
      <c r="I777" s="13"/>
      <c r="J777" s="13"/>
      <c r="K777" s="13"/>
      <c r="L777" s="13"/>
      <c r="M777" s="13"/>
      <c r="N777" s="13"/>
      <c r="O777" s="13"/>
      <c r="P777" s="13"/>
      <c r="Q777" s="172"/>
      <c r="R777" s="13"/>
      <c r="S777" s="13"/>
      <c r="T777" s="13"/>
      <c r="U777" s="13"/>
      <c r="V777" s="13"/>
      <c r="W777" s="13"/>
      <c r="X777" s="13"/>
      <c r="Y777" s="13"/>
      <c r="Z777" s="13"/>
      <c r="AA777" s="13"/>
      <c r="AB777" s="13"/>
      <c r="AC777" s="13"/>
      <c r="AD777" s="13"/>
      <c r="AE777" s="13"/>
      <c r="AF777" s="13"/>
      <c r="AG777" s="13"/>
      <c r="AH777" s="13"/>
      <c r="AI777" s="4"/>
      <c r="AJ777" s="4"/>
      <c r="AK777" s="4"/>
      <c r="AL777" s="4"/>
    </row>
    <row r="778">
      <c r="A778" s="13"/>
      <c r="B778" s="13"/>
      <c r="C778" s="13"/>
      <c r="D778" s="13"/>
      <c r="E778" s="13"/>
      <c r="F778" s="13"/>
      <c r="G778" s="13"/>
      <c r="H778" s="13"/>
      <c r="I778" s="13"/>
      <c r="J778" s="13"/>
      <c r="K778" s="13"/>
      <c r="L778" s="13"/>
      <c r="M778" s="13"/>
      <c r="N778" s="13"/>
      <c r="O778" s="13"/>
      <c r="P778" s="13"/>
      <c r="Q778" s="172"/>
      <c r="R778" s="13"/>
      <c r="S778" s="13"/>
      <c r="T778" s="13"/>
      <c r="U778" s="13"/>
      <c r="V778" s="13"/>
      <c r="W778" s="13"/>
      <c r="X778" s="13"/>
      <c r="Y778" s="13"/>
      <c r="Z778" s="13"/>
      <c r="AA778" s="13"/>
      <c r="AB778" s="13"/>
      <c r="AC778" s="13"/>
      <c r="AD778" s="13"/>
      <c r="AE778" s="13"/>
      <c r="AF778" s="13"/>
      <c r="AG778" s="13"/>
      <c r="AH778" s="13"/>
      <c r="AI778" s="4"/>
      <c r="AJ778" s="4"/>
      <c r="AK778" s="4"/>
      <c r="AL778" s="4"/>
    </row>
    <row r="779">
      <c r="A779" s="13"/>
      <c r="B779" s="13"/>
      <c r="C779" s="13"/>
      <c r="D779" s="13"/>
      <c r="E779" s="13"/>
      <c r="F779" s="13"/>
      <c r="G779" s="13"/>
      <c r="H779" s="13"/>
      <c r="I779" s="13"/>
      <c r="J779" s="13"/>
      <c r="K779" s="13"/>
      <c r="L779" s="13"/>
      <c r="M779" s="13"/>
      <c r="N779" s="13"/>
      <c r="O779" s="13"/>
      <c r="P779" s="13"/>
      <c r="Q779" s="172"/>
      <c r="R779" s="13"/>
      <c r="S779" s="13"/>
      <c r="T779" s="13"/>
      <c r="U779" s="13"/>
      <c r="V779" s="13"/>
      <c r="W779" s="13"/>
      <c r="X779" s="13"/>
      <c r="Y779" s="13"/>
      <c r="Z779" s="13"/>
      <c r="AA779" s="13"/>
      <c r="AB779" s="13"/>
      <c r="AC779" s="13"/>
      <c r="AD779" s="13"/>
      <c r="AE779" s="13"/>
      <c r="AF779" s="13"/>
      <c r="AG779" s="13"/>
      <c r="AH779" s="13"/>
      <c r="AI779" s="4"/>
      <c r="AJ779" s="4"/>
      <c r="AK779" s="4"/>
      <c r="AL779" s="4"/>
    </row>
    <row r="780">
      <c r="A780" s="13"/>
      <c r="B780" s="13"/>
      <c r="C780" s="13"/>
      <c r="D780" s="13"/>
      <c r="E780" s="13"/>
      <c r="F780" s="13"/>
      <c r="G780" s="13"/>
      <c r="H780" s="13"/>
      <c r="I780" s="13"/>
      <c r="J780" s="13"/>
      <c r="K780" s="13"/>
      <c r="L780" s="13"/>
      <c r="M780" s="13"/>
      <c r="N780" s="13"/>
      <c r="O780" s="13"/>
      <c r="P780" s="13"/>
      <c r="Q780" s="172"/>
      <c r="R780" s="13"/>
      <c r="S780" s="13"/>
      <c r="T780" s="13"/>
      <c r="U780" s="13"/>
      <c r="V780" s="13"/>
      <c r="W780" s="13"/>
      <c r="X780" s="13"/>
      <c r="Y780" s="13"/>
      <c r="Z780" s="13"/>
      <c r="AA780" s="13"/>
      <c r="AB780" s="13"/>
      <c r="AC780" s="13"/>
      <c r="AD780" s="13"/>
      <c r="AE780" s="13"/>
      <c r="AF780" s="13"/>
      <c r="AG780" s="13"/>
      <c r="AH780" s="13"/>
      <c r="AI780" s="4"/>
      <c r="AJ780" s="4"/>
      <c r="AK780" s="4"/>
      <c r="AL780" s="4"/>
    </row>
    <row r="781">
      <c r="A781" s="13"/>
      <c r="B781" s="13"/>
      <c r="C781" s="13"/>
      <c r="D781" s="13"/>
      <c r="E781" s="13"/>
      <c r="F781" s="13"/>
      <c r="G781" s="13"/>
      <c r="H781" s="13"/>
      <c r="I781" s="13"/>
      <c r="J781" s="13"/>
      <c r="K781" s="13"/>
      <c r="L781" s="13"/>
      <c r="M781" s="13"/>
      <c r="N781" s="13"/>
      <c r="O781" s="13"/>
      <c r="P781" s="13"/>
      <c r="Q781" s="172"/>
      <c r="R781" s="13"/>
      <c r="S781" s="13"/>
      <c r="T781" s="13"/>
      <c r="U781" s="13"/>
      <c r="V781" s="13"/>
      <c r="W781" s="13"/>
      <c r="X781" s="13"/>
      <c r="Y781" s="13"/>
      <c r="Z781" s="13"/>
      <c r="AA781" s="13"/>
      <c r="AB781" s="13"/>
      <c r="AC781" s="13"/>
      <c r="AD781" s="13"/>
      <c r="AE781" s="13"/>
      <c r="AF781" s="13"/>
      <c r="AG781" s="13"/>
      <c r="AH781" s="13"/>
      <c r="AI781" s="4"/>
      <c r="AJ781" s="4"/>
      <c r="AK781" s="4"/>
      <c r="AL781" s="4"/>
    </row>
    <row r="782">
      <c r="A782" s="13"/>
      <c r="B782" s="13"/>
      <c r="C782" s="13"/>
      <c r="D782" s="13"/>
      <c r="E782" s="13"/>
      <c r="F782" s="13"/>
      <c r="G782" s="13"/>
      <c r="H782" s="13"/>
      <c r="I782" s="13"/>
      <c r="J782" s="13"/>
      <c r="K782" s="13"/>
      <c r="L782" s="13"/>
      <c r="M782" s="13"/>
      <c r="N782" s="13"/>
      <c r="O782" s="13"/>
      <c r="P782" s="13"/>
      <c r="Q782" s="172"/>
      <c r="R782" s="13"/>
      <c r="S782" s="13"/>
      <c r="T782" s="13"/>
      <c r="U782" s="13"/>
      <c r="V782" s="13"/>
      <c r="W782" s="13"/>
      <c r="X782" s="13"/>
      <c r="Y782" s="13"/>
      <c r="Z782" s="13"/>
      <c r="AA782" s="13"/>
      <c r="AB782" s="13"/>
      <c r="AC782" s="13"/>
      <c r="AD782" s="13"/>
      <c r="AE782" s="13"/>
      <c r="AF782" s="13"/>
      <c r="AG782" s="13"/>
      <c r="AH782" s="13"/>
      <c r="AI782" s="4"/>
      <c r="AJ782" s="4"/>
      <c r="AK782" s="4"/>
      <c r="AL782" s="4"/>
    </row>
    <row r="783">
      <c r="A783" s="13"/>
      <c r="B783" s="13"/>
      <c r="C783" s="13"/>
      <c r="D783" s="13"/>
      <c r="E783" s="13"/>
      <c r="F783" s="13"/>
      <c r="G783" s="13"/>
      <c r="H783" s="13"/>
      <c r="I783" s="13"/>
      <c r="J783" s="13"/>
      <c r="K783" s="13"/>
      <c r="L783" s="13"/>
      <c r="M783" s="13"/>
      <c r="N783" s="13"/>
      <c r="O783" s="13"/>
      <c r="P783" s="13"/>
      <c r="Q783" s="172"/>
      <c r="R783" s="13"/>
      <c r="S783" s="13"/>
      <c r="T783" s="13"/>
      <c r="U783" s="13"/>
      <c r="V783" s="13"/>
      <c r="W783" s="13"/>
      <c r="X783" s="13"/>
      <c r="Y783" s="13"/>
      <c r="Z783" s="13"/>
      <c r="AA783" s="13"/>
      <c r="AB783" s="13"/>
      <c r="AC783" s="13"/>
      <c r="AD783" s="13"/>
      <c r="AE783" s="13"/>
      <c r="AF783" s="13"/>
      <c r="AG783" s="13"/>
      <c r="AH783" s="13"/>
      <c r="AI783" s="4"/>
      <c r="AJ783" s="4"/>
      <c r="AK783" s="4"/>
      <c r="AL783" s="4"/>
    </row>
    <row r="784">
      <c r="A784" s="13"/>
      <c r="B784" s="13"/>
      <c r="C784" s="13"/>
      <c r="D784" s="13"/>
      <c r="E784" s="13"/>
      <c r="F784" s="13"/>
      <c r="G784" s="13"/>
      <c r="H784" s="13"/>
      <c r="I784" s="13"/>
      <c r="J784" s="13"/>
      <c r="K784" s="13"/>
      <c r="L784" s="13"/>
      <c r="M784" s="13"/>
      <c r="N784" s="13"/>
      <c r="O784" s="13"/>
      <c r="P784" s="13"/>
      <c r="Q784" s="172"/>
      <c r="R784" s="13"/>
      <c r="S784" s="13"/>
      <c r="T784" s="13"/>
      <c r="U784" s="13"/>
      <c r="V784" s="13"/>
      <c r="W784" s="13"/>
      <c r="X784" s="13"/>
      <c r="Y784" s="13"/>
      <c r="Z784" s="13"/>
      <c r="AA784" s="13"/>
      <c r="AB784" s="13"/>
      <c r="AC784" s="13"/>
      <c r="AD784" s="13"/>
      <c r="AE784" s="13"/>
      <c r="AF784" s="13"/>
      <c r="AG784" s="13"/>
      <c r="AH784" s="13"/>
      <c r="AI784" s="4"/>
      <c r="AJ784" s="4"/>
      <c r="AK784" s="4"/>
      <c r="AL784" s="4"/>
    </row>
    <row r="785">
      <c r="A785" s="13"/>
      <c r="B785" s="13"/>
      <c r="C785" s="13"/>
      <c r="D785" s="13"/>
      <c r="E785" s="13"/>
      <c r="F785" s="13"/>
      <c r="G785" s="13"/>
      <c r="H785" s="13"/>
      <c r="I785" s="13"/>
      <c r="J785" s="13"/>
      <c r="K785" s="13"/>
      <c r="L785" s="13"/>
      <c r="M785" s="13"/>
      <c r="N785" s="13"/>
      <c r="O785" s="13"/>
      <c r="P785" s="13"/>
      <c r="Q785" s="172"/>
      <c r="R785" s="13"/>
      <c r="S785" s="13"/>
      <c r="T785" s="13"/>
      <c r="U785" s="13"/>
      <c r="V785" s="13"/>
      <c r="W785" s="13"/>
      <c r="X785" s="13"/>
      <c r="Y785" s="13"/>
      <c r="Z785" s="13"/>
      <c r="AA785" s="13"/>
      <c r="AB785" s="13"/>
      <c r="AC785" s="13"/>
      <c r="AD785" s="13"/>
      <c r="AE785" s="13"/>
      <c r="AF785" s="13"/>
      <c r="AG785" s="13"/>
      <c r="AH785" s="13"/>
      <c r="AI785" s="4"/>
      <c r="AJ785" s="4"/>
      <c r="AK785" s="4"/>
      <c r="AL785" s="4"/>
    </row>
    <row r="786">
      <c r="A786" s="13"/>
      <c r="B786" s="13"/>
      <c r="C786" s="13"/>
      <c r="D786" s="13"/>
      <c r="E786" s="13"/>
      <c r="F786" s="13"/>
      <c r="G786" s="13"/>
      <c r="H786" s="13"/>
      <c r="I786" s="13"/>
      <c r="J786" s="13"/>
      <c r="K786" s="13"/>
      <c r="L786" s="13"/>
      <c r="M786" s="13"/>
      <c r="N786" s="13"/>
      <c r="O786" s="13"/>
      <c r="P786" s="13"/>
      <c r="Q786" s="172"/>
      <c r="R786" s="13"/>
      <c r="S786" s="13"/>
      <c r="T786" s="13"/>
      <c r="U786" s="13"/>
      <c r="V786" s="13"/>
      <c r="W786" s="13"/>
      <c r="X786" s="13"/>
      <c r="Y786" s="13"/>
      <c r="Z786" s="13"/>
      <c r="AA786" s="13"/>
      <c r="AB786" s="13"/>
      <c r="AC786" s="13"/>
      <c r="AD786" s="13"/>
      <c r="AE786" s="13"/>
      <c r="AF786" s="13"/>
      <c r="AG786" s="13"/>
      <c r="AH786" s="13"/>
      <c r="AI786" s="4"/>
      <c r="AJ786" s="4"/>
      <c r="AK786" s="4"/>
      <c r="AL786" s="4"/>
    </row>
    <row r="787">
      <c r="A787" s="13"/>
      <c r="B787" s="13"/>
      <c r="C787" s="13"/>
      <c r="D787" s="13"/>
      <c r="E787" s="13"/>
      <c r="F787" s="13"/>
      <c r="G787" s="13"/>
      <c r="H787" s="13"/>
      <c r="I787" s="13"/>
      <c r="J787" s="13"/>
      <c r="K787" s="13"/>
      <c r="L787" s="13"/>
      <c r="M787" s="13"/>
      <c r="N787" s="13"/>
      <c r="O787" s="13"/>
      <c r="P787" s="13"/>
      <c r="Q787" s="172"/>
      <c r="R787" s="13"/>
      <c r="S787" s="13"/>
      <c r="T787" s="13"/>
      <c r="U787" s="13"/>
      <c r="V787" s="13"/>
      <c r="W787" s="13"/>
      <c r="X787" s="13"/>
      <c r="Y787" s="13"/>
      <c r="Z787" s="13"/>
      <c r="AA787" s="13"/>
      <c r="AB787" s="13"/>
      <c r="AC787" s="13"/>
      <c r="AD787" s="13"/>
      <c r="AE787" s="13"/>
      <c r="AF787" s="13"/>
      <c r="AG787" s="13"/>
      <c r="AH787" s="13"/>
      <c r="AI787" s="4"/>
      <c r="AJ787" s="4"/>
      <c r="AK787" s="4"/>
      <c r="AL787" s="4"/>
    </row>
    <row r="788">
      <c r="A788" s="13"/>
      <c r="B788" s="13"/>
      <c r="C788" s="13"/>
      <c r="D788" s="13"/>
      <c r="E788" s="13"/>
      <c r="F788" s="13"/>
      <c r="G788" s="13"/>
      <c r="H788" s="13"/>
      <c r="I788" s="13"/>
      <c r="J788" s="13"/>
      <c r="K788" s="13"/>
      <c r="L788" s="13"/>
      <c r="M788" s="13"/>
      <c r="N788" s="13"/>
      <c r="O788" s="13"/>
      <c r="P788" s="13"/>
      <c r="Q788" s="172"/>
      <c r="R788" s="13"/>
      <c r="S788" s="13"/>
      <c r="T788" s="13"/>
      <c r="U788" s="13"/>
      <c r="V788" s="13"/>
      <c r="W788" s="13"/>
      <c r="X788" s="13"/>
      <c r="Y788" s="13"/>
      <c r="Z788" s="13"/>
      <c r="AA788" s="13"/>
      <c r="AB788" s="13"/>
      <c r="AC788" s="13"/>
      <c r="AD788" s="13"/>
      <c r="AE788" s="13"/>
      <c r="AF788" s="13"/>
      <c r="AG788" s="13"/>
      <c r="AH788" s="13"/>
      <c r="AI788" s="4"/>
      <c r="AJ788" s="4"/>
      <c r="AK788" s="4"/>
      <c r="AL788" s="4"/>
    </row>
    <row r="789">
      <c r="A789" s="13"/>
      <c r="B789" s="13"/>
      <c r="C789" s="13"/>
      <c r="D789" s="13"/>
      <c r="E789" s="13"/>
      <c r="F789" s="13"/>
      <c r="G789" s="13"/>
      <c r="H789" s="13"/>
      <c r="I789" s="13"/>
      <c r="J789" s="13"/>
      <c r="K789" s="13"/>
      <c r="L789" s="13"/>
      <c r="M789" s="13"/>
      <c r="N789" s="13"/>
      <c r="O789" s="13"/>
      <c r="P789" s="13"/>
      <c r="Q789" s="172"/>
      <c r="R789" s="13"/>
      <c r="S789" s="13"/>
      <c r="T789" s="13"/>
      <c r="U789" s="13"/>
      <c r="V789" s="13"/>
      <c r="W789" s="13"/>
      <c r="X789" s="13"/>
      <c r="Y789" s="13"/>
      <c r="Z789" s="13"/>
      <c r="AA789" s="13"/>
      <c r="AB789" s="13"/>
      <c r="AC789" s="13"/>
      <c r="AD789" s="13"/>
      <c r="AE789" s="13"/>
      <c r="AF789" s="13"/>
      <c r="AG789" s="13"/>
      <c r="AH789" s="13"/>
      <c r="AI789" s="4"/>
      <c r="AJ789" s="4"/>
      <c r="AK789" s="4"/>
      <c r="AL789" s="4"/>
    </row>
    <row r="790">
      <c r="A790" s="13"/>
      <c r="B790" s="13"/>
      <c r="C790" s="13"/>
      <c r="D790" s="13"/>
      <c r="E790" s="13"/>
      <c r="F790" s="13"/>
      <c r="G790" s="13"/>
      <c r="H790" s="13"/>
      <c r="I790" s="13"/>
      <c r="J790" s="13"/>
      <c r="K790" s="13"/>
      <c r="L790" s="13"/>
      <c r="M790" s="13"/>
      <c r="N790" s="13"/>
      <c r="O790" s="13"/>
      <c r="P790" s="13"/>
      <c r="Q790" s="172"/>
      <c r="R790" s="13"/>
      <c r="S790" s="13"/>
      <c r="T790" s="13"/>
      <c r="U790" s="13"/>
      <c r="V790" s="13"/>
      <c r="W790" s="13"/>
      <c r="X790" s="13"/>
      <c r="Y790" s="13"/>
      <c r="Z790" s="13"/>
      <c r="AA790" s="13"/>
      <c r="AB790" s="13"/>
      <c r="AC790" s="13"/>
      <c r="AD790" s="13"/>
      <c r="AE790" s="13"/>
      <c r="AF790" s="13"/>
      <c r="AG790" s="13"/>
      <c r="AH790" s="13"/>
      <c r="AI790" s="4"/>
      <c r="AJ790" s="4"/>
      <c r="AK790" s="4"/>
      <c r="AL790" s="4"/>
    </row>
    <row r="791">
      <c r="A791" s="13"/>
      <c r="B791" s="13"/>
      <c r="C791" s="13"/>
      <c r="D791" s="13"/>
      <c r="E791" s="13"/>
      <c r="F791" s="13"/>
      <c r="G791" s="13"/>
      <c r="H791" s="13"/>
      <c r="I791" s="13"/>
      <c r="J791" s="13"/>
      <c r="K791" s="13"/>
      <c r="L791" s="13"/>
      <c r="M791" s="13"/>
      <c r="N791" s="13"/>
      <c r="O791" s="13"/>
      <c r="P791" s="13"/>
      <c r="Q791" s="172"/>
      <c r="R791" s="13"/>
      <c r="S791" s="13"/>
      <c r="T791" s="13"/>
      <c r="U791" s="13"/>
      <c r="V791" s="13"/>
      <c r="W791" s="13"/>
      <c r="X791" s="13"/>
      <c r="Y791" s="13"/>
      <c r="Z791" s="13"/>
      <c r="AA791" s="13"/>
      <c r="AB791" s="13"/>
      <c r="AC791" s="13"/>
      <c r="AD791" s="13"/>
      <c r="AE791" s="13"/>
      <c r="AF791" s="13"/>
      <c r="AG791" s="13"/>
      <c r="AH791" s="13"/>
      <c r="AI791" s="4"/>
      <c r="AJ791" s="4"/>
      <c r="AK791" s="4"/>
      <c r="AL791" s="4"/>
    </row>
    <row r="792">
      <c r="A792" s="13"/>
      <c r="B792" s="13"/>
      <c r="C792" s="13"/>
      <c r="D792" s="13"/>
      <c r="E792" s="13"/>
      <c r="F792" s="13"/>
      <c r="G792" s="13"/>
      <c r="H792" s="13"/>
      <c r="I792" s="13"/>
      <c r="J792" s="13"/>
      <c r="K792" s="13"/>
      <c r="L792" s="13"/>
      <c r="M792" s="13"/>
      <c r="N792" s="13"/>
      <c r="O792" s="13"/>
      <c r="P792" s="13"/>
      <c r="Q792" s="172"/>
      <c r="R792" s="13"/>
      <c r="S792" s="13"/>
      <c r="T792" s="13"/>
      <c r="U792" s="13"/>
      <c r="V792" s="13"/>
      <c r="W792" s="13"/>
      <c r="X792" s="13"/>
      <c r="Y792" s="13"/>
      <c r="Z792" s="13"/>
      <c r="AA792" s="13"/>
      <c r="AB792" s="13"/>
      <c r="AC792" s="13"/>
      <c r="AD792" s="13"/>
      <c r="AE792" s="13"/>
      <c r="AF792" s="13"/>
      <c r="AG792" s="13"/>
      <c r="AH792" s="13"/>
      <c r="AI792" s="4"/>
      <c r="AJ792" s="4"/>
      <c r="AK792" s="4"/>
      <c r="AL792" s="4"/>
    </row>
    <row r="793">
      <c r="A793" s="13"/>
      <c r="B793" s="13"/>
      <c r="C793" s="13"/>
      <c r="D793" s="13"/>
      <c r="E793" s="13"/>
      <c r="F793" s="13"/>
      <c r="G793" s="13"/>
      <c r="H793" s="13"/>
      <c r="I793" s="13"/>
      <c r="J793" s="13"/>
      <c r="K793" s="13"/>
      <c r="L793" s="13"/>
      <c r="M793" s="13"/>
      <c r="N793" s="13"/>
      <c r="O793" s="13"/>
      <c r="P793" s="13"/>
      <c r="Q793" s="172"/>
      <c r="R793" s="13"/>
      <c r="S793" s="13"/>
      <c r="T793" s="13"/>
      <c r="U793" s="13"/>
      <c r="V793" s="13"/>
      <c r="W793" s="13"/>
      <c r="X793" s="13"/>
      <c r="Y793" s="13"/>
      <c r="Z793" s="13"/>
      <c r="AA793" s="13"/>
      <c r="AB793" s="13"/>
      <c r="AC793" s="13"/>
      <c r="AD793" s="13"/>
      <c r="AE793" s="13"/>
      <c r="AF793" s="13"/>
      <c r="AG793" s="13"/>
      <c r="AH793" s="13"/>
      <c r="AI793" s="4"/>
      <c r="AJ793" s="4"/>
      <c r="AK793" s="4"/>
      <c r="AL793" s="4"/>
    </row>
    <row r="794">
      <c r="A794" s="13"/>
      <c r="B794" s="13"/>
      <c r="C794" s="13"/>
      <c r="D794" s="13"/>
      <c r="E794" s="13"/>
      <c r="F794" s="13"/>
      <c r="G794" s="13"/>
      <c r="H794" s="13"/>
      <c r="I794" s="13"/>
      <c r="J794" s="13"/>
      <c r="K794" s="13"/>
      <c r="L794" s="13"/>
      <c r="M794" s="13"/>
      <c r="N794" s="13"/>
      <c r="O794" s="13"/>
      <c r="P794" s="13"/>
      <c r="Q794" s="172"/>
      <c r="R794" s="13"/>
      <c r="S794" s="13"/>
      <c r="T794" s="13"/>
      <c r="U794" s="13"/>
      <c r="V794" s="13"/>
      <c r="W794" s="13"/>
      <c r="X794" s="13"/>
      <c r="Y794" s="13"/>
      <c r="Z794" s="13"/>
      <c r="AA794" s="13"/>
      <c r="AB794" s="13"/>
      <c r="AC794" s="13"/>
      <c r="AD794" s="13"/>
      <c r="AE794" s="13"/>
      <c r="AF794" s="13"/>
      <c r="AG794" s="13"/>
      <c r="AH794" s="13"/>
      <c r="AI794" s="4"/>
      <c r="AJ794" s="4"/>
      <c r="AK794" s="4"/>
      <c r="AL794" s="4"/>
    </row>
    <row r="795">
      <c r="A795" s="13"/>
      <c r="B795" s="13"/>
      <c r="C795" s="13"/>
      <c r="D795" s="13"/>
      <c r="E795" s="13"/>
      <c r="F795" s="13"/>
      <c r="G795" s="13"/>
      <c r="H795" s="13"/>
      <c r="I795" s="13"/>
      <c r="J795" s="13"/>
      <c r="K795" s="13"/>
      <c r="L795" s="13"/>
      <c r="M795" s="13"/>
      <c r="N795" s="13"/>
      <c r="O795" s="13"/>
      <c r="P795" s="13"/>
      <c r="Q795" s="172"/>
      <c r="R795" s="13"/>
      <c r="S795" s="13"/>
      <c r="T795" s="13"/>
      <c r="U795" s="13"/>
      <c r="V795" s="13"/>
      <c r="W795" s="13"/>
      <c r="X795" s="13"/>
      <c r="Y795" s="13"/>
      <c r="Z795" s="13"/>
      <c r="AA795" s="13"/>
      <c r="AB795" s="13"/>
      <c r="AC795" s="13"/>
      <c r="AD795" s="13"/>
      <c r="AE795" s="13"/>
      <c r="AF795" s="13"/>
      <c r="AG795" s="13"/>
      <c r="AH795" s="13"/>
      <c r="AI795" s="4"/>
      <c r="AJ795" s="4"/>
      <c r="AK795" s="4"/>
      <c r="AL795" s="4"/>
    </row>
    <row r="796">
      <c r="A796" s="13"/>
      <c r="B796" s="13"/>
      <c r="C796" s="13"/>
      <c r="D796" s="13"/>
      <c r="E796" s="13"/>
      <c r="F796" s="13"/>
      <c r="G796" s="13"/>
      <c r="H796" s="13"/>
      <c r="I796" s="13"/>
      <c r="J796" s="13"/>
      <c r="K796" s="13"/>
      <c r="L796" s="13"/>
      <c r="M796" s="13"/>
      <c r="N796" s="13"/>
      <c r="O796" s="13"/>
      <c r="P796" s="13"/>
      <c r="Q796" s="172"/>
      <c r="R796" s="13"/>
      <c r="S796" s="13"/>
      <c r="T796" s="13"/>
      <c r="U796" s="13"/>
      <c r="V796" s="13"/>
      <c r="W796" s="13"/>
      <c r="X796" s="13"/>
      <c r="Y796" s="13"/>
      <c r="Z796" s="13"/>
      <c r="AA796" s="13"/>
      <c r="AB796" s="13"/>
      <c r="AC796" s="13"/>
      <c r="AD796" s="13"/>
      <c r="AE796" s="13"/>
      <c r="AF796" s="13"/>
      <c r="AG796" s="13"/>
      <c r="AH796" s="13"/>
      <c r="AI796" s="4"/>
      <c r="AJ796" s="4"/>
      <c r="AK796" s="4"/>
      <c r="AL796" s="4"/>
    </row>
    <row r="797">
      <c r="A797" s="13"/>
      <c r="B797" s="13"/>
      <c r="C797" s="13"/>
      <c r="D797" s="13"/>
      <c r="E797" s="13"/>
      <c r="F797" s="13"/>
      <c r="G797" s="13"/>
      <c r="H797" s="13"/>
      <c r="I797" s="13"/>
      <c r="J797" s="13"/>
      <c r="K797" s="13"/>
      <c r="L797" s="13"/>
      <c r="M797" s="13"/>
      <c r="N797" s="13"/>
      <c r="O797" s="13"/>
      <c r="P797" s="13"/>
      <c r="Q797" s="172"/>
      <c r="R797" s="13"/>
      <c r="S797" s="13"/>
      <c r="T797" s="13"/>
      <c r="U797" s="13"/>
      <c r="V797" s="13"/>
      <c r="W797" s="13"/>
      <c r="X797" s="13"/>
      <c r="Y797" s="13"/>
      <c r="Z797" s="13"/>
      <c r="AA797" s="13"/>
      <c r="AB797" s="13"/>
      <c r="AC797" s="13"/>
      <c r="AD797" s="13"/>
      <c r="AE797" s="13"/>
      <c r="AF797" s="13"/>
      <c r="AG797" s="13"/>
      <c r="AH797" s="13"/>
      <c r="AI797" s="4"/>
      <c r="AJ797" s="4"/>
      <c r="AK797" s="4"/>
      <c r="AL797" s="4"/>
    </row>
    <row r="798">
      <c r="A798" s="13"/>
      <c r="B798" s="13"/>
      <c r="C798" s="13"/>
      <c r="D798" s="13"/>
      <c r="E798" s="13"/>
      <c r="F798" s="13"/>
      <c r="G798" s="13"/>
      <c r="H798" s="13"/>
      <c r="I798" s="13"/>
      <c r="J798" s="13"/>
      <c r="K798" s="13"/>
      <c r="L798" s="13"/>
      <c r="M798" s="13"/>
      <c r="N798" s="13"/>
      <c r="O798" s="13"/>
      <c r="P798" s="13"/>
      <c r="Q798" s="172"/>
      <c r="R798" s="13"/>
      <c r="S798" s="13"/>
      <c r="T798" s="13"/>
      <c r="U798" s="13"/>
      <c r="V798" s="13"/>
      <c r="W798" s="13"/>
      <c r="X798" s="13"/>
      <c r="Y798" s="13"/>
      <c r="Z798" s="13"/>
      <c r="AA798" s="13"/>
      <c r="AB798" s="13"/>
      <c r="AC798" s="13"/>
      <c r="AD798" s="13"/>
      <c r="AE798" s="13"/>
      <c r="AF798" s="13"/>
      <c r="AG798" s="13"/>
      <c r="AH798" s="13"/>
      <c r="AI798" s="4"/>
      <c r="AJ798" s="4"/>
      <c r="AK798" s="4"/>
      <c r="AL798" s="4"/>
    </row>
    <row r="799">
      <c r="A799" s="13"/>
      <c r="B799" s="13"/>
      <c r="C799" s="13"/>
      <c r="D799" s="13"/>
      <c r="E799" s="13"/>
      <c r="F799" s="13"/>
      <c r="G799" s="13"/>
      <c r="H799" s="13"/>
      <c r="I799" s="13"/>
      <c r="J799" s="13"/>
      <c r="K799" s="13"/>
      <c r="L799" s="13"/>
      <c r="M799" s="13"/>
      <c r="N799" s="13"/>
      <c r="O799" s="13"/>
      <c r="P799" s="13"/>
      <c r="Q799" s="172"/>
      <c r="R799" s="13"/>
      <c r="S799" s="13"/>
      <c r="T799" s="13"/>
      <c r="U799" s="13"/>
      <c r="V799" s="13"/>
      <c r="W799" s="13"/>
      <c r="X799" s="13"/>
      <c r="Y799" s="13"/>
      <c r="Z799" s="13"/>
      <c r="AA799" s="13"/>
      <c r="AB799" s="13"/>
      <c r="AC799" s="13"/>
      <c r="AD799" s="13"/>
      <c r="AE799" s="13"/>
      <c r="AF799" s="13"/>
      <c r="AG799" s="13"/>
      <c r="AH799" s="13"/>
      <c r="AI799" s="4"/>
      <c r="AJ799" s="4"/>
      <c r="AK799" s="4"/>
      <c r="AL799" s="4"/>
    </row>
    <row r="800">
      <c r="A800" s="13"/>
      <c r="B800" s="13"/>
      <c r="C800" s="13"/>
      <c r="D800" s="13"/>
      <c r="E800" s="13"/>
      <c r="F800" s="13"/>
      <c r="G800" s="13"/>
      <c r="H800" s="13"/>
      <c r="I800" s="13"/>
      <c r="J800" s="13"/>
      <c r="K800" s="13"/>
      <c r="L800" s="13"/>
      <c r="M800" s="13"/>
      <c r="N800" s="13"/>
      <c r="O800" s="13"/>
      <c r="P800" s="13"/>
      <c r="Q800" s="172"/>
      <c r="R800" s="13"/>
      <c r="S800" s="13"/>
      <c r="T800" s="13"/>
      <c r="U800" s="13"/>
      <c r="V800" s="13"/>
      <c r="W800" s="13"/>
      <c r="X800" s="13"/>
      <c r="Y800" s="13"/>
      <c r="Z800" s="13"/>
      <c r="AA800" s="13"/>
      <c r="AB800" s="13"/>
      <c r="AC800" s="13"/>
      <c r="AD800" s="13"/>
      <c r="AE800" s="13"/>
      <c r="AF800" s="13"/>
      <c r="AG800" s="13"/>
      <c r="AH800" s="13"/>
      <c r="AI800" s="4"/>
      <c r="AJ800" s="4"/>
      <c r="AK800" s="4"/>
      <c r="AL800" s="4"/>
    </row>
    <row r="801">
      <c r="A801" s="13"/>
      <c r="B801" s="13"/>
      <c r="C801" s="13"/>
      <c r="D801" s="13"/>
      <c r="E801" s="13"/>
      <c r="F801" s="13"/>
      <c r="G801" s="13"/>
      <c r="H801" s="13"/>
      <c r="I801" s="13"/>
      <c r="J801" s="13"/>
      <c r="K801" s="13"/>
      <c r="L801" s="13"/>
      <c r="M801" s="13"/>
      <c r="N801" s="13"/>
      <c r="O801" s="13"/>
      <c r="P801" s="13"/>
      <c r="Q801" s="172"/>
      <c r="R801" s="13"/>
      <c r="S801" s="13"/>
      <c r="T801" s="13"/>
      <c r="U801" s="13"/>
      <c r="V801" s="13"/>
      <c r="W801" s="13"/>
      <c r="X801" s="13"/>
      <c r="Y801" s="13"/>
      <c r="Z801" s="13"/>
      <c r="AA801" s="13"/>
      <c r="AB801" s="13"/>
      <c r="AC801" s="13"/>
      <c r="AD801" s="13"/>
      <c r="AE801" s="13"/>
      <c r="AF801" s="13"/>
      <c r="AG801" s="13"/>
      <c r="AH801" s="13"/>
      <c r="AI801" s="4"/>
      <c r="AJ801" s="4"/>
      <c r="AK801" s="4"/>
      <c r="AL801" s="4"/>
    </row>
    <row r="802">
      <c r="A802" s="13"/>
      <c r="B802" s="13"/>
      <c r="C802" s="13"/>
      <c r="D802" s="13"/>
      <c r="E802" s="13"/>
      <c r="F802" s="13"/>
      <c r="G802" s="13"/>
      <c r="H802" s="13"/>
      <c r="I802" s="13"/>
      <c r="J802" s="13"/>
      <c r="K802" s="13"/>
      <c r="L802" s="13"/>
      <c r="M802" s="13"/>
      <c r="N802" s="13"/>
      <c r="O802" s="13"/>
      <c r="P802" s="13"/>
      <c r="Q802" s="172"/>
      <c r="R802" s="13"/>
      <c r="S802" s="13"/>
      <c r="T802" s="13"/>
      <c r="U802" s="13"/>
      <c r="V802" s="13"/>
      <c r="W802" s="13"/>
      <c r="X802" s="13"/>
      <c r="Y802" s="13"/>
      <c r="Z802" s="13"/>
      <c r="AA802" s="13"/>
      <c r="AB802" s="13"/>
      <c r="AC802" s="13"/>
      <c r="AD802" s="13"/>
      <c r="AE802" s="13"/>
      <c r="AF802" s="13"/>
      <c r="AG802" s="13"/>
      <c r="AH802" s="13"/>
      <c r="AI802" s="4"/>
      <c r="AJ802" s="4"/>
      <c r="AK802" s="4"/>
      <c r="AL802" s="4"/>
    </row>
    <row r="803">
      <c r="A803" s="13"/>
      <c r="B803" s="13"/>
      <c r="C803" s="13"/>
      <c r="D803" s="13"/>
      <c r="E803" s="13"/>
      <c r="F803" s="13"/>
      <c r="G803" s="13"/>
      <c r="H803" s="13"/>
      <c r="I803" s="13"/>
      <c r="J803" s="13"/>
      <c r="K803" s="13"/>
      <c r="L803" s="13"/>
      <c r="M803" s="13"/>
      <c r="N803" s="13"/>
      <c r="O803" s="13"/>
      <c r="P803" s="13"/>
      <c r="Q803" s="172"/>
      <c r="R803" s="13"/>
      <c r="S803" s="13"/>
      <c r="T803" s="13"/>
      <c r="U803" s="13"/>
      <c r="V803" s="13"/>
      <c r="W803" s="13"/>
      <c r="X803" s="13"/>
      <c r="Y803" s="13"/>
      <c r="Z803" s="13"/>
      <c r="AA803" s="13"/>
      <c r="AB803" s="13"/>
      <c r="AC803" s="13"/>
      <c r="AD803" s="13"/>
      <c r="AE803" s="13"/>
      <c r="AF803" s="13"/>
      <c r="AG803" s="13"/>
      <c r="AH803" s="13"/>
      <c r="AI803" s="4"/>
      <c r="AJ803" s="4"/>
      <c r="AK803" s="4"/>
      <c r="AL803" s="4"/>
    </row>
    <row r="804">
      <c r="A804" s="13"/>
      <c r="B804" s="13"/>
      <c r="C804" s="13"/>
      <c r="D804" s="13"/>
      <c r="E804" s="13"/>
      <c r="F804" s="13"/>
      <c r="G804" s="13"/>
      <c r="H804" s="13"/>
      <c r="I804" s="13"/>
      <c r="J804" s="13"/>
      <c r="K804" s="13"/>
      <c r="L804" s="13"/>
      <c r="M804" s="13"/>
      <c r="N804" s="13"/>
      <c r="O804" s="13"/>
      <c r="P804" s="13"/>
      <c r="Q804" s="172"/>
      <c r="R804" s="13"/>
      <c r="S804" s="13"/>
      <c r="T804" s="13"/>
      <c r="U804" s="13"/>
      <c r="V804" s="13"/>
      <c r="W804" s="13"/>
      <c r="X804" s="13"/>
      <c r="Y804" s="13"/>
      <c r="Z804" s="13"/>
      <c r="AA804" s="13"/>
      <c r="AB804" s="13"/>
      <c r="AC804" s="13"/>
      <c r="AD804" s="13"/>
      <c r="AE804" s="13"/>
      <c r="AF804" s="13"/>
      <c r="AG804" s="13"/>
      <c r="AH804" s="13"/>
      <c r="AI804" s="4"/>
      <c r="AJ804" s="4"/>
      <c r="AK804" s="4"/>
      <c r="AL804" s="4"/>
    </row>
    <row r="805">
      <c r="A805" s="13"/>
      <c r="B805" s="13"/>
      <c r="C805" s="13"/>
      <c r="D805" s="13"/>
      <c r="E805" s="13"/>
      <c r="F805" s="13"/>
      <c r="G805" s="13"/>
      <c r="H805" s="13"/>
      <c r="I805" s="13"/>
      <c r="J805" s="13"/>
      <c r="K805" s="13"/>
      <c r="L805" s="13"/>
      <c r="M805" s="13"/>
      <c r="N805" s="13"/>
      <c r="O805" s="13"/>
      <c r="P805" s="13"/>
      <c r="Q805" s="172"/>
      <c r="R805" s="13"/>
      <c r="S805" s="13"/>
      <c r="T805" s="13"/>
      <c r="U805" s="13"/>
      <c r="V805" s="13"/>
      <c r="W805" s="13"/>
      <c r="X805" s="13"/>
      <c r="Y805" s="13"/>
      <c r="Z805" s="13"/>
      <c r="AA805" s="13"/>
      <c r="AB805" s="13"/>
      <c r="AC805" s="13"/>
      <c r="AD805" s="13"/>
      <c r="AE805" s="13"/>
      <c r="AF805" s="13"/>
      <c r="AG805" s="13"/>
      <c r="AH805" s="13"/>
      <c r="AI805" s="4"/>
      <c r="AJ805" s="4"/>
      <c r="AK805" s="4"/>
      <c r="AL805" s="4"/>
    </row>
    <row r="806">
      <c r="A806" s="13"/>
      <c r="B806" s="13"/>
      <c r="C806" s="13"/>
      <c r="D806" s="13"/>
      <c r="E806" s="13"/>
      <c r="F806" s="13"/>
      <c r="G806" s="13"/>
      <c r="H806" s="13"/>
      <c r="I806" s="13"/>
      <c r="J806" s="13"/>
      <c r="K806" s="13"/>
      <c r="L806" s="13"/>
      <c r="M806" s="13"/>
      <c r="N806" s="13"/>
      <c r="O806" s="13"/>
      <c r="P806" s="13"/>
      <c r="Q806" s="172"/>
      <c r="R806" s="13"/>
      <c r="S806" s="13"/>
      <c r="T806" s="13"/>
      <c r="U806" s="13"/>
      <c r="V806" s="13"/>
      <c r="W806" s="13"/>
      <c r="X806" s="13"/>
      <c r="Y806" s="13"/>
      <c r="Z806" s="13"/>
      <c r="AA806" s="13"/>
      <c r="AB806" s="13"/>
      <c r="AC806" s="13"/>
      <c r="AD806" s="13"/>
      <c r="AE806" s="13"/>
      <c r="AF806" s="13"/>
      <c r="AG806" s="13"/>
      <c r="AH806" s="13"/>
      <c r="AI806" s="4"/>
      <c r="AJ806" s="4"/>
      <c r="AK806" s="4"/>
      <c r="AL806" s="4"/>
    </row>
    <row r="807">
      <c r="A807" s="13"/>
      <c r="B807" s="13"/>
      <c r="C807" s="13"/>
      <c r="D807" s="13"/>
      <c r="E807" s="13"/>
      <c r="F807" s="13"/>
      <c r="G807" s="13"/>
      <c r="H807" s="13"/>
      <c r="I807" s="13"/>
      <c r="J807" s="13"/>
      <c r="K807" s="13"/>
      <c r="L807" s="13"/>
      <c r="M807" s="13"/>
      <c r="N807" s="13"/>
      <c r="O807" s="13"/>
      <c r="P807" s="13"/>
      <c r="Q807" s="172"/>
      <c r="R807" s="13"/>
      <c r="S807" s="13"/>
      <c r="T807" s="13"/>
      <c r="U807" s="13"/>
      <c r="V807" s="13"/>
      <c r="W807" s="13"/>
      <c r="X807" s="13"/>
      <c r="Y807" s="13"/>
      <c r="Z807" s="13"/>
      <c r="AA807" s="13"/>
      <c r="AB807" s="13"/>
      <c r="AC807" s="13"/>
      <c r="AD807" s="13"/>
      <c r="AE807" s="13"/>
      <c r="AF807" s="13"/>
      <c r="AG807" s="13"/>
      <c r="AH807" s="13"/>
      <c r="AI807" s="4"/>
      <c r="AJ807" s="4"/>
      <c r="AK807" s="4"/>
      <c r="AL807" s="4"/>
    </row>
    <row r="808">
      <c r="A808" s="13"/>
      <c r="B808" s="13"/>
      <c r="C808" s="13"/>
      <c r="D808" s="13"/>
      <c r="E808" s="13"/>
      <c r="F808" s="13"/>
      <c r="G808" s="13"/>
      <c r="H808" s="13"/>
      <c r="I808" s="13"/>
      <c r="J808" s="13"/>
      <c r="K808" s="13"/>
      <c r="L808" s="13"/>
      <c r="M808" s="13"/>
      <c r="N808" s="13"/>
      <c r="O808" s="13"/>
      <c r="P808" s="13"/>
      <c r="Q808" s="172"/>
      <c r="R808" s="13"/>
      <c r="S808" s="13"/>
      <c r="T808" s="13"/>
      <c r="U808" s="13"/>
      <c r="V808" s="13"/>
      <c r="W808" s="13"/>
      <c r="X808" s="13"/>
      <c r="Y808" s="13"/>
      <c r="Z808" s="13"/>
      <c r="AA808" s="13"/>
      <c r="AB808" s="13"/>
      <c r="AC808" s="13"/>
      <c r="AD808" s="13"/>
      <c r="AE808" s="13"/>
      <c r="AF808" s="13"/>
      <c r="AG808" s="13"/>
      <c r="AH808" s="13"/>
      <c r="AI808" s="4"/>
      <c r="AJ808" s="4"/>
      <c r="AK808" s="4"/>
      <c r="AL808" s="4"/>
    </row>
    <row r="809">
      <c r="A809" s="13"/>
      <c r="B809" s="13"/>
      <c r="C809" s="13"/>
      <c r="D809" s="13"/>
      <c r="E809" s="13"/>
      <c r="F809" s="13"/>
      <c r="G809" s="13"/>
      <c r="H809" s="13"/>
      <c r="I809" s="13"/>
      <c r="J809" s="13"/>
      <c r="K809" s="13"/>
      <c r="L809" s="13"/>
      <c r="M809" s="13"/>
      <c r="N809" s="13"/>
      <c r="O809" s="13"/>
      <c r="P809" s="13"/>
      <c r="Q809" s="172"/>
      <c r="R809" s="13"/>
      <c r="S809" s="13"/>
      <c r="T809" s="13"/>
      <c r="U809" s="13"/>
      <c r="V809" s="13"/>
      <c r="W809" s="13"/>
      <c r="X809" s="13"/>
      <c r="Y809" s="13"/>
      <c r="Z809" s="13"/>
      <c r="AA809" s="13"/>
      <c r="AB809" s="13"/>
      <c r="AC809" s="13"/>
      <c r="AD809" s="13"/>
      <c r="AE809" s="13"/>
      <c r="AF809" s="13"/>
      <c r="AG809" s="13"/>
      <c r="AH809" s="13"/>
      <c r="AI809" s="4"/>
      <c r="AJ809" s="4"/>
      <c r="AK809" s="4"/>
      <c r="AL809" s="4"/>
    </row>
    <row r="810">
      <c r="A810" s="13"/>
      <c r="B810" s="13"/>
      <c r="C810" s="13"/>
      <c r="D810" s="13"/>
      <c r="E810" s="13"/>
      <c r="F810" s="13"/>
      <c r="G810" s="13"/>
      <c r="H810" s="13"/>
      <c r="I810" s="13"/>
      <c r="J810" s="13"/>
      <c r="K810" s="13"/>
      <c r="L810" s="13"/>
      <c r="M810" s="13"/>
      <c r="N810" s="13"/>
      <c r="O810" s="13"/>
      <c r="P810" s="13"/>
      <c r="Q810" s="172"/>
      <c r="R810" s="13"/>
      <c r="S810" s="13"/>
      <c r="T810" s="13"/>
      <c r="U810" s="13"/>
      <c r="V810" s="13"/>
      <c r="W810" s="13"/>
      <c r="X810" s="13"/>
      <c r="Y810" s="13"/>
      <c r="Z810" s="13"/>
      <c r="AA810" s="13"/>
      <c r="AB810" s="13"/>
      <c r="AC810" s="13"/>
      <c r="AD810" s="13"/>
      <c r="AE810" s="13"/>
      <c r="AF810" s="13"/>
      <c r="AG810" s="13"/>
      <c r="AH810" s="13"/>
      <c r="AI810" s="4"/>
      <c r="AJ810" s="4"/>
      <c r="AK810" s="4"/>
      <c r="AL810" s="4"/>
    </row>
    <row r="811">
      <c r="A811" s="13"/>
      <c r="B811" s="13"/>
      <c r="C811" s="13"/>
      <c r="D811" s="13"/>
      <c r="E811" s="13"/>
      <c r="F811" s="13"/>
      <c r="G811" s="13"/>
      <c r="H811" s="13"/>
      <c r="I811" s="13"/>
      <c r="J811" s="13"/>
      <c r="K811" s="13"/>
      <c r="L811" s="13"/>
      <c r="M811" s="13"/>
      <c r="N811" s="13"/>
      <c r="O811" s="13"/>
      <c r="P811" s="13"/>
      <c r="Q811" s="172"/>
      <c r="R811" s="13"/>
      <c r="S811" s="13"/>
      <c r="T811" s="13"/>
      <c r="U811" s="13"/>
      <c r="V811" s="13"/>
      <c r="W811" s="13"/>
      <c r="X811" s="13"/>
      <c r="Y811" s="13"/>
      <c r="Z811" s="13"/>
      <c r="AA811" s="13"/>
      <c r="AB811" s="13"/>
      <c r="AC811" s="13"/>
      <c r="AD811" s="13"/>
      <c r="AE811" s="13"/>
      <c r="AF811" s="13"/>
      <c r="AG811" s="13"/>
      <c r="AH811" s="13"/>
      <c r="AI811" s="4"/>
      <c r="AJ811" s="4"/>
      <c r="AK811" s="4"/>
      <c r="AL811" s="4"/>
    </row>
    <row r="812">
      <c r="A812" s="13"/>
      <c r="B812" s="13"/>
      <c r="C812" s="13"/>
      <c r="D812" s="13"/>
      <c r="E812" s="13"/>
      <c r="F812" s="13"/>
      <c r="G812" s="13"/>
      <c r="H812" s="13"/>
      <c r="I812" s="13"/>
      <c r="J812" s="13"/>
      <c r="K812" s="13"/>
      <c r="L812" s="13"/>
      <c r="M812" s="13"/>
      <c r="N812" s="13"/>
      <c r="O812" s="13"/>
      <c r="P812" s="13"/>
      <c r="Q812" s="172"/>
      <c r="R812" s="13"/>
      <c r="S812" s="13"/>
      <c r="T812" s="13"/>
      <c r="U812" s="13"/>
      <c r="V812" s="13"/>
      <c r="W812" s="13"/>
      <c r="X812" s="13"/>
      <c r="Y812" s="13"/>
      <c r="Z812" s="13"/>
      <c r="AA812" s="13"/>
      <c r="AB812" s="13"/>
      <c r="AC812" s="13"/>
      <c r="AD812" s="13"/>
      <c r="AE812" s="13"/>
      <c r="AF812" s="13"/>
      <c r="AG812" s="13"/>
      <c r="AH812" s="13"/>
      <c r="AI812" s="4"/>
      <c r="AJ812" s="4"/>
      <c r="AK812" s="4"/>
      <c r="AL812" s="4"/>
    </row>
    <row r="813">
      <c r="A813" s="13"/>
      <c r="B813" s="13"/>
      <c r="C813" s="13"/>
      <c r="D813" s="13"/>
      <c r="E813" s="13"/>
      <c r="F813" s="13"/>
      <c r="G813" s="13"/>
      <c r="H813" s="13"/>
      <c r="I813" s="13"/>
      <c r="J813" s="13"/>
      <c r="K813" s="13"/>
      <c r="L813" s="13"/>
      <c r="M813" s="13"/>
      <c r="N813" s="13"/>
      <c r="O813" s="13"/>
      <c r="P813" s="13"/>
      <c r="Q813" s="172"/>
      <c r="R813" s="13"/>
      <c r="S813" s="13"/>
      <c r="T813" s="13"/>
      <c r="U813" s="13"/>
      <c r="V813" s="13"/>
      <c r="W813" s="13"/>
      <c r="X813" s="13"/>
      <c r="Y813" s="13"/>
      <c r="Z813" s="13"/>
      <c r="AA813" s="13"/>
      <c r="AB813" s="13"/>
      <c r="AC813" s="13"/>
      <c r="AD813" s="13"/>
      <c r="AE813" s="13"/>
      <c r="AF813" s="13"/>
      <c r="AG813" s="13"/>
      <c r="AH813" s="13"/>
      <c r="AI813" s="4"/>
      <c r="AJ813" s="4"/>
      <c r="AK813" s="4"/>
      <c r="AL813" s="4"/>
    </row>
    <row r="814">
      <c r="A814" s="13"/>
      <c r="B814" s="13"/>
      <c r="C814" s="13"/>
      <c r="D814" s="13"/>
      <c r="E814" s="13"/>
      <c r="F814" s="13"/>
      <c r="G814" s="13"/>
      <c r="H814" s="13"/>
      <c r="I814" s="13"/>
      <c r="J814" s="13"/>
      <c r="K814" s="13"/>
      <c r="L814" s="13"/>
      <c r="M814" s="13"/>
      <c r="N814" s="13"/>
      <c r="O814" s="13"/>
      <c r="P814" s="13"/>
      <c r="Q814" s="172"/>
      <c r="R814" s="13"/>
      <c r="S814" s="13"/>
      <c r="T814" s="13"/>
      <c r="U814" s="13"/>
      <c r="V814" s="13"/>
      <c r="W814" s="13"/>
      <c r="X814" s="13"/>
      <c r="Y814" s="13"/>
      <c r="Z814" s="13"/>
      <c r="AA814" s="13"/>
      <c r="AB814" s="13"/>
      <c r="AC814" s="13"/>
      <c r="AD814" s="13"/>
      <c r="AE814" s="13"/>
      <c r="AF814" s="13"/>
      <c r="AG814" s="13"/>
      <c r="AH814" s="13"/>
      <c r="AI814" s="4"/>
      <c r="AJ814" s="4"/>
      <c r="AK814" s="4"/>
      <c r="AL814" s="4"/>
    </row>
    <row r="815">
      <c r="A815" s="13"/>
      <c r="B815" s="13"/>
      <c r="C815" s="13"/>
      <c r="D815" s="13"/>
      <c r="E815" s="13"/>
      <c r="F815" s="13"/>
      <c r="G815" s="13"/>
      <c r="H815" s="13"/>
      <c r="I815" s="13"/>
      <c r="J815" s="13"/>
      <c r="K815" s="13"/>
      <c r="L815" s="13"/>
      <c r="M815" s="13"/>
      <c r="N815" s="13"/>
      <c r="O815" s="13"/>
      <c r="P815" s="13"/>
      <c r="Q815" s="172"/>
      <c r="R815" s="13"/>
      <c r="S815" s="13"/>
      <c r="T815" s="13"/>
      <c r="U815" s="13"/>
      <c r="V815" s="13"/>
      <c r="W815" s="13"/>
      <c r="X815" s="13"/>
      <c r="Y815" s="13"/>
      <c r="Z815" s="13"/>
      <c r="AA815" s="13"/>
      <c r="AB815" s="13"/>
      <c r="AC815" s="13"/>
      <c r="AD815" s="13"/>
      <c r="AE815" s="13"/>
      <c r="AF815" s="13"/>
      <c r="AG815" s="13"/>
      <c r="AH815" s="13"/>
      <c r="AI815" s="4"/>
      <c r="AJ815" s="4"/>
      <c r="AK815" s="4"/>
      <c r="AL815" s="4"/>
    </row>
    <row r="816">
      <c r="A816" s="13"/>
      <c r="B816" s="13"/>
      <c r="C816" s="13"/>
      <c r="D816" s="13"/>
      <c r="E816" s="13"/>
      <c r="F816" s="13"/>
      <c r="G816" s="13"/>
      <c r="H816" s="13"/>
      <c r="I816" s="13"/>
      <c r="J816" s="13"/>
      <c r="K816" s="13"/>
      <c r="L816" s="13"/>
      <c r="M816" s="13"/>
      <c r="N816" s="13"/>
      <c r="O816" s="13"/>
      <c r="P816" s="13"/>
      <c r="Q816" s="172"/>
      <c r="R816" s="13"/>
      <c r="S816" s="13"/>
      <c r="T816" s="13"/>
      <c r="U816" s="13"/>
      <c r="V816" s="13"/>
      <c r="W816" s="13"/>
      <c r="X816" s="13"/>
      <c r="Y816" s="13"/>
      <c r="Z816" s="13"/>
      <c r="AA816" s="13"/>
      <c r="AB816" s="13"/>
      <c r="AC816" s="13"/>
      <c r="AD816" s="13"/>
      <c r="AE816" s="13"/>
      <c r="AF816" s="13"/>
      <c r="AG816" s="13"/>
      <c r="AH816" s="13"/>
      <c r="AI816" s="4"/>
      <c r="AJ816" s="4"/>
      <c r="AK816" s="4"/>
      <c r="AL816" s="4"/>
    </row>
    <row r="817">
      <c r="A817" s="13"/>
      <c r="B817" s="13"/>
      <c r="C817" s="13"/>
      <c r="D817" s="13"/>
      <c r="E817" s="13"/>
      <c r="F817" s="13"/>
      <c r="G817" s="13"/>
      <c r="H817" s="13"/>
      <c r="I817" s="13"/>
      <c r="J817" s="13"/>
      <c r="K817" s="13"/>
      <c r="L817" s="13"/>
      <c r="M817" s="13"/>
      <c r="N817" s="13"/>
      <c r="O817" s="13"/>
      <c r="P817" s="13"/>
      <c r="Q817" s="172"/>
      <c r="R817" s="13"/>
      <c r="S817" s="13"/>
      <c r="T817" s="13"/>
      <c r="U817" s="13"/>
      <c r="V817" s="13"/>
      <c r="W817" s="13"/>
      <c r="X817" s="13"/>
      <c r="Y817" s="13"/>
      <c r="Z817" s="13"/>
      <c r="AA817" s="13"/>
      <c r="AB817" s="13"/>
      <c r="AC817" s="13"/>
      <c r="AD817" s="13"/>
      <c r="AE817" s="13"/>
      <c r="AF817" s="13"/>
      <c r="AG817" s="13"/>
      <c r="AH817" s="13"/>
      <c r="AI817" s="4"/>
      <c r="AJ817" s="4"/>
      <c r="AK817" s="4"/>
      <c r="AL817" s="4"/>
    </row>
    <row r="818">
      <c r="A818" s="13"/>
      <c r="B818" s="13"/>
      <c r="C818" s="13"/>
      <c r="D818" s="13"/>
      <c r="E818" s="13"/>
      <c r="F818" s="13"/>
      <c r="G818" s="13"/>
      <c r="H818" s="13"/>
      <c r="I818" s="13"/>
      <c r="J818" s="13"/>
      <c r="K818" s="13"/>
      <c r="L818" s="13"/>
      <c r="M818" s="13"/>
      <c r="N818" s="13"/>
      <c r="O818" s="13"/>
      <c r="P818" s="13"/>
      <c r="Q818" s="172"/>
      <c r="R818" s="13"/>
      <c r="S818" s="13"/>
      <c r="T818" s="13"/>
      <c r="U818" s="13"/>
      <c r="V818" s="13"/>
      <c r="W818" s="13"/>
      <c r="X818" s="13"/>
      <c r="Y818" s="13"/>
      <c r="Z818" s="13"/>
      <c r="AA818" s="13"/>
      <c r="AB818" s="13"/>
      <c r="AC818" s="13"/>
      <c r="AD818" s="13"/>
      <c r="AE818" s="13"/>
      <c r="AF818" s="13"/>
      <c r="AG818" s="13"/>
      <c r="AH818" s="13"/>
      <c r="AI818" s="4"/>
      <c r="AJ818" s="4"/>
      <c r="AK818" s="4"/>
      <c r="AL818" s="4"/>
    </row>
    <row r="819">
      <c r="A819" s="13"/>
      <c r="B819" s="13"/>
      <c r="C819" s="13"/>
      <c r="D819" s="13"/>
      <c r="E819" s="13"/>
      <c r="F819" s="13"/>
      <c r="G819" s="13"/>
      <c r="H819" s="13"/>
      <c r="I819" s="13"/>
      <c r="J819" s="13"/>
      <c r="K819" s="13"/>
      <c r="L819" s="13"/>
      <c r="M819" s="13"/>
      <c r="N819" s="13"/>
      <c r="O819" s="13"/>
      <c r="P819" s="13"/>
      <c r="Q819" s="172"/>
      <c r="R819" s="13"/>
      <c r="S819" s="13"/>
      <c r="T819" s="13"/>
      <c r="U819" s="13"/>
      <c r="V819" s="13"/>
      <c r="W819" s="13"/>
      <c r="X819" s="13"/>
      <c r="Y819" s="13"/>
      <c r="Z819" s="13"/>
      <c r="AA819" s="13"/>
      <c r="AB819" s="13"/>
      <c r="AC819" s="13"/>
      <c r="AD819" s="13"/>
      <c r="AE819" s="13"/>
      <c r="AF819" s="13"/>
      <c r="AG819" s="13"/>
      <c r="AH819" s="13"/>
      <c r="AI819" s="4"/>
      <c r="AJ819" s="4"/>
      <c r="AK819" s="4"/>
      <c r="AL819" s="4"/>
    </row>
    <row r="820">
      <c r="A820" s="13"/>
      <c r="B820" s="13"/>
      <c r="C820" s="13"/>
      <c r="D820" s="13"/>
      <c r="E820" s="13"/>
      <c r="F820" s="13"/>
      <c r="G820" s="13"/>
      <c r="H820" s="13"/>
      <c r="I820" s="13"/>
      <c r="J820" s="13"/>
      <c r="K820" s="13"/>
      <c r="L820" s="13"/>
      <c r="M820" s="13"/>
      <c r="N820" s="13"/>
      <c r="O820" s="13"/>
      <c r="P820" s="13"/>
      <c r="Q820" s="172"/>
      <c r="R820" s="13"/>
      <c r="S820" s="13"/>
      <c r="T820" s="13"/>
      <c r="U820" s="13"/>
      <c r="V820" s="13"/>
      <c r="W820" s="13"/>
      <c r="X820" s="13"/>
      <c r="Y820" s="13"/>
      <c r="Z820" s="13"/>
      <c r="AA820" s="13"/>
      <c r="AB820" s="13"/>
      <c r="AC820" s="13"/>
      <c r="AD820" s="13"/>
      <c r="AE820" s="13"/>
      <c r="AF820" s="13"/>
      <c r="AG820" s="13"/>
      <c r="AH820" s="13"/>
      <c r="AI820" s="4"/>
      <c r="AJ820" s="4"/>
      <c r="AK820" s="4"/>
      <c r="AL820" s="4"/>
    </row>
    <row r="821">
      <c r="A821" s="13"/>
      <c r="B821" s="13"/>
      <c r="C821" s="13"/>
      <c r="D821" s="13"/>
      <c r="E821" s="13"/>
      <c r="F821" s="13"/>
      <c r="G821" s="13"/>
      <c r="H821" s="13"/>
      <c r="I821" s="13"/>
      <c r="J821" s="13"/>
      <c r="K821" s="13"/>
      <c r="L821" s="13"/>
      <c r="M821" s="13"/>
      <c r="N821" s="13"/>
      <c r="O821" s="13"/>
      <c r="P821" s="13"/>
      <c r="Q821" s="172"/>
      <c r="R821" s="13"/>
      <c r="S821" s="13"/>
      <c r="T821" s="13"/>
      <c r="U821" s="13"/>
      <c r="V821" s="13"/>
      <c r="W821" s="13"/>
      <c r="X821" s="13"/>
      <c r="Y821" s="13"/>
      <c r="Z821" s="13"/>
      <c r="AA821" s="13"/>
      <c r="AB821" s="13"/>
      <c r="AC821" s="13"/>
      <c r="AD821" s="13"/>
      <c r="AE821" s="13"/>
      <c r="AF821" s="13"/>
      <c r="AG821" s="13"/>
      <c r="AH821" s="13"/>
      <c r="AI821" s="4"/>
      <c r="AJ821" s="4"/>
      <c r="AK821" s="4"/>
      <c r="AL821" s="4"/>
    </row>
    <row r="822">
      <c r="A822" s="13"/>
      <c r="B822" s="13"/>
      <c r="C822" s="13"/>
      <c r="D822" s="13"/>
      <c r="E822" s="13"/>
      <c r="F822" s="13"/>
      <c r="G822" s="13"/>
      <c r="H822" s="13"/>
      <c r="I822" s="13"/>
      <c r="J822" s="13"/>
      <c r="K822" s="13"/>
      <c r="L822" s="13"/>
      <c r="M822" s="13"/>
      <c r="N822" s="13"/>
      <c r="O822" s="13"/>
      <c r="P822" s="13"/>
      <c r="Q822" s="172"/>
      <c r="R822" s="13"/>
      <c r="S822" s="13"/>
      <c r="T822" s="13"/>
      <c r="U822" s="13"/>
      <c r="V822" s="13"/>
      <c r="W822" s="13"/>
      <c r="X822" s="13"/>
      <c r="Y822" s="13"/>
      <c r="Z822" s="13"/>
      <c r="AA822" s="13"/>
      <c r="AB822" s="13"/>
      <c r="AC822" s="13"/>
      <c r="AD822" s="13"/>
      <c r="AE822" s="13"/>
      <c r="AF822" s="13"/>
      <c r="AG822" s="13"/>
      <c r="AH822" s="13"/>
      <c r="AI822" s="4"/>
      <c r="AJ822" s="4"/>
      <c r="AK822" s="4"/>
      <c r="AL822" s="4"/>
    </row>
    <row r="823">
      <c r="A823" s="13"/>
      <c r="B823" s="13"/>
      <c r="C823" s="13"/>
      <c r="D823" s="13"/>
      <c r="E823" s="13"/>
      <c r="F823" s="13"/>
      <c r="G823" s="13"/>
      <c r="H823" s="13"/>
      <c r="I823" s="13"/>
      <c r="J823" s="13"/>
      <c r="K823" s="13"/>
      <c r="L823" s="13"/>
      <c r="M823" s="13"/>
      <c r="N823" s="13"/>
      <c r="O823" s="13"/>
      <c r="P823" s="13"/>
      <c r="Q823" s="172"/>
      <c r="R823" s="13"/>
      <c r="S823" s="13"/>
      <c r="T823" s="13"/>
      <c r="U823" s="13"/>
      <c r="V823" s="13"/>
      <c r="W823" s="13"/>
      <c r="X823" s="13"/>
      <c r="Y823" s="13"/>
      <c r="Z823" s="13"/>
      <c r="AA823" s="13"/>
      <c r="AB823" s="13"/>
      <c r="AC823" s="13"/>
      <c r="AD823" s="13"/>
      <c r="AE823" s="13"/>
      <c r="AF823" s="13"/>
      <c r="AG823" s="13"/>
      <c r="AH823" s="13"/>
      <c r="AI823" s="4"/>
      <c r="AJ823" s="4"/>
      <c r="AK823" s="4"/>
      <c r="AL823" s="4"/>
    </row>
    <row r="824">
      <c r="A824" s="13"/>
      <c r="B824" s="13"/>
      <c r="C824" s="13"/>
      <c r="D824" s="13"/>
      <c r="E824" s="13"/>
      <c r="F824" s="13"/>
      <c r="G824" s="13"/>
      <c r="H824" s="13"/>
      <c r="I824" s="13"/>
      <c r="J824" s="13"/>
      <c r="K824" s="13"/>
      <c r="L824" s="13"/>
      <c r="M824" s="13"/>
      <c r="N824" s="13"/>
      <c r="O824" s="13"/>
      <c r="P824" s="13"/>
      <c r="Q824" s="172"/>
      <c r="R824" s="13"/>
      <c r="S824" s="13"/>
      <c r="T824" s="13"/>
      <c r="U824" s="13"/>
      <c r="V824" s="13"/>
      <c r="W824" s="13"/>
      <c r="X824" s="13"/>
      <c r="Y824" s="13"/>
      <c r="Z824" s="13"/>
      <c r="AA824" s="13"/>
      <c r="AB824" s="13"/>
      <c r="AC824" s="13"/>
      <c r="AD824" s="13"/>
      <c r="AE824" s="13"/>
      <c r="AF824" s="13"/>
      <c r="AG824" s="13"/>
      <c r="AH824" s="13"/>
      <c r="AI824" s="4"/>
      <c r="AJ824" s="4"/>
      <c r="AK824" s="4"/>
      <c r="AL824" s="4"/>
    </row>
    <row r="825">
      <c r="A825" s="13"/>
      <c r="B825" s="13"/>
      <c r="C825" s="13"/>
      <c r="D825" s="13"/>
      <c r="E825" s="13"/>
      <c r="F825" s="13"/>
      <c r="G825" s="13"/>
      <c r="H825" s="13"/>
      <c r="I825" s="13"/>
      <c r="J825" s="13"/>
      <c r="K825" s="13"/>
      <c r="L825" s="13"/>
      <c r="M825" s="13"/>
      <c r="N825" s="13"/>
      <c r="O825" s="13"/>
      <c r="P825" s="13"/>
      <c r="Q825" s="172"/>
      <c r="R825" s="13"/>
      <c r="S825" s="13"/>
      <c r="T825" s="13"/>
      <c r="U825" s="13"/>
      <c r="V825" s="13"/>
      <c r="W825" s="13"/>
      <c r="X825" s="13"/>
      <c r="Y825" s="13"/>
      <c r="Z825" s="13"/>
      <c r="AA825" s="13"/>
      <c r="AB825" s="13"/>
      <c r="AC825" s="13"/>
      <c r="AD825" s="13"/>
      <c r="AE825" s="13"/>
      <c r="AF825" s="13"/>
      <c r="AG825" s="13"/>
      <c r="AH825" s="13"/>
      <c r="AI825" s="4"/>
      <c r="AJ825" s="4"/>
      <c r="AK825" s="4"/>
      <c r="AL825" s="4"/>
    </row>
    <row r="826">
      <c r="A826" s="13"/>
      <c r="B826" s="13"/>
      <c r="C826" s="13"/>
      <c r="D826" s="13"/>
      <c r="E826" s="13"/>
      <c r="F826" s="13"/>
      <c r="G826" s="13"/>
      <c r="H826" s="13"/>
      <c r="I826" s="13"/>
      <c r="J826" s="13"/>
      <c r="K826" s="13"/>
      <c r="L826" s="13"/>
      <c r="M826" s="13"/>
      <c r="N826" s="13"/>
      <c r="O826" s="13"/>
      <c r="P826" s="13"/>
      <c r="Q826" s="172"/>
      <c r="R826" s="13"/>
      <c r="S826" s="13"/>
      <c r="T826" s="13"/>
      <c r="U826" s="13"/>
      <c r="V826" s="13"/>
      <c r="W826" s="13"/>
      <c r="X826" s="13"/>
      <c r="Y826" s="13"/>
      <c r="Z826" s="13"/>
      <c r="AA826" s="13"/>
      <c r="AB826" s="13"/>
      <c r="AC826" s="13"/>
      <c r="AD826" s="13"/>
      <c r="AE826" s="13"/>
      <c r="AF826" s="13"/>
      <c r="AG826" s="13"/>
      <c r="AH826" s="13"/>
      <c r="AI826" s="4"/>
      <c r="AJ826" s="4"/>
      <c r="AK826" s="4"/>
      <c r="AL826" s="4"/>
    </row>
    <row r="827">
      <c r="A827" s="13"/>
      <c r="B827" s="13"/>
      <c r="C827" s="13"/>
      <c r="D827" s="13"/>
      <c r="E827" s="13"/>
      <c r="F827" s="13"/>
      <c r="G827" s="13"/>
      <c r="H827" s="13"/>
      <c r="I827" s="13"/>
      <c r="J827" s="13"/>
      <c r="K827" s="13"/>
      <c r="L827" s="13"/>
      <c r="M827" s="13"/>
      <c r="N827" s="13"/>
      <c r="O827" s="13"/>
      <c r="P827" s="13"/>
      <c r="Q827" s="172"/>
      <c r="R827" s="13"/>
      <c r="S827" s="13"/>
      <c r="T827" s="13"/>
      <c r="U827" s="13"/>
      <c r="V827" s="13"/>
      <c r="W827" s="13"/>
      <c r="X827" s="13"/>
      <c r="Y827" s="13"/>
      <c r="Z827" s="13"/>
      <c r="AA827" s="13"/>
      <c r="AB827" s="13"/>
      <c r="AC827" s="13"/>
      <c r="AD827" s="13"/>
      <c r="AE827" s="13"/>
      <c r="AF827" s="13"/>
      <c r="AG827" s="13"/>
      <c r="AH827" s="13"/>
      <c r="AI827" s="4"/>
      <c r="AJ827" s="4"/>
      <c r="AK827" s="4"/>
      <c r="AL827" s="4"/>
    </row>
    <row r="828">
      <c r="A828" s="13"/>
      <c r="B828" s="13"/>
      <c r="C828" s="13"/>
      <c r="D828" s="13"/>
      <c r="E828" s="13"/>
      <c r="F828" s="13"/>
      <c r="G828" s="13"/>
      <c r="H828" s="13"/>
      <c r="I828" s="13"/>
      <c r="J828" s="13"/>
      <c r="K828" s="13"/>
      <c r="L828" s="13"/>
      <c r="M828" s="13"/>
      <c r="N828" s="13"/>
      <c r="O828" s="13"/>
      <c r="P828" s="13"/>
      <c r="Q828" s="172"/>
      <c r="R828" s="13"/>
      <c r="S828" s="13"/>
      <c r="T828" s="13"/>
      <c r="U828" s="13"/>
      <c r="V828" s="13"/>
      <c r="W828" s="13"/>
      <c r="X828" s="13"/>
      <c r="Y828" s="13"/>
      <c r="Z828" s="13"/>
      <c r="AA828" s="13"/>
      <c r="AB828" s="13"/>
      <c r="AC828" s="13"/>
      <c r="AD828" s="13"/>
      <c r="AE828" s="13"/>
      <c r="AF828" s="13"/>
      <c r="AG828" s="13"/>
      <c r="AH828" s="13"/>
      <c r="AI828" s="4"/>
      <c r="AJ828" s="4"/>
      <c r="AK828" s="4"/>
      <c r="AL828" s="4"/>
    </row>
    <row r="829">
      <c r="A829" s="13"/>
      <c r="B829" s="13"/>
      <c r="C829" s="13"/>
      <c r="D829" s="13"/>
      <c r="E829" s="13"/>
      <c r="F829" s="13"/>
      <c r="G829" s="13"/>
      <c r="H829" s="13"/>
      <c r="I829" s="13"/>
      <c r="J829" s="13"/>
      <c r="K829" s="13"/>
      <c r="L829" s="13"/>
      <c r="M829" s="13"/>
      <c r="N829" s="13"/>
      <c r="O829" s="13"/>
      <c r="P829" s="13"/>
      <c r="Q829" s="172"/>
      <c r="R829" s="13"/>
      <c r="S829" s="13"/>
      <c r="T829" s="13"/>
      <c r="U829" s="13"/>
      <c r="V829" s="13"/>
      <c r="W829" s="13"/>
      <c r="X829" s="13"/>
      <c r="Y829" s="13"/>
      <c r="Z829" s="13"/>
      <c r="AA829" s="13"/>
      <c r="AB829" s="13"/>
      <c r="AC829" s="13"/>
      <c r="AD829" s="13"/>
      <c r="AE829" s="13"/>
      <c r="AF829" s="13"/>
      <c r="AG829" s="13"/>
      <c r="AH829" s="13"/>
      <c r="AI829" s="4"/>
      <c r="AJ829" s="4"/>
      <c r="AK829" s="4"/>
      <c r="AL829" s="4"/>
    </row>
    <row r="830">
      <c r="A830" s="13"/>
      <c r="B830" s="13"/>
      <c r="C830" s="13"/>
      <c r="D830" s="13"/>
      <c r="E830" s="13"/>
      <c r="F830" s="13"/>
      <c r="G830" s="13"/>
      <c r="H830" s="13"/>
      <c r="I830" s="13"/>
      <c r="J830" s="13"/>
      <c r="K830" s="13"/>
      <c r="L830" s="13"/>
      <c r="M830" s="13"/>
      <c r="N830" s="13"/>
      <c r="O830" s="13"/>
      <c r="P830" s="13"/>
      <c r="Q830" s="172"/>
      <c r="R830" s="13"/>
      <c r="S830" s="13"/>
      <c r="T830" s="13"/>
      <c r="U830" s="13"/>
      <c r="V830" s="13"/>
      <c r="W830" s="13"/>
      <c r="X830" s="13"/>
      <c r="Y830" s="13"/>
      <c r="Z830" s="13"/>
      <c r="AA830" s="13"/>
      <c r="AB830" s="13"/>
      <c r="AC830" s="13"/>
      <c r="AD830" s="13"/>
      <c r="AE830" s="13"/>
      <c r="AF830" s="13"/>
      <c r="AG830" s="13"/>
      <c r="AH830" s="13"/>
      <c r="AI830" s="4"/>
      <c r="AJ830" s="4"/>
      <c r="AK830" s="4"/>
      <c r="AL830" s="4"/>
    </row>
    <row r="831">
      <c r="A831" s="13"/>
      <c r="B831" s="13"/>
      <c r="C831" s="13"/>
      <c r="D831" s="13"/>
      <c r="E831" s="13"/>
      <c r="F831" s="13"/>
      <c r="G831" s="13"/>
      <c r="H831" s="13"/>
      <c r="I831" s="13"/>
      <c r="J831" s="13"/>
      <c r="K831" s="13"/>
      <c r="L831" s="13"/>
      <c r="M831" s="13"/>
      <c r="N831" s="13"/>
      <c r="O831" s="13"/>
      <c r="P831" s="13"/>
      <c r="Q831" s="172"/>
      <c r="R831" s="13"/>
      <c r="S831" s="13"/>
      <c r="T831" s="13"/>
      <c r="U831" s="13"/>
      <c r="V831" s="13"/>
      <c r="W831" s="13"/>
      <c r="X831" s="13"/>
      <c r="Y831" s="13"/>
      <c r="Z831" s="13"/>
      <c r="AA831" s="13"/>
      <c r="AB831" s="13"/>
      <c r="AC831" s="13"/>
      <c r="AD831" s="13"/>
      <c r="AE831" s="13"/>
      <c r="AF831" s="13"/>
      <c r="AG831" s="13"/>
      <c r="AH831" s="13"/>
      <c r="AI831" s="4"/>
      <c r="AJ831" s="4"/>
      <c r="AK831" s="4"/>
      <c r="AL831" s="4"/>
    </row>
    <row r="832">
      <c r="A832" s="13"/>
      <c r="B832" s="13"/>
      <c r="C832" s="13"/>
      <c r="D832" s="13"/>
      <c r="E832" s="13"/>
      <c r="F832" s="13"/>
      <c r="G832" s="13"/>
      <c r="H832" s="13"/>
      <c r="I832" s="13"/>
      <c r="J832" s="13"/>
      <c r="K832" s="13"/>
      <c r="L832" s="13"/>
      <c r="M832" s="13"/>
      <c r="N832" s="13"/>
      <c r="O832" s="13"/>
      <c r="P832" s="13"/>
      <c r="Q832" s="172"/>
      <c r="R832" s="13"/>
      <c r="S832" s="13"/>
      <c r="T832" s="13"/>
      <c r="U832" s="13"/>
      <c r="V832" s="13"/>
      <c r="W832" s="13"/>
      <c r="X832" s="13"/>
      <c r="Y832" s="13"/>
      <c r="Z832" s="13"/>
      <c r="AA832" s="13"/>
      <c r="AB832" s="13"/>
      <c r="AC832" s="13"/>
      <c r="AD832" s="13"/>
      <c r="AE832" s="13"/>
      <c r="AF832" s="13"/>
      <c r="AG832" s="13"/>
      <c r="AH832" s="13"/>
      <c r="AI832" s="4"/>
      <c r="AJ832" s="4"/>
      <c r="AK832" s="4"/>
      <c r="AL832" s="4"/>
    </row>
    <row r="833">
      <c r="A833" s="13"/>
      <c r="B833" s="13"/>
      <c r="C833" s="13"/>
      <c r="D833" s="13"/>
      <c r="E833" s="13"/>
      <c r="F833" s="13"/>
      <c r="G833" s="13"/>
      <c r="H833" s="13"/>
      <c r="I833" s="13"/>
      <c r="J833" s="13"/>
      <c r="K833" s="13"/>
      <c r="L833" s="13"/>
      <c r="M833" s="13"/>
      <c r="N833" s="13"/>
      <c r="O833" s="13"/>
      <c r="P833" s="13"/>
      <c r="Q833" s="172"/>
      <c r="R833" s="13"/>
      <c r="S833" s="13"/>
      <c r="T833" s="13"/>
      <c r="U833" s="13"/>
      <c r="V833" s="13"/>
      <c r="W833" s="13"/>
      <c r="X833" s="13"/>
      <c r="Y833" s="13"/>
      <c r="Z833" s="13"/>
      <c r="AA833" s="13"/>
      <c r="AB833" s="13"/>
      <c r="AC833" s="13"/>
      <c r="AD833" s="13"/>
      <c r="AE833" s="13"/>
      <c r="AF833" s="13"/>
      <c r="AG833" s="13"/>
      <c r="AH833" s="13"/>
      <c r="AI833" s="4"/>
      <c r="AJ833" s="4"/>
      <c r="AK833" s="4"/>
      <c r="AL833" s="4"/>
    </row>
    <row r="834">
      <c r="A834" s="13"/>
      <c r="B834" s="13"/>
      <c r="C834" s="13"/>
      <c r="D834" s="13"/>
      <c r="E834" s="13"/>
      <c r="F834" s="13"/>
      <c r="G834" s="13"/>
      <c r="H834" s="13"/>
      <c r="I834" s="13"/>
      <c r="J834" s="13"/>
      <c r="K834" s="13"/>
      <c r="L834" s="13"/>
      <c r="M834" s="13"/>
      <c r="N834" s="13"/>
      <c r="O834" s="13"/>
      <c r="P834" s="13"/>
      <c r="Q834" s="172"/>
      <c r="R834" s="13"/>
      <c r="S834" s="13"/>
      <c r="T834" s="13"/>
      <c r="U834" s="13"/>
      <c r="V834" s="13"/>
      <c r="W834" s="13"/>
      <c r="X834" s="13"/>
      <c r="Y834" s="13"/>
      <c r="Z834" s="13"/>
      <c r="AA834" s="13"/>
      <c r="AB834" s="13"/>
      <c r="AC834" s="13"/>
      <c r="AD834" s="13"/>
      <c r="AE834" s="13"/>
      <c r="AF834" s="13"/>
      <c r="AG834" s="13"/>
      <c r="AH834" s="13"/>
      <c r="AI834" s="4"/>
      <c r="AJ834" s="4"/>
      <c r="AK834" s="4"/>
      <c r="AL834" s="4"/>
    </row>
    <row r="835">
      <c r="A835" s="13"/>
      <c r="B835" s="13"/>
      <c r="C835" s="13"/>
      <c r="D835" s="13"/>
      <c r="E835" s="13"/>
      <c r="F835" s="13"/>
      <c r="G835" s="13"/>
      <c r="H835" s="13"/>
      <c r="I835" s="13"/>
      <c r="J835" s="13"/>
      <c r="K835" s="13"/>
      <c r="L835" s="13"/>
      <c r="M835" s="13"/>
      <c r="N835" s="13"/>
      <c r="O835" s="13"/>
      <c r="P835" s="13"/>
      <c r="Q835" s="172"/>
      <c r="R835" s="13"/>
      <c r="S835" s="13"/>
      <c r="T835" s="13"/>
      <c r="U835" s="13"/>
      <c r="V835" s="13"/>
      <c r="W835" s="13"/>
      <c r="X835" s="13"/>
      <c r="Y835" s="13"/>
      <c r="Z835" s="13"/>
      <c r="AA835" s="13"/>
      <c r="AB835" s="13"/>
      <c r="AC835" s="13"/>
      <c r="AD835" s="13"/>
      <c r="AE835" s="13"/>
      <c r="AF835" s="13"/>
      <c r="AG835" s="13"/>
      <c r="AH835" s="13"/>
      <c r="AI835" s="4"/>
      <c r="AJ835" s="4"/>
      <c r="AK835" s="4"/>
      <c r="AL835" s="4"/>
    </row>
    <row r="836">
      <c r="A836" s="13"/>
      <c r="B836" s="13"/>
      <c r="C836" s="13"/>
      <c r="D836" s="13"/>
      <c r="E836" s="13"/>
      <c r="F836" s="13"/>
      <c r="G836" s="13"/>
      <c r="H836" s="13"/>
      <c r="I836" s="13"/>
      <c r="J836" s="13"/>
      <c r="K836" s="13"/>
      <c r="L836" s="13"/>
      <c r="M836" s="13"/>
      <c r="N836" s="13"/>
      <c r="O836" s="13"/>
      <c r="P836" s="13"/>
      <c r="Q836" s="172"/>
      <c r="R836" s="13"/>
      <c r="S836" s="13"/>
      <c r="T836" s="13"/>
      <c r="U836" s="13"/>
      <c r="V836" s="13"/>
      <c r="W836" s="13"/>
      <c r="X836" s="13"/>
      <c r="Y836" s="13"/>
      <c r="Z836" s="13"/>
      <c r="AA836" s="13"/>
      <c r="AB836" s="13"/>
      <c r="AC836" s="13"/>
      <c r="AD836" s="13"/>
      <c r="AE836" s="13"/>
      <c r="AF836" s="13"/>
      <c r="AG836" s="13"/>
      <c r="AH836" s="13"/>
      <c r="AI836" s="4"/>
      <c r="AJ836" s="4"/>
      <c r="AK836" s="4"/>
      <c r="AL836" s="4"/>
    </row>
    <row r="837">
      <c r="A837" s="13"/>
      <c r="B837" s="13"/>
      <c r="C837" s="13"/>
      <c r="D837" s="13"/>
      <c r="E837" s="13"/>
      <c r="F837" s="13"/>
      <c r="G837" s="13"/>
      <c r="H837" s="13"/>
      <c r="I837" s="13"/>
      <c r="J837" s="13"/>
      <c r="K837" s="13"/>
      <c r="L837" s="13"/>
      <c r="M837" s="13"/>
      <c r="N837" s="13"/>
      <c r="O837" s="13"/>
      <c r="P837" s="13"/>
      <c r="Q837" s="172"/>
      <c r="R837" s="13"/>
      <c r="S837" s="13"/>
      <c r="T837" s="13"/>
      <c r="U837" s="13"/>
      <c r="V837" s="13"/>
      <c r="W837" s="13"/>
      <c r="X837" s="13"/>
      <c r="Y837" s="13"/>
      <c r="Z837" s="13"/>
      <c r="AA837" s="13"/>
      <c r="AB837" s="13"/>
      <c r="AC837" s="13"/>
      <c r="AD837" s="13"/>
      <c r="AE837" s="13"/>
      <c r="AF837" s="13"/>
      <c r="AG837" s="13"/>
      <c r="AH837" s="13"/>
      <c r="AI837" s="4"/>
      <c r="AJ837" s="4"/>
      <c r="AK837" s="4"/>
      <c r="AL837" s="4"/>
    </row>
    <row r="838">
      <c r="A838" s="13"/>
      <c r="B838" s="13"/>
      <c r="C838" s="13"/>
      <c r="D838" s="13"/>
      <c r="E838" s="13"/>
      <c r="F838" s="13"/>
      <c r="G838" s="13"/>
      <c r="H838" s="13"/>
      <c r="I838" s="13"/>
      <c r="J838" s="13"/>
      <c r="K838" s="13"/>
      <c r="L838" s="13"/>
      <c r="M838" s="13"/>
      <c r="N838" s="13"/>
      <c r="O838" s="13"/>
      <c r="P838" s="13"/>
      <c r="Q838" s="172"/>
      <c r="R838" s="13"/>
      <c r="S838" s="13"/>
      <c r="T838" s="13"/>
      <c r="U838" s="13"/>
      <c r="V838" s="13"/>
      <c r="W838" s="13"/>
      <c r="X838" s="13"/>
      <c r="Y838" s="13"/>
      <c r="Z838" s="13"/>
      <c r="AA838" s="13"/>
      <c r="AB838" s="13"/>
      <c r="AC838" s="13"/>
      <c r="AD838" s="13"/>
      <c r="AE838" s="13"/>
      <c r="AF838" s="13"/>
      <c r="AG838" s="13"/>
      <c r="AH838" s="13"/>
      <c r="AI838" s="4"/>
      <c r="AJ838" s="4"/>
      <c r="AK838" s="4"/>
      <c r="AL838" s="4"/>
    </row>
    <row r="839">
      <c r="A839" s="13"/>
      <c r="B839" s="13"/>
      <c r="C839" s="13"/>
      <c r="D839" s="13"/>
      <c r="E839" s="13"/>
      <c r="F839" s="13"/>
      <c r="G839" s="13"/>
      <c r="H839" s="13"/>
      <c r="I839" s="13"/>
      <c r="J839" s="13"/>
      <c r="K839" s="13"/>
      <c r="L839" s="13"/>
      <c r="M839" s="13"/>
      <c r="N839" s="13"/>
      <c r="O839" s="13"/>
      <c r="P839" s="13"/>
      <c r="Q839" s="172"/>
      <c r="R839" s="13"/>
      <c r="S839" s="13"/>
      <c r="T839" s="13"/>
      <c r="U839" s="13"/>
      <c r="V839" s="13"/>
      <c r="W839" s="13"/>
      <c r="X839" s="13"/>
      <c r="Y839" s="13"/>
      <c r="Z839" s="13"/>
      <c r="AA839" s="13"/>
      <c r="AB839" s="13"/>
      <c r="AC839" s="13"/>
      <c r="AD839" s="13"/>
      <c r="AE839" s="13"/>
      <c r="AF839" s="13"/>
      <c r="AG839" s="13"/>
      <c r="AH839" s="13"/>
      <c r="AI839" s="4"/>
      <c r="AJ839" s="4"/>
      <c r="AK839" s="4"/>
      <c r="AL839" s="4"/>
    </row>
    <row r="840">
      <c r="A840" s="13"/>
      <c r="B840" s="13"/>
      <c r="C840" s="13"/>
      <c r="D840" s="13"/>
      <c r="E840" s="13"/>
      <c r="F840" s="13"/>
      <c r="G840" s="13"/>
      <c r="H840" s="13"/>
      <c r="I840" s="13"/>
      <c r="J840" s="13"/>
      <c r="K840" s="13"/>
      <c r="L840" s="13"/>
      <c r="M840" s="13"/>
      <c r="N840" s="13"/>
      <c r="O840" s="13"/>
      <c r="P840" s="13"/>
      <c r="Q840" s="172"/>
      <c r="R840" s="13"/>
      <c r="S840" s="13"/>
      <c r="T840" s="13"/>
      <c r="U840" s="13"/>
      <c r="V840" s="13"/>
      <c r="W840" s="13"/>
      <c r="X840" s="13"/>
      <c r="Y840" s="13"/>
      <c r="Z840" s="13"/>
      <c r="AA840" s="13"/>
      <c r="AB840" s="13"/>
      <c r="AC840" s="13"/>
      <c r="AD840" s="13"/>
      <c r="AE840" s="13"/>
      <c r="AF840" s="13"/>
      <c r="AG840" s="13"/>
      <c r="AH840" s="13"/>
      <c r="AI840" s="4"/>
      <c r="AJ840" s="4"/>
      <c r="AK840" s="4"/>
      <c r="AL840" s="4"/>
    </row>
    <row r="841">
      <c r="A841" s="13"/>
      <c r="B841" s="13"/>
      <c r="C841" s="13"/>
      <c r="D841" s="13"/>
      <c r="E841" s="13"/>
      <c r="F841" s="13"/>
      <c r="G841" s="13"/>
      <c r="H841" s="13"/>
      <c r="I841" s="13"/>
      <c r="J841" s="13"/>
      <c r="K841" s="13"/>
      <c r="L841" s="13"/>
      <c r="M841" s="13"/>
      <c r="N841" s="13"/>
      <c r="O841" s="13"/>
      <c r="P841" s="13"/>
      <c r="Q841" s="172"/>
      <c r="R841" s="13"/>
      <c r="S841" s="13"/>
      <c r="T841" s="13"/>
      <c r="U841" s="13"/>
      <c r="V841" s="13"/>
      <c r="W841" s="13"/>
      <c r="X841" s="13"/>
      <c r="Y841" s="13"/>
      <c r="Z841" s="13"/>
      <c r="AA841" s="13"/>
      <c r="AB841" s="13"/>
      <c r="AC841" s="13"/>
      <c r="AD841" s="13"/>
      <c r="AE841" s="13"/>
      <c r="AF841" s="13"/>
      <c r="AG841" s="13"/>
      <c r="AH841" s="13"/>
      <c r="AI841" s="4"/>
      <c r="AJ841" s="4"/>
      <c r="AK841" s="4"/>
      <c r="AL841" s="4"/>
    </row>
    <row r="842">
      <c r="A842" s="13"/>
      <c r="B842" s="13"/>
      <c r="C842" s="13"/>
      <c r="D842" s="13"/>
      <c r="E842" s="13"/>
      <c r="F842" s="13"/>
      <c r="G842" s="13"/>
      <c r="H842" s="13"/>
      <c r="I842" s="13"/>
      <c r="J842" s="13"/>
      <c r="K842" s="13"/>
      <c r="L842" s="13"/>
      <c r="M842" s="13"/>
      <c r="N842" s="13"/>
      <c r="O842" s="13"/>
      <c r="P842" s="13"/>
      <c r="Q842" s="172"/>
      <c r="R842" s="13"/>
      <c r="S842" s="13"/>
      <c r="T842" s="13"/>
      <c r="U842" s="13"/>
      <c r="V842" s="13"/>
      <c r="W842" s="13"/>
      <c r="X842" s="13"/>
      <c r="Y842" s="13"/>
      <c r="Z842" s="13"/>
      <c r="AA842" s="13"/>
      <c r="AB842" s="13"/>
      <c r="AC842" s="13"/>
      <c r="AD842" s="13"/>
      <c r="AE842" s="13"/>
      <c r="AF842" s="13"/>
      <c r="AG842" s="13"/>
      <c r="AH842" s="13"/>
      <c r="AI842" s="4"/>
      <c r="AJ842" s="4"/>
      <c r="AK842" s="4"/>
      <c r="AL842" s="4"/>
    </row>
    <row r="843">
      <c r="A843" s="13"/>
      <c r="B843" s="13"/>
      <c r="C843" s="13"/>
      <c r="D843" s="13"/>
      <c r="E843" s="13"/>
      <c r="F843" s="13"/>
      <c r="G843" s="13"/>
      <c r="H843" s="13"/>
      <c r="I843" s="13"/>
      <c r="J843" s="13"/>
      <c r="K843" s="13"/>
      <c r="L843" s="13"/>
      <c r="M843" s="13"/>
      <c r="N843" s="13"/>
      <c r="O843" s="13"/>
      <c r="P843" s="13"/>
      <c r="Q843" s="172"/>
      <c r="R843" s="13"/>
      <c r="S843" s="13"/>
      <c r="T843" s="13"/>
      <c r="U843" s="13"/>
      <c r="V843" s="13"/>
      <c r="W843" s="13"/>
      <c r="X843" s="13"/>
      <c r="Y843" s="13"/>
      <c r="Z843" s="13"/>
      <c r="AA843" s="13"/>
      <c r="AB843" s="13"/>
      <c r="AC843" s="13"/>
      <c r="AD843" s="13"/>
      <c r="AE843" s="13"/>
      <c r="AF843" s="13"/>
      <c r="AG843" s="13"/>
      <c r="AH843" s="13"/>
      <c r="AI843" s="4"/>
      <c r="AJ843" s="4"/>
      <c r="AK843" s="4"/>
      <c r="AL843" s="4"/>
    </row>
    <row r="844">
      <c r="A844" s="13"/>
      <c r="B844" s="13"/>
      <c r="C844" s="13"/>
      <c r="D844" s="13"/>
      <c r="E844" s="13"/>
      <c r="F844" s="13"/>
      <c r="G844" s="13"/>
      <c r="H844" s="13"/>
      <c r="I844" s="13"/>
      <c r="J844" s="13"/>
      <c r="K844" s="13"/>
      <c r="L844" s="13"/>
      <c r="M844" s="13"/>
      <c r="N844" s="13"/>
      <c r="O844" s="13"/>
      <c r="P844" s="13"/>
      <c r="Q844" s="172"/>
      <c r="R844" s="13"/>
      <c r="S844" s="13"/>
      <c r="T844" s="13"/>
      <c r="U844" s="13"/>
      <c r="V844" s="13"/>
      <c r="W844" s="13"/>
      <c r="X844" s="13"/>
      <c r="Y844" s="13"/>
      <c r="Z844" s="13"/>
      <c r="AA844" s="13"/>
      <c r="AB844" s="13"/>
      <c r="AC844" s="13"/>
      <c r="AD844" s="13"/>
      <c r="AE844" s="13"/>
      <c r="AF844" s="13"/>
      <c r="AG844" s="13"/>
      <c r="AH844" s="13"/>
      <c r="AI844" s="4"/>
      <c r="AJ844" s="4"/>
      <c r="AK844" s="4"/>
      <c r="AL844" s="4"/>
    </row>
    <row r="845">
      <c r="A845" s="13"/>
      <c r="B845" s="13"/>
      <c r="C845" s="13"/>
      <c r="D845" s="13"/>
      <c r="E845" s="13"/>
      <c r="F845" s="13"/>
      <c r="G845" s="13"/>
      <c r="H845" s="13"/>
      <c r="I845" s="13"/>
      <c r="J845" s="13"/>
      <c r="K845" s="13"/>
      <c r="L845" s="13"/>
      <c r="M845" s="13"/>
      <c r="N845" s="13"/>
      <c r="O845" s="13"/>
      <c r="P845" s="13"/>
      <c r="Q845" s="172"/>
      <c r="R845" s="13"/>
      <c r="S845" s="13"/>
      <c r="T845" s="13"/>
      <c r="U845" s="13"/>
      <c r="V845" s="13"/>
      <c r="W845" s="13"/>
      <c r="X845" s="13"/>
      <c r="Y845" s="13"/>
      <c r="Z845" s="13"/>
      <c r="AA845" s="13"/>
      <c r="AB845" s="13"/>
      <c r="AC845" s="13"/>
      <c r="AD845" s="13"/>
      <c r="AE845" s="13"/>
      <c r="AF845" s="13"/>
      <c r="AG845" s="13"/>
      <c r="AH845" s="13"/>
      <c r="AI845" s="4"/>
      <c r="AJ845" s="4"/>
      <c r="AK845" s="4"/>
      <c r="AL845" s="4"/>
    </row>
    <row r="846">
      <c r="A846" s="13"/>
      <c r="B846" s="13"/>
      <c r="C846" s="13"/>
      <c r="D846" s="13"/>
      <c r="E846" s="13"/>
      <c r="F846" s="13"/>
      <c r="G846" s="13"/>
      <c r="H846" s="13"/>
      <c r="I846" s="13"/>
      <c r="J846" s="13"/>
      <c r="K846" s="13"/>
      <c r="L846" s="13"/>
      <c r="M846" s="13"/>
      <c r="N846" s="13"/>
      <c r="O846" s="13"/>
      <c r="P846" s="13"/>
      <c r="Q846" s="172"/>
      <c r="R846" s="13"/>
      <c r="S846" s="13"/>
      <c r="T846" s="13"/>
      <c r="U846" s="13"/>
      <c r="V846" s="13"/>
      <c r="W846" s="13"/>
      <c r="X846" s="13"/>
      <c r="Y846" s="13"/>
      <c r="Z846" s="13"/>
      <c r="AA846" s="13"/>
      <c r="AB846" s="13"/>
      <c r="AC846" s="13"/>
      <c r="AD846" s="13"/>
      <c r="AE846" s="13"/>
      <c r="AF846" s="13"/>
      <c r="AG846" s="13"/>
      <c r="AH846" s="13"/>
      <c r="AI846" s="4"/>
      <c r="AJ846" s="4"/>
      <c r="AK846" s="4"/>
      <c r="AL846" s="4"/>
    </row>
    <row r="847">
      <c r="A847" s="13"/>
      <c r="B847" s="13"/>
      <c r="C847" s="13"/>
      <c r="D847" s="13"/>
      <c r="E847" s="13"/>
      <c r="F847" s="13"/>
      <c r="G847" s="13"/>
      <c r="H847" s="13"/>
      <c r="I847" s="13"/>
      <c r="J847" s="13"/>
      <c r="K847" s="13"/>
      <c r="L847" s="13"/>
      <c r="M847" s="13"/>
      <c r="N847" s="13"/>
      <c r="O847" s="13"/>
      <c r="P847" s="13"/>
      <c r="Q847" s="172"/>
      <c r="R847" s="13"/>
      <c r="S847" s="13"/>
      <c r="T847" s="13"/>
      <c r="U847" s="13"/>
      <c r="V847" s="13"/>
      <c r="W847" s="13"/>
      <c r="X847" s="13"/>
      <c r="Y847" s="13"/>
      <c r="Z847" s="13"/>
      <c r="AA847" s="13"/>
      <c r="AB847" s="13"/>
      <c r="AC847" s="13"/>
      <c r="AD847" s="13"/>
      <c r="AE847" s="13"/>
      <c r="AF847" s="13"/>
      <c r="AG847" s="13"/>
      <c r="AH847" s="13"/>
      <c r="AI847" s="4"/>
      <c r="AJ847" s="4"/>
      <c r="AK847" s="4"/>
      <c r="AL847" s="4"/>
    </row>
    <row r="848">
      <c r="A848" s="13"/>
      <c r="B848" s="13"/>
      <c r="C848" s="13"/>
      <c r="D848" s="13"/>
      <c r="E848" s="13"/>
      <c r="F848" s="13"/>
      <c r="G848" s="13"/>
      <c r="H848" s="13"/>
      <c r="I848" s="13"/>
      <c r="J848" s="13"/>
      <c r="K848" s="13"/>
      <c r="L848" s="13"/>
      <c r="M848" s="13"/>
      <c r="N848" s="13"/>
      <c r="O848" s="13"/>
      <c r="P848" s="13"/>
      <c r="Q848" s="172"/>
      <c r="R848" s="13"/>
      <c r="S848" s="13"/>
      <c r="T848" s="13"/>
      <c r="U848" s="13"/>
      <c r="V848" s="13"/>
      <c r="W848" s="13"/>
      <c r="X848" s="13"/>
      <c r="Y848" s="13"/>
      <c r="Z848" s="13"/>
      <c r="AA848" s="13"/>
      <c r="AB848" s="13"/>
      <c r="AC848" s="13"/>
      <c r="AD848" s="13"/>
      <c r="AE848" s="13"/>
      <c r="AF848" s="13"/>
      <c r="AG848" s="13"/>
      <c r="AH848" s="13"/>
      <c r="AI848" s="4"/>
      <c r="AJ848" s="4"/>
      <c r="AK848" s="4"/>
      <c r="AL848" s="4"/>
    </row>
    <row r="849">
      <c r="A849" s="13"/>
      <c r="B849" s="13"/>
      <c r="C849" s="13"/>
      <c r="D849" s="13"/>
      <c r="E849" s="13"/>
      <c r="F849" s="13"/>
      <c r="G849" s="13"/>
      <c r="H849" s="13"/>
      <c r="I849" s="13"/>
      <c r="J849" s="13"/>
      <c r="K849" s="13"/>
      <c r="L849" s="13"/>
      <c r="M849" s="13"/>
      <c r="N849" s="13"/>
      <c r="O849" s="13"/>
      <c r="P849" s="13"/>
      <c r="Q849" s="172"/>
      <c r="R849" s="13"/>
      <c r="S849" s="13"/>
      <c r="T849" s="13"/>
      <c r="U849" s="13"/>
      <c r="V849" s="13"/>
      <c r="W849" s="13"/>
      <c r="X849" s="13"/>
      <c r="Y849" s="13"/>
      <c r="Z849" s="13"/>
      <c r="AA849" s="13"/>
      <c r="AB849" s="13"/>
      <c r="AC849" s="13"/>
      <c r="AD849" s="13"/>
      <c r="AE849" s="13"/>
      <c r="AF849" s="13"/>
      <c r="AG849" s="13"/>
      <c r="AH849" s="13"/>
      <c r="AI849" s="4"/>
      <c r="AJ849" s="4"/>
      <c r="AK849" s="4"/>
      <c r="AL849" s="4"/>
    </row>
    <row r="850">
      <c r="A850" s="13"/>
      <c r="B850" s="13"/>
      <c r="C850" s="13"/>
      <c r="D850" s="13"/>
      <c r="E850" s="13"/>
      <c r="F850" s="13"/>
      <c r="G850" s="13"/>
      <c r="H850" s="13"/>
      <c r="I850" s="13"/>
      <c r="J850" s="13"/>
      <c r="K850" s="13"/>
      <c r="L850" s="13"/>
      <c r="M850" s="13"/>
      <c r="N850" s="13"/>
      <c r="O850" s="13"/>
      <c r="P850" s="13"/>
      <c r="Q850" s="172"/>
      <c r="R850" s="13"/>
      <c r="S850" s="13"/>
      <c r="T850" s="13"/>
      <c r="U850" s="13"/>
      <c r="V850" s="13"/>
      <c r="W850" s="13"/>
      <c r="X850" s="13"/>
      <c r="Y850" s="13"/>
      <c r="Z850" s="13"/>
      <c r="AA850" s="13"/>
      <c r="AB850" s="13"/>
      <c r="AC850" s="13"/>
      <c r="AD850" s="13"/>
      <c r="AE850" s="13"/>
      <c r="AF850" s="13"/>
      <c r="AG850" s="13"/>
      <c r="AH850" s="13"/>
      <c r="AI850" s="4"/>
      <c r="AJ850" s="4"/>
      <c r="AK850" s="4"/>
      <c r="AL850" s="4"/>
    </row>
    <row r="851">
      <c r="A851" s="13"/>
      <c r="B851" s="13"/>
      <c r="C851" s="13"/>
      <c r="D851" s="13"/>
      <c r="E851" s="13"/>
      <c r="F851" s="13"/>
      <c r="G851" s="13"/>
      <c r="H851" s="13"/>
      <c r="I851" s="13"/>
      <c r="J851" s="13"/>
      <c r="K851" s="13"/>
      <c r="L851" s="13"/>
      <c r="M851" s="13"/>
      <c r="N851" s="13"/>
      <c r="O851" s="13"/>
      <c r="P851" s="13"/>
      <c r="Q851" s="172"/>
      <c r="R851" s="13"/>
      <c r="S851" s="13"/>
      <c r="T851" s="13"/>
      <c r="U851" s="13"/>
      <c r="V851" s="13"/>
      <c r="W851" s="13"/>
      <c r="X851" s="13"/>
      <c r="Y851" s="13"/>
      <c r="Z851" s="13"/>
      <c r="AA851" s="13"/>
      <c r="AB851" s="13"/>
      <c r="AC851" s="13"/>
      <c r="AD851" s="13"/>
      <c r="AE851" s="13"/>
      <c r="AF851" s="13"/>
      <c r="AG851" s="13"/>
      <c r="AH851" s="13"/>
      <c r="AI851" s="4"/>
      <c r="AJ851" s="4"/>
      <c r="AK851" s="4"/>
      <c r="AL851" s="4"/>
    </row>
    <row r="852">
      <c r="A852" s="13"/>
      <c r="B852" s="13"/>
      <c r="C852" s="13"/>
      <c r="D852" s="13"/>
      <c r="E852" s="13"/>
      <c r="F852" s="13"/>
      <c r="G852" s="13"/>
      <c r="H852" s="13"/>
      <c r="I852" s="13"/>
      <c r="J852" s="13"/>
      <c r="K852" s="13"/>
      <c r="L852" s="13"/>
      <c r="M852" s="13"/>
      <c r="N852" s="13"/>
      <c r="O852" s="13"/>
      <c r="P852" s="13"/>
      <c r="Q852" s="172"/>
      <c r="R852" s="13"/>
      <c r="S852" s="13"/>
      <c r="T852" s="13"/>
      <c r="U852" s="13"/>
      <c r="V852" s="13"/>
      <c r="W852" s="13"/>
      <c r="X852" s="13"/>
      <c r="Y852" s="13"/>
      <c r="Z852" s="13"/>
      <c r="AA852" s="13"/>
      <c r="AB852" s="13"/>
      <c r="AC852" s="13"/>
      <c r="AD852" s="13"/>
      <c r="AE852" s="13"/>
      <c r="AF852" s="13"/>
      <c r="AG852" s="13"/>
      <c r="AH852" s="13"/>
      <c r="AI852" s="4"/>
      <c r="AJ852" s="4"/>
      <c r="AK852" s="4"/>
      <c r="AL852" s="4"/>
    </row>
    <row r="853">
      <c r="A853" s="13"/>
      <c r="B853" s="13"/>
      <c r="C853" s="13"/>
      <c r="D853" s="13"/>
      <c r="E853" s="13"/>
      <c r="F853" s="13"/>
      <c r="G853" s="13"/>
      <c r="H853" s="13"/>
      <c r="I853" s="13"/>
      <c r="J853" s="13"/>
      <c r="K853" s="13"/>
      <c r="L853" s="13"/>
      <c r="M853" s="13"/>
      <c r="N853" s="13"/>
      <c r="O853" s="13"/>
      <c r="P853" s="13"/>
      <c r="Q853" s="172"/>
      <c r="R853" s="13"/>
      <c r="S853" s="13"/>
      <c r="T853" s="13"/>
      <c r="U853" s="13"/>
      <c r="V853" s="13"/>
      <c r="W853" s="13"/>
      <c r="X853" s="13"/>
      <c r="Y853" s="13"/>
      <c r="Z853" s="13"/>
      <c r="AA853" s="13"/>
      <c r="AB853" s="13"/>
      <c r="AC853" s="13"/>
      <c r="AD853" s="13"/>
      <c r="AE853" s="13"/>
      <c r="AF853" s="13"/>
      <c r="AG853" s="13"/>
      <c r="AH853" s="13"/>
      <c r="AI853" s="4"/>
      <c r="AJ853" s="4"/>
      <c r="AK853" s="4"/>
      <c r="AL853" s="4"/>
    </row>
    <row r="854">
      <c r="A854" s="13"/>
      <c r="B854" s="13"/>
      <c r="C854" s="13"/>
      <c r="D854" s="13"/>
      <c r="E854" s="13"/>
      <c r="F854" s="13"/>
      <c r="G854" s="13"/>
      <c r="H854" s="13"/>
      <c r="I854" s="13"/>
      <c r="J854" s="13"/>
      <c r="K854" s="13"/>
      <c r="L854" s="13"/>
      <c r="M854" s="13"/>
      <c r="N854" s="13"/>
      <c r="O854" s="13"/>
      <c r="P854" s="13"/>
      <c r="Q854" s="172"/>
      <c r="R854" s="13"/>
      <c r="S854" s="13"/>
      <c r="T854" s="13"/>
      <c r="U854" s="13"/>
      <c r="V854" s="13"/>
      <c r="W854" s="13"/>
      <c r="X854" s="13"/>
      <c r="Y854" s="13"/>
      <c r="Z854" s="13"/>
      <c r="AA854" s="13"/>
      <c r="AB854" s="13"/>
      <c r="AC854" s="13"/>
      <c r="AD854" s="13"/>
      <c r="AE854" s="13"/>
      <c r="AF854" s="13"/>
      <c r="AG854" s="13"/>
      <c r="AH854" s="13"/>
      <c r="AI854" s="4"/>
      <c r="AJ854" s="4"/>
      <c r="AK854" s="4"/>
      <c r="AL854" s="4"/>
    </row>
    <row r="855">
      <c r="A855" s="13"/>
      <c r="B855" s="13"/>
      <c r="C855" s="13"/>
      <c r="D855" s="13"/>
      <c r="E855" s="13"/>
      <c r="F855" s="13"/>
      <c r="G855" s="13"/>
      <c r="H855" s="13"/>
      <c r="I855" s="13"/>
      <c r="J855" s="13"/>
      <c r="K855" s="13"/>
      <c r="L855" s="13"/>
      <c r="M855" s="13"/>
      <c r="N855" s="13"/>
      <c r="O855" s="13"/>
      <c r="P855" s="13"/>
      <c r="Q855" s="172"/>
      <c r="R855" s="13"/>
      <c r="S855" s="13"/>
      <c r="T855" s="13"/>
      <c r="U855" s="13"/>
      <c r="V855" s="13"/>
      <c r="W855" s="13"/>
      <c r="X855" s="13"/>
      <c r="Y855" s="13"/>
      <c r="Z855" s="13"/>
      <c r="AA855" s="13"/>
      <c r="AB855" s="13"/>
      <c r="AC855" s="13"/>
      <c r="AD855" s="13"/>
      <c r="AE855" s="13"/>
      <c r="AF855" s="13"/>
      <c r="AG855" s="13"/>
      <c r="AH855" s="13"/>
      <c r="AI855" s="4"/>
      <c r="AJ855" s="4"/>
      <c r="AK855" s="4"/>
      <c r="AL855" s="4"/>
    </row>
    <row r="856">
      <c r="A856" s="13"/>
      <c r="B856" s="13"/>
      <c r="C856" s="13"/>
      <c r="D856" s="13"/>
      <c r="E856" s="13"/>
      <c r="F856" s="13"/>
      <c r="G856" s="13"/>
      <c r="H856" s="13"/>
      <c r="I856" s="13"/>
      <c r="J856" s="13"/>
      <c r="K856" s="13"/>
      <c r="L856" s="13"/>
      <c r="M856" s="13"/>
      <c r="N856" s="13"/>
      <c r="O856" s="13"/>
      <c r="P856" s="13"/>
      <c r="Q856" s="172"/>
      <c r="R856" s="13"/>
      <c r="S856" s="13"/>
      <c r="T856" s="13"/>
      <c r="U856" s="13"/>
      <c r="V856" s="13"/>
      <c r="W856" s="13"/>
      <c r="X856" s="13"/>
      <c r="Y856" s="13"/>
      <c r="Z856" s="13"/>
      <c r="AA856" s="13"/>
      <c r="AB856" s="13"/>
      <c r="AC856" s="13"/>
      <c r="AD856" s="13"/>
      <c r="AE856" s="13"/>
      <c r="AF856" s="13"/>
      <c r="AG856" s="13"/>
      <c r="AH856" s="13"/>
      <c r="AI856" s="4"/>
      <c r="AJ856" s="4"/>
      <c r="AK856" s="4"/>
      <c r="AL856" s="4"/>
    </row>
    <row r="857">
      <c r="A857" s="13"/>
      <c r="B857" s="13"/>
      <c r="C857" s="13"/>
      <c r="D857" s="13"/>
      <c r="E857" s="13"/>
      <c r="F857" s="13"/>
      <c r="G857" s="13"/>
      <c r="H857" s="13"/>
      <c r="I857" s="13"/>
      <c r="J857" s="13"/>
      <c r="K857" s="13"/>
      <c r="L857" s="13"/>
      <c r="M857" s="13"/>
      <c r="N857" s="13"/>
      <c r="O857" s="13"/>
      <c r="P857" s="13"/>
      <c r="Q857" s="172"/>
      <c r="R857" s="13"/>
      <c r="S857" s="13"/>
      <c r="T857" s="13"/>
      <c r="U857" s="13"/>
      <c r="V857" s="13"/>
      <c r="W857" s="13"/>
      <c r="X857" s="13"/>
      <c r="Y857" s="13"/>
      <c r="Z857" s="13"/>
      <c r="AA857" s="13"/>
      <c r="AB857" s="13"/>
      <c r="AC857" s="13"/>
      <c r="AD857" s="13"/>
      <c r="AE857" s="13"/>
      <c r="AF857" s="13"/>
      <c r="AG857" s="13"/>
      <c r="AH857" s="13"/>
      <c r="AI857" s="4"/>
      <c r="AJ857" s="4"/>
      <c r="AK857" s="4"/>
      <c r="AL857" s="4"/>
    </row>
    <row r="858">
      <c r="A858" s="13"/>
      <c r="B858" s="13"/>
      <c r="C858" s="13"/>
      <c r="D858" s="13"/>
      <c r="E858" s="13"/>
      <c r="F858" s="13"/>
      <c r="G858" s="13"/>
      <c r="H858" s="13"/>
      <c r="I858" s="13"/>
      <c r="J858" s="13"/>
      <c r="K858" s="13"/>
      <c r="L858" s="13"/>
      <c r="M858" s="13"/>
      <c r="N858" s="13"/>
      <c r="O858" s="13"/>
      <c r="P858" s="13"/>
      <c r="Q858" s="172"/>
      <c r="R858" s="13"/>
      <c r="S858" s="13"/>
      <c r="T858" s="13"/>
      <c r="U858" s="13"/>
      <c r="V858" s="13"/>
      <c r="W858" s="13"/>
      <c r="X858" s="13"/>
      <c r="Y858" s="13"/>
      <c r="Z858" s="13"/>
      <c r="AA858" s="13"/>
      <c r="AB858" s="13"/>
      <c r="AC858" s="13"/>
      <c r="AD858" s="13"/>
      <c r="AE858" s="13"/>
      <c r="AF858" s="13"/>
      <c r="AG858" s="13"/>
      <c r="AH858" s="13"/>
      <c r="AI858" s="4"/>
      <c r="AJ858" s="4"/>
      <c r="AK858" s="4"/>
      <c r="AL858" s="4"/>
    </row>
    <row r="859">
      <c r="A859" s="13"/>
      <c r="B859" s="13"/>
      <c r="C859" s="13"/>
      <c r="D859" s="13"/>
      <c r="E859" s="13"/>
      <c r="F859" s="13"/>
      <c r="G859" s="13"/>
      <c r="H859" s="13"/>
      <c r="I859" s="13"/>
      <c r="J859" s="13"/>
      <c r="K859" s="13"/>
      <c r="L859" s="13"/>
      <c r="M859" s="13"/>
      <c r="N859" s="13"/>
      <c r="O859" s="13"/>
      <c r="P859" s="13"/>
      <c r="Q859" s="172"/>
      <c r="R859" s="13"/>
      <c r="S859" s="13"/>
      <c r="T859" s="13"/>
      <c r="U859" s="13"/>
      <c r="V859" s="13"/>
      <c r="W859" s="13"/>
      <c r="X859" s="13"/>
      <c r="Y859" s="13"/>
      <c r="Z859" s="13"/>
      <c r="AA859" s="13"/>
      <c r="AB859" s="13"/>
      <c r="AC859" s="13"/>
      <c r="AD859" s="13"/>
      <c r="AE859" s="13"/>
      <c r="AF859" s="13"/>
      <c r="AG859" s="13"/>
      <c r="AH859" s="13"/>
      <c r="AI859" s="4"/>
      <c r="AJ859" s="4"/>
      <c r="AK859" s="4"/>
      <c r="AL859" s="4"/>
    </row>
    <row r="860">
      <c r="A860" s="13"/>
      <c r="B860" s="13"/>
      <c r="C860" s="13"/>
      <c r="D860" s="13"/>
      <c r="E860" s="13"/>
      <c r="F860" s="13"/>
      <c r="G860" s="13"/>
      <c r="H860" s="13"/>
      <c r="I860" s="13"/>
      <c r="J860" s="13"/>
      <c r="K860" s="13"/>
      <c r="L860" s="13"/>
      <c r="M860" s="13"/>
      <c r="N860" s="13"/>
      <c r="O860" s="13"/>
      <c r="P860" s="13"/>
      <c r="Q860" s="172"/>
      <c r="R860" s="13"/>
      <c r="S860" s="13"/>
      <c r="T860" s="13"/>
      <c r="U860" s="13"/>
      <c r="V860" s="13"/>
      <c r="W860" s="13"/>
      <c r="X860" s="13"/>
      <c r="Y860" s="13"/>
      <c r="Z860" s="13"/>
      <c r="AA860" s="13"/>
      <c r="AB860" s="13"/>
      <c r="AC860" s="13"/>
      <c r="AD860" s="13"/>
      <c r="AE860" s="13"/>
      <c r="AF860" s="13"/>
      <c r="AG860" s="13"/>
      <c r="AH860" s="13"/>
      <c r="AI860" s="4"/>
      <c r="AJ860" s="4"/>
      <c r="AK860" s="4"/>
      <c r="AL860" s="4"/>
    </row>
    <row r="861">
      <c r="A861" s="13"/>
      <c r="B861" s="13"/>
      <c r="C861" s="13"/>
      <c r="D861" s="13"/>
      <c r="E861" s="13"/>
      <c r="F861" s="13"/>
      <c r="G861" s="13"/>
      <c r="H861" s="13"/>
      <c r="I861" s="13"/>
      <c r="J861" s="13"/>
      <c r="K861" s="13"/>
      <c r="L861" s="13"/>
      <c r="M861" s="13"/>
      <c r="N861" s="13"/>
      <c r="O861" s="13"/>
      <c r="P861" s="13"/>
      <c r="Q861" s="172"/>
      <c r="R861" s="13"/>
      <c r="S861" s="13"/>
      <c r="T861" s="13"/>
      <c r="U861" s="13"/>
      <c r="V861" s="13"/>
      <c r="W861" s="13"/>
      <c r="X861" s="13"/>
      <c r="Y861" s="13"/>
      <c r="Z861" s="13"/>
      <c r="AA861" s="13"/>
      <c r="AB861" s="13"/>
      <c r="AC861" s="13"/>
      <c r="AD861" s="13"/>
      <c r="AE861" s="13"/>
      <c r="AF861" s="13"/>
      <c r="AG861" s="13"/>
      <c r="AH861" s="13"/>
      <c r="AI861" s="4"/>
      <c r="AJ861" s="4"/>
      <c r="AK861" s="4"/>
      <c r="AL861" s="4"/>
    </row>
    <row r="862">
      <c r="A862" s="13"/>
      <c r="B862" s="13"/>
      <c r="C862" s="13"/>
      <c r="D862" s="13"/>
      <c r="E862" s="13"/>
      <c r="F862" s="13"/>
      <c r="G862" s="13"/>
      <c r="H862" s="13"/>
      <c r="I862" s="13"/>
      <c r="J862" s="13"/>
      <c r="K862" s="13"/>
      <c r="L862" s="13"/>
      <c r="M862" s="13"/>
      <c r="N862" s="13"/>
      <c r="O862" s="13"/>
      <c r="P862" s="13"/>
      <c r="Q862" s="172"/>
      <c r="R862" s="13"/>
      <c r="S862" s="13"/>
      <c r="T862" s="13"/>
      <c r="U862" s="13"/>
      <c r="V862" s="13"/>
      <c r="W862" s="13"/>
      <c r="X862" s="13"/>
      <c r="Y862" s="13"/>
      <c r="Z862" s="13"/>
      <c r="AA862" s="13"/>
      <c r="AB862" s="13"/>
      <c r="AC862" s="13"/>
      <c r="AD862" s="13"/>
      <c r="AE862" s="13"/>
      <c r="AF862" s="13"/>
      <c r="AG862" s="13"/>
      <c r="AH862" s="13"/>
      <c r="AI862" s="4"/>
      <c r="AJ862" s="4"/>
      <c r="AK862" s="4"/>
      <c r="AL862" s="4"/>
    </row>
    <row r="863">
      <c r="A863" s="13"/>
      <c r="B863" s="13"/>
      <c r="C863" s="13"/>
      <c r="D863" s="13"/>
      <c r="E863" s="13"/>
      <c r="F863" s="13"/>
      <c r="G863" s="13"/>
      <c r="H863" s="13"/>
      <c r="I863" s="13"/>
      <c r="J863" s="13"/>
      <c r="K863" s="13"/>
      <c r="L863" s="13"/>
      <c r="M863" s="13"/>
      <c r="N863" s="13"/>
      <c r="O863" s="13"/>
      <c r="P863" s="13"/>
      <c r="Q863" s="172"/>
      <c r="R863" s="13"/>
      <c r="S863" s="13"/>
      <c r="T863" s="13"/>
      <c r="U863" s="13"/>
      <c r="V863" s="13"/>
      <c r="W863" s="13"/>
      <c r="X863" s="13"/>
      <c r="Y863" s="13"/>
      <c r="Z863" s="13"/>
      <c r="AA863" s="13"/>
      <c r="AB863" s="13"/>
      <c r="AC863" s="13"/>
      <c r="AD863" s="13"/>
      <c r="AE863" s="13"/>
      <c r="AF863" s="13"/>
      <c r="AG863" s="13"/>
      <c r="AH863" s="13"/>
      <c r="AI863" s="4"/>
      <c r="AJ863" s="4"/>
      <c r="AK863" s="4"/>
      <c r="AL863" s="4"/>
    </row>
    <row r="864">
      <c r="A864" s="13"/>
      <c r="B864" s="13"/>
      <c r="C864" s="13"/>
      <c r="D864" s="13"/>
      <c r="E864" s="13"/>
      <c r="F864" s="13"/>
      <c r="G864" s="13"/>
      <c r="H864" s="13"/>
      <c r="I864" s="13"/>
      <c r="J864" s="13"/>
      <c r="K864" s="13"/>
      <c r="L864" s="13"/>
      <c r="M864" s="13"/>
      <c r="N864" s="13"/>
      <c r="O864" s="13"/>
      <c r="P864" s="13"/>
      <c r="Q864" s="172"/>
      <c r="R864" s="13"/>
      <c r="S864" s="13"/>
      <c r="T864" s="13"/>
      <c r="U864" s="13"/>
      <c r="V864" s="13"/>
      <c r="W864" s="13"/>
      <c r="X864" s="13"/>
      <c r="Y864" s="13"/>
      <c r="Z864" s="13"/>
      <c r="AA864" s="13"/>
      <c r="AB864" s="13"/>
      <c r="AC864" s="13"/>
      <c r="AD864" s="13"/>
      <c r="AE864" s="13"/>
      <c r="AF864" s="13"/>
      <c r="AG864" s="13"/>
      <c r="AH864" s="13"/>
      <c r="AI864" s="4"/>
      <c r="AJ864" s="4"/>
      <c r="AK864" s="4"/>
      <c r="AL864" s="4"/>
    </row>
    <row r="865">
      <c r="A865" s="13"/>
      <c r="B865" s="13"/>
      <c r="C865" s="13"/>
      <c r="D865" s="13"/>
      <c r="E865" s="13"/>
      <c r="F865" s="13"/>
      <c r="G865" s="13"/>
      <c r="H865" s="13"/>
      <c r="I865" s="13"/>
      <c r="J865" s="13"/>
      <c r="K865" s="13"/>
      <c r="L865" s="13"/>
      <c r="M865" s="13"/>
      <c r="N865" s="13"/>
      <c r="O865" s="13"/>
      <c r="P865" s="13"/>
      <c r="Q865" s="172"/>
      <c r="R865" s="13"/>
      <c r="S865" s="13"/>
      <c r="T865" s="13"/>
      <c r="U865" s="13"/>
      <c r="V865" s="13"/>
      <c r="W865" s="13"/>
      <c r="X865" s="13"/>
      <c r="Y865" s="13"/>
      <c r="Z865" s="13"/>
      <c r="AA865" s="13"/>
      <c r="AB865" s="13"/>
      <c r="AC865" s="13"/>
      <c r="AD865" s="13"/>
      <c r="AE865" s="13"/>
      <c r="AF865" s="13"/>
      <c r="AG865" s="13"/>
      <c r="AH865" s="13"/>
      <c r="AI865" s="4"/>
      <c r="AJ865" s="4"/>
      <c r="AK865" s="4"/>
      <c r="AL865" s="4"/>
    </row>
    <row r="866">
      <c r="A866" s="13"/>
      <c r="B866" s="13"/>
      <c r="C866" s="13"/>
      <c r="D866" s="13"/>
      <c r="E866" s="13"/>
      <c r="F866" s="13"/>
      <c r="G866" s="13"/>
      <c r="H866" s="13"/>
      <c r="I866" s="13"/>
      <c r="J866" s="13"/>
      <c r="K866" s="13"/>
      <c r="L866" s="13"/>
      <c r="M866" s="13"/>
      <c r="N866" s="13"/>
      <c r="O866" s="13"/>
      <c r="P866" s="13"/>
      <c r="Q866" s="172"/>
      <c r="R866" s="13"/>
      <c r="S866" s="13"/>
      <c r="T866" s="13"/>
      <c r="U866" s="13"/>
      <c r="V866" s="13"/>
      <c r="W866" s="13"/>
      <c r="X866" s="13"/>
      <c r="Y866" s="13"/>
      <c r="Z866" s="13"/>
      <c r="AA866" s="13"/>
      <c r="AB866" s="13"/>
      <c r="AC866" s="13"/>
      <c r="AD866" s="13"/>
      <c r="AE866" s="13"/>
      <c r="AF866" s="13"/>
      <c r="AG866" s="13"/>
      <c r="AH866" s="13"/>
      <c r="AI866" s="4"/>
      <c r="AJ866" s="4"/>
      <c r="AK866" s="4"/>
      <c r="AL866" s="4"/>
    </row>
    <row r="867">
      <c r="A867" s="13"/>
      <c r="B867" s="13"/>
      <c r="C867" s="13"/>
      <c r="D867" s="13"/>
      <c r="E867" s="13"/>
      <c r="F867" s="13"/>
      <c r="G867" s="13"/>
      <c r="H867" s="13"/>
      <c r="I867" s="13"/>
      <c r="J867" s="13"/>
      <c r="K867" s="13"/>
      <c r="L867" s="13"/>
      <c r="M867" s="13"/>
      <c r="N867" s="13"/>
      <c r="O867" s="13"/>
      <c r="P867" s="13"/>
      <c r="Q867" s="172"/>
      <c r="R867" s="13"/>
      <c r="S867" s="13"/>
      <c r="T867" s="13"/>
      <c r="U867" s="13"/>
      <c r="V867" s="13"/>
      <c r="W867" s="13"/>
      <c r="X867" s="13"/>
      <c r="Y867" s="13"/>
      <c r="Z867" s="13"/>
      <c r="AA867" s="13"/>
      <c r="AB867" s="13"/>
      <c r="AC867" s="13"/>
      <c r="AD867" s="13"/>
      <c r="AE867" s="13"/>
      <c r="AF867" s="13"/>
      <c r="AG867" s="13"/>
      <c r="AH867" s="13"/>
      <c r="AI867" s="4"/>
      <c r="AJ867" s="4"/>
      <c r="AK867" s="4"/>
      <c r="AL867" s="4"/>
    </row>
    <row r="868">
      <c r="A868" s="13"/>
      <c r="B868" s="13"/>
      <c r="C868" s="13"/>
      <c r="D868" s="13"/>
      <c r="E868" s="13"/>
      <c r="F868" s="13"/>
      <c r="G868" s="13"/>
      <c r="H868" s="13"/>
      <c r="I868" s="13"/>
      <c r="J868" s="13"/>
      <c r="K868" s="13"/>
      <c r="L868" s="13"/>
      <c r="M868" s="13"/>
      <c r="N868" s="13"/>
      <c r="O868" s="13"/>
      <c r="P868" s="13"/>
      <c r="Q868" s="172"/>
      <c r="R868" s="13"/>
      <c r="S868" s="13"/>
      <c r="T868" s="13"/>
      <c r="U868" s="13"/>
      <c r="V868" s="13"/>
      <c r="W868" s="13"/>
      <c r="X868" s="13"/>
      <c r="Y868" s="13"/>
      <c r="Z868" s="13"/>
      <c r="AA868" s="13"/>
      <c r="AB868" s="13"/>
      <c r="AC868" s="13"/>
      <c r="AD868" s="13"/>
      <c r="AE868" s="13"/>
      <c r="AF868" s="13"/>
      <c r="AG868" s="13"/>
      <c r="AH868" s="13"/>
      <c r="AI868" s="4"/>
      <c r="AJ868" s="4"/>
      <c r="AK868" s="4"/>
      <c r="AL868" s="4"/>
    </row>
    <row r="869">
      <c r="A869" s="13"/>
      <c r="B869" s="13"/>
      <c r="C869" s="13"/>
      <c r="D869" s="13"/>
      <c r="E869" s="13"/>
      <c r="F869" s="13"/>
      <c r="G869" s="13"/>
      <c r="H869" s="13"/>
      <c r="I869" s="13"/>
      <c r="J869" s="13"/>
      <c r="K869" s="13"/>
      <c r="L869" s="13"/>
      <c r="M869" s="13"/>
      <c r="N869" s="13"/>
      <c r="O869" s="13"/>
      <c r="P869" s="13"/>
      <c r="Q869" s="172"/>
      <c r="R869" s="13"/>
      <c r="S869" s="13"/>
      <c r="T869" s="13"/>
      <c r="U869" s="13"/>
      <c r="V869" s="13"/>
      <c r="W869" s="13"/>
      <c r="X869" s="13"/>
      <c r="Y869" s="13"/>
      <c r="Z869" s="13"/>
      <c r="AA869" s="13"/>
      <c r="AB869" s="13"/>
      <c r="AC869" s="13"/>
      <c r="AD869" s="13"/>
      <c r="AE869" s="13"/>
      <c r="AF869" s="13"/>
      <c r="AG869" s="13"/>
      <c r="AH869" s="13"/>
      <c r="AI869" s="4"/>
      <c r="AJ869" s="4"/>
      <c r="AK869" s="4"/>
      <c r="AL869" s="4"/>
    </row>
    <row r="870">
      <c r="A870" s="13"/>
      <c r="B870" s="13"/>
      <c r="C870" s="13"/>
      <c r="D870" s="13"/>
      <c r="E870" s="13"/>
      <c r="F870" s="13"/>
      <c r="G870" s="13"/>
      <c r="H870" s="13"/>
      <c r="I870" s="13"/>
      <c r="J870" s="13"/>
      <c r="K870" s="13"/>
      <c r="L870" s="13"/>
      <c r="M870" s="13"/>
      <c r="N870" s="13"/>
      <c r="O870" s="13"/>
      <c r="P870" s="13"/>
      <c r="Q870" s="172"/>
      <c r="R870" s="13"/>
      <c r="S870" s="13"/>
      <c r="T870" s="13"/>
      <c r="U870" s="13"/>
      <c r="V870" s="13"/>
      <c r="W870" s="13"/>
      <c r="X870" s="13"/>
      <c r="Y870" s="13"/>
      <c r="Z870" s="13"/>
      <c r="AA870" s="13"/>
      <c r="AB870" s="13"/>
      <c r="AC870" s="13"/>
      <c r="AD870" s="13"/>
      <c r="AE870" s="13"/>
      <c r="AF870" s="13"/>
      <c r="AG870" s="13"/>
      <c r="AH870" s="13"/>
      <c r="AI870" s="4"/>
      <c r="AJ870" s="4"/>
      <c r="AK870" s="4"/>
      <c r="AL870" s="4"/>
    </row>
    <row r="871">
      <c r="A871" s="13"/>
      <c r="B871" s="13"/>
      <c r="C871" s="13"/>
      <c r="D871" s="13"/>
      <c r="E871" s="13"/>
      <c r="F871" s="13"/>
      <c r="G871" s="13"/>
      <c r="H871" s="13"/>
      <c r="I871" s="13"/>
      <c r="J871" s="13"/>
      <c r="K871" s="13"/>
      <c r="L871" s="13"/>
      <c r="M871" s="13"/>
      <c r="N871" s="13"/>
      <c r="O871" s="13"/>
      <c r="P871" s="13"/>
      <c r="Q871" s="172"/>
      <c r="R871" s="13"/>
      <c r="S871" s="13"/>
      <c r="T871" s="13"/>
      <c r="U871" s="13"/>
      <c r="V871" s="13"/>
      <c r="W871" s="13"/>
      <c r="X871" s="13"/>
      <c r="Y871" s="13"/>
      <c r="Z871" s="13"/>
      <c r="AA871" s="13"/>
      <c r="AB871" s="13"/>
      <c r="AC871" s="13"/>
      <c r="AD871" s="13"/>
      <c r="AE871" s="13"/>
      <c r="AF871" s="13"/>
      <c r="AG871" s="13"/>
      <c r="AH871" s="13"/>
      <c r="AI871" s="4"/>
      <c r="AJ871" s="4"/>
      <c r="AK871" s="4"/>
      <c r="AL871" s="4"/>
    </row>
    <row r="872">
      <c r="A872" s="13"/>
      <c r="B872" s="13"/>
      <c r="C872" s="13"/>
      <c r="D872" s="13"/>
      <c r="E872" s="13"/>
      <c r="F872" s="13"/>
      <c r="G872" s="13"/>
      <c r="H872" s="13"/>
      <c r="I872" s="13"/>
      <c r="J872" s="13"/>
      <c r="K872" s="13"/>
      <c r="L872" s="13"/>
      <c r="M872" s="13"/>
      <c r="N872" s="13"/>
      <c r="O872" s="13"/>
      <c r="P872" s="13"/>
      <c r="Q872" s="172"/>
      <c r="R872" s="13"/>
      <c r="S872" s="13"/>
      <c r="T872" s="13"/>
      <c r="U872" s="13"/>
      <c r="V872" s="13"/>
      <c r="W872" s="13"/>
      <c r="X872" s="13"/>
      <c r="Y872" s="13"/>
      <c r="Z872" s="13"/>
      <c r="AA872" s="13"/>
      <c r="AB872" s="13"/>
      <c r="AC872" s="13"/>
      <c r="AD872" s="13"/>
      <c r="AE872" s="13"/>
      <c r="AF872" s="13"/>
      <c r="AG872" s="13"/>
      <c r="AH872" s="13"/>
      <c r="AI872" s="4"/>
      <c r="AJ872" s="4"/>
      <c r="AK872" s="4"/>
      <c r="AL872" s="4"/>
    </row>
    <row r="873">
      <c r="A873" s="13"/>
      <c r="B873" s="13"/>
      <c r="C873" s="13"/>
      <c r="D873" s="13"/>
      <c r="E873" s="13"/>
      <c r="F873" s="13"/>
      <c r="G873" s="13"/>
      <c r="H873" s="13"/>
      <c r="I873" s="13"/>
      <c r="J873" s="13"/>
      <c r="K873" s="13"/>
      <c r="L873" s="13"/>
      <c r="M873" s="13"/>
      <c r="N873" s="13"/>
      <c r="O873" s="13"/>
      <c r="P873" s="13"/>
      <c r="Q873" s="172"/>
      <c r="R873" s="13"/>
      <c r="S873" s="13"/>
      <c r="T873" s="13"/>
      <c r="U873" s="13"/>
      <c r="V873" s="13"/>
      <c r="W873" s="13"/>
      <c r="X873" s="13"/>
      <c r="Y873" s="13"/>
      <c r="Z873" s="13"/>
      <c r="AA873" s="13"/>
      <c r="AB873" s="13"/>
      <c r="AC873" s="13"/>
      <c r="AD873" s="13"/>
      <c r="AE873" s="13"/>
      <c r="AF873" s="13"/>
      <c r="AG873" s="13"/>
      <c r="AH873" s="13"/>
      <c r="AI873" s="4"/>
      <c r="AJ873" s="4"/>
      <c r="AK873" s="4"/>
      <c r="AL873" s="4"/>
    </row>
    <row r="874">
      <c r="A874" s="13"/>
      <c r="B874" s="13"/>
      <c r="C874" s="13"/>
      <c r="D874" s="13"/>
      <c r="E874" s="13"/>
      <c r="F874" s="13"/>
      <c r="G874" s="13"/>
      <c r="H874" s="13"/>
      <c r="I874" s="13"/>
      <c r="J874" s="13"/>
      <c r="K874" s="13"/>
      <c r="L874" s="13"/>
      <c r="M874" s="13"/>
      <c r="N874" s="13"/>
      <c r="O874" s="13"/>
      <c r="P874" s="13"/>
      <c r="Q874" s="172"/>
      <c r="R874" s="13"/>
      <c r="S874" s="13"/>
      <c r="T874" s="13"/>
      <c r="U874" s="13"/>
      <c r="V874" s="13"/>
      <c r="W874" s="13"/>
      <c r="X874" s="13"/>
      <c r="Y874" s="13"/>
      <c r="Z874" s="13"/>
      <c r="AA874" s="13"/>
      <c r="AB874" s="13"/>
      <c r="AC874" s="13"/>
      <c r="AD874" s="13"/>
      <c r="AE874" s="13"/>
      <c r="AF874" s="13"/>
      <c r="AG874" s="13"/>
      <c r="AH874" s="13"/>
      <c r="AI874" s="4"/>
      <c r="AJ874" s="4"/>
      <c r="AK874" s="4"/>
      <c r="AL874" s="4"/>
    </row>
    <row r="875">
      <c r="A875" s="13"/>
      <c r="B875" s="13"/>
      <c r="C875" s="13"/>
      <c r="D875" s="13"/>
      <c r="E875" s="13"/>
      <c r="F875" s="13"/>
      <c r="G875" s="13"/>
      <c r="H875" s="13"/>
      <c r="I875" s="13"/>
      <c r="J875" s="13"/>
      <c r="K875" s="13"/>
      <c r="L875" s="13"/>
      <c r="M875" s="13"/>
      <c r="N875" s="13"/>
      <c r="O875" s="13"/>
      <c r="P875" s="13"/>
      <c r="Q875" s="172"/>
      <c r="R875" s="13"/>
      <c r="S875" s="13"/>
      <c r="T875" s="13"/>
      <c r="U875" s="13"/>
      <c r="V875" s="13"/>
      <c r="W875" s="13"/>
      <c r="X875" s="13"/>
      <c r="Y875" s="13"/>
      <c r="Z875" s="13"/>
      <c r="AA875" s="13"/>
      <c r="AB875" s="13"/>
      <c r="AC875" s="13"/>
      <c r="AD875" s="13"/>
      <c r="AE875" s="13"/>
      <c r="AF875" s="13"/>
      <c r="AG875" s="13"/>
      <c r="AH875" s="13"/>
      <c r="AI875" s="4"/>
      <c r="AJ875" s="4"/>
      <c r="AK875" s="4"/>
      <c r="AL875" s="4"/>
    </row>
    <row r="876">
      <c r="A876" s="13"/>
      <c r="B876" s="13"/>
      <c r="C876" s="13"/>
      <c r="D876" s="13"/>
      <c r="E876" s="13"/>
      <c r="F876" s="13"/>
      <c r="G876" s="13"/>
      <c r="H876" s="13"/>
      <c r="I876" s="13"/>
      <c r="J876" s="13"/>
      <c r="K876" s="13"/>
      <c r="L876" s="13"/>
      <c r="M876" s="13"/>
      <c r="N876" s="13"/>
      <c r="O876" s="13"/>
      <c r="P876" s="13"/>
      <c r="Q876" s="172"/>
      <c r="R876" s="13"/>
      <c r="S876" s="13"/>
      <c r="T876" s="13"/>
      <c r="U876" s="13"/>
      <c r="V876" s="13"/>
      <c r="W876" s="13"/>
      <c r="X876" s="13"/>
      <c r="Y876" s="13"/>
      <c r="Z876" s="13"/>
      <c r="AA876" s="13"/>
      <c r="AB876" s="13"/>
      <c r="AC876" s="13"/>
      <c r="AD876" s="13"/>
      <c r="AE876" s="13"/>
      <c r="AF876" s="13"/>
      <c r="AG876" s="13"/>
      <c r="AH876" s="13"/>
      <c r="AI876" s="4"/>
      <c r="AJ876" s="4"/>
      <c r="AK876" s="4"/>
      <c r="AL876" s="4"/>
    </row>
    <row r="877">
      <c r="A877" s="13"/>
      <c r="B877" s="13"/>
      <c r="C877" s="13"/>
      <c r="D877" s="13"/>
      <c r="E877" s="13"/>
      <c r="F877" s="13"/>
      <c r="G877" s="13"/>
      <c r="H877" s="13"/>
      <c r="I877" s="13"/>
      <c r="J877" s="13"/>
      <c r="K877" s="13"/>
      <c r="L877" s="13"/>
      <c r="M877" s="13"/>
      <c r="N877" s="13"/>
      <c r="O877" s="13"/>
      <c r="P877" s="13"/>
      <c r="Q877" s="172"/>
      <c r="R877" s="13"/>
      <c r="S877" s="13"/>
      <c r="T877" s="13"/>
      <c r="U877" s="13"/>
      <c r="V877" s="13"/>
      <c r="W877" s="13"/>
      <c r="X877" s="13"/>
      <c r="Y877" s="13"/>
      <c r="Z877" s="13"/>
      <c r="AA877" s="13"/>
      <c r="AB877" s="13"/>
      <c r="AC877" s="13"/>
      <c r="AD877" s="13"/>
      <c r="AE877" s="13"/>
      <c r="AF877" s="13"/>
      <c r="AG877" s="13"/>
      <c r="AH877" s="13"/>
      <c r="AI877" s="4"/>
      <c r="AJ877" s="4"/>
      <c r="AK877" s="4"/>
      <c r="AL877" s="4"/>
    </row>
    <row r="878">
      <c r="A878" s="13"/>
      <c r="B878" s="13"/>
      <c r="C878" s="13"/>
      <c r="D878" s="13"/>
      <c r="E878" s="13"/>
      <c r="F878" s="13"/>
      <c r="G878" s="13"/>
      <c r="H878" s="13"/>
      <c r="I878" s="13"/>
      <c r="J878" s="13"/>
      <c r="K878" s="13"/>
      <c r="L878" s="13"/>
      <c r="M878" s="13"/>
      <c r="N878" s="13"/>
      <c r="O878" s="13"/>
      <c r="P878" s="13"/>
      <c r="Q878" s="172"/>
      <c r="R878" s="13"/>
      <c r="S878" s="13"/>
      <c r="T878" s="13"/>
      <c r="U878" s="13"/>
      <c r="V878" s="13"/>
      <c r="W878" s="13"/>
      <c r="X878" s="13"/>
      <c r="Y878" s="13"/>
      <c r="Z878" s="13"/>
      <c r="AA878" s="13"/>
      <c r="AB878" s="13"/>
      <c r="AC878" s="13"/>
      <c r="AD878" s="13"/>
      <c r="AE878" s="13"/>
      <c r="AF878" s="13"/>
      <c r="AG878" s="13"/>
      <c r="AH878" s="13"/>
      <c r="AI878" s="4"/>
      <c r="AJ878" s="4"/>
      <c r="AK878" s="4"/>
      <c r="AL878" s="4"/>
    </row>
    <row r="879">
      <c r="A879" s="13"/>
      <c r="B879" s="13"/>
      <c r="C879" s="13"/>
      <c r="D879" s="13"/>
      <c r="E879" s="13"/>
      <c r="F879" s="13"/>
      <c r="G879" s="13"/>
      <c r="H879" s="13"/>
      <c r="I879" s="13"/>
      <c r="J879" s="13"/>
      <c r="K879" s="13"/>
      <c r="L879" s="13"/>
      <c r="M879" s="13"/>
      <c r="N879" s="13"/>
      <c r="O879" s="13"/>
      <c r="P879" s="13"/>
      <c r="Q879" s="172"/>
      <c r="R879" s="13"/>
      <c r="S879" s="13"/>
      <c r="T879" s="13"/>
      <c r="U879" s="13"/>
      <c r="V879" s="13"/>
      <c r="W879" s="13"/>
      <c r="X879" s="13"/>
      <c r="Y879" s="13"/>
      <c r="Z879" s="13"/>
      <c r="AA879" s="13"/>
      <c r="AB879" s="13"/>
      <c r="AC879" s="13"/>
      <c r="AD879" s="13"/>
      <c r="AE879" s="13"/>
      <c r="AF879" s="13"/>
      <c r="AG879" s="13"/>
      <c r="AH879" s="13"/>
      <c r="AI879" s="4"/>
      <c r="AJ879" s="4"/>
      <c r="AK879" s="4"/>
      <c r="AL879" s="4"/>
    </row>
    <row r="880">
      <c r="A880" s="13"/>
      <c r="B880" s="13"/>
      <c r="C880" s="13"/>
      <c r="D880" s="13"/>
      <c r="E880" s="13"/>
      <c r="F880" s="13"/>
      <c r="G880" s="13"/>
      <c r="H880" s="13"/>
      <c r="I880" s="13"/>
      <c r="J880" s="13"/>
      <c r="K880" s="13"/>
      <c r="L880" s="13"/>
      <c r="M880" s="13"/>
      <c r="N880" s="13"/>
      <c r="O880" s="13"/>
      <c r="P880" s="13"/>
      <c r="Q880" s="172"/>
      <c r="R880" s="13"/>
      <c r="S880" s="13"/>
      <c r="T880" s="13"/>
      <c r="U880" s="13"/>
      <c r="V880" s="13"/>
      <c r="W880" s="13"/>
      <c r="X880" s="13"/>
      <c r="Y880" s="13"/>
      <c r="Z880" s="13"/>
      <c r="AA880" s="13"/>
      <c r="AB880" s="13"/>
      <c r="AC880" s="13"/>
      <c r="AD880" s="13"/>
      <c r="AE880" s="13"/>
      <c r="AF880" s="13"/>
      <c r="AG880" s="13"/>
      <c r="AH880" s="13"/>
      <c r="AI880" s="4"/>
      <c r="AJ880" s="4"/>
      <c r="AK880" s="4"/>
      <c r="AL880" s="4"/>
    </row>
    <row r="881">
      <c r="A881" s="13"/>
      <c r="B881" s="13"/>
      <c r="C881" s="13"/>
      <c r="D881" s="13"/>
      <c r="E881" s="13"/>
      <c r="F881" s="13"/>
      <c r="G881" s="13"/>
      <c r="H881" s="13"/>
      <c r="I881" s="13"/>
      <c r="J881" s="13"/>
      <c r="K881" s="13"/>
      <c r="L881" s="13"/>
      <c r="M881" s="13"/>
      <c r="N881" s="13"/>
      <c r="O881" s="13"/>
      <c r="P881" s="13"/>
      <c r="Q881" s="172"/>
      <c r="R881" s="13"/>
      <c r="S881" s="13"/>
      <c r="T881" s="13"/>
      <c r="U881" s="13"/>
      <c r="V881" s="13"/>
      <c r="W881" s="13"/>
      <c r="X881" s="13"/>
      <c r="Y881" s="13"/>
      <c r="Z881" s="13"/>
      <c r="AA881" s="13"/>
      <c r="AB881" s="13"/>
      <c r="AC881" s="13"/>
      <c r="AD881" s="13"/>
      <c r="AE881" s="13"/>
      <c r="AF881" s="13"/>
      <c r="AG881" s="13"/>
      <c r="AH881" s="13"/>
      <c r="AI881" s="4"/>
      <c r="AJ881" s="4"/>
      <c r="AK881" s="4"/>
      <c r="AL881" s="4"/>
    </row>
    <row r="882">
      <c r="A882" s="13"/>
      <c r="B882" s="13"/>
      <c r="C882" s="13"/>
      <c r="D882" s="13"/>
      <c r="E882" s="13"/>
      <c r="F882" s="13"/>
      <c r="G882" s="13"/>
      <c r="H882" s="13"/>
      <c r="I882" s="13"/>
      <c r="J882" s="13"/>
      <c r="K882" s="13"/>
      <c r="L882" s="13"/>
      <c r="M882" s="13"/>
      <c r="N882" s="13"/>
      <c r="O882" s="13"/>
      <c r="P882" s="13"/>
      <c r="Q882" s="172"/>
      <c r="R882" s="13"/>
      <c r="S882" s="13"/>
      <c r="T882" s="13"/>
      <c r="U882" s="13"/>
      <c r="V882" s="13"/>
      <c r="W882" s="13"/>
      <c r="X882" s="13"/>
      <c r="Y882" s="13"/>
      <c r="Z882" s="13"/>
      <c r="AA882" s="13"/>
      <c r="AB882" s="13"/>
      <c r="AC882" s="13"/>
      <c r="AD882" s="13"/>
      <c r="AE882" s="13"/>
      <c r="AF882" s="13"/>
      <c r="AG882" s="13"/>
      <c r="AH882" s="13"/>
      <c r="AI882" s="4"/>
      <c r="AJ882" s="4"/>
      <c r="AK882" s="4"/>
      <c r="AL882" s="4"/>
    </row>
    <row r="883">
      <c r="A883" s="13"/>
      <c r="B883" s="13"/>
      <c r="C883" s="13"/>
      <c r="D883" s="13"/>
      <c r="E883" s="13"/>
      <c r="F883" s="13"/>
      <c r="G883" s="13"/>
      <c r="H883" s="13"/>
      <c r="I883" s="13"/>
      <c r="J883" s="13"/>
      <c r="K883" s="13"/>
      <c r="L883" s="13"/>
      <c r="M883" s="13"/>
      <c r="N883" s="13"/>
      <c r="O883" s="13"/>
      <c r="P883" s="13"/>
      <c r="Q883" s="172"/>
      <c r="R883" s="13"/>
      <c r="S883" s="13"/>
      <c r="T883" s="13"/>
      <c r="U883" s="13"/>
      <c r="V883" s="13"/>
      <c r="W883" s="13"/>
      <c r="X883" s="13"/>
      <c r="Y883" s="13"/>
      <c r="Z883" s="13"/>
      <c r="AA883" s="13"/>
      <c r="AB883" s="13"/>
      <c r="AC883" s="13"/>
      <c r="AD883" s="13"/>
      <c r="AE883" s="13"/>
      <c r="AF883" s="13"/>
      <c r="AG883" s="13"/>
      <c r="AH883" s="13"/>
      <c r="AI883" s="4"/>
      <c r="AJ883" s="4"/>
      <c r="AK883" s="4"/>
      <c r="AL883" s="4"/>
    </row>
    <row r="884">
      <c r="A884" s="13"/>
      <c r="B884" s="13"/>
      <c r="C884" s="13"/>
      <c r="D884" s="13"/>
      <c r="E884" s="13"/>
      <c r="F884" s="13"/>
      <c r="G884" s="13"/>
      <c r="H884" s="13"/>
      <c r="I884" s="13"/>
      <c r="J884" s="13"/>
      <c r="K884" s="13"/>
      <c r="L884" s="13"/>
      <c r="M884" s="13"/>
      <c r="N884" s="13"/>
      <c r="O884" s="13"/>
      <c r="P884" s="13"/>
      <c r="Q884" s="172"/>
      <c r="R884" s="13"/>
      <c r="S884" s="13"/>
      <c r="T884" s="13"/>
      <c r="U884" s="13"/>
      <c r="V884" s="13"/>
      <c r="W884" s="13"/>
      <c r="X884" s="13"/>
      <c r="Y884" s="13"/>
      <c r="Z884" s="13"/>
      <c r="AA884" s="13"/>
      <c r="AB884" s="13"/>
      <c r="AC884" s="13"/>
      <c r="AD884" s="13"/>
      <c r="AE884" s="13"/>
      <c r="AF884" s="13"/>
      <c r="AG884" s="13"/>
      <c r="AH884" s="13"/>
      <c r="AI884" s="4"/>
      <c r="AJ884" s="4"/>
      <c r="AK884" s="4"/>
      <c r="AL884" s="4"/>
    </row>
    <row r="885">
      <c r="A885" s="13"/>
      <c r="B885" s="13"/>
      <c r="C885" s="13"/>
      <c r="D885" s="13"/>
      <c r="E885" s="13"/>
      <c r="F885" s="13"/>
      <c r="G885" s="13"/>
      <c r="H885" s="13"/>
      <c r="I885" s="13"/>
      <c r="J885" s="13"/>
      <c r="K885" s="13"/>
      <c r="L885" s="13"/>
      <c r="M885" s="13"/>
      <c r="N885" s="13"/>
      <c r="O885" s="13"/>
      <c r="P885" s="13"/>
      <c r="Q885" s="172"/>
      <c r="R885" s="13"/>
      <c r="S885" s="13"/>
      <c r="T885" s="13"/>
      <c r="U885" s="13"/>
      <c r="V885" s="13"/>
      <c r="W885" s="13"/>
      <c r="X885" s="13"/>
      <c r="Y885" s="13"/>
      <c r="Z885" s="13"/>
      <c r="AA885" s="13"/>
      <c r="AB885" s="13"/>
      <c r="AC885" s="13"/>
      <c r="AD885" s="13"/>
      <c r="AE885" s="13"/>
      <c r="AF885" s="13"/>
      <c r="AG885" s="13"/>
      <c r="AH885" s="13"/>
      <c r="AI885" s="4"/>
      <c r="AJ885" s="4"/>
      <c r="AK885" s="4"/>
      <c r="AL885" s="4"/>
    </row>
    <row r="886">
      <c r="A886" s="13"/>
      <c r="B886" s="13"/>
      <c r="C886" s="13"/>
      <c r="D886" s="13"/>
      <c r="E886" s="13"/>
      <c r="F886" s="13"/>
      <c r="G886" s="13"/>
      <c r="H886" s="13"/>
      <c r="I886" s="13"/>
      <c r="J886" s="13"/>
      <c r="K886" s="13"/>
      <c r="L886" s="13"/>
      <c r="M886" s="13"/>
      <c r="N886" s="13"/>
      <c r="O886" s="13"/>
      <c r="P886" s="13"/>
      <c r="Q886" s="172"/>
      <c r="R886" s="13"/>
      <c r="S886" s="13"/>
      <c r="T886" s="13"/>
      <c r="U886" s="13"/>
      <c r="V886" s="13"/>
      <c r="W886" s="13"/>
      <c r="X886" s="13"/>
      <c r="Y886" s="13"/>
      <c r="Z886" s="13"/>
      <c r="AA886" s="13"/>
      <c r="AB886" s="13"/>
      <c r="AC886" s="13"/>
      <c r="AD886" s="13"/>
      <c r="AE886" s="13"/>
      <c r="AF886" s="13"/>
      <c r="AG886" s="13"/>
      <c r="AH886" s="13"/>
      <c r="AI886" s="4"/>
      <c r="AJ886" s="4"/>
      <c r="AK886" s="4"/>
      <c r="AL886" s="4"/>
    </row>
    <row r="887">
      <c r="A887" s="13"/>
      <c r="B887" s="13"/>
      <c r="C887" s="13"/>
      <c r="D887" s="13"/>
      <c r="E887" s="13"/>
      <c r="F887" s="13"/>
      <c r="G887" s="13"/>
      <c r="H887" s="13"/>
      <c r="I887" s="13"/>
      <c r="J887" s="13"/>
      <c r="K887" s="13"/>
      <c r="L887" s="13"/>
      <c r="M887" s="13"/>
      <c r="N887" s="13"/>
      <c r="O887" s="13"/>
      <c r="P887" s="13"/>
      <c r="Q887" s="172"/>
      <c r="R887" s="13"/>
      <c r="S887" s="13"/>
      <c r="T887" s="13"/>
      <c r="U887" s="13"/>
      <c r="V887" s="13"/>
      <c r="W887" s="13"/>
      <c r="X887" s="13"/>
      <c r="Y887" s="13"/>
      <c r="Z887" s="13"/>
      <c r="AA887" s="13"/>
      <c r="AB887" s="13"/>
      <c r="AC887" s="13"/>
      <c r="AD887" s="13"/>
      <c r="AE887" s="13"/>
      <c r="AF887" s="13"/>
      <c r="AG887" s="13"/>
      <c r="AH887" s="13"/>
      <c r="AI887" s="4"/>
      <c r="AJ887" s="4"/>
      <c r="AK887" s="4"/>
      <c r="AL887" s="4"/>
    </row>
    <row r="888">
      <c r="A888" s="13"/>
      <c r="B888" s="13"/>
      <c r="C888" s="13"/>
      <c r="D888" s="13"/>
      <c r="E888" s="13"/>
      <c r="F888" s="13"/>
      <c r="G888" s="13"/>
      <c r="H888" s="13"/>
      <c r="I888" s="13"/>
      <c r="J888" s="13"/>
      <c r="K888" s="13"/>
      <c r="L888" s="13"/>
      <c r="M888" s="13"/>
      <c r="N888" s="13"/>
      <c r="O888" s="13"/>
      <c r="P888" s="13"/>
      <c r="Q888" s="172"/>
      <c r="R888" s="13"/>
      <c r="S888" s="13"/>
      <c r="T888" s="13"/>
      <c r="U888" s="13"/>
      <c r="V888" s="13"/>
      <c r="W888" s="13"/>
      <c r="X888" s="13"/>
      <c r="Y888" s="13"/>
      <c r="Z888" s="13"/>
      <c r="AA888" s="13"/>
      <c r="AB888" s="13"/>
      <c r="AC888" s="13"/>
      <c r="AD888" s="13"/>
      <c r="AE888" s="13"/>
      <c r="AF888" s="13"/>
      <c r="AG888" s="13"/>
      <c r="AH888" s="13"/>
      <c r="AI888" s="4"/>
      <c r="AJ888" s="4"/>
      <c r="AK888" s="4"/>
      <c r="AL888" s="4"/>
    </row>
    <row r="889">
      <c r="A889" s="13"/>
      <c r="B889" s="13"/>
      <c r="C889" s="13"/>
      <c r="D889" s="13"/>
      <c r="E889" s="13"/>
      <c r="F889" s="13"/>
      <c r="G889" s="13"/>
      <c r="H889" s="13"/>
      <c r="I889" s="13"/>
      <c r="J889" s="13"/>
      <c r="K889" s="13"/>
      <c r="L889" s="13"/>
      <c r="M889" s="13"/>
      <c r="N889" s="13"/>
      <c r="O889" s="13"/>
      <c r="P889" s="13"/>
      <c r="Q889" s="172"/>
      <c r="R889" s="13"/>
      <c r="S889" s="13"/>
      <c r="T889" s="13"/>
      <c r="U889" s="13"/>
      <c r="V889" s="13"/>
      <c r="W889" s="13"/>
      <c r="X889" s="13"/>
      <c r="Y889" s="13"/>
      <c r="Z889" s="13"/>
      <c r="AA889" s="13"/>
      <c r="AB889" s="13"/>
      <c r="AC889" s="13"/>
      <c r="AD889" s="13"/>
      <c r="AE889" s="13"/>
      <c r="AF889" s="13"/>
      <c r="AG889" s="13"/>
      <c r="AH889" s="13"/>
      <c r="AI889" s="4"/>
      <c r="AJ889" s="4"/>
      <c r="AK889" s="4"/>
      <c r="AL889" s="4"/>
    </row>
    <row r="890">
      <c r="A890" s="13"/>
      <c r="B890" s="13"/>
      <c r="C890" s="13"/>
      <c r="D890" s="13"/>
      <c r="E890" s="13"/>
      <c r="F890" s="13"/>
      <c r="G890" s="13"/>
      <c r="H890" s="13"/>
      <c r="I890" s="13"/>
      <c r="J890" s="13"/>
      <c r="K890" s="13"/>
      <c r="L890" s="13"/>
      <c r="M890" s="13"/>
      <c r="N890" s="13"/>
      <c r="O890" s="13"/>
      <c r="P890" s="13"/>
      <c r="Q890" s="172"/>
      <c r="R890" s="13"/>
      <c r="S890" s="13"/>
      <c r="T890" s="13"/>
      <c r="U890" s="13"/>
      <c r="V890" s="13"/>
      <c r="W890" s="13"/>
      <c r="X890" s="13"/>
      <c r="Y890" s="13"/>
      <c r="Z890" s="13"/>
      <c r="AA890" s="13"/>
      <c r="AB890" s="13"/>
      <c r="AC890" s="13"/>
      <c r="AD890" s="13"/>
      <c r="AE890" s="13"/>
      <c r="AF890" s="13"/>
      <c r="AG890" s="13"/>
      <c r="AH890" s="13"/>
      <c r="AI890" s="4"/>
      <c r="AJ890" s="4"/>
      <c r="AK890" s="4"/>
      <c r="AL890" s="4"/>
    </row>
    <row r="891">
      <c r="A891" s="13"/>
      <c r="B891" s="13"/>
      <c r="C891" s="13"/>
      <c r="D891" s="13"/>
      <c r="E891" s="13"/>
      <c r="F891" s="13"/>
      <c r="G891" s="13"/>
      <c r="H891" s="13"/>
      <c r="I891" s="13"/>
      <c r="J891" s="13"/>
      <c r="K891" s="13"/>
      <c r="L891" s="13"/>
      <c r="M891" s="13"/>
      <c r="N891" s="13"/>
      <c r="O891" s="13"/>
      <c r="P891" s="13"/>
      <c r="Q891" s="172"/>
      <c r="R891" s="13"/>
      <c r="S891" s="13"/>
      <c r="T891" s="13"/>
      <c r="U891" s="13"/>
      <c r="V891" s="13"/>
      <c r="W891" s="13"/>
      <c r="X891" s="13"/>
      <c r="Y891" s="13"/>
      <c r="Z891" s="13"/>
      <c r="AA891" s="13"/>
      <c r="AB891" s="13"/>
      <c r="AC891" s="13"/>
      <c r="AD891" s="13"/>
      <c r="AE891" s="13"/>
      <c r="AF891" s="13"/>
      <c r="AG891" s="13"/>
      <c r="AH891" s="13"/>
      <c r="AI891" s="4"/>
      <c r="AJ891" s="4"/>
      <c r="AK891" s="4"/>
      <c r="AL891" s="4"/>
    </row>
    <row r="892">
      <c r="A892" s="13"/>
      <c r="B892" s="13"/>
      <c r="C892" s="13"/>
      <c r="D892" s="13"/>
      <c r="E892" s="13"/>
      <c r="F892" s="13"/>
      <c r="G892" s="13"/>
      <c r="H892" s="13"/>
      <c r="I892" s="13"/>
      <c r="J892" s="13"/>
      <c r="K892" s="13"/>
      <c r="L892" s="13"/>
      <c r="M892" s="13"/>
      <c r="N892" s="13"/>
      <c r="O892" s="13"/>
      <c r="P892" s="13"/>
      <c r="Q892" s="172"/>
      <c r="R892" s="13"/>
      <c r="S892" s="13"/>
      <c r="T892" s="13"/>
      <c r="U892" s="13"/>
      <c r="V892" s="13"/>
      <c r="W892" s="13"/>
      <c r="X892" s="13"/>
      <c r="Y892" s="13"/>
      <c r="Z892" s="13"/>
      <c r="AA892" s="13"/>
      <c r="AB892" s="13"/>
      <c r="AC892" s="13"/>
      <c r="AD892" s="13"/>
      <c r="AE892" s="13"/>
      <c r="AF892" s="13"/>
      <c r="AG892" s="13"/>
      <c r="AH892" s="13"/>
      <c r="AI892" s="4"/>
      <c r="AJ892" s="4"/>
      <c r="AK892" s="4"/>
      <c r="AL892" s="4"/>
    </row>
    <row r="893">
      <c r="A893" s="13"/>
      <c r="B893" s="13"/>
      <c r="C893" s="13"/>
      <c r="D893" s="13"/>
      <c r="E893" s="13"/>
      <c r="F893" s="13"/>
      <c r="G893" s="13"/>
      <c r="H893" s="13"/>
      <c r="I893" s="13"/>
      <c r="J893" s="13"/>
      <c r="K893" s="13"/>
      <c r="L893" s="13"/>
      <c r="M893" s="13"/>
      <c r="N893" s="13"/>
      <c r="O893" s="13"/>
      <c r="P893" s="13"/>
      <c r="Q893" s="172"/>
      <c r="R893" s="13"/>
      <c r="S893" s="13"/>
      <c r="T893" s="13"/>
      <c r="U893" s="13"/>
      <c r="V893" s="13"/>
      <c r="W893" s="13"/>
      <c r="X893" s="13"/>
      <c r="Y893" s="13"/>
      <c r="Z893" s="13"/>
      <c r="AA893" s="13"/>
      <c r="AB893" s="13"/>
      <c r="AC893" s="13"/>
      <c r="AD893" s="13"/>
      <c r="AE893" s="13"/>
      <c r="AF893" s="13"/>
      <c r="AG893" s="13"/>
      <c r="AH893" s="13"/>
      <c r="AI893" s="4"/>
      <c r="AJ893" s="4"/>
      <c r="AK893" s="4"/>
      <c r="AL893" s="4"/>
    </row>
    <row r="894">
      <c r="A894" s="13"/>
      <c r="B894" s="13"/>
      <c r="C894" s="13"/>
      <c r="D894" s="13"/>
      <c r="E894" s="13"/>
      <c r="F894" s="13"/>
      <c r="G894" s="13"/>
      <c r="H894" s="13"/>
      <c r="I894" s="13"/>
      <c r="J894" s="13"/>
      <c r="K894" s="13"/>
      <c r="L894" s="13"/>
      <c r="M894" s="13"/>
      <c r="N894" s="13"/>
      <c r="O894" s="13"/>
      <c r="P894" s="13"/>
      <c r="Q894" s="172"/>
      <c r="R894" s="13"/>
      <c r="S894" s="13"/>
      <c r="T894" s="13"/>
      <c r="U894" s="13"/>
      <c r="V894" s="13"/>
      <c r="W894" s="13"/>
      <c r="X894" s="13"/>
      <c r="Y894" s="13"/>
      <c r="Z894" s="13"/>
      <c r="AA894" s="13"/>
      <c r="AB894" s="13"/>
      <c r="AC894" s="13"/>
      <c r="AD894" s="13"/>
      <c r="AE894" s="13"/>
      <c r="AF894" s="13"/>
      <c r="AG894" s="13"/>
      <c r="AH894" s="13"/>
      <c r="AI894" s="4"/>
      <c r="AJ894" s="4"/>
      <c r="AK894" s="4"/>
      <c r="AL894" s="4"/>
    </row>
    <row r="895">
      <c r="A895" s="13"/>
      <c r="B895" s="13"/>
      <c r="C895" s="13"/>
      <c r="D895" s="13"/>
      <c r="E895" s="13"/>
      <c r="F895" s="13"/>
      <c r="G895" s="13"/>
      <c r="H895" s="13"/>
      <c r="I895" s="13"/>
      <c r="J895" s="13"/>
      <c r="K895" s="13"/>
      <c r="L895" s="13"/>
      <c r="M895" s="13"/>
      <c r="N895" s="13"/>
      <c r="O895" s="13"/>
      <c r="P895" s="13"/>
      <c r="Q895" s="172"/>
      <c r="R895" s="13"/>
      <c r="S895" s="13"/>
      <c r="T895" s="13"/>
      <c r="U895" s="13"/>
      <c r="V895" s="13"/>
      <c r="W895" s="13"/>
      <c r="X895" s="13"/>
      <c r="Y895" s="13"/>
      <c r="Z895" s="13"/>
      <c r="AA895" s="13"/>
      <c r="AB895" s="13"/>
      <c r="AC895" s="13"/>
      <c r="AD895" s="13"/>
      <c r="AE895" s="13"/>
      <c r="AF895" s="13"/>
      <c r="AG895" s="13"/>
      <c r="AH895" s="13"/>
      <c r="AI895" s="4"/>
      <c r="AJ895" s="4"/>
      <c r="AK895" s="4"/>
      <c r="AL895" s="4"/>
    </row>
    <row r="896">
      <c r="A896" s="13"/>
      <c r="B896" s="13"/>
      <c r="C896" s="13"/>
      <c r="D896" s="13"/>
      <c r="E896" s="13"/>
      <c r="F896" s="13"/>
      <c r="G896" s="13"/>
      <c r="H896" s="13"/>
      <c r="I896" s="13"/>
      <c r="J896" s="13"/>
      <c r="K896" s="13"/>
      <c r="L896" s="13"/>
      <c r="M896" s="13"/>
      <c r="N896" s="13"/>
      <c r="O896" s="13"/>
      <c r="P896" s="13"/>
      <c r="Q896" s="172"/>
      <c r="R896" s="13"/>
      <c r="S896" s="13"/>
      <c r="T896" s="13"/>
      <c r="U896" s="13"/>
      <c r="V896" s="13"/>
      <c r="W896" s="13"/>
      <c r="X896" s="13"/>
      <c r="Y896" s="13"/>
      <c r="Z896" s="13"/>
      <c r="AA896" s="13"/>
      <c r="AB896" s="13"/>
      <c r="AC896" s="13"/>
      <c r="AD896" s="13"/>
      <c r="AE896" s="13"/>
      <c r="AF896" s="13"/>
      <c r="AG896" s="13"/>
      <c r="AH896" s="13"/>
      <c r="AI896" s="4"/>
      <c r="AJ896" s="4"/>
      <c r="AK896" s="4"/>
      <c r="AL896" s="4"/>
    </row>
    <row r="897">
      <c r="A897" s="13"/>
      <c r="B897" s="13"/>
      <c r="C897" s="13"/>
      <c r="D897" s="13"/>
      <c r="E897" s="13"/>
      <c r="F897" s="13"/>
      <c r="G897" s="13"/>
      <c r="H897" s="13"/>
      <c r="I897" s="13"/>
      <c r="J897" s="13"/>
      <c r="K897" s="13"/>
      <c r="L897" s="13"/>
      <c r="M897" s="13"/>
      <c r="N897" s="13"/>
      <c r="O897" s="13"/>
      <c r="P897" s="13"/>
      <c r="Q897" s="172"/>
      <c r="R897" s="13"/>
      <c r="S897" s="13"/>
      <c r="T897" s="13"/>
      <c r="U897" s="13"/>
      <c r="V897" s="13"/>
      <c r="W897" s="13"/>
      <c r="X897" s="13"/>
      <c r="Y897" s="13"/>
      <c r="Z897" s="13"/>
      <c r="AA897" s="13"/>
      <c r="AB897" s="13"/>
      <c r="AC897" s="13"/>
      <c r="AD897" s="13"/>
      <c r="AE897" s="13"/>
      <c r="AF897" s="13"/>
      <c r="AG897" s="13"/>
      <c r="AH897" s="13"/>
      <c r="AI897" s="4"/>
      <c r="AJ897" s="4"/>
      <c r="AK897" s="4"/>
      <c r="AL897" s="4"/>
    </row>
    <row r="898">
      <c r="A898" s="13"/>
      <c r="B898" s="13"/>
      <c r="C898" s="13"/>
      <c r="D898" s="13"/>
      <c r="E898" s="13"/>
      <c r="F898" s="13"/>
      <c r="G898" s="13"/>
      <c r="H898" s="13"/>
      <c r="I898" s="13"/>
      <c r="J898" s="13"/>
      <c r="K898" s="13"/>
      <c r="L898" s="13"/>
      <c r="M898" s="13"/>
      <c r="N898" s="13"/>
      <c r="O898" s="13"/>
      <c r="P898" s="13"/>
      <c r="Q898" s="172"/>
      <c r="R898" s="13"/>
      <c r="S898" s="13"/>
      <c r="T898" s="13"/>
      <c r="U898" s="13"/>
      <c r="V898" s="13"/>
      <c r="W898" s="13"/>
      <c r="X898" s="13"/>
      <c r="Y898" s="13"/>
      <c r="Z898" s="13"/>
      <c r="AA898" s="13"/>
      <c r="AB898" s="13"/>
      <c r="AC898" s="13"/>
      <c r="AD898" s="13"/>
      <c r="AE898" s="13"/>
      <c r="AF898" s="13"/>
      <c r="AG898" s="13"/>
      <c r="AH898" s="13"/>
      <c r="AI898" s="4"/>
      <c r="AJ898" s="4"/>
      <c r="AK898" s="4"/>
      <c r="AL898" s="4"/>
    </row>
    <row r="899">
      <c r="A899" s="13"/>
      <c r="B899" s="13"/>
      <c r="C899" s="13"/>
      <c r="D899" s="13"/>
      <c r="E899" s="13"/>
      <c r="F899" s="13"/>
      <c r="G899" s="13"/>
      <c r="H899" s="13"/>
      <c r="I899" s="13"/>
      <c r="J899" s="13"/>
      <c r="K899" s="13"/>
      <c r="L899" s="13"/>
      <c r="M899" s="13"/>
      <c r="N899" s="13"/>
      <c r="O899" s="13"/>
      <c r="P899" s="13"/>
      <c r="Q899" s="172"/>
      <c r="R899" s="13"/>
      <c r="S899" s="13"/>
      <c r="T899" s="13"/>
      <c r="U899" s="13"/>
      <c r="V899" s="13"/>
      <c r="W899" s="13"/>
      <c r="X899" s="13"/>
      <c r="Y899" s="13"/>
      <c r="Z899" s="13"/>
      <c r="AA899" s="13"/>
      <c r="AB899" s="13"/>
      <c r="AC899" s="13"/>
      <c r="AD899" s="13"/>
      <c r="AE899" s="13"/>
      <c r="AF899" s="13"/>
      <c r="AG899" s="13"/>
      <c r="AH899" s="13"/>
      <c r="AI899" s="4"/>
      <c r="AJ899" s="4"/>
      <c r="AK899" s="4"/>
      <c r="AL899" s="4"/>
    </row>
    <row r="900">
      <c r="A900" s="13"/>
      <c r="B900" s="13"/>
      <c r="C900" s="13"/>
      <c r="D900" s="13"/>
      <c r="E900" s="13"/>
      <c r="F900" s="13"/>
      <c r="G900" s="13"/>
      <c r="H900" s="13"/>
      <c r="I900" s="13"/>
      <c r="J900" s="13"/>
      <c r="K900" s="13"/>
      <c r="L900" s="13"/>
      <c r="M900" s="13"/>
      <c r="N900" s="13"/>
      <c r="O900" s="13"/>
      <c r="P900" s="13"/>
      <c r="Q900" s="172"/>
      <c r="R900" s="13"/>
      <c r="S900" s="13"/>
      <c r="T900" s="13"/>
      <c r="U900" s="13"/>
      <c r="V900" s="13"/>
      <c r="W900" s="13"/>
      <c r="X900" s="13"/>
      <c r="Y900" s="13"/>
      <c r="Z900" s="13"/>
      <c r="AA900" s="13"/>
      <c r="AB900" s="13"/>
      <c r="AC900" s="13"/>
      <c r="AD900" s="13"/>
      <c r="AE900" s="13"/>
      <c r="AF900" s="13"/>
      <c r="AG900" s="13"/>
      <c r="AH900" s="13"/>
      <c r="AI900" s="4"/>
      <c r="AJ900" s="4"/>
      <c r="AK900" s="4"/>
      <c r="AL900" s="4"/>
    </row>
    <row r="901">
      <c r="A901" s="13"/>
      <c r="B901" s="13"/>
      <c r="C901" s="13"/>
      <c r="D901" s="13"/>
      <c r="E901" s="13"/>
      <c r="F901" s="13"/>
      <c r="G901" s="13"/>
      <c r="H901" s="13"/>
      <c r="I901" s="13"/>
      <c r="J901" s="13"/>
      <c r="K901" s="13"/>
      <c r="L901" s="13"/>
      <c r="M901" s="13"/>
      <c r="N901" s="13"/>
      <c r="O901" s="13"/>
      <c r="P901" s="13"/>
      <c r="Q901" s="172"/>
      <c r="R901" s="13"/>
      <c r="S901" s="13"/>
      <c r="T901" s="13"/>
      <c r="U901" s="13"/>
      <c r="V901" s="13"/>
      <c r="W901" s="13"/>
      <c r="X901" s="13"/>
      <c r="Y901" s="13"/>
      <c r="Z901" s="13"/>
      <c r="AA901" s="13"/>
      <c r="AB901" s="13"/>
      <c r="AC901" s="13"/>
      <c r="AD901" s="13"/>
      <c r="AE901" s="13"/>
      <c r="AF901" s="13"/>
      <c r="AG901" s="13"/>
      <c r="AH901" s="13"/>
      <c r="AI901" s="4"/>
      <c r="AJ901" s="4"/>
      <c r="AK901" s="4"/>
      <c r="AL901" s="4"/>
    </row>
    <row r="902">
      <c r="A902" s="13"/>
      <c r="B902" s="13"/>
      <c r="C902" s="13"/>
      <c r="D902" s="13"/>
      <c r="E902" s="13"/>
      <c r="F902" s="13"/>
      <c r="G902" s="13"/>
      <c r="H902" s="13"/>
      <c r="I902" s="13"/>
      <c r="J902" s="13"/>
      <c r="K902" s="13"/>
      <c r="L902" s="13"/>
      <c r="M902" s="13"/>
      <c r="N902" s="13"/>
      <c r="O902" s="13"/>
      <c r="P902" s="13"/>
      <c r="Q902" s="172"/>
      <c r="R902" s="13"/>
      <c r="S902" s="13"/>
      <c r="T902" s="13"/>
      <c r="U902" s="13"/>
      <c r="V902" s="13"/>
      <c r="W902" s="13"/>
      <c r="X902" s="13"/>
      <c r="Y902" s="13"/>
      <c r="Z902" s="13"/>
      <c r="AA902" s="13"/>
      <c r="AB902" s="13"/>
      <c r="AC902" s="13"/>
      <c r="AD902" s="13"/>
      <c r="AE902" s="13"/>
      <c r="AF902" s="13"/>
      <c r="AG902" s="13"/>
      <c r="AH902" s="13"/>
      <c r="AI902" s="4"/>
      <c r="AJ902" s="4"/>
      <c r="AK902" s="4"/>
      <c r="AL902" s="4"/>
    </row>
    <row r="903">
      <c r="A903" s="13"/>
      <c r="B903" s="13"/>
      <c r="C903" s="13"/>
      <c r="D903" s="13"/>
      <c r="E903" s="13"/>
      <c r="F903" s="13"/>
      <c r="G903" s="13"/>
      <c r="H903" s="13"/>
      <c r="I903" s="13"/>
      <c r="J903" s="13"/>
      <c r="K903" s="13"/>
      <c r="L903" s="13"/>
      <c r="M903" s="13"/>
      <c r="N903" s="13"/>
      <c r="O903" s="13"/>
      <c r="P903" s="13"/>
      <c r="Q903" s="172"/>
      <c r="R903" s="13"/>
      <c r="S903" s="13"/>
      <c r="T903" s="13"/>
      <c r="U903" s="13"/>
      <c r="V903" s="13"/>
      <c r="W903" s="13"/>
      <c r="X903" s="13"/>
      <c r="Y903" s="13"/>
      <c r="Z903" s="13"/>
      <c r="AA903" s="13"/>
      <c r="AB903" s="13"/>
      <c r="AC903" s="13"/>
      <c r="AD903" s="13"/>
      <c r="AE903" s="13"/>
      <c r="AF903" s="13"/>
      <c r="AG903" s="13"/>
      <c r="AH903" s="13"/>
      <c r="AI903" s="4"/>
      <c r="AJ903" s="4"/>
      <c r="AK903" s="4"/>
      <c r="AL903" s="4"/>
    </row>
    <row r="904">
      <c r="A904" s="13"/>
      <c r="B904" s="13"/>
      <c r="C904" s="13"/>
      <c r="D904" s="13"/>
      <c r="E904" s="13"/>
      <c r="F904" s="13"/>
      <c r="G904" s="13"/>
      <c r="H904" s="13"/>
      <c r="I904" s="13"/>
      <c r="J904" s="13"/>
      <c r="K904" s="13"/>
      <c r="L904" s="13"/>
      <c r="M904" s="13"/>
      <c r="N904" s="13"/>
      <c r="O904" s="13"/>
      <c r="P904" s="13"/>
      <c r="Q904" s="172"/>
      <c r="R904" s="13"/>
      <c r="S904" s="13"/>
      <c r="T904" s="13"/>
      <c r="U904" s="13"/>
      <c r="V904" s="13"/>
      <c r="W904" s="13"/>
      <c r="X904" s="13"/>
      <c r="Y904" s="13"/>
      <c r="Z904" s="13"/>
      <c r="AA904" s="13"/>
      <c r="AB904" s="13"/>
      <c r="AC904" s="13"/>
      <c r="AD904" s="13"/>
      <c r="AE904" s="13"/>
      <c r="AF904" s="13"/>
      <c r="AG904" s="13"/>
      <c r="AH904" s="13"/>
      <c r="AI904" s="4"/>
      <c r="AJ904" s="4"/>
      <c r="AK904" s="4"/>
      <c r="AL904" s="4"/>
    </row>
    <row r="905">
      <c r="A905" s="13"/>
      <c r="B905" s="13"/>
      <c r="C905" s="13"/>
      <c r="D905" s="13"/>
      <c r="E905" s="13"/>
      <c r="F905" s="13"/>
      <c r="G905" s="13"/>
      <c r="H905" s="13"/>
      <c r="I905" s="13"/>
      <c r="J905" s="13"/>
      <c r="K905" s="13"/>
      <c r="L905" s="13"/>
      <c r="M905" s="13"/>
      <c r="N905" s="13"/>
      <c r="O905" s="13"/>
      <c r="P905" s="13"/>
      <c r="Q905" s="172"/>
      <c r="R905" s="13"/>
      <c r="S905" s="13"/>
      <c r="T905" s="13"/>
      <c r="U905" s="13"/>
      <c r="V905" s="13"/>
      <c r="W905" s="13"/>
      <c r="X905" s="13"/>
      <c r="Y905" s="13"/>
      <c r="Z905" s="13"/>
      <c r="AA905" s="13"/>
      <c r="AB905" s="13"/>
      <c r="AC905" s="13"/>
      <c r="AD905" s="13"/>
      <c r="AE905" s="13"/>
      <c r="AF905" s="13"/>
      <c r="AG905" s="13"/>
      <c r="AH905" s="13"/>
      <c r="AI905" s="4"/>
      <c r="AJ905" s="4"/>
      <c r="AK905" s="4"/>
      <c r="AL905" s="4"/>
    </row>
    <row r="906">
      <c r="A906" s="13"/>
      <c r="B906" s="13"/>
      <c r="C906" s="13"/>
      <c r="D906" s="13"/>
      <c r="E906" s="13"/>
      <c r="F906" s="13"/>
      <c r="G906" s="13"/>
      <c r="H906" s="13"/>
      <c r="I906" s="13"/>
      <c r="J906" s="13"/>
      <c r="K906" s="13"/>
      <c r="L906" s="13"/>
      <c r="M906" s="13"/>
      <c r="N906" s="13"/>
      <c r="O906" s="13"/>
      <c r="P906" s="13"/>
      <c r="Q906" s="172"/>
      <c r="R906" s="13"/>
      <c r="S906" s="13"/>
      <c r="T906" s="13"/>
      <c r="U906" s="13"/>
      <c r="V906" s="13"/>
      <c r="W906" s="13"/>
      <c r="X906" s="13"/>
      <c r="Y906" s="13"/>
      <c r="Z906" s="13"/>
      <c r="AA906" s="13"/>
      <c r="AB906" s="13"/>
      <c r="AC906" s="13"/>
      <c r="AD906" s="13"/>
      <c r="AE906" s="13"/>
      <c r="AF906" s="13"/>
      <c r="AG906" s="13"/>
      <c r="AH906" s="13"/>
      <c r="AI906" s="4"/>
      <c r="AJ906" s="4"/>
      <c r="AK906" s="4"/>
      <c r="AL906" s="4"/>
    </row>
    <row r="907">
      <c r="A907" s="13"/>
      <c r="B907" s="13"/>
      <c r="C907" s="13"/>
      <c r="D907" s="13"/>
      <c r="E907" s="13"/>
      <c r="F907" s="13"/>
      <c r="G907" s="13"/>
      <c r="H907" s="13"/>
      <c r="I907" s="13"/>
      <c r="J907" s="13"/>
      <c r="K907" s="13"/>
      <c r="L907" s="13"/>
      <c r="M907" s="13"/>
      <c r="N907" s="13"/>
      <c r="O907" s="13"/>
      <c r="P907" s="13"/>
      <c r="Q907" s="172"/>
      <c r="R907" s="13"/>
      <c r="S907" s="13"/>
      <c r="T907" s="13"/>
      <c r="U907" s="13"/>
      <c r="V907" s="13"/>
      <c r="W907" s="13"/>
      <c r="X907" s="13"/>
      <c r="Y907" s="13"/>
      <c r="Z907" s="13"/>
      <c r="AA907" s="13"/>
      <c r="AB907" s="13"/>
      <c r="AC907" s="13"/>
      <c r="AD907" s="13"/>
      <c r="AE907" s="13"/>
      <c r="AF907" s="13"/>
      <c r="AG907" s="13"/>
      <c r="AH907" s="13"/>
      <c r="AI907" s="4"/>
      <c r="AJ907" s="4"/>
      <c r="AK907" s="4"/>
      <c r="AL907" s="4"/>
    </row>
    <row r="908">
      <c r="A908" s="13"/>
      <c r="B908" s="13"/>
      <c r="C908" s="13"/>
      <c r="D908" s="13"/>
      <c r="E908" s="13"/>
      <c r="F908" s="13"/>
      <c r="G908" s="13"/>
      <c r="H908" s="13"/>
      <c r="I908" s="13"/>
      <c r="J908" s="13"/>
      <c r="K908" s="13"/>
      <c r="L908" s="13"/>
      <c r="M908" s="13"/>
      <c r="N908" s="13"/>
      <c r="O908" s="13"/>
      <c r="P908" s="13"/>
      <c r="Q908" s="172"/>
      <c r="R908" s="13"/>
      <c r="S908" s="13"/>
      <c r="T908" s="13"/>
      <c r="U908" s="13"/>
      <c r="V908" s="13"/>
      <c r="W908" s="13"/>
      <c r="X908" s="13"/>
      <c r="Y908" s="13"/>
      <c r="Z908" s="13"/>
      <c r="AA908" s="13"/>
      <c r="AB908" s="13"/>
      <c r="AC908" s="13"/>
      <c r="AD908" s="13"/>
      <c r="AE908" s="13"/>
      <c r="AF908" s="13"/>
      <c r="AG908" s="13"/>
      <c r="AH908" s="13"/>
      <c r="AI908" s="4"/>
      <c r="AJ908" s="4"/>
      <c r="AK908" s="4"/>
      <c r="AL908" s="4"/>
    </row>
    <row r="909">
      <c r="A909" s="13"/>
      <c r="B909" s="13"/>
      <c r="C909" s="13"/>
      <c r="D909" s="13"/>
      <c r="E909" s="13"/>
      <c r="F909" s="13"/>
      <c r="G909" s="13"/>
      <c r="H909" s="13"/>
      <c r="I909" s="13"/>
      <c r="J909" s="13"/>
      <c r="K909" s="13"/>
      <c r="L909" s="13"/>
      <c r="M909" s="13"/>
      <c r="N909" s="13"/>
      <c r="O909" s="13"/>
      <c r="P909" s="13"/>
      <c r="Q909" s="172"/>
      <c r="R909" s="13"/>
      <c r="S909" s="13"/>
      <c r="T909" s="13"/>
      <c r="U909" s="13"/>
      <c r="V909" s="13"/>
      <c r="W909" s="13"/>
      <c r="X909" s="13"/>
      <c r="Y909" s="13"/>
      <c r="Z909" s="13"/>
      <c r="AA909" s="13"/>
      <c r="AB909" s="13"/>
      <c r="AC909" s="13"/>
      <c r="AD909" s="13"/>
      <c r="AE909" s="13"/>
      <c r="AF909" s="13"/>
      <c r="AG909" s="13"/>
      <c r="AH909" s="13"/>
      <c r="AI909" s="4"/>
      <c r="AJ909" s="4"/>
      <c r="AK909" s="4"/>
      <c r="AL909" s="4"/>
    </row>
    <row r="910">
      <c r="A910" s="13"/>
      <c r="B910" s="13"/>
      <c r="C910" s="13"/>
      <c r="D910" s="13"/>
      <c r="E910" s="13"/>
      <c r="F910" s="13"/>
      <c r="G910" s="13"/>
      <c r="H910" s="13"/>
      <c r="I910" s="13"/>
      <c r="J910" s="13"/>
      <c r="K910" s="13"/>
      <c r="L910" s="13"/>
      <c r="M910" s="13"/>
      <c r="N910" s="13"/>
      <c r="O910" s="13"/>
      <c r="P910" s="13"/>
      <c r="Q910" s="172"/>
      <c r="R910" s="13"/>
      <c r="S910" s="13"/>
      <c r="T910" s="13"/>
      <c r="U910" s="13"/>
      <c r="V910" s="13"/>
      <c r="W910" s="13"/>
      <c r="X910" s="13"/>
      <c r="Y910" s="13"/>
      <c r="Z910" s="13"/>
      <c r="AA910" s="13"/>
      <c r="AB910" s="13"/>
      <c r="AC910" s="13"/>
      <c r="AD910" s="13"/>
      <c r="AE910" s="13"/>
      <c r="AF910" s="13"/>
      <c r="AG910" s="13"/>
      <c r="AH910" s="13"/>
      <c r="AI910" s="4"/>
      <c r="AJ910" s="4"/>
      <c r="AK910" s="4"/>
      <c r="AL910" s="4"/>
    </row>
    <row r="911">
      <c r="A911" s="13"/>
      <c r="B911" s="13"/>
      <c r="C911" s="13"/>
      <c r="D911" s="13"/>
      <c r="E911" s="13"/>
      <c r="F911" s="13"/>
      <c r="G911" s="13"/>
      <c r="H911" s="13"/>
      <c r="I911" s="13"/>
      <c r="J911" s="13"/>
      <c r="K911" s="13"/>
      <c r="L911" s="13"/>
      <c r="M911" s="13"/>
      <c r="N911" s="13"/>
      <c r="O911" s="13"/>
      <c r="P911" s="13"/>
      <c r="Q911" s="172"/>
      <c r="R911" s="13"/>
      <c r="S911" s="13"/>
      <c r="T911" s="13"/>
      <c r="U911" s="13"/>
      <c r="V911" s="13"/>
      <c r="W911" s="13"/>
      <c r="X911" s="13"/>
      <c r="Y911" s="13"/>
      <c r="Z911" s="13"/>
      <c r="AA911" s="13"/>
      <c r="AB911" s="13"/>
      <c r="AC911" s="13"/>
      <c r="AD911" s="13"/>
      <c r="AE911" s="13"/>
      <c r="AF911" s="13"/>
      <c r="AG911" s="13"/>
      <c r="AH911" s="13"/>
      <c r="AI911" s="4"/>
      <c r="AJ911" s="4"/>
      <c r="AK911" s="4"/>
      <c r="AL911" s="4"/>
    </row>
    <row r="912">
      <c r="A912" s="13"/>
      <c r="B912" s="13"/>
      <c r="C912" s="13"/>
      <c r="D912" s="13"/>
      <c r="E912" s="13"/>
      <c r="F912" s="13"/>
      <c r="G912" s="13"/>
      <c r="H912" s="13"/>
      <c r="I912" s="13"/>
      <c r="J912" s="13"/>
      <c r="K912" s="13"/>
      <c r="L912" s="13"/>
      <c r="M912" s="13"/>
      <c r="N912" s="13"/>
      <c r="O912" s="13"/>
      <c r="P912" s="13"/>
      <c r="Q912" s="172"/>
      <c r="R912" s="13"/>
      <c r="S912" s="13"/>
      <c r="T912" s="13"/>
      <c r="U912" s="13"/>
      <c r="V912" s="13"/>
      <c r="W912" s="13"/>
      <c r="X912" s="13"/>
      <c r="Y912" s="13"/>
      <c r="Z912" s="13"/>
      <c r="AA912" s="13"/>
      <c r="AB912" s="13"/>
      <c r="AC912" s="13"/>
      <c r="AD912" s="13"/>
      <c r="AE912" s="13"/>
      <c r="AF912" s="13"/>
      <c r="AG912" s="13"/>
      <c r="AH912" s="13"/>
      <c r="AI912" s="4"/>
      <c r="AJ912" s="4"/>
      <c r="AK912" s="4"/>
      <c r="AL912" s="4"/>
    </row>
    <row r="913">
      <c r="A913" s="13"/>
      <c r="B913" s="13"/>
      <c r="C913" s="13"/>
      <c r="D913" s="13"/>
      <c r="E913" s="13"/>
      <c r="F913" s="13"/>
      <c r="G913" s="13"/>
      <c r="H913" s="13"/>
      <c r="I913" s="13"/>
      <c r="J913" s="13"/>
      <c r="K913" s="13"/>
      <c r="L913" s="13"/>
      <c r="M913" s="13"/>
      <c r="N913" s="13"/>
      <c r="O913" s="13"/>
      <c r="P913" s="13"/>
      <c r="Q913" s="172"/>
      <c r="R913" s="13"/>
      <c r="S913" s="13"/>
      <c r="T913" s="13"/>
      <c r="U913" s="13"/>
      <c r="V913" s="13"/>
      <c r="W913" s="13"/>
      <c r="X913" s="13"/>
      <c r="Y913" s="13"/>
      <c r="Z913" s="13"/>
      <c r="AA913" s="13"/>
      <c r="AB913" s="13"/>
      <c r="AC913" s="13"/>
      <c r="AD913" s="13"/>
      <c r="AE913" s="13"/>
      <c r="AF913" s="13"/>
      <c r="AG913" s="13"/>
      <c r="AH913" s="13"/>
      <c r="AI913" s="4"/>
      <c r="AJ913" s="4"/>
      <c r="AK913" s="4"/>
      <c r="AL913" s="4"/>
    </row>
    <row r="914">
      <c r="A914" s="13"/>
      <c r="B914" s="13"/>
      <c r="C914" s="13"/>
      <c r="D914" s="13"/>
      <c r="E914" s="13"/>
      <c r="F914" s="13"/>
      <c r="G914" s="13"/>
      <c r="H914" s="13"/>
      <c r="I914" s="13"/>
      <c r="J914" s="13"/>
      <c r="K914" s="13"/>
      <c r="L914" s="13"/>
      <c r="M914" s="13"/>
      <c r="N914" s="13"/>
      <c r="O914" s="13"/>
      <c r="P914" s="13"/>
      <c r="Q914" s="172"/>
      <c r="R914" s="13"/>
      <c r="S914" s="13"/>
      <c r="T914" s="13"/>
      <c r="U914" s="13"/>
      <c r="V914" s="13"/>
      <c r="W914" s="13"/>
      <c r="X914" s="13"/>
      <c r="Y914" s="13"/>
      <c r="Z914" s="13"/>
      <c r="AA914" s="13"/>
      <c r="AB914" s="13"/>
      <c r="AC914" s="13"/>
      <c r="AD914" s="13"/>
      <c r="AE914" s="13"/>
      <c r="AF914" s="13"/>
      <c r="AG914" s="13"/>
      <c r="AH914" s="13"/>
      <c r="AI914" s="4"/>
      <c r="AJ914" s="4"/>
      <c r="AK914" s="4"/>
      <c r="AL914" s="4"/>
    </row>
    <row r="915">
      <c r="A915" s="13"/>
      <c r="B915" s="13"/>
      <c r="C915" s="13"/>
      <c r="D915" s="13"/>
      <c r="E915" s="13"/>
      <c r="F915" s="13"/>
      <c r="G915" s="13"/>
      <c r="H915" s="13"/>
      <c r="I915" s="13"/>
      <c r="J915" s="13"/>
      <c r="K915" s="13"/>
      <c r="L915" s="13"/>
      <c r="M915" s="13"/>
      <c r="N915" s="13"/>
      <c r="O915" s="13"/>
      <c r="P915" s="13"/>
      <c r="Q915" s="172"/>
      <c r="R915" s="13"/>
      <c r="S915" s="13"/>
      <c r="T915" s="13"/>
      <c r="U915" s="13"/>
      <c r="V915" s="13"/>
      <c r="W915" s="13"/>
      <c r="X915" s="13"/>
      <c r="Y915" s="13"/>
      <c r="Z915" s="13"/>
      <c r="AA915" s="13"/>
      <c r="AB915" s="13"/>
      <c r="AC915" s="13"/>
      <c r="AD915" s="13"/>
      <c r="AE915" s="13"/>
      <c r="AF915" s="13"/>
      <c r="AG915" s="13"/>
      <c r="AH915" s="13"/>
      <c r="AI915" s="4"/>
      <c r="AJ915" s="4"/>
      <c r="AK915" s="4"/>
      <c r="AL915" s="4"/>
    </row>
    <row r="916">
      <c r="A916" s="13"/>
      <c r="B916" s="13"/>
      <c r="C916" s="13"/>
      <c r="D916" s="13"/>
      <c r="E916" s="13"/>
      <c r="F916" s="13"/>
      <c r="G916" s="13"/>
      <c r="H916" s="13"/>
      <c r="I916" s="13"/>
      <c r="J916" s="13"/>
      <c r="K916" s="13"/>
      <c r="L916" s="13"/>
      <c r="M916" s="13"/>
      <c r="N916" s="13"/>
      <c r="O916" s="13"/>
      <c r="P916" s="13"/>
      <c r="Q916" s="172"/>
      <c r="R916" s="13"/>
      <c r="S916" s="13"/>
      <c r="T916" s="13"/>
      <c r="U916" s="13"/>
      <c r="V916" s="13"/>
      <c r="W916" s="13"/>
      <c r="X916" s="13"/>
      <c r="Y916" s="13"/>
      <c r="Z916" s="13"/>
      <c r="AA916" s="13"/>
      <c r="AB916" s="13"/>
      <c r="AC916" s="13"/>
      <c r="AD916" s="13"/>
      <c r="AE916" s="13"/>
      <c r="AF916" s="13"/>
      <c r="AG916" s="13"/>
      <c r="AH916" s="13"/>
      <c r="AI916" s="4"/>
      <c r="AJ916" s="4"/>
      <c r="AK916" s="4"/>
      <c r="AL916" s="4"/>
    </row>
    <row r="917">
      <c r="A917" s="13"/>
      <c r="B917" s="13"/>
      <c r="C917" s="13"/>
      <c r="D917" s="13"/>
      <c r="E917" s="13"/>
      <c r="F917" s="13"/>
      <c r="G917" s="13"/>
      <c r="H917" s="13"/>
      <c r="I917" s="13"/>
      <c r="J917" s="13"/>
      <c r="K917" s="13"/>
      <c r="L917" s="13"/>
      <c r="M917" s="13"/>
      <c r="N917" s="13"/>
      <c r="O917" s="13"/>
      <c r="P917" s="13"/>
      <c r="Q917" s="172"/>
      <c r="R917" s="13"/>
      <c r="S917" s="13"/>
      <c r="T917" s="13"/>
      <c r="U917" s="13"/>
      <c r="V917" s="13"/>
      <c r="W917" s="13"/>
      <c r="X917" s="13"/>
      <c r="Y917" s="13"/>
      <c r="Z917" s="13"/>
      <c r="AA917" s="13"/>
      <c r="AB917" s="13"/>
      <c r="AC917" s="13"/>
      <c r="AD917" s="13"/>
      <c r="AE917" s="13"/>
      <c r="AF917" s="13"/>
      <c r="AG917" s="13"/>
      <c r="AH917" s="13"/>
      <c r="AI917" s="4"/>
      <c r="AJ917" s="4"/>
      <c r="AK917" s="4"/>
      <c r="AL917" s="4"/>
    </row>
    <row r="918">
      <c r="A918" s="13"/>
      <c r="B918" s="13"/>
      <c r="C918" s="13"/>
      <c r="D918" s="13"/>
      <c r="E918" s="13"/>
      <c r="F918" s="13"/>
      <c r="G918" s="13"/>
      <c r="H918" s="13"/>
      <c r="I918" s="13"/>
      <c r="J918" s="13"/>
      <c r="K918" s="13"/>
      <c r="L918" s="13"/>
      <c r="M918" s="13"/>
      <c r="N918" s="13"/>
      <c r="O918" s="13"/>
      <c r="P918" s="13"/>
      <c r="Q918" s="172"/>
      <c r="R918" s="13"/>
      <c r="S918" s="13"/>
      <c r="T918" s="13"/>
      <c r="U918" s="13"/>
      <c r="V918" s="13"/>
      <c r="W918" s="13"/>
      <c r="X918" s="13"/>
      <c r="Y918" s="13"/>
      <c r="Z918" s="13"/>
      <c r="AA918" s="13"/>
      <c r="AB918" s="13"/>
      <c r="AC918" s="13"/>
      <c r="AD918" s="13"/>
      <c r="AE918" s="13"/>
      <c r="AF918" s="13"/>
      <c r="AG918" s="13"/>
      <c r="AH918" s="13"/>
      <c r="AI918" s="4"/>
      <c r="AJ918" s="4"/>
      <c r="AK918" s="4"/>
      <c r="AL918" s="4"/>
    </row>
    <row r="919">
      <c r="A919" s="13"/>
      <c r="B919" s="13"/>
      <c r="C919" s="13"/>
      <c r="D919" s="13"/>
      <c r="E919" s="13"/>
      <c r="F919" s="13"/>
      <c r="G919" s="13"/>
      <c r="H919" s="13"/>
      <c r="I919" s="13"/>
      <c r="J919" s="13"/>
      <c r="K919" s="13"/>
      <c r="L919" s="13"/>
      <c r="M919" s="13"/>
      <c r="N919" s="13"/>
      <c r="O919" s="13"/>
      <c r="P919" s="13"/>
      <c r="Q919" s="172"/>
      <c r="R919" s="13"/>
      <c r="S919" s="13"/>
      <c r="T919" s="13"/>
      <c r="U919" s="13"/>
      <c r="V919" s="13"/>
      <c r="W919" s="13"/>
      <c r="X919" s="13"/>
      <c r="Y919" s="13"/>
      <c r="Z919" s="13"/>
      <c r="AA919" s="13"/>
      <c r="AB919" s="13"/>
      <c r="AC919" s="13"/>
      <c r="AD919" s="13"/>
      <c r="AE919" s="13"/>
      <c r="AF919" s="13"/>
      <c r="AG919" s="13"/>
      <c r="AH919" s="13"/>
      <c r="AI919" s="4"/>
      <c r="AJ919" s="4"/>
      <c r="AK919" s="4"/>
      <c r="AL919" s="4"/>
    </row>
    <row r="920">
      <c r="A920" s="13"/>
      <c r="B920" s="13"/>
      <c r="C920" s="13"/>
      <c r="D920" s="13"/>
      <c r="E920" s="13"/>
      <c r="F920" s="13"/>
      <c r="G920" s="13"/>
      <c r="H920" s="13"/>
      <c r="I920" s="13"/>
      <c r="J920" s="13"/>
      <c r="K920" s="13"/>
      <c r="L920" s="13"/>
      <c r="M920" s="13"/>
      <c r="N920" s="13"/>
      <c r="O920" s="13"/>
      <c r="P920" s="13"/>
      <c r="Q920" s="172"/>
      <c r="R920" s="13"/>
      <c r="S920" s="13"/>
      <c r="T920" s="13"/>
      <c r="U920" s="13"/>
      <c r="V920" s="13"/>
      <c r="W920" s="13"/>
      <c r="X920" s="13"/>
      <c r="Y920" s="13"/>
      <c r="Z920" s="13"/>
      <c r="AA920" s="13"/>
      <c r="AB920" s="13"/>
      <c r="AC920" s="13"/>
      <c r="AD920" s="13"/>
      <c r="AE920" s="13"/>
      <c r="AF920" s="13"/>
      <c r="AG920" s="13"/>
      <c r="AH920" s="13"/>
      <c r="AI920" s="4"/>
      <c r="AJ920" s="4"/>
      <c r="AK920" s="4"/>
      <c r="AL920" s="4"/>
    </row>
    <row r="921">
      <c r="A921" s="13"/>
      <c r="B921" s="13"/>
      <c r="C921" s="13"/>
      <c r="D921" s="13"/>
      <c r="E921" s="13"/>
      <c r="F921" s="13"/>
      <c r="G921" s="13"/>
      <c r="H921" s="13"/>
      <c r="I921" s="13"/>
      <c r="J921" s="13"/>
      <c r="K921" s="13"/>
      <c r="L921" s="13"/>
      <c r="M921" s="13"/>
      <c r="N921" s="13"/>
      <c r="O921" s="13"/>
      <c r="P921" s="13"/>
      <c r="Q921" s="172"/>
      <c r="R921" s="13"/>
      <c r="S921" s="13"/>
      <c r="T921" s="13"/>
      <c r="U921" s="13"/>
      <c r="V921" s="13"/>
      <c r="W921" s="13"/>
      <c r="X921" s="13"/>
      <c r="Y921" s="13"/>
      <c r="Z921" s="13"/>
      <c r="AA921" s="13"/>
      <c r="AB921" s="13"/>
      <c r="AC921" s="13"/>
      <c r="AD921" s="13"/>
      <c r="AE921" s="13"/>
      <c r="AF921" s="13"/>
      <c r="AG921" s="13"/>
      <c r="AH921" s="13"/>
      <c r="AI921" s="4"/>
      <c r="AJ921" s="4"/>
      <c r="AK921" s="4"/>
      <c r="AL921" s="4"/>
    </row>
    <row r="922">
      <c r="A922" s="13"/>
      <c r="B922" s="13"/>
      <c r="C922" s="13"/>
      <c r="D922" s="13"/>
      <c r="E922" s="13"/>
      <c r="F922" s="13"/>
      <c r="G922" s="13"/>
      <c r="H922" s="13"/>
      <c r="I922" s="13"/>
      <c r="J922" s="13"/>
      <c r="K922" s="13"/>
      <c r="L922" s="13"/>
      <c r="M922" s="13"/>
      <c r="N922" s="13"/>
      <c r="O922" s="13"/>
      <c r="P922" s="13"/>
      <c r="Q922" s="172"/>
      <c r="R922" s="13"/>
      <c r="S922" s="13"/>
      <c r="T922" s="13"/>
      <c r="U922" s="13"/>
      <c r="V922" s="13"/>
      <c r="W922" s="13"/>
      <c r="X922" s="13"/>
      <c r="Y922" s="13"/>
      <c r="Z922" s="13"/>
      <c r="AA922" s="13"/>
      <c r="AB922" s="13"/>
      <c r="AC922" s="13"/>
      <c r="AD922" s="13"/>
      <c r="AE922" s="13"/>
      <c r="AF922" s="13"/>
      <c r="AG922" s="13"/>
      <c r="AH922" s="13"/>
      <c r="AI922" s="4"/>
      <c r="AJ922" s="4"/>
      <c r="AK922" s="4"/>
      <c r="AL922" s="4"/>
    </row>
    <row r="923">
      <c r="A923" s="13"/>
      <c r="B923" s="13"/>
      <c r="C923" s="13"/>
      <c r="D923" s="13"/>
      <c r="E923" s="13"/>
      <c r="F923" s="13"/>
      <c r="G923" s="13"/>
      <c r="H923" s="13"/>
      <c r="I923" s="13"/>
      <c r="J923" s="13"/>
      <c r="K923" s="13"/>
      <c r="L923" s="13"/>
      <c r="M923" s="13"/>
      <c r="N923" s="13"/>
      <c r="O923" s="13"/>
      <c r="P923" s="13"/>
      <c r="Q923" s="172"/>
      <c r="R923" s="13"/>
      <c r="S923" s="13"/>
      <c r="T923" s="13"/>
      <c r="U923" s="13"/>
      <c r="V923" s="13"/>
      <c r="W923" s="13"/>
      <c r="X923" s="13"/>
      <c r="Y923" s="13"/>
      <c r="Z923" s="13"/>
      <c r="AA923" s="13"/>
      <c r="AB923" s="13"/>
      <c r="AC923" s="13"/>
      <c r="AD923" s="13"/>
      <c r="AE923" s="13"/>
      <c r="AF923" s="13"/>
      <c r="AG923" s="13"/>
      <c r="AH923" s="13"/>
      <c r="AI923" s="4"/>
      <c r="AJ923" s="4"/>
      <c r="AK923" s="4"/>
      <c r="AL923" s="4"/>
    </row>
    <row r="924">
      <c r="A924" s="13"/>
      <c r="B924" s="13"/>
      <c r="C924" s="13"/>
      <c r="D924" s="13"/>
      <c r="E924" s="13"/>
      <c r="F924" s="13"/>
      <c r="G924" s="13"/>
      <c r="H924" s="13"/>
      <c r="I924" s="13"/>
      <c r="J924" s="13"/>
      <c r="K924" s="13"/>
      <c r="L924" s="13"/>
      <c r="M924" s="13"/>
      <c r="N924" s="13"/>
      <c r="O924" s="13"/>
      <c r="P924" s="13"/>
      <c r="Q924" s="172"/>
      <c r="R924" s="13"/>
      <c r="S924" s="13"/>
      <c r="T924" s="13"/>
      <c r="U924" s="13"/>
      <c r="V924" s="13"/>
      <c r="W924" s="13"/>
      <c r="X924" s="13"/>
      <c r="Y924" s="13"/>
      <c r="Z924" s="13"/>
      <c r="AA924" s="13"/>
      <c r="AB924" s="13"/>
      <c r="AC924" s="13"/>
      <c r="AD924" s="13"/>
      <c r="AE924" s="13"/>
      <c r="AF924" s="13"/>
      <c r="AG924" s="13"/>
      <c r="AH924" s="13"/>
      <c r="AI924" s="4"/>
      <c r="AJ924" s="4"/>
      <c r="AK924" s="4"/>
      <c r="AL924" s="4"/>
    </row>
    <row r="925">
      <c r="A925" s="13"/>
      <c r="B925" s="13"/>
      <c r="C925" s="13"/>
      <c r="D925" s="13"/>
      <c r="E925" s="13"/>
      <c r="F925" s="13"/>
      <c r="G925" s="13"/>
      <c r="H925" s="13"/>
      <c r="I925" s="13"/>
      <c r="J925" s="13"/>
      <c r="K925" s="13"/>
      <c r="L925" s="13"/>
      <c r="M925" s="13"/>
      <c r="N925" s="13"/>
      <c r="O925" s="13"/>
      <c r="P925" s="13"/>
      <c r="Q925" s="172"/>
      <c r="R925" s="13"/>
      <c r="S925" s="13"/>
      <c r="T925" s="13"/>
      <c r="U925" s="13"/>
      <c r="V925" s="13"/>
      <c r="W925" s="13"/>
      <c r="X925" s="13"/>
      <c r="Y925" s="13"/>
      <c r="Z925" s="13"/>
      <c r="AA925" s="13"/>
      <c r="AB925" s="13"/>
      <c r="AC925" s="13"/>
      <c r="AD925" s="13"/>
      <c r="AE925" s="13"/>
      <c r="AF925" s="13"/>
      <c r="AG925" s="13"/>
      <c r="AH925" s="13"/>
      <c r="AI925" s="4"/>
      <c r="AJ925" s="4"/>
      <c r="AK925" s="4"/>
      <c r="AL925" s="4"/>
    </row>
    <row r="926">
      <c r="A926" s="13"/>
      <c r="B926" s="13"/>
      <c r="C926" s="13"/>
      <c r="D926" s="13"/>
      <c r="E926" s="13"/>
      <c r="F926" s="13"/>
      <c r="G926" s="13"/>
      <c r="H926" s="13"/>
      <c r="I926" s="13"/>
      <c r="J926" s="13"/>
      <c r="K926" s="13"/>
      <c r="L926" s="13"/>
      <c r="M926" s="13"/>
      <c r="N926" s="13"/>
      <c r="O926" s="13"/>
      <c r="P926" s="13"/>
      <c r="Q926" s="172"/>
      <c r="R926" s="13"/>
      <c r="S926" s="13"/>
      <c r="T926" s="13"/>
      <c r="U926" s="13"/>
      <c r="V926" s="13"/>
      <c r="W926" s="13"/>
      <c r="X926" s="13"/>
      <c r="Y926" s="13"/>
      <c r="Z926" s="13"/>
      <c r="AA926" s="13"/>
      <c r="AB926" s="13"/>
      <c r="AC926" s="13"/>
      <c r="AD926" s="13"/>
      <c r="AE926" s="13"/>
      <c r="AF926" s="13"/>
      <c r="AG926" s="13"/>
      <c r="AH926" s="13"/>
      <c r="AI926" s="4"/>
      <c r="AJ926" s="4"/>
      <c r="AK926" s="4"/>
      <c r="AL926" s="4"/>
    </row>
    <row r="927">
      <c r="A927" s="13"/>
      <c r="B927" s="13"/>
      <c r="C927" s="13"/>
      <c r="D927" s="13"/>
      <c r="E927" s="13"/>
      <c r="F927" s="13"/>
      <c r="G927" s="13"/>
      <c r="H927" s="13"/>
      <c r="I927" s="13"/>
      <c r="J927" s="13"/>
      <c r="K927" s="13"/>
      <c r="L927" s="13"/>
      <c r="M927" s="13"/>
      <c r="N927" s="13"/>
      <c r="O927" s="13"/>
      <c r="P927" s="13"/>
      <c r="Q927" s="172"/>
      <c r="R927" s="13"/>
      <c r="S927" s="13"/>
      <c r="T927" s="13"/>
      <c r="U927" s="13"/>
      <c r="V927" s="13"/>
      <c r="W927" s="13"/>
      <c r="X927" s="13"/>
      <c r="Y927" s="13"/>
      <c r="Z927" s="13"/>
      <c r="AA927" s="13"/>
      <c r="AB927" s="13"/>
      <c r="AC927" s="13"/>
      <c r="AD927" s="13"/>
      <c r="AE927" s="13"/>
      <c r="AF927" s="13"/>
      <c r="AG927" s="13"/>
      <c r="AH927" s="13"/>
      <c r="AI927" s="4"/>
      <c r="AJ927" s="4"/>
      <c r="AK927" s="4"/>
      <c r="AL927" s="4"/>
    </row>
    <row r="928">
      <c r="A928" s="13"/>
      <c r="B928" s="13"/>
      <c r="C928" s="13"/>
      <c r="D928" s="13"/>
      <c r="E928" s="13"/>
      <c r="F928" s="13"/>
      <c r="G928" s="13"/>
      <c r="H928" s="13"/>
      <c r="I928" s="13"/>
      <c r="J928" s="13"/>
      <c r="K928" s="13"/>
      <c r="L928" s="13"/>
      <c r="M928" s="13"/>
      <c r="N928" s="13"/>
      <c r="O928" s="13"/>
      <c r="P928" s="13"/>
      <c r="Q928" s="172"/>
      <c r="R928" s="13"/>
      <c r="S928" s="13"/>
      <c r="T928" s="13"/>
      <c r="U928" s="13"/>
      <c r="V928" s="13"/>
      <c r="W928" s="13"/>
      <c r="X928" s="13"/>
      <c r="Y928" s="13"/>
      <c r="Z928" s="13"/>
      <c r="AA928" s="13"/>
      <c r="AB928" s="13"/>
      <c r="AC928" s="13"/>
      <c r="AD928" s="13"/>
      <c r="AE928" s="13"/>
      <c r="AF928" s="13"/>
      <c r="AG928" s="13"/>
      <c r="AH928" s="13"/>
      <c r="AI928" s="4"/>
      <c r="AJ928" s="4"/>
      <c r="AK928" s="4"/>
      <c r="AL928" s="4"/>
    </row>
    <row r="929">
      <c r="A929" s="13"/>
      <c r="B929" s="13"/>
      <c r="C929" s="13"/>
      <c r="D929" s="13"/>
      <c r="E929" s="13"/>
      <c r="F929" s="13"/>
      <c r="G929" s="13"/>
      <c r="H929" s="13"/>
      <c r="I929" s="13"/>
      <c r="J929" s="13"/>
      <c r="K929" s="13"/>
      <c r="L929" s="13"/>
      <c r="M929" s="13"/>
      <c r="N929" s="13"/>
      <c r="O929" s="13"/>
      <c r="P929" s="13"/>
      <c r="Q929" s="172"/>
      <c r="R929" s="13"/>
      <c r="S929" s="13"/>
      <c r="T929" s="13"/>
      <c r="U929" s="13"/>
      <c r="V929" s="13"/>
      <c r="W929" s="13"/>
      <c r="X929" s="13"/>
      <c r="Y929" s="13"/>
      <c r="Z929" s="13"/>
      <c r="AA929" s="13"/>
      <c r="AB929" s="13"/>
      <c r="AC929" s="13"/>
      <c r="AD929" s="13"/>
      <c r="AE929" s="13"/>
      <c r="AF929" s="13"/>
      <c r="AG929" s="13"/>
      <c r="AH929" s="13"/>
      <c r="AI929" s="4"/>
      <c r="AJ929" s="4"/>
      <c r="AK929" s="4"/>
      <c r="AL929" s="4"/>
    </row>
    <row r="930">
      <c r="A930" s="13"/>
      <c r="B930" s="13"/>
      <c r="C930" s="13"/>
      <c r="D930" s="13"/>
      <c r="E930" s="13"/>
      <c r="F930" s="13"/>
      <c r="G930" s="13"/>
      <c r="H930" s="13"/>
      <c r="I930" s="13"/>
      <c r="J930" s="13"/>
      <c r="K930" s="13"/>
      <c r="L930" s="13"/>
      <c r="M930" s="13"/>
      <c r="N930" s="13"/>
      <c r="O930" s="13"/>
      <c r="P930" s="13"/>
      <c r="Q930" s="172"/>
      <c r="R930" s="13"/>
      <c r="S930" s="13"/>
      <c r="T930" s="13"/>
      <c r="U930" s="13"/>
      <c r="V930" s="13"/>
      <c r="W930" s="13"/>
      <c r="X930" s="13"/>
      <c r="Y930" s="13"/>
      <c r="Z930" s="13"/>
      <c r="AA930" s="13"/>
      <c r="AB930" s="13"/>
      <c r="AC930" s="13"/>
      <c r="AD930" s="13"/>
      <c r="AE930" s="13"/>
      <c r="AF930" s="13"/>
      <c r="AG930" s="13"/>
      <c r="AH930" s="13"/>
      <c r="AI930" s="4"/>
      <c r="AJ930" s="4"/>
      <c r="AK930" s="4"/>
      <c r="AL930" s="4"/>
    </row>
    <row r="931">
      <c r="A931" s="13"/>
      <c r="B931" s="13"/>
      <c r="C931" s="13"/>
      <c r="D931" s="13"/>
      <c r="E931" s="13"/>
      <c r="F931" s="13"/>
      <c r="G931" s="13"/>
      <c r="H931" s="13"/>
      <c r="I931" s="13"/>
      <c r="J931" s="13"/>
      <c r="K931" s="13"/>
      <c r="L931" s="13"/>
      <c r="M931" s="13"/>
      <c r="N931" s="13"/>
      <c r="O931" s="13"/>
      <c r="P931" s="13"/>
      <c r="Q931" s="172"/>
      <c r="R931" s="13"/>
      <c r="S931" s="13"/>
      <c r="T931" s="13"/>
      <c r="U931" s="13"/>
      <c r="V931" s="13"/>
      <c r="W931" s="13"/>
      <c r="X931" s="13"/>
      <c r="Y931" s="13"/>
      <c r="Z931" s="13"/>
      <c r="AA931" s="13"/>
      <c r="AB931" s="13"/>
      <c r="AC931" s="13"/>
      <c r="AD931" s="13"/>
      <c r="AE931" s="13"/>
      <c r="AF931" s="13"/>
      <c r="AG931" s="13"/>
      <c r="AH931" s="13"/>
      <c r="AI931" s="4"/>
      <c r="AJ931" s="4"/>
      <c r="AK931" s="4"/>
      <c r="AL931" s="4"/>
    </row>
    <row r="932">
      <c r="A932" s="13"/>
      <c r="B932" s="13"/>
      <c r="C932" s="13"/>
      <c r="D932" s="13"/>
      <c r="E932" s="13"/>
      <c r="F932" s="13"/>
      <c r="G932" s="13"/>
      <c r="H932" s="13"/>
      <c r="I932" s="13"/>
      <c r="J932" s="13"/>
      <c r="K932" s="13"/>
      <c r="L932" s="13"/>
      <c r="M932" s="13"/>
      <c r="N932" s="13"/>
      <c r="O932" s="13"/>
      <c r="P932" s="13"/>
      <c r="Q932" s="172"/>
      <c r="R932" s="13"/>
      <c r="S932" s="13"/>
      <c r="T932" s="13"/>
      <c r="U932" s="13"/>
      <c r="V932" s="13"/>
      <c r="W932" s="13"/>
      <c r="X932" s="13"/>
      <c r="Y932" s="13"/>
      <c r="Z932" s="13"/>
      <c r="AA932" s="13"/>
      <c r="AB932" s="13"/>
      <c r="AC932" s="13"/>
      <c r="AD932" s="13"/>
      <c r="AE932" s="13"/>
      <c r="AF932" s="13"/>
      <c r="AG932" s="13"/>
      <c r="AH932" s="13"/>
      <c r="AI932" s="4"/>
      <c r="AJ932" s="4"/>
      <c r="AK932" s="4"/>
      <c r="AL932" s="4"/>
    </row>
    <row r="933">
      <c r="A933" s="13"/>
      <c r="B933" s="13"/>
      <c r="C933" s="13"/>
      <c r="D933" s="13"/>
      <c r="E933" s="13"/>
      <c r="F933" s="13"/>
      <c r="G933" s="13"/>
      <c r="H933" s="13"/>
      <c r="I933" s="13"/>
      <c r="J933" s="13"/>
      <c r="K933" s="13"/>
      <c r="L933" s="13"/>
      <c r="M933" s="13"/>
      <c r="N933" s="13"/>
      <c r="O933" s="13"/>
      <c r="P933" s="13"/>
      <c r="Q933" s="172"/>
      <c r="R933" s="13"/>
      <c r="S933" s="13"/>
      <c r="T933" s="13"/>
      <c r="U933" s="13"/>
      <c r="V933" s="13"/>
      <c r="W933" s="13"/>
      <c r="X933" s="13"/>
      <c r="Y933" s="13"/>
      <c r="Z933" s="13"/>
      <c r="AA933" s="13"/>
      <c r="AB933" s="13"/>
      <c r="AC933" s="13"/>
      <c r="AD933" s="13"/>
      <c r="AE933" s="13"/>
      <c r="AF933" s="13"/>
      <c r="AG933" s="13"/>
      <c r="AH933" s="13"/>
      <c r="AI933" s="4"/>
      <c r="AJ933" s="4"/>
      <c r="AK933" s="4"/>
      <c r="AL933" s="4"/>
    </row>
    <row r="934">
      <c r="A934" s="13"/>
      <c r="B934" s="13"/>
      <c r="C934" s="13"/>
      <c r="D934" s="13"/>
      <c r="E934" s="13"/>
      <c r="F934" s="13"/>
      <c r="G934" s="13"/>
      <c r="H934" s="13"/>
      <c r="I934" s="13"/>
      <c r="J934" s="13"/>
      <c r="K934" s="13"/>
      <c r="L934" s="13"/>
      <c r="M934" s="13"/>
      <c r="N934" s="13"/>
      <c r="O934" s="13"/>
      <c r="P934" s="13"/>
      <c r="Q934" s="172"/>
      <c r="R934" s="13"/>
      <c r="S934" s="13"/>
      <c r="T934" s="13"/>
      <c r="U934" s="13"/>
      <c r="V934" s="13"/>
      <c r="W934" s="13"/>
      <c r="X934" s="13"/>
      <c r="Y934" s="13"/>
      <c r="Z934" s="13"/>
      <c r="AA934" s="13"/>
      <c r="AB934" s="13"/>
      <c r="AC934" s="13"/>
      <c r="AD934" s="13"/>
      <c r="AE934" s="13"/>
      <c r="AF934" s="13"/>
      <c r="AG934" s="13"/>
      <c r="AH934" s="13"/>
      <c r="AI934" s="4"/>
      <c r="AJ934" s="4"/>
      <c r="AK934" s="4"/>
      <c r="AL934" s="4"/>
    </row>
    <row r="935">
      <c r="A935" s="13"/>
      <c r="B935" s="13"/>
      <c r="C935" s="13"/>
      <c r="D935" s="13"/>
      <c r="E935" s="13"/>
      <c r="F935" s="13"/>
      <c r="G935" s="13"/>
      <c r="H935" s="13"/>
      <c r="I935" s="13"/>
      <c r="J935" s="13"/>
      <c r="K935" s="13"/>
      <c r="L935" s="13"/>
      <c r="M935" s="13"/>
      <c r="N935" s="13"/>
      <c r="O935" s="13"/>
      <c r="P935" s="13"/>
      <c r="Q935" s="172"/>
      <c r="R935" s="13"/>
      <c r="S935" s="13"/>
      <c r="T935" s="13"/>
      <c r="U935" s="13"/>
      <c r="V935" s="13"/>
      <c r="W935" s="13"/>
      <c r="X935" s="13"/>
      <c r="Y935" s="13"/>
      <c r="Z935" s="13"/>
      <c r="AA935" s="13"/>
      <c r="AB935" s="13"/>
      <c r="AC935" s="13"/>
      <c r="AD935" s="13"/>
      <c r="AE935" s="13"/>
      <c r="AF935" s="13"/>
      <c r="AG935" s="13"/>
      <c r="AH935" s="13"/>
      <c r="AI935" s="4"/>
      <c r="AJ935" s="4"/>
      <c r="AK935" s="4"/>
      <c r="AL935" s="4"/>
    </row>
    <row r="936">
      <c r="A936" s="13"/>
      <c r="B936" s="13"/>
      <c r="C936" s="13"/>
      <c r="D936" s="13"/>
      <c r="E936" s="13"/>
      <c r="F936" s="13"/>
      <c r="G936" s="13"/>
      <c r="H936" s="13"/>
      <c r="I936" s="13"/>
      <c r="J936" s="13"/>
      <c r="K936" s="13"/>
      <c r="L936" s="13"/>
      <c r="M936" s="13"/>
      <c r="N936" s="13"/>
      <c r="O936" s="13"/>
      <c r="P936" s="13"/>
      <c r="Q936" s="172"/>
      <c r="R936" s="13"/>
      <c r="S936" s="13"/>
      <c r="T936" s="13"/>
      <c r="U936" s="13"/>
      <c r="V936" s="13"/>
      <c r="W936" s="13"/>
      <c r="X936" s="13"/>
      <c r="Y936" s="13"/>
      <c r="Z936" s="13"/>
      <c r="AA936" s="13"/>
      <c r="AB936" s="13"/>
      <c r="AC936" s="13"/>
      <c r="AD936" s="13"/>
      <c r="AE936" s="13"/>
      <c r="AF936" s="13"/>
      <c r="AG936" s="13"/>
      <c r="AH936" s="13"/>
      <c r="AI936" s="4"/>
      <c r="AJ936" s="4"/>
      <c r="AK936" s="4"/>
      <c r="AL936" s="4"/>
    </row>
    <row r="937">
      <c r="A937" s="13"/>
      <c r="B937" s="13"/>
      <c r="C937" s="13"/>
      <c r="D937" s="13"/>
      <c r="E937" s="13"/>
      <c r="F937" s="13"/>
      <c r="G937" s="13"/>
      <c r="H937" s="13"/>
      <c r="I937" s="13"/>
      <c r="J937" s="13"/>
      <c r="K937" s="13"/>
      <c r="L937" s="13"/>
      <c r="M937" s="13"/>
      <c r="N937" s="13"/>
      <c r="O937" s="13"/>
      <c r="P937" s="13"/>
      <c r="Q937" s="172"/>
      <c r="R937" s="13"/>
      <c r="S937" s="13"/>
      <c r="T937" s="13"/>
      <c r="U937" s="13"/>
      <c r="V937" s="13"/>
      <c r="W937" s="13"/>
      <c r="X937" s="13"/>
      <c r="Y937" s="13"/>
      <c r="Z937" s="13"/>
      <c r="AA937" s="13"/>
      <c r="AB937" s="13"/>
      <c r="AC937" s="13"/>
      <c r="AD937" s="13"/>
      <c r="AE937" s="13"/>
      <c r="AF937" s="13"/>
      <c r="AG937" s="13"/>
      <c r="AH937" s="13"/>
      <c r="AI937" s="4"/>
      <c r="AJ937" s="4"/>
      <c r="AK937" s="4"/>
      <c r="AL937" s="4"/>
    </row>
    <row r="938">
      <c r="A938" s="13"/>
      <c r="B938" s="13"/>
      <c r="C938" s="13"/>
      <c r="D938" s="13"/>
      <c r="E938" s="13"/>
      <c r="F938" s="13"/>
      <c r="G938" s="13"/>
      <c r="H938" s="13"/>
      <c r="I938" s="13"/>
      <c r="J938" s="13"/>
      <c r="K938" s="13"/>
      <c r="L938" s="13"/>
      <c r="M938" s="13"/>
      <c r="N938" s="13"/>
      <c r="O938" s="13"/>
      <c r="P938" s="13"/>
      <c r="Q938" s="172"/>
      <c r="R938" s="13"/>
      <c r="S938" s="13"/>
      <c r="T938" s="13"/>
      <c r="U938" s="13"/>
      <c r="V938" s="13"/>
      <c r="W938" s="13"/>
      <c r="X938" s="13"/>
      <c r="Y938" s="13"/>
      <c r="Z938" s="13"/>
      <c r="AA938" s="13"/>
      <c r="AB938" s="13"/>
      <c r="AC938" s="13"/>
      <c r="AD938" s="13"/>
      <c r="AE938" s="13"/>
      <c r="AF938" s="13"/>
      <c r="AG938" s="13"/>
      <c r="AH938" s="13"/>
      <c r="AI938" s="4"/>
      <c r="AJ938" s="4"/>
      <c r="AK938" s="4"/>
      <c r="AL938" s="4"/>
    </row>
    <row r="939">
      <c r="A939" s="13"/>
      <c r="B939" s="13"/>
      <c r="C939" s="13"/>
      <c r="D939" s="13"/>
      <c r="E939" s="13"/>
      <c r="F939" s="13"/>
      <c r="G939" s="13"/>
      <c r="H939" s="13"/>
      <c r="I939" s="13"/>
      <c r="J939" s="13"/>
      <c r="K939" s="13"/>
      <c r="L939" s="13"/>
      <c r="M939" s="13"/>
      <c r="N939" s="13"/>
      <c r="O939" s="13"/>
      <c r="P939" s="13"/>
      <c r="Q939" s="172"/>
      <c r="R939" s="13"/>
      <c r="S939" s="13"/>
      <c r="T939" s="13"/>
      <c r="U939" s="13"/>
      <c r="V939" s="13"/>
      <c r="W939" s="13"/>
      <c r="X939" s="13"/>
      <c r="Y939" s="13"/>
      <c r="Z939" s="13"/>
      <c r="AA939" s="13"/>
      <c r="AB939" s="13"/>
      <c r="AC939" s="13"/>
      <c r="AD939" s="13"/>
      <c r="AE939" s="13"/>
      <c r="AF939" s="13"/>
      <c r="AG939" s="13"/>
      <c r="AH939" s="13"/>
      <c r="AI939" s="4"/>
      <c r="AJ939" s="4"/>
      <c r="AK939" s="4"/>
      <c r="AL939" s="4"/>
    </row>
    <row r="940">
      <c r="A940" s="13"/>
      <c r="B940" s="13"/>
      <c r="C940" s="13"/>
      <c r="D940" s="13"/>
      <c r="E940" s="13"/>
      <c r="F940" s="13"/>
      <c r="G940" s="13"/>
      <c r="H940" s="13"/>
      <c r="I940" s="13"/>
      <c r="J940" s="13"/>
      <c r="K940" s="13"/>
      <c r="L940" s="13"/>
      <c r="M940" s="13"/>
      <c r="N940" s="13"/>
      <c r="O940" s="13"/>
      <c r="P940" s="13"/>
      <c r="Q940" s="172"/>
      <c r="R940" s="13"/>
      <c r="S940" s="13"/>
      <c r="T940" s="13"/>
      <c r="U940" s="13"/>
      <c r="V940" s="13"/>
      <c r="W940" s="13"/>
      <c r="X940" s="13"/>
      <c r="Y940" s="13"/>
      <c r="Z940" s="13"/>
      <c r="AA940" s="13"/>
      <c r="AB940" s="13"/>
      <c r="AC940" s="13"/>
      <c r="AD940" s="13"/>
      <c r="AE940" s="13"/>
      <c r="AF940" s="13"/>
      <c r="AG940" s="13"/>
      <c r="AH940" s="13"/>
      <c r="AI940" s="4"/>
      <c r="AJ940" s="4"/>
      <c r="AK940" s="4"/>
      <c r="AL940" s="4"/>
    </row>
    <row r="941">
      <c r="A941" s="13"/>
      <c r="B941" s="13"/>
      <c r="C941" s="13"/>
      <c r="D941" s="13"/>
      <c r="E941" s="13"/>
      <c r="F941" s="13"/>
      <c r="G941" s="13"/>
      <c r="H941" s="13"/>
      <c r="I941" s="13"/>
      <c r="J941" s="13"/>
      <c r="K941" s="13"/>
      <c r="L941" s="13"/>
      <c r="M941" s="13"/>
      <c r="N941" s="13"/>
      <c r="O941" s="13"/>
      <c r="P941" s="13"/>
      <c r="Q941" s="172"/>
      <c r="R941" s="13"/>
      <c r="S941" s="13"/>
      <c r="T941" s="13"/>
      <c r="U941" s="13"/>
      <c r="V941" s="13"/>
      <c r="W941" s="13"/>
      <c r="X941" s="13"/>
      <c r="Y941" s="13"/>
      <c r="Z941" s="13"/>
      <c r="AA941" s="13"/>
      <c r="AB941" s="13"/>
      <c r="AC941" s="13"/>
      <c r="AD941" s="13"/>
      <c r="AE941" s="13"/>
      <c r="AF941" s="13"/>
      <c r="AG941" s="13"/>
      <c r="AH941" s="13"/>
      <c r="AI941" s="4"/>
      <c r="AJ941" s="4"/>
      <c r="AK941" s="4"/>
      <c r="AL941" s="4"/>
    </row>
    <row r="942">
      <c r="A942" s="13"/>
      <c r="B942" s="13"/>
      <c r="C942" s="13"/>
      <c r="D942" s="13"/>
      <c r="E942" s="13"/>
      <c r="F942" s="13"/>
      <c r="G942" s="13"/>
      <c r="H942" s="13"/>
      <c r="I942" s="13"/>
      <c r="J942" s="13"/>
      <c r="K942" s="13"/>
      <c r="L942" s="13"/>
      <c r="M942" s="13"/>
      <c r="N942" s="13"/>
      <c r="O942" s="13"/>
      <c r="P942" s="13"/>
      <c r="Q942" s="172"/>
      <c r="R942" s="13"/>
      <c r="S942" s="13"/>
      <c r="T942" s="13"/>
      <c r="U942" s="13"/>
      <c r="V942" s="13"/>
      <c r="W942" s="13"/>
      <c r="X942" s="13"/>
      <c r="Y942" s="13"/>
      <c r="Z942" s="13"/>
      <c r="AA942" s="13"/>
      <c r="AB942" s="13"/>
      <c r="AC942" s="13"/>
      <c r="AD942" s="13"/>
      <c r="AE942" s="13"/>
      <c r="AF942" s="13"/>
      <c r="AG942" s="13"/>
      <c r="AH942" s="13"/>
      <c r="AI942" s="4"/>
      <c r="AJ942" s="4"/>
      <c r="AK942" s="4"/>
      <c r="AL942" s="4"/>
    </row>
    <row r="943">
      <c r="A943" s="13"/>
      <c r="B943" s="13"/>
      <c r="C943" s="13"/>
      <c r="D943" s="13"/>
      <c r="E943" s="13"/>
      <c r="F943" s="13"/>
      <c r="G943" s="13"/>
      <c r="H943" s="13"/>
      <c r="I943" s="13"/>
      <c r="J943" s="13"/>
      <c r="K943" s="13"/>
      <c r="L943" s="13"/>
      <c r="M943" s="13"/>
      <c r="N943" s="13"/>
      <c r="O943" s="13"/>
      <c r="P943" s="13"/>
      <c r="Q943" s="172"/>
      <c r="R943" s="13"/>
      <c r="S943" s="13"/>
      <c r="T943" s="13"/>
      <c r="U943" s="13"/>
      <c r="V943" s="13"/>
      <c r="W943" s="13"/>
      <c r="X943" s="13"/>
      <c r="Y943" s="13"/>
      <c r="Z943" s="13"/>
      <c r="AA943" s="13"/>
      <c r="AB943" s="13"/>
      <c r="AC943" s="13"/>
      <c r="AD943" s="13"/>
      <c r="AE943" s="13"/>
      <c r="AF943" s="13"/>
      <c r="AG943" s="13"/>
      <c r="AH943" s="13"/>
      <c r="AI943" s="4"/>
      <c r="AJ943" s="4"/>
      <c r="AK943" s="4"/>
      <c r="AL943" s="4"/>
    </row>
    <row r="944">
      <c r="A944" s="13"/>
      <c r="B944" s="13"/>
      <c r="C944" s="13"/>
      <c r="D944" s="13"/>
      <c r="E944" s="13"/>
      <c r="F944" s="13"/>
      <c r="G944" s="13"/>
      <c r="H944" s="13"/>
      <c r="I944" s="13"/>
      <c r="J944" s="13"/>
      <c r="K944" s="13"/>
      <c r="L944" s="13"/>
      <c r="M944" s="13"/>
      <c r="N944" s="13"/>
      <c r="O944" s="13"/>
      <c r="P944" s="13"/>
      <c r="Q944" s="172"/>
      <c r="R944" s="13"/>
      <c r="S944" s="13"/>
      <c r="T944" s="13"/>
      <c r="U944" s="13"/>
      <c r="V944" s="13"/>
      <c r="W944" s="13"/>
      <c r="X944" s="13"/>
      <c r="Y944" s="13"/>
      <c r="Z944" s="13"/>
      <c r="AA944" s="13"/>
      <c r="AB944" s="13"/>
      <c r="AC944" s="13"/>
      <c r="AD944" s="13"/>
      <c r="AE944" s="13"/>
      <c r="AF944" s="13"/>
      <c r="AG944" s="13"/>
      <c r="AH944" s="13"/>
      <c r="AI944" s="4"/>
      <c r="AJ944" s="4"/>
      <c r="AK944" s="4"/>
      <c r="AL944" s="4"/>
    </row>
    <row r="945">
      <c r="A945" s="13"/>
      <c r="B945" s="13"/>
      <c r="C945" s="13"/>
      <c r="D945" s="13"/>
      <c r="E945" s="13"/>
      <c r="F945" s="13"/>
      <c r="G945" s="13"/>
      <c r="H945" s="13"/>
      <c r="I945" s="13"/>
      <c r="J945" s="13"/>
      <c r="K945" s="13"/>
      <c r="L945" s="13"/>
      <c r="M945" s="13"/>
      <c r="N945" s="13"/>
      <c r="O945" s="13"/>
      <c r="P945" s="13"/>
      <c r="Q945" s="172"/>
      <c r="R945" s="13"/>
      <c r="S945" s="13"/>
      <c r="T945" s="13"/>
      <c r="U945" s="13"/>
      <c r="V945" s="13"/>
      <c r="W945" s="13"/>
      <c r="X945" s="13"/>
      <c r="Y945" s="13"/>
      <c r="Z945" s="13"/>
      <c r="AA945" s="13"/>
      <c r="AB945" s="13"/>
      <c r="AC945" s="13"/>
      <c r="AD945" s="13"/>
      <c r="AE945" s="13"/>
      <c r="AF945" s="13"/>
      <c r="AG945" s="13"/>
      <c r="AH945" s="13"/>
      <c r="AI945" s="4"/>
      <c r="AJ945" s="4"/>
      <c r="AK945" s="4"/>
      <c r="AL945" s="4"/>
    </row>
    <row r="946">
      <c r="A946" s="13"/>
      <c r="B946" s="13"/>
      <c r="C946" s="13"/>
      <c r="D946" s="13"/>
      <c r="E946" s="13"/>
      <c r="F946" s="13"/>
      <c r="G946" s="13"/>
      <c r="H946" s="13"/>
      <c r="I946" s="13"/>
      <c r="J946" s="13"/>
      <c r="K946" s="13"/>
      <c r="L946" s="13"/>
      <c r="M946" s="13"/>
      <c r="N946" s="13"/>
      <c r="O946" s="13"/>
      <c r="P946" s="13"/>
      <c r="Q946" s="172"/>
      <c r="R946" s="13"/>
      <c r="S946" s="13"/>
      <c r="T946" s="13"/>
      <c r="U946" s="13"/>
      <c r="V946" s="13"/>
      <c r="W946" s="13"/>
      <c r="X946" s="13"/>
      <c r="Y946" s="13"/>
      <c r="Z946" s="13"/>
      <c r="AA946" s="13"/>
      <c r="AB946" s="13"/>
      <c r="AC946" s="13"/>
      <c r="AD946" s="13"/>
      <c r="AE946" s="13"/>
      <c r="AF946" s="13"/>
      <c r="AG946" s="13"/>
      <c r="AH946" s="13"/>
      <c r="AI946" s="4"/>
      <c r="AJ946" s="4"/>
      <c r="AK946" s="4"/>
      <c r="AL946" s="4"/>
    </row>
    <row r="947">
      <c r="A947" s="13"/>
      <c r="B947" s="13"/>
      <c r="C947" s="13"/>
      <c r="D947" s="13"/>
      <c r="E947" s="13"/>
      <c r="F947" s="13"/>
      <c r="G947" s="13"/>
      <c r="H947" s="13"/>
      <c r="I947" s="13"/>
      <c r="J947" s="13"/>
      <c r="K947" s="13"/>
      <c r="L947" s="13"/>
      <c r="M947" s="13"/>
      <c r="N947" s="13"/>
      <c r="O947" s="13"/>
      <c r="P947" s="13"/>
      <c r="Q947" s="172"/>
      <c r="R947" s="13"/>
      <c r="S947" s="13"/>
      <c r="T947" s="13"/>
      <c r="U947" s="13"/>
      <c r="V947" s="13"/>
      <c r="W947" s="13"/>
      <c r="X947" s="13"/>
      <c r="Y947" s="13"/>
      <c r="Z947" s="13"/>
      <c r="AA947" s="13"/>
      <c r="AB947" s="13"/>
      <c r="AC947" s="13"/>
      <c r="AD947" s="13"/>
      <c r="AE947" s="13"/>
      <c r="AF947" s="13"/>
      <c r="AG947" s="13"/>
      <c r="AH947" s="13"/>
      <c r="AI947" s="4"/>
      <c r="AJ947" s="4"/>
      <c r="AK947" s="4"/>
      <c r="AL947" s="4"/>
    </row>
    <row r="948">
      <c r="A948" s="13"/>
      <c r="B948" s="13"/>
      <c r="C948" s="13"/>
      <c r="D948" s="13"/>
      <c r="E948" s="13"/>
      <c r="F948" s="13"/>
      <c r="G948" s="13"/>
      <c r="H948" s="13"/>
      <c r="I948" s="13"/>
      <c r="J948" s="13"/>
      <c r="K948" s="13"/>
      <c r="L948" s="13"/>
      <c r="M948" s="13"/>
      <c r="N948" s="13"/>
      <c r="O948" s="13"/>
      <c r="P948" s="13"/>
      <c r="Q948" s="172"/>
      <c r="R948" s="13"/>
      <c r="S948" s="13"/>
      <c r="T948" s="13"/>
      <c r="U948" s="13"/>
      <c r="V948" s="13"/>
      <c r="W948" s="13"/>
      <c r="X948" s="13"/>
      <c r="Y948" s="13"/>
      <c r="Z948" s="13"/>
      <c r="AA948" s="13"/>
      <c r="AB948" s="13"/>
      <c r="AC948" s="13"/>
      <c r="AD948" s="13"/>
      <c r="AE948" s="13"/>
      <c r="AF948" s="13"/>
      <c r="AG948" s="13"/>
      <c r="AH948" s="13"/>
      <c r="AI948" s="4"/>
      <c r="AJ948" s="4"/>
      <c r="AK948" s="4"/>
      <c r="AL948" s="4"/>
    </row>
    <row r="949">
      <c r="A949" s="13"/>
      <c r="B949" s="13"/>
      <c r="C949" s="13"/>
      <c r="D949" s="13"/>
      <c r="E949" s="13"/>
      <c r="F949" s="13"/>
      <c r="G949" s="13"/>
      <c r="H949" s="13"/>
      <c r="I949" s="13"/>
      <c r="J949" s="13"/>
      <c r="K949" s="13"/>
      <c r="L949" s="13"/>
      <c r="M949" s="13"/>
      <c r="N949" s="13"/>
      <c r="O949" s="13"/>
      <c r="P949" s="13"/>
      <c r="Q949" s="172"/>
      <c r="R949" s="13"/>
      <c r="S949" s="13"/>
      <c r="T949" s="13"/>
      <c r="U949" s="13"/>
      <c r="V949" s="13"/>
      <c r="W949" s="13"/>
      <c r="X949" s="13"/>
      <c r="Y949" s="13"/>
      <c r="Z949" s="13"/>
      <c r="AA949" s="13"/>
      <c r="AB949" s="13"/>
      <c r="AC949" s="13"/>
      <c r="AD949" s="13"/>
      <c r="AE949" s="13"/>
      <c r="AF949" s="13"/>
      <c r="AG949" s="13"/>
      <c r="AH949" s="13"/>
      <c r="AI949" s="4"/>
      <c r="AJ949" s="4"/>
      <c r="AK949" s="4"/>
      <c r="AL949" s="4"/>
    </row>
    <row r="950">
      <c r="A950" s="13"/>
      <c r="B950" s="13"/>
      <c r="C950" s="13"/>
      <c r="D950" s="13"/>
      <c r="E950" s="13"/>
      <c r="F950" s="13"/>
      <c r="G950" s="13"/>
      <c r="H950" s="13"/>
      <c r="I950" s="13"/>
      <c r="J950" s="13"/>
      <c r="K950" s="13"/>
      <c r="L950" s="13"/>
      <c r="M950" s="13"/>
      <c r="N950" s="13"/>
      <c r="O950" s="13"/>
      <c r="P950" s="13"/>
      <c r="Q950" s="172"/>
      <c r="R950" s="13"/>
      <c r="S950" s="13"/>
      <c r="T950" s="13"/>
      <c r="U950" s="13"/>
      <c r="V950" s="13"/>
      <c r="W950" s="13"/>
      <c r="X950" s="13"/>
      <c r="Y950" s="13"/>
      <c r="Z950" s="13"/>
      <c r="AA950" s="13"/>
      <c r="AB950" s="13"/>
      <c r="AC950" s="13"/>
      <c r="AD950" s="13"/>
      <c r="AE950" s="13"/>
      <c r="AF950" s="13"/>
      <c r="AG950" s="13"/>
      <c r="AH950" s="13"/>
      <c r="AI950" s="4"/>
      <c r="AJ950" s="4"/>
      <c r="AK950" s="4"/>
      <c r="AL950" s="4"/>
    </row>
    <row r="951">
      <c r="A951" s="13"/>
      <c r="B951" s="13"/>
      <c r="C951" s="13"/>
      <c r="D951" s="13"/>
      <c r="E951" s="13"/>
      <c r="F951" s="13"/>
      <c r="G951" s="13"/>
      <c r="H951" s="13"/>
      <c r="I951" s="13"/>
      <c r="J951" s="13"/>
      <c r="K951" s="13"/>
      <c r="L951" s="13"/>
      <c r="M951" s="13"/>
      <c r="N951" s="13"/>
      <c r="O951" s="13"/>
      <c r="P951" s="13"/>
      <c r="Q951" s="172"/>
      <c r="R951" s="13"/>
      <c r="S951" s="13"/>
      <c r="T951" s="13"/>
      <c r="U951" s="13"/>
      <c r="V951" s="13"/>
      <c r="W951" s="13"/>
      <c r="X951" s="13"/>
      <c r="Y951" s="13"/>
      <c r="Z951" s="13"/>
      <c r="AA951" s="13"/>
      <c r="AB951" s="13"/>
      <c r="AC951" s="13"/>
      <c r="AD951" s="13"/>
      <c r="AE951" s="13"/>
      <c r="AF951" s="13"/>
      <c r="AG951" s="13"/>
      <c r="AH951" s="13"/>
      <c r="AI951" s="4"/>
      <c r="AJ951" s="4"/>
      <c r="AK951" s="4"/>
      <c r="AL951" s="4"/>
    </row>
    <row r="952">
      <c r="A952" s="13"/>
      <c r="B952" s="13"/>
      <c r="C952" s="13"/>
      <c r="D952" s="13"/>
      <c r="E952" s="13"/>
      <c r="F952" s="13"/>
      <c r="G952" s="13"/>
      <c r="H952" s="13"/>
      <c r="I952" s="13"/>
      <c r="J952" s="13"/>
      <c r="K952" s="13"/>
      <c r="L952" s="13"/>
      <c r="M952" s="13"/>
      <c r="N952" s="13"/>
      <c r="O952" s="13"/>
      <c r="P952" s="13"/>
      <c r="Q952" s="172"/>
      <c r="R952" s="13"/>
      <c r="S952" s="13"/>
      <c r="T952" s="13"/>
      <c r="U952" s="13"/>
      <c r="V952" s="13"/>
      <c r="W952" s="13"/>
      <c r="X952" s="13"/>
      <c r="Y952" s="13"/>
      <c r="Z952" s="13"/>
      <c r="AA952" s="13"/>
      <c r="AB952" s="13"/>
      <c r="AC952" s="13"/>
      <c r="AD952" s="13"/>
      <c r="AE952" s="13"/>
      <c r="AF952" s="13"/>
      <c r="AG952" s="13"/>
      <c r="AH952" s="13"/>
      <c r="AI952" s="4"/>
      <c r="AJ952" s="4"/>
      <c r="AK952" s="4"/>
      <c r="AL952" s="4"/>
    </row>
    <row r="953">
      <c r="A953" s="13"/>
      <c r="B953" s="13"/>
      <c r="C953" s="13"/>
      <c r="D953" s="13"/>
      <c r="E953" s="13"/>
      <c r="F953" s="13"/>
      <c r="G953" s="13"/>
      <c r="H953" s="13"/>
      <c r="I953" s="13"/>
      <c r="J953" s="13"/>
      <c r="K953" s="13"/>
      <c r="L953" s="13"/>
      <c r="M953" s="13"/>
      <c r="N953" s="13"/>
      <c r="O953" s="13"/>
      <c r="P953" s="13"/>
      <c r="Q953" s="172"/>
      <c r="R953" s="13"/>
      <c r="S953" s="13"/>
      <c r="T953" s="13"/>
      <c r="U953" s="13"/>
      <c r="V953" s="13"/>
      <c r="W953" s="13"/>
      <c r="X953" s="13"/>
      <c r="Y953" s="13"/>
      <c r="Z953" s="13"/>
      <c r="AA953" s="13"/>
      <c r="AB953" s="13"/>
      <c r="AC953" s="13"/>
      <c r="AD953" s="13"/>
      <c r="AE953" s="13"/>
      <c r="AF953" s="13"/>
      <c r="AG953" s="13"/>
      <c r="AH953" s="13"/>
      <c r="AI953" s="4"/>
      <c r="AJ953" s="4"/>
      <c r="AK953" s="4"/>
      <c r="AL953" s="4"/>
    </row>
    <row r="954">
      <c r="A954" s="13"/>
      <c r="B954" s="13"/>
      <c r="C954" s="13"/>
      <c r="D954" s="13"/>
      <c r="E954" s="13"/>
      <c r="F954" s="13"/>
      <c r="G954" s="13"/>
      <c r="H954" s="13"/>
      <c r="I954" s="13"/>
      <c r="J954" s="13"/>
      <c r="K954" s="13"/>
      <c r="L954" s="13"/>
      <c r="M954" s="13"/>
      <c r="N954" s="13"/>
      <c r="O954" s="13"/>
      <c r="P954" s="13"/>
      <c r="Q954" s="172"/>
      <c r="R954" s="13"/>
      <c r="S954" s="13"/>
      <c r="T954" s="13"/>
      <c r="U954" s="13"/>
      <c r="V954" s="13"/>
      <c r="W954" s="13"/>
      <c r="X954" s="13"/>
      <c r="Y954" s="13"/>
      <c r="Z954" s="13"/>
      <c r="AA954" s="13"/>
      <c r="AB954" s="13"/>
      <c r="AC954" s="13"/>
      <c r="AD954" s="13"/>
      <c r="AE954" s="13"/>
      <c r="AF954" s="13"/>
      <c r="AG954" s="13"/>
      <c r="AH954" s="13"/>
      <c r="AI954" s="4"/>
      <c r="AJ954" s="4"/>
      <c r="AK954" s="4"/>
      <c r="AL954" s="4"/>
    </row>
    <row r="955">
      <c r="A955" s="13"/>
      <c r="B955" s="13"/>
      <c r="C955" s="13"/>
      <c r="D955" s="13"/>
      <c r="E955" s="13"/>
      <c r="F955" s="13"/>
      <c r="G955" s="13"/>
      <c r="H955" s="13"/>
      <c r="I955" s="13"/>
      <c r="J955" s="13"/>
      <c r="K955" s="13"/>
      <c r="L955" s="13"/>
      <c r="M955" s="13"/>
      <c r="N955" s="13"/>
      <c r="O955" s="13"/>
      <c r="P955" s="13"/>
      <c r="Q955" s="172"/>
      <c r="R955" s="13"/>
      <c r="S955" s="13"/>
      <c r="T955" s="13"/>
      <c r="U955" s="13"/>
      <c r="V955" s="13"/>
      <c r="W955" s="13"/>
      <c r="X955" s="13"/>
      <c r="Y955" s="13"/>
      <c r="Z955" s="13"/>
      <c r="AA955" s="13"/>
      <c r="AB955" s="13"/>
      <c r="AC955" s="13"/>
      <c r="AD955" s="13"/>
      <c r="AE955" s="13"/>
      <c r="AF955" s="13"/>
      <c r="AG955" s="13"/>
      <c r="AH955" s="13"/>
      <c r="AI955" s="4"/>
      <c r="AJ955" s="4"/>
      <c r="AK955" s="4"/>
      <c r="AL955" s="4"/>
    </row>
    <row r="956">
      <c r="A956" s="13"/>
      <c r="B956" s="13"/>
      <c r="C956" s="13"/>
      <c r="D956" s="13"/>
      <c r="E956" s="13"/>
      <c r="F956" s="13"/>
      <c r="G956" s="13"/>
      <c r="H956" s="13"/>
      <c r="I956" s="13"/>
      <c r="J956" s="13"/>
      <c r="K956" s="13"/>
      <c r="L956" s="13"/>
      <c r="M956" s="13"/>
      <c r="N956" s="13"/>
      <c r="O956" s="13"/>
      <c r="P956" s="13"/>
      <c r="Q956" s="172"/>
      <c r="R956" s="13"/>
      <c r="S956" s="13"/>
      <c r="T956" s="13"/>
      <c r="U956" s="13"/>
      <c r="V956" s="13"/>
      <c r="W956" s="13"/>
      <c r="X956" s="13"/>
      <c r="Y956" s="13"/>
      <c r="Z956" s="13"/>
      <c r="AA956" s="13"/>
      <c r="AB956" s="13"/>
      <c r="AC956" s="13"/>
      <c r="AD956" s="13"/>
      <c r="AE956" s="13"/>
      <c r="AF956" s="13"/>
      <c r="AG956" s="13"/>
      <c r="AH956" s="13"/>
      <c r="AI956" s="4"/>
      <c r="AJ956" s="4"/>
      <c r="AK956" s="4"/>
      <c r="AL956" s="4"/>
    </row>
    <row r="957">
      <c r="A957" s="13"/>
      <c r="B957" s="13"/>
      <c r="C957" s="13"/>
      <c r="D957" s="13"/>
      <c r="E957" s="13"/>
      <c r="F957" s="13"/>
      <c r="G957" s="13"/>
      <c r="H957" s="13"/>
      <c r="I957" s="13"/>
      <c r="J957" s="13"/>
      <c r="K957" s="13"/>
      <c r="L957" s="13"/>
      <c r="M957" s="13"/>
      <c r="N957" s="13"/>
      <c r="O957" s="13"/>
      <c r="P957" s="13"/>
      <c r="Q957" s="172"/>
      <c r="R957" s="13"/>
      <c r="S957" s="13"/>
      <c r="T957" s="13"/>
      <c r="U957" s="13"/>
      <c r="V957" s="13"/>
      <c r="W957" s="13"/>
      <c r="X957" s="13"/>
      <c r="Y957" s="13"/>
      <c r="Z957" s="13"/>
      <c r="AA957" s="13"/>
      <c r="AB957" s="13"/>
      <c r="AC957" s="13"/>
      <c r="AD957" s="13"/>
      <c r="AE957" s="13"/>
      <c r="AF957" s="13"/>
      <c r="AG957" s="13"/>
      <c r="AH957" s="13"/>
      <c r="AI957" s="4"/>
      <c r="AJ957" s="4"/>
      <c r="AK957" s="4"/>
      <c r="AL957" s="4"/>
    </row>
    <row r="958">
      <c r="A958" s="13"/>
      <c r="B958" s="13"/>
      <c r="C958" s="13"/>
      <c r="D958" s="13"/>
      <c r="E958" s="13"/>
      <c r="F958" s="13"/>
      <c r="G958" s="13"/>
      <c r="H958" s="13"/>
      <c r="I958" s="13"/>
      <c r="J958" s="13"/>
      <c r="K958" s="13"/>
      <c r="L958" s="13"/>
      <c r="M958" s="13"/>
      <c r="N958" s="13"/>
      <c r="O958" s="13"/>
      <c r="P958" s="13"/>
      <c r="Q958" s="172"/>
      <c r="R958" s="13"/>
      <c r="S958" s="13"/>
      <c r="T958" s="13"/>
      <c r="U958" s="13"/>
      <c r="V958" s="13"/>
      <c r="W958" s="13"/>
      <c r="X958" s="13"/>
      <c r="Y958" s="13"/>
      <c r="Z958" s="13"/>
      <c r="AA958" s="13"/>
      <c r="AB958" s="13"/>
      <c r="AC958" s="13"/>
      <c r="AD958" s="13"/>
      <c r="AE958" s="13"/>
      <c r="AF958" s="13"/>
      <c r="AG958" s="13"/>
      <c r="AH958" s="13"/>
      <c r="AI958" s="4"/>
      <c r="AJ958" s="4"/>
      <c r="AK958" s="4"/>
      <c r="AL958" s="4"/>
    </row>
    <row r="959">
      <c r="A959" s="13"/>
      <c r="B959" s="13"/>
      <c r="C959" s="13"/>
      <c r="D959" s="13"/>
      <c r="E959" s="13"/>
      <c r="F959" s="13"/>
      <c r="G959" s="13"/>
      <c r="H959" s="13"/>
      <c r="I959" s="13"/>
      <c r="J959" s="13"/>
      <c r="K959" s="13"/>
      <c r="L959" s="13"/>
      <c r="M959" s="13"/>
      <c r="N959" s="13"/>
      <c r="O959" s="13"/>
      <c r="P959" s="13"/>
      <c r="Q959" s="172"/>
      <c r="R959" s="13"/>
      <c r="S959" s="13"/>
      <c r="T959" s="13"/>
      <c r="U959" s="13"/>
      <c r="V959" s="13"/>
      <c r="W959" s="13"/>
      <c r="X959" s="13"/>
      <c r="Y959" s="13"/>
      <c r="Z959" s="13"/>
      <c r="AA959" s="13"/>
      <c r="AB959" s="13"/>
      <c r="AC959" s="13"/>
      <c r="AD959" s="13"/>
      <c r="AE959" s="13"/>
      <c r="AF959" s="13"/>
      <c r="AG959" s="13"/>
      <c r="AH959" s="13"/>
      <c r="AI959" s="4"/>
      <c r="AJ959" s="4"/>
      <c r="AK959" s="4"/>
      <c r="AL959" s="4"/>
    </row>
    <row r="960">
      <c r="A960" s="13"/>
      <c r="B960" s="13"/>
      <c r="C960" s="13"/>
      <c r="D960" s="13"/>
      <c r="E960" s="13"/>
      <c r="F960" s="13"/>
      <c r="G960" s="13"/>
      <c r="H960" s="13"/>
      <c r="I960" s="13"/>
      <c r="J960" s="13"/>
      <c r="K960" s="13"/>
      <c r="L960" s="13"/>
      <c r="M960" s="13"/>
      <c r="N960" s="13"/>
      <c r="O960" s="13"/>
      <c r="P960" s="13"/>
      <c r="Q960" s="172"/>
      <c r="R960" s="13"/>
      <c r="S960" s="13"/>
      <c r="T960" s="13"/>
      <c r="U960" s="13"/>
      <c r="V960" s="13"/>
      <c r="W960" s="13"/>
      <c r="X960" s="13"/>
      <c r="Y960" s="13"/>
      <c r="Z960" s="13"/>
      <c r="AA960" s="13"/>
      <c r="AB960" s="13"/>
      <c r="AC960" s="13"/>
      <c r="AD960" s="13"/>
      <c r="AE960" s="13"/>
      <c r="AF960" s="13"/>
      <c r="AG960" s="13"/>
      <c r="AH960" s="13"/>
      <c r="AI960" s="4"/>
      <c r="AJ960" s="4"/>
      <c r="AK960" s="4"/>
      <c r="AL960" s="4"/>
    </row>
    <row r="961">
      <c r="A961" s="13"/>
      <c r="B961" s="13"/>
      <c r="C961" s="13"/>
      <c r="D961" s="13"/>
      <c r="E961" s="13"/>
      <c r="F961" s="13"/>
      <c r="G961" s="13"/>
      <c r="H961" s="13"/>
      <c r="I961" s="13"/>
      <c r="J961" s="13"/>
      <c r="K961" s="13"/>
      <c r="L961" s="13"/>
      <c r="M961" s="13"/>
      <c r="N961" s="13"/>
      <c r="O961" s="13"/>
      <c r="P961" s="13"/>
      <c r="Q961" s="172"/>
      <c r="R961" s="13"/>
      <c r="S961" s="13"/>
      <c r="T961" s="13"/>
      <c r="U961" s="13"/>
      <c r="V961" s="13"/>
      <c r="W961" s="13"/>
      <c r="X961" s="13"/>
      <c r="Y961" s="13"/>
      <c r="Z961" s="13"/>
      <c r="AA961" s="13"/>
      <c r="AB961" s="13"/>
      <c r="AC961" s="13"/>
      <c r="AD961" s="13"/>
      <c r="AE961" s="13"/>
      <c r="AF961" s="13"/>
      <c r="AG961" s="13"/>
      <c r="AH961" s="13"/>
      <c r="AI961" s="4"/>
      <c r="AJ961" s="4"/>
      <c r="AK961" s="4"/>
      <c r="AL961" s="4"/>
    </row>
    <row r="962">
      <c r="A962" s="13"/>
      <c r="B962" s="13"/>
      <c r="C962" s="13"/>
      <c r="D962" s="13"/>
      <c r="E962" s="13"/>
      <c r="F962" s="13"/>
      <c r="G962" s="13"/>
      <c r="H962" s="13"/>
      <c r="I962" s="13"/>
      <c r="J962" s="13"/>
      <c r="K962" s="13"/>
      <c r="L962" s="13"/>
      <c r="M962" s="13"/>
      <c r="N962" s="13"/>
      <c r="O962" s="13"/>
      <c r="P962" s="13"/>
      <c r="Q962" s="172"/>
      <c r="R962" s="13"/>
      <c r="S962" s="13"/>
      <c r="T962" s="13"/>
      <c r="U962" s="13"/>
      <c r="V962" s="13"/>
      <c r="W962" s="13"/>
      <c r="X962" s="13"/>
      <c r="Y962" s="13"/>
      <c r="Z962" s="13"/>
      <c r="AA962" s="13"/>
      <c r="AB962" s="13"/>
      <c r="AC962" s="13"/>
      <c r="AD962" s="13"/>
      <c r="AE962" s="13"/>
      <c r="AF962" s="13"/>
      <c r="AG962" s="13"/>
      <c r="AH962" s="13"/>
      <c r="AI962" s="4"/>
      <c r="AJ962" s="4"/>
      <c r="AK962" s="4"/>
      <c r="AL962" s="4"/>
    </row>
    <row r="963">
      <c r="A963" s="13"/>
      <c r="B963" s="13"/>
      <c r="C963" s="13"/>
      <c r="D963" s="13"/>
      <c r="E963" s="13"/>
      <c r="F963" s="13"/>
      <c r="G963" s="13"/>
      <c r="H963" s="13"/>
      <c r="I963" s="13"/>
      <c r="J963" s="13"/>
      <c r="K963" s="13"/>
      <c r="L963" s="13"/>
      <c r="M963" s="13"/>
      <c r="N963" s="13"/>
      <c r="O963" s="13"/>
      <c r="P963" s="13"/>
      <c r="Q963" s="172"/>
      <c r="R963" s="13"/>
      <c r="S963" s="13"/>
      <c r="T963" s="13"/>
      <c r="U963" s="13"/>
      <c r="V963" s="13"/>
      <c r="W963" s="13"/>
      <c r="X963" s="13"/>
      <c r="Y963" s="13"/>
      <c r="Z963" s="13"/>
      <c r="AA963" s="13"/>
      <c r="AB963" s="13"/>
      <c r="AC963" s="13"/>
      <c r="AD963" s="13"/>
      <c r="AE963" s="13"/>
      <c r="AF963" s="13"/>
      <c r="AG963" s="13"/>
      <c r="AH963" s="13"/>
      <c r="AI963" s="4"/>
      <c r="AJ963" s="4"/>
      <c r="AK963" s="4"/>
      <c r="AL963" s="4"/>
    </row>
    <row r="964">
      <c r="A964" s="13"/>
      <c r="B964" s="13"/>
      <c r="C964" s="13"/>
      <c r="D964" s="13"/>
      <c r="E964" s="13"/>
      <c r="F964" s="13"/>
      <c r="G964" s="13"/>
      <c r="H964" s="13"/>
      <c r="I964" s="13"/>
      <c r="J964" s="13"/>
      <c r="K964" s="13"/>
      <c r="L964" s="13"/>
      <c r="M964" s="13"/>
      <c r="N964" s="13"/>
      <c r="O964" s="13"/>
      <c r="P964" s="13"/>
      <c r="Q964" s="172"/>
      <c r="R964" s="13"/>
      <c r="S964" s="13"/>
      <c r="T964" s="13"/>
      <c r="U964" s="13"/>
      <c r="V964" s="13"/>
      <c r="W964" s="13"/>
      <c r="X964" s="13"/>
      <c r="Y964" s="13"/>
      <c r="Z964" s="13"/>
      <c r="AA964" s="13"/>
      <c r="AB964" s="13"/>
      <c r="AC964" s="13"/>
      <c r="AD964" s="13"/>
      <c r="AE964" s="13"/>
      <c r="AF964" s="13"/>
      <c r="AG964" s="13"/>
      <c r="AH964" s="13"/>
      <c r="AI964" s="4"/>
      <c r="AJ964" s="4"/>
      <c r="AK964" s="4"/>
      <c r="AL964" s="4"/>
    </row>
    <row r="965">
      <c r="A965" s="13"/>
      <c r="B965" s="13"/>
      <c r="C965" s="13"/>
      <c r="D965" s="13"/>
      <c r="E965" s="13"/>
      <c r="F965" s="13"/>
      <c r="G965" s="13"/>
      <c r="H965" s="13"/>
      <c r="I965" s="13"/>
      <c r="J965" s="13"/>
      <c r="K965" s="13"/>
      <c r="L965" s="13"/>
      <c r="M965" s="13"/>
      <c r="N965" s="13"/>
      <c r="O965" s="13"/>
      <c r="P965" s="13"/>
      <c r="Q965" s="172"/>
      <c r="R965" s="13"/>
      <c r="S965" s="13"/>
      <c r="T965" s="13"/>
      <c r="U965" s="13"/>
      <c r="V965" s="13"/>
      <c r="W965" s="13"/>
      <c r="X965" s="13"/>
      <c r="Y965" s="13"/>
      <c r="Z965" s="13"/>
      <c r="AA965" s="13"/>
      <c r="AB965" s="13"/>
      <c r="AC965" s="13"/>
      <c r="AD965" s="13"/>
      <c r="AE965" s="13"/>
      <c r="AF965" s="13"/>
      <c r="AG965" s="13"/>
      <c r="AH965" s="13"/>
      <c r="AI965" s="4"/>
      <c r="AJ965" s="4"/>
      <c r="AK965" s="4"/>
      <c r="AL965" s="4"/>
    </row>
    <row r="966">
      <c r="A966" s="13"/>
      <c r="B966" s="13"/>
      <c r="C966" s="13"/>
      <c r="D966" s="13"/>
      <c r="E966" s="13"/>
      <c r="F966" s="13"/>
      <c r="G966" s="13"/>
      <c r="H966" s="13"/>
      <c r="I966" s="13"/>
      <c r="J966" s="13"/>
      <c r="K966" s="13"/>
      <c r="L966" s="13"/>
      <c r="M966" s="13"/>
      <c r="N966" s="13"/>
      <c r="O966" s="13"/>
      <c r="P966" s="13"/>
      <c r="Q966" s="172"/>
      <c r="R966" s="13"/>
      <c r="S966" s="13"/>
      <c r="T966" s="13"/>
      <c r="U966" s="13"/>
      <c r="V966" s="13"/>
      <c r="W966" s="13"/>
      <c r="X966" s="13"/>
      <c r="Y966" s="13"/>
      <c r="Z966" s="13"/>
      <c r="AA966" s="13"/>
      <c r="AB966" s="13"/>
      <c r="AC966" s="13"/>
      <c r="AD966" s="13"/>
      <c r="AE966" s="13"/>
      <c r="AF966" s="13"/>
      <c r="AG966" s="13"/>
      <c r="AH966" s="13"/>
      <c r="AI966" s="4"/>
      <c r="AJ966" s="4"/>
      <c r="AK966" s="4"/>
      <c r="AL966" s="4"/>
    </row>
    <row r="967">
      <c r="A967" s="13"/>
      <c r="B967" s="13"/>
      <c r="C967" s="13"/>
      <c r="D967" s="13"/>
      <c r="E967" s="13"/>
      <c r="F967" s="13"/>
      <c r="G967" s="13"/>
      <c r="H967" s="13"/>
      <c r="I967" s="13"/>
      <c r="J967" s="13"/>
      <c r="K967" s="13"/>
      <c r="L967" s="13"/>
      <c r="M967" s="13"/>
      <c r="N967" s="13"/>
      <c r="O967" s="13"/>
      <c r="P967" s="13"/>
      <c r="Q967" s="172"/>
      <c r="R967" s="13"/>
      <c r="S967" s="13"/>
      <c r="T967" s="13"/>
      <c r="U967" s="13"/>
      <c r="V967" s="13"/>
      <c r="W967" s="13"/>
      <c r="X967" s="13"/>
      <c r="Y967" s="13"/>
      <c r="Z967" s="13"/>
      <c r="AA967" s="13"/>
      <c r="AB967" s="13"/>
      <c r="AC967" s="13"/>
      <c r="AD967" s="13"/>
      <c r="AE967" s="13"/>
      <c r="AF967" s="13"/>
      <c r="AG967" s="13"/>
      <c r="AH967" s="13"/>
      <c r="AI967" s="4"/>
      <c r="AJ967" s="4"/>
      <c r="AK967" s="4"/>
      <c r="AL967" s="4"/>
    </row>
    <row r="968">
      <c r="A968" s="13"/>
      <c r="B968" s="13"/>
      <c r="C968" s="13"/>
      <c r="D968" s="13"/>
      <c r="E968" s="13"/>
      <c r="F968" s="13"/>
      <c r="G968" s="13"/>
      <c r="H968" s="13"/>
      <c r="I968" s="13"/>
      <c r="J968" s="13"/>
      <c r="K968" s="13"/>
      <c r="L968" s="13"/>
      <c r="M968" s="13"/>
      <c r="N968" s="13"/>
      <c r="O968" s="13"/>
      <c r="P968" s="13"/>
      <c r="Q968" s="172"/>
      <c r="R968" s="13"/>
      <c r="S968" s="13"/>
      <c r="T968" s="13"/>
      <c r="U968" s="13"/>
      <c r="V968" s="13"/>
      <c r="W968" s="13"/>
      <c r="X968" s="13"/>
      <c r="Y968" s="13"/>
      <c r="Z968" s="13"/>
      <c r="AA968" s="13"/>
      <c r="AB968" s="13"/>
      <c r="AC968" s="13"/>
      <c r="AD968" s="13"/>
      <c r="AE968" s="13"/>
      <c r="AF968" s="13"/>
      <c r="AG968" s="13"/>
      <c r="AH968" s="13"/>
      <c r="AI968" s="4"/>
      <c r="AJ968" s="4"/>
      <c r="AK968" s="4"/>
      <c r="AL968" s="4"/>
    </row>
    <row r="969">
      <c r="A969" s="13"/>
      <c r="B969" s="13"/>
      <c r="C969" s="13"/>
      <c r="D969" s="13"/>
      <c r="E969" s="13"/>
      <c r="F969" s="13"/>
      <c r="G969" s="13"/>
      <c r="H969" s="13"/>
      <c r="I969" s="13"/>
      <c r="J969" s="13"/>
      <c r="K969" s="13"/>
      <c r="L969" s="13"/>
      <c r="M969" s="13"/>
      <c r="N969" s="13"/>
      <c r="O969" s="13"/>
      <c r="P969" s="13"/>
      <c r="Q969" s="172"/>
      <c r="R969" s="13"/>
      <c r="S969" s="13"/>
      <c r="T969" s="13"/>
      <c r="U969" s="13"/>
      <c r="V969" s="13"/>
      <c r="W969" s="13"/>
      <c r="X969" s="13"/>
      <c r="Y969" s="13"/>
      <c r="Z969" s="13"/>
      <c r="AA969" s="13"/>
      <c r="AB969" s="13"/>
      <c r="AC969" s="13"/>
      <c r="AD969" s="13"/>
      <c r="AE969" s="13"/>
      <c r="AF969" s="13"/>
      <c r="AG969" s="13"/>
      <c r="AH969" s="13"/>
      <c r="AI969" s="4"/>
      <c r="AJ969" s="4"/>
      <c r="AK969" s="4"/>
      <c r="AL969" s="4"/>
    </row>
    <row r="970">
      <c r="A970" s="13"/>
      <c r="B970" s="13"/>
      <c r="C970" s="13"/>
      <c r="D970" s="13"/>
      <c r="E970" s="13"/>
      <c r="F970" s="13"/>
      <c r="G970" s="13"/>
      <c r="H970" s="13"/>
      <c r="I970" s="13"/>
      <c r="J970" s="13"/>
      <c r="K970" s="13"/>
      <c r="L970" s="13"/>
      <c r="M970" s="13"/>
      <c r="N970" s="13"/>
      <c r="O970" s="13"/>
      <c r="P970" s="13"/>
      <c r="Q970" s="172"/>
      <c r="R970" s="13"/>
      <c r="S970" s="13"/>
      <c r="T970" s="13"/>
      <c r="U970" s="13"/>
      <c r="V970" s="13"/>
      <c r="W970" s="13"/>
      <c r="X970" s="13"/>
      <c r="Y970" s="13"/>
      <c r="Z970" s="13"/>
      <c r="AA970" s="13"/>
      <c r="AB970" s="13"/>
      <c r="AC970" s="13"/>
      <c r="AD970" s="13"/>
      <c r="AE970" s="13"/>
      <c r="AF970" s="13"/>
      <c r="AG970" s="13"/>
      <c r="AH970" s="13"/>
      <c r="AI970" s="4"/>
      <c r="AJ970" s="4"/>
      <c r="AK970" s="4"/>
      <c r="AL970" s="4"/>
    </row>
    <row r="971">
      <c r="A971" s="13"/>
      <c r="B971" s="13"/>
      <c r="C971" s="13"/>
      <c r="D971" s="13"/>
      <c r="E971" s="13"/>
      <c r="F971" s="13"/>
      <c r="G971" s="13"/>
      <c r="H971" s="13"/>
      <c r="I971" s="13"/>
      <c r="J971" s="13"/>
      <c r="K971" s="13"/>
      <c r="L971" s="13"/>
      <c r="M971" s="13"/>
      <c r="N971" s="13"/>
      <c r="O971" s="13"/>
      <c r="P971" s="13"/>
      <c r="Q971" s="172"/>
      <c r="R971" s="13"/>
      <c r="S971" s="13"/>
      <c r="T971" s="13"/>
      <c r="U971" s="13"/>
      <c r="V971" s="13"/>
      <c r="W971" s="13"/>
      <c r="X971" s="13"/>
      <c r="Y971" s="13"/>
      <c r="Z971" s="13"/>
      <c r="AA971" s="13"/>
      <c r="AB971" s="13"/>
      <c r="AC971" s="13"/>
      <c r="AD971" s="13"/>
      <c r="AE971" s="13"/>
      <c r="AF971" s="13"/>
      <c r="AG971" s="13"/>
      <c r="AH971" s="13"/>
      <c r="AI971" s="4"/>
      <c r="AJ971" s="4"/>
      <c r="AK971" s="4"/>
      <c r="AL971" s="4"/>
    </row>
    <row r="972">
      <c r="A972" s="13"/>
      <c r="B972" s="13"/>
      <c r="C972" s="13"/>
      <c r="D972" s="13"/>
      <c r="E972" s="13"/>
      <c r="F972" s="13"/>
      <c r="G972" s="13"/>
      <c r="H972" s="13"/>
      <c r="I972" s="13"/>
      <c r="J972" s="13"/>
      <c r="K972" s="13"/>
      <c r="L972" s="13"/>
      <c r="M972" s="13"/>
      <c r="N972" s="13"/>
      <c r="O972" s="13"/>
      <c r="P972" s="13"/>
      <c r="Q972" s="172"/>
      <c r="R972" s="13"/>
      <c r="S972" s="13"/>
      <c r="T972" s="13"/>
      <c r="U972" s="13"/>
      <c r="V972" s="13"/>
      <c r="W972" s="13"/>
      <c r="X972" s="13"/>
      <c r="Y972" s="13"/>
      <c r="Z972" s="13"/>
      <c r="AA972" s="13"/>
      <c r="AB972" s="13"/>
      <c r="AC972" s="13"/>
      <c r="AD972" s="13"/>
      <c r="AE972" s="13"/>
      <c r="AF972" s="13"/>
      <c r="AG972" s="13"/>
      <c r="AH972" s="13"/>
      <c r="AI972" s="4"/>
      <c r="AJ972" s="4"/>
      <c r="AK972" s="4"/>
      <c r="AL972" s="4"/>
    </row>
    <row r="973">
      <c r="A973" s="13"/>
      <c r="B973" s="13"/>
      <c r="C973" s="13"/>
      <c r="D973" s="13"/>
      <c r="E973" s="13"/>
      <c r="F973" s="13"/>
      <c r="G973" s="13"/>
      <c r="H973" s="13"/>
      <c r="I973" s="13"/>
      <c r="J973" s="13"/>
      <c r="K973" s="13"/>
      <c r="L973" s="13"/>
      <c r="M973" s="13"/>
      <c r="N973" s="13"/>
      <c r="O973" s="13"/>
      <c r="P973" s="13"/>
      <c r="Q973" s="172"/>
      <c r="R973" s="13"/>
      <c r="S973" s="13"/>
      <c r="T973" s="13"/>
      <c r="U973" s="13"/>
      <c r="V973" s="13"/>
      <c r="W973" s="13"/>
      <c r="X973" s="13"/>
      <c r="Y973" s="13"/>
      <c r="Z973" s="13"/>
      <c r="AA973" s="13"/>
      <c r="AB973" s="13"/>
      <c r="AC973" s="13"/>
      <c r="AD973" s="13"/>
      <c r="AE973" s="13"/>
      <c r="AF973" s="13"/>
      <c r="AG973" s="13"/>
      <c r="AH973" s="13"/>
      <c r="AI973" s="4"/>
      <c r="AJ973" s="4"/>
      <c r="AK973" s="4"/>
      <c r="AL973" s="4"/>
    </row>
    <row r="974">
      <c r="A974" s="13"/>
      <c r="B974" s="13"/>
      <c r="C974" s="13"/>
      <c r="D974" s="13"/>
      <c r="E974" s="13"/>
      <c r="F974" s="13"/>
      <c r="G974" s="13"/>
      <c r="H974" s="13"/>
      <c r="I974" s="13"/>
      <c r="J974" s="13"/>
      <c r="K974" s="13"/>
      <c r="L974" s="13"/>
      <c r="M974" s="13"/>
      <c r="N974" s="13"/>
      <c r="O974" s="13"/>
      <c r="P974" s="13"/>
      <c r="Q974" s="172"/>
      <c r="R974" s="13"/>
      <c r="S974" s="13"/>
      <c r="T974" s="13"/>
      <c r="U974" s="13"/>
      <c r="V974" s="13"/>
      <c r="W974" s="13"/>
      <c r="X974" s="13"/>
      <c r="Y974" s="13"/>
      <c r="Z974" s="13"/>
      <c r="AA974" s="13"/>
      <c r="AB974" s="13"/>
      <c r="AC974" s="13"/>
      <c r="AD974" s="13"/>
      <c r="AE974" s="13"/>
      <c r="AF974" s="13"/>
      <c r="AG974" s="13"/>
      <c r="AH974" s="13"/>
      <c r="AI974" s="4"/>
      <c r="AJ974" s="4"/>
      <c r="AK974" s="4"/>
      <c r="AL974" s="4"/>
    </row>
    <row r="975">
      <c r="A975" s="13"/>
      <c r="B975" s="13"/>
      <c r="C975" s="13"/>
      <c r="D975" s="13"/>
      <c r="E975" s="13"/>
      <c r="F975" s="13"/>
      <c r="G975" s="13"/>
      <c r="H975" s="13"/>
      <c r="I975" s="13"/>
      <c r="J975" s="13"/>
      <c r="K975" s="13"/>
      <c r="L975" s="13"/>
      <c r="M975" s="13"/>
      <c r="N975" s="13"/>
      <c r="O975" s="13"/>
      <c r="P975" s="13"/>
      <c r="Q975" s="172"/>
      <c r="R975" s="13"/>
      <c r="S975" s="13"/>
      <c r="T975" s="13"/>
      <c r="U975" s="13"/>
      <c r="V975" s="13"/>
      <c r="W975" s="13"/>
      <c r="X975" s="13"/>
      <c r="Y975" s="13"/>
      <c r="Z975" s="13"/>
      <c r="AA975" s="13"/>
      <c r="AB975" s="13"/>
      <c r="AC975" s="13"/>
      <c r="AD975" s="13"/>
      <c r="AE975" s="13"/>
      <c r="AF975" s="13"/>
      <c r="AG975" s="13"/>
      <c r="AH975" s="13"/>
      <c r="AI975" s="4"/>
      <c r="AJ975" s="4"/>
      <c r="AK975" s="4"/>
      <c r="AL975" s="4"/>
    </row>
    <row r="976">
      <c r="A976" s="13"/>
      <c r="B976" s="13"/>
      <c r="C976" s="13"/>
      <c r="D976" s="13"/>
      <c r="E976" s="13"/>
      <c r="F976" s="13"/>
      <c r="G976" s="13"/>
      <c r="H976" s="13"/>
      <c r="I976" s="13"/>
      <c r="J976" s="13"/>
      <c r="K976" s="13"/>
      <c r="L976" s="13"/>
      <c r="M976" s="13"/>
      <c r="N976" s="13"/>
      <c r="O976" s="13"/>
      <c r="P976" s="13"/>
      <c r="Q976" s="172"/>
      <c r="R976" s="13"/>
      <c r="S976" s="13"/>
      <c r="T976" s="13"/>
      <c r="U976" s="13"/>
      <c r="V976" s="13"/>
      <c r="W976" s="13"/>
      <c r="X976" s="13"/>
      <c r="Y976" s="13"/>
      <c r="Z976" s="13"/>
      <c r="AA976" s="13"/>
      <c r="AB976" s="13"/>
      <c r="AC976" s="13"/>
      <c r="AD976" s="13"/>
      <c r="AE976" s="13"/>
      <c r="AF976" s="13"/>
      <c r="AG976" s="13"/>
      <c r="AH976" s="13"/>
      <c r="AI976" s="4"/>
      <c r="AJ976" s="4"/>
      <c r="AK976" s="4"/>
      <c r="AL976" s="4"/>
    </row>
    <row r="977">
      <c r="A977" s="13"/>
      <c r="B977" s="13"/>
      <c r="C977" s="13"/>
      <c r="D977" s="13"/>
      <c r="E977" s="13"/>
      <c r="F977" s="13"/>
      <c r="G977" s="13"/>
      <c r="H977" s="13"/>
      <c r="I977" s="13"/>
      <c r="J977" s="13"/>
      <c r="K977" s="13"/>
      <c r="L977" s="13"/>
      <c r="M977" s="13"/>
      <c r="N977" s="13"/>
      <c r="O977" s="13"/>
      <c r="P977" s="13"/>
      <c r="Q977" s="172"/>
      <c r="R977" s="13"/>
      <c r="S977" s="13"/>
      <c r="T977" s="13"/>
      <c r="U977" s="13"/>
      <c r="V977" s="13"/>
      <c r="W977" s="13"/>
      <c r="X977" s="13"/>
      <c r="Y977" s="13"/>
      <c r="Z977" s="13"/>
      <c r="AA977" s="13"/>
      <c r="AB977" s="13"/>
      <c r="AC977" s="13"/>
      <c r="AD977" s="13"/>
      <c r="AE977" s="13"/>
      <c r="AF977" s="13"/>
      <c r="AG977" s="13"/>
      <c r="AH977" s="13"/>
      <c r="AI977" s="4"/>
      <c r="AJ977" s="4"/>
      <c r="AK977" s="4"/>
      <c r="AL977" s="4"/>
    </row>
    <row r="978">
      <c r="A978" s="13"/>
      <c r="B978" s="13"/>
      <c r="C978" s="13"/>
      <c r="D978" s="13"/>
      <c r="E978" s="13"/>
      <c r="F978" s="13"/>
      <c r="G978" s="13"/>
      <c r="H978" s="13"/>
      <c r="I978" s="13"/>
      <c r="J978" s="13"/>
      <c r="K978" s="13"/>
      <c r="L978" s="13"/>
      <c r="M978" s="13"/>
      <c r="N978" s="13"/>
      <c r="O978" s="13"/>
      <c r="P978" s="13"/>
      <c r="Q978" s="172"/>
      <c r="R978" s="13"/>
      <c r="S978" s="13"/>
      <c r="T978" s="13"/>
      <c r="U978" s="13"/>
      <c r="V978" s="13"/>
      <c r="W978" s="13"/>
      <c r="X978" s="13"/>
      <c r="Y978" s="13"/>
      <c r="Z978" s="13"/>
      <c r="AA978" s="13"/>
      <c r="AB978" s="13"/>
      <c r="AC978" s="13"/>
      <c r="AD978" s="13"/>
      <c r="AE978" s="13"/>
      <c r="AF978" s="13"/>
      <c r="AG978" s="13"/>
      <c r="AH978" s="13"/>
      <c r="AI978" s="4"/>
      <c r="AJ978" s="4"/>
      <c r="AK978" s="4"/>
      <c r="AL978" s="4"/>
    </row>
    <row r="979">
      <c r="A979" s="13"/>
      <c r="B979" s="13"/>
      <c r="C979" s="13"/>
      <c r="D979" s="13"/>
      <c r="E979" s="13"/>
      <c r="F979" s="13"/>
      <c r="G979" s="13"/>
      <c r="H979" s="13"/>
      <c r="I979" s="13"/>
      <c r="J979" s="13"/>
      <c r="K979" s="13"/>
      <c r="L979" s="13"/>
      <c r="M979" s="13"/>
      <c r="N979" s="13"/>
      <c r="O979" s="13"/>
      <c r="P979" s="13"/>
      <c r="Q979" s="172"/>
      <c r="R979" s="13"/>
      <c r="S979" s="13"/>
      <c r="T979" s="13"/>
      <c r="U979" s="13"/>
      <c r="V979" s="13"/>
      <c r="W979" s="13"/>
      <c r="X979" s="13"/>
      <c r="Y979" s="13"/>
      <c r="Z979" s="13"/>
      <c r="AA979" s="13"/>
      <c r="AB979" s="13"/>
      <c r="AC979" s="13"/>
      <c r="AD979" s="13"/>
      <c r="AE979" s="13"/>
      <c r="AF979" s="13"/>
      <c r="AG979" s="13"/>
      <c r="AH979" s="13"/>
      <c r="AI979" s="4"/>
      <c r="AJ979" s="4"/>
      <c r="AK979" s="4"/>
      <c r="AL979" s="4"/>
    </row>
    <row r="980">
      <c r="A980" s="13"/>
      <c r="B980" s="13"/>
      <c r="C980" s="13"/>
      <c r="D980" s="13"/>
      <c r="E980" s="13"/>
      <c r="F980" s="13"/>
      <c r="G980" s="13"/>
      <c r="H980" s="13"/>
      <c r="I980" s="13"/>
      <c r="J980" s="13"/>
      <c r="K980" s="13"/>
      <c r="L980" s="13"/>
      <c r="M980" s="13"/>
      <c r="N980" s="13"/>
      <c r="O980" s="13"/>
      <c r="P980" s="13"/>
      <c r="Q980" s="172"/>
      <c r="R980" s="13"/>
      <c r="S980" s="13"/>
      <c r="T980" s="13"/>
      <c r="U980" s="13"/>
      <c r="V980" s="13"/>
      <c r="W980" s="13"/>
      <c r="X980" s="13"/>
      <c r="Y980" s="13"/>
      <c r="Z980" s="13"/>
      <c r="AA980" s="13"/>
      <c r="AB980" s="13"/>
      <c r="AC980" s="13"/>
      <c r="AD980" s="13"/>
      <c r="AE980" s="13"/>
      <c r="AF980" s="13"/>
      <c r="AG980" s="13"/>
      <c r="AH980" s="13"/>
      <c r="AI980" s="4"/>
      <c r="AJ980" s="4"/>
      <c r="AK980" s="4"/>
      <c r="AL980" s="4"/>
    </row>
    <row r="981">
      <c r="A981" s="13"/>
      <c r="B981" s="13"/>
      <c r="C981" s="13"/>
      <c r="D981" s="13"/>
      <c r="E981" s="13"/>
      <c r="F981" s="13"/>
      <c r="G981" s="13"/>
      <c r="H981" s="13"/>
      <c r="I981" s="13"/>
      <c r="J981" s="13"/>
      <c r="K981" s="13"/>
      <c r="L981" s="13"/>
      <c r="M981" s="13"/>
      <c r="N981" s="13"/>
      <c r="O981" s="13"/>
      <c r="P981" s="13"/>
      <c r="Q981" s="172"/>
      <c r="R981" s="13"/>
      <c r="S981" s="13"/>
      <c r="T981" s="13"/>
      <c r="U981" s="13"/>
      <c r="V981" s="13"/>
      <c r="W981" s="13"/>
      <c r="X981" s="13"/>
      <c r="Y981" s="13"/>
      <c r="Z981" s="13"/>
      <c r="AA981" s="13"/>
      <c r="AB981" s="13"/>
      <c r="AC981" s="13"/>
      <c r="AD981" s="13"/>
      <c r="AE981" s="13"/>
      <c r="AF981" s="13"/>
      <c r="AG981" s="13"/>
      <c r="AH981" s="13"/>
      <c r="AI981" s="4"/>
      <c r="AJ981" s="4"/>
      <c r="AK981" s="4"/>
      <c r="AL981" s="4"/>
    </row>
    <row r="982">
      <c r="A982" s="13"/>
      <c r="B982" s="13"/>
      <c r="C982" s="13"/>
      <c r="D982" s="13"/>
      <c r="E982" s="13"/>
      <c r="F982" s="13"/>
      <c r="G982" s="13"/>
      <c r="H982" s="13"/>
      <c r="I982" s="13"/>
      <c r="J982" s="13"/>
      <c r="K982" s="13"/>
      <c r="L982" s="13"/>
      <c r="M982" s="13"/>
      <c r="N982" s="13"/>
      <c r="O982" s="13"/>
      <c r="P982" s="13"/>
      <c r="Q982" s="172"/>
      <c r="R982" s="13"/>
      <c r="S982" s="13"/>
      <c r="T982" s="13"/>
      <c r="U982" s="13"/>
      <c r="V982" s="13"/>
      <c r="W982" s="13"/>
      <c r="X982" s="13"/>
      <c r="Y982" s="13"/>
      <c r="Z982" s="13"/>
      <c r="AA982" s="13"/>
      <c r="AB982" s="13"/>
      <c r="AC982" s="13"/>
      <c r="AD982" s="13"/>
      <c r="AE982" s="13"/>
      <c r="AF982" s="13"/>
      <c r="AG982" s="13"/>
      <c r="AH982" s="13"/>
      <c r="AI982" s="4"/>
      <c r="AJ982" s="4"/>
      <c r="AK982" s="4"/>
      <c r="AL982" s="4"/>
    </row>
    <row r="983">
      <c r="A983" s="13"/>
      <c r="B983" s="13"/>
      <c r="C983" s="13"/>
      <c r="D983" s="13"/>
      <c r="E983" s="13"/>
      <c r="F983" s="13"/>
      <c r="G983" s="13"/>
      <c r="H983" s="13"/>
      <c r="I983" s="13"/>
      <c r="J983" s="13"/>
      <c r="K983" s="13"/>
      <c r="L983" s="13"/>
      <c r="M983" s="13"/>
      <c r="N983" s="13"/>
      <c r="O983" s="13"/>
      <c r="P983" s="13"/>
      <c r="Q983" s="172"/>
      <c r="R983" s="13"/>
      <c r="S983" s="13"/>
      <c r="T983" s="13"/>
      <c r="U983" s="13"/>
      <c r="V983" s="13"/>
      <c r="W983" s="13"/>
      <c r="X983" s="13"/>
      <c r="Y983" s="13"/>
      <c r="Z983" s="13"/>
      <c r="AA983" s="13"/>
      <c r="AB983" s="13"/>
      <c r="AC983" s="13"/>
      <c r="AD983" s="13"/>
      <c r="AE983" s="13"/>
      <c r="AF983" s="13"/>
      <c r="AG983" s="13"/>
      <c r="AH983" s="13"/>
      <c r="AI983" s="4"/>
      <c r="AJ983" s="4"/>
      <c r="AK983" s="4"/>
      <c r="AL983" s="4"/>
    </row>
    <row r="984">
      <c r="A984" s="13"/>
      <c r="B984" s="13"/>
      <c r="C984" s="13"/>
      <c r="D984" s="13"/>
      <c r="E984" s="13"/>
      <c r="F984" s="13"/>
      <c r="G984" s="13"/>
      <c r="H984" s="13"/>
      <c r="I984" s="13"/>
      <c r="J984" s="13"/>
      <c r="K984" s="13"/>
      <c r="L984" s="13"/>
      <c r="M984" s="13"/>
      <c r="N984" s="13"/>
      <c r="O984" s="13"/>
      <c r="P984" s="13"/>
      <c r="Q984" s="172"/>
      <c r="R984" s="13"/>
      <c r="S984" s="13"/>
      <c r="T984" s="13"/>
      <c r="U984" s="13"/>
      <c r="V984" s="13"/>
      <c r="W984" s="13"/>
      <c r="X984" s="13"/>
      <c r="Y984" s="13"/>
      <c r="Z984" s="13"/>
      <c r="AA984" s="13"/>
      <c r="AB984" s="13"/>
      <c r="AC984" s="13"/>
      <c r="AD984" s="13"/>
      <c r="AE984" s="13"/>
      <c r="AF984" s="13"/>
      <c r="AG984" s="13"/>
      <c r="AH984" s="13"/>
      <c r="AI984" s="4"/>
      <c r="AJ984" s="4"/>
      <c r="AK984" s="4"/>
      <c r="AL984" s="4"/>
    </row>
    <row r="985">
      <c r="A985" s="13"/>
      <c r="B985" s="13"/>
      <c r="C985" s="13"/>
      <c r="D985" s="13"/>
      <c r="E985" s="13"/>
      <c r="F985" s="13"/>
      <c r="G985" s="13"/>
      <c r="H985" s="13"/>
      <c r="I985" s="13"/>
      <c r="J985" s="13"/>
      <c r="K985" s="13"/>
      <c r="L985" s="13"/>
      <c r="M985" s="13"/>
      <c r="N985" s="13"/>
      <c r="O985" s="13"/>
      <c r="P985" s="13"/>
      <c r="Q985" s="172"/>
      <c r="R985" s="13"/>
      <c r="S985" s="13"/>
      <c r="T985" s="13"/>
      <c r="U985" s="13"/>
      <c r="V985" s="13"/>
      <c r="W985" s="13"/>
      <c r="X985" s="13"/>
      <c r="Y985" s="13"/>
      <c r="Z985" s="13"/>
      <c r="AA985" s="13"/>
      <c r="AB985" s="13"/>
      <c r="AC985" s="13"/>
      <c r="AD985" s="13"/>
      <c r="AE985" s="13"/>
      <c r="AF985" s="13"/>
      <c r="AG985" s="13"/>
      <c r="AH985" s="13"/>
      <c r="AI985" s="4"/>
      <c r="AJ985" s="4"/>
      <c r="AK985" s="4"/>
      <c r="AL985" s="4"/>
    </row>
    <row r="986">
      <c r="A986" s="13"/>
      <c r="B986" s="13"/>
      <c r="C986" s="13"/>
      <c r="D986" s="13"/>
      <c r="E986" s="13"/>
      <c r="F986" s="13"/>
      <c r="G986" s="13"/>
      <c r="H986" s="13"/>
      <c r="I986" s="13"/>
      <c r="J986" s="13"/>
      <c r="K986" s="13"/>
      <c r="L986" s="13"/>
      <c r="M986" s="13"/>
      <c r="N986" s="13"/>
      <c r="O986" s="13"/>
      <c r="P986" s="13"/>
      <c r="Q986" s="172"/>
      <c r="R986" s="13"/>
      <c r="S986" s="13"/>
      <c r="T986" s="13"/>
      <c r="U986" s="13"/>
      <c r="V986" s="13"/>
      <c r="W986" s="13"/>
      <c r="X986" s="13"/>
      <c r="Y986" s="13"/>
      <c r="Z986" s="13"/>
      <c r="AA986" s="13"/>
      <c r="AB986" s="13"/>
      <c r="AC986" s="13"/>
      <c r="AD986" s="13"/>
      <c r="AE986" s="13"/>
      <c r="AF986" s="13"/>
      <c r="AG986" s="13"/>
      <c r="AH986" s="13"/>
      <c r="AI986" s="4"/>
      <c r="AJ986" s="4"/>
      <c r="AK986" s="4"/>
      <c r="AL986" s="4"/>
    </row>
    <row r="987">
      <c r="A987" s="13"/>
      <c r="B987" s="13"/>
      <c r="C987" s="13"/>
      <c r="D987" s="13"/>
      <c r="E987" s="13"/>
      <c r="F987" s="13"/>
      <c r="G987" s="13"/>
      <c r="H987" s="13"/>
      <c r="I987" s="13"/>
      <c r="J987" s="13"/>
      <c r="K987" s="13"/>
      <c r="L987" s="13"/>
      <c r="M987" s="13"/>
      <c r="N987" s="13"/>
      <c r="O987" s="13"/>
      <c r="P987" s="13"/>
      <c r="Q987" s="172"/>
      <c r="R987" s="13"/>
      <c r="S987" s="13"/>
      <c r="T987" s="13"/>
      <c r="U987" s="13"/>
      <c r="V987" s="13"/>
      <c r="W987" s="13"/>
      <c r="X987" s="13"/>
      <c r="Y987" s="13"/>
      <c r="Z987" s="13"/>
      <c r="AA987" s="13"/>
      <c r="AB987" s="13"/>
      <c r="AC987" s="13"/>
      <c r="AD987" s="13"/>
      <c r="AE987" s="13"/>
      <c r="AF987" s="13"/>
      <c r="AG987" s="13"/>
      <c r="AH987" s="13"/>
      <c r="AI987" s="4"/>
      <c r="AJ987" s="4"/>
      <c r="AK987" s="4"/>
      <c r="AL987" s="4"/>
    </row>
    <row r="988">
      <c r="A988" s="13"/>
      <c r="B988" s="13"/>
      <c r="C988" s="13"/>
      <c r="D988" s="13"/>
      <c r="E988" s="13"/>
      <c r="F988" s="13"/>
      <c r="G988" s="13"/>
      <c r="H988" s="13"/>
      <c r="I988" s="13"/>
      <c r="J988" s="13"/>
      <c r="K988" s="13"/>
      <c r="L988" s="13"/>
      <c r="M988" s="13"/>
      <c r="N988" s="13"/>
      <c r="O988" s="13"/>
      <c r="P988" s="13"/>
      <c r="Q988" s="172"/>
      <c r="R988" s="13"/>
      <c r="S988" s="13"/>
      <c r="T988" s="13"/>
      <c r="U988" s="13"/>
      <c r="V988" s="13"/>
      <c r="W988" s="13"/>
      <c r="X988" s="13"/>
      <c r="Y988" s="13"/>
      <c r="Z988" s="13"/>
      <c r="AA988" s="13"/>
      <c r="AB988" s="13"/>
      <c r="AC988" s="13"/>
      <c r="AD988" s="13"/>
      <c r="AE988" s="13"/>
      <c r="AF988" s="13"/>
      <c r="AG988" s="13"/>
      <c r="AH988" s="13"/>
      <c r="AI988" s="4"/>
      <c r="AJ988" s="4"/>
      <c r="AK988" s="4"/>
      <c r="AL988" s="4"/>
    </row>
    <row r="989">
      <c r="A989" s="13"/>
      <c r="B989" s="13"/>
      <c r="C989" s="13"/>
      <c r="D989" s="13"/>
      <c r="E989" s="13"/>
      <c r="F989" s="13"/>
      <c r="G989" s="13"/>
      <c r="H989" s="13"/>
      <c r="I989" s="13"/>
      <c r="J989" s="13"/>
      <c r="K989" s="13"/>
      <c r="L989" s="13"/>
      <c r="M989" s="13"/>
      <c r="N989" s="13"/>
      <c r="O989" s="13"/>
      <c r="P989" s="13"/>
      <c r="Q989" s="172"/>
      <c r="R989" s="13"/>
      <c r="S989" s="13"/>
      <c r="T989" s="13"/>
      <c r="U989" s="13"/>
      <c r="V989" s="13"/>
      <c r="W989" s="13"/>
      <c r="X989" s="13"/>
      <c r="Y989" s="13"/>
      <c r="Z989" s="13"/>
      <c r="AA989" s="13"/>
      <c r="AB989" s="13"/>
      <c r="AC989" s="13"/>
      <c r="AD989" s="13"/>
      <c r="AE989" s="13"/>
      <c r="AF989" s="13"/>
      <c r="AG989" s="13"/>
      <c r="AH989" s="13"/>
      <c r="AI989" s="4"/>
      <c r="AJ989" s="4"/>
      <c r="AK989" s="4"/>
      <c r="AL989" s="4"/>
    </row>
    <row r="990">
      <c r="A990" s="13"/>
      <c r="B990" s="13"/>
      <c r="C990" s="13"/>
      <c r="D990" s="13"/>
      <c r="E990" s="13"/>
      <c r="F990" s="13"/>
      <c r="G990" s="13"/>
      <c r="H990" s="13"/>
      <c r="I990" s="13"/>
      <c r="J990" s="13"/>
      <c r="K990" s="13"/>
      <c r="L990" s="13"/>
      <c r="M990" s="13"/>
      <c r="N990" s="13"/>
      <c r="O990" s="13"/>
      <c r="P990" s="13"/>
      <c r="Q990" s="172"/>
      <c r="R990" s="13"/>
      <c r="S990" s="13"/>
      <c r="T990" s="13"/>
      <c r="U990" s="13"/>
      <c r="V990" s="13"/>
      <c r="W990" s="13"/>
      <c r="X990" s="13"/>
      <c r="Y990" s="13"/>
      <c r="Z990" s="13"/>
      <c r="AA990" s="13"/>
      <c r="AB990" s="13"/>
      <c r="AC990" s="13"/>
      <c r="AD990" s="13"/>
      <c r="AE990" s="13"/>
      <c r="AF990" s="13"/>
      <c r="AG990" s="13"/>
      <c r="AH990" s="13"/>
      <c r="AI990" s="4"/>
      <c r="AJ990" s="4"/>
      <c r="AK990" s="4"/>
      <c r="AL990" s="4"/>
    </row>
    <row r="991">
      <c r="A991" s="13"/>
      <c r="B991" s="13"/>
      <c r="C991" s="13"/>
      <c r="D991" s="13"/>
      <c r="E991" s="13"/>
      <c r="F991" s="13"/>
      <c r="G991" s="13"/>
      <c r="H991" s="13"/>
      <c r="I991" s="13"/>
      <c r="J991" s="13"/>
      <c r="K991" s="13"/>
      <c r="L991" s="13"/>
      <c r="M991" s="13"/>
      <c r="N991" s="13"/>
      <c r="O991" s="13"/>
      <c r="P991" s="13"/>
      <c r="Q991" s="172"/>
      <c r="R991" s="13"/>
      <c r="S991" s="13"/>
      <c r="T991" s="13"/>
      <c r="U991" s="13"/>
      <c r="V991" s="13"/>
      <c r="W991" s="13"/>
      <c r="X991" s="13"/>
      <c r="Y991" s="13"/>
      <c r="Z991" s="13"/>
      <c r="AA991" s="13"/>
      <c r="AB991" s="13"/>
      <c r="AC991" s="13"/>
      <c r="AD991" s="13"/>
      <c r="AE991" s="13"/>
      <c r="AF991" s="13"/>
      <c r="AG991" s="13"/>
      <c r="AH991" s="13"/>
      <c r="AI991" s="4"/>
      <c r="AJ991" s="4"/>
      <c r="AK991" s="4"/>
      <c r="AL991" s="4"/>
    </row>
    <row r="992">
      <c r="A992" s="13"/>
      <c r="B992" s="13"/>
      <c r="C992" s="13"/>
      <c r="D992" s="13"/>
      <c r="E992" s="13"/>
      <c r="F992" s="13"/>
      <c r="G992" s="13"/>
      <c r="H992" s="13"/>
      <c r="I992" s="13"/>
      <c r="J992" s="13"/>
      <c r="K992" s="13"/>
      <c r="L992" s="13"/>
      <c r="M992" s="13"/>
      <c r="N992" s="13"/>
      <c r="O992" s="13"/>
      <c r="P992" s="13"/>
      <c r="Q992" s="172"/>
      <c r="R992" s="13"/>
      <c r="S992" s="13"/>
      <c r="T992" s="13"/>
      <c r="U992" s="13"/>
      <c r="V992" s="13"/>
      <c r="W992" s="13"/>
      <c r="X992" s="13"/>
      <c r="Y992" s="13"/>
      <c r="Z992" s="13"/>
      <c r="AA992" s="13"/>
      <c r="AB992" s="13"/>
      <c r="AC992" s="13"/>
      <c r="AD992" s="13"/>
      <c r="AE992" s="13"/>
      <c r="AF992" s="13"/>
      <c r="AG992" s="13"/>
      <c r="AH992" s="13"/>
      <c r="AI992" s="4"/>
      <c r="AJ992" s="4"/>
      <c r="AK992" s="4"/>
      <c r="AL992" s="4"/>
    </row>
    <row r="993">
      <c r="A993" s="13"/>
      <c r="B993" s="13"/>
      <c r="C993" s="13"/>
      <c r="D993" s="13"/>
      <c r="E993" s="13"/>
      <c r="F993" s="13"/>
      <c r="G993" s="13"/>
      <c r="H993" s="13"/>
      <c r="I993" s="13"/>
      <c r="J993" s="13"/>
      <c r="K993" s="13"/>
      <c r="L993" s="13"/>
      <c r="M993" s="13"/>
      <c r="N993" s="13"/>
      <c r="O993" s="13"/>
      <c r="P993" s="13"/>
      <c r="Q993" s="172"/>
      <c r="R993" s="13"/>
      <c r="S993" s="13"/>
      <c r="T993" s="13"/>
      <c r="U993" s="13"/>
      <c r="V993" s="13"/>
      <c r="W993" s="13"/>
      <c r="X993" s="13"/>
      <c r="Y993" s="13"/>
      <c r="Z993" s="13"/>
      <c r="AA993" s="13"/>
      <c r="AB993" s="13"/>
      <c r="AC993" s="13"/>
      <c r="AD993" s="13"/>
      <c r="AE993" s="13"/>
      <c r="AF993" s="13"/>
      <c r="AG993" s="13"/>
      <c r="AH993" s="13"/>
      <c r="AI993" s="4"/>
      <c r="AJ993" s="4"/>
      <c r="AK993" s="4"/>
      <c r="AL993" s="4"/>
    </row>
    <row r="994">
      <c r="A994" s="13"/>
      <c r="B994" s="13"/>
      <c r="C994" s="13"/>
      <c r="D994" s="13"/>
      <c r="E994" s="13"/>
      <c r="F994" s="13"/>
      <c r="G994" s="13"/>
      <c r="H994" s="13"/>
      <c r="I994" s="13"/>
      <c r="J994" s="13"/>
      <c r="K994" s="13"/>
      <c r="L994" s="13"/>
      <c r="M994" s="13"/>
      <c r="N994" s="13"/>
      <c r="O994" s="13"/>
      <c r="P994" s="13"/>
      <c r="Q994" s="172"/>
      <c r="R994" s="13"/>
      <c r="S994" s="13"/>
      <c r="T994" s="13"/>
      <c r="U994" s="13"/>
      <c r="V994" s="13"/>
      <c r="W994" s="13"/>
      <c r="X994" s="13"/>
      <c r="Y994" s="13"/>
      <c r="Z994" s="13"/>
      <c r="AA994" s="13"/>
      <c r="AB994" s="13"/>
      <c r="AC994" s="13"/>
      <c r="AD994" s="13"/>
      <c r="AE994" s="13"/>
      <c r="AF994" s="13"/>
      <c r="AG994" s="13"/>
      <c r="AH994" s="13"/>
      <c r="AI994" s="4"/>
      <c r="AJ994" s="4"/>
      <c r="AK994" s="4"/>
      <c r="AL994" s="4"/>
    </row>
    <row r="995">
      <c r="A995" s="13"/>
      <c r="B995" s="13"/>
      <c r="C995" s="13"/>
      <c r="D995" s="13"/>
      <c r="E995" s="13"/>
      <c r="F995" s="13"/>
      <c r="G995" s="13"/>
      <c r="H995" s="13"/>
      <c r="I995" s="13"/>
      <c r="J995" s="13"/>
      <c r="K995" s="13"/>
      <c r="L995" s="13"/>
      <c r="M995" s="13"/>
      <c r="N995" s="13"/>
      <c r="O995" s="13"/>
      <c r="P995" s="13"/>
      <c r="Q995" s="172"/>
      <c r="R995" s="13"/>
      <c r="S995" s="13"/>
      <c r="T995" s="13"/>
      <c r="U995" s="13"/>
      <c r="V995" s="13"/>
      <c r="W995" s="13"/>
      <c r="X995" s="13"/>
      <c r="Y995" s="13"/>
      <c r="Z995" s="13"/>
      <c r="AA995" s="13"/>
      <c r="AB995" s="13"/>
      <c r="AC995" s="13"/>
      <c r="AD995" s="13"/>
      <c r="AE995" s="13"/>
      <c r="AF995" s="13"/>
      <c r="AG995" s="13"/>
      <c r="AH995" s="13"/>
      <c r="AI995" s="4"/>
      <c r="AJ995" s="4"/>
      <c r="AK995" s="4"/>
      <c r="AL995" s="4"/>
    </row>
    <row r="996">
      <c r="A996" s="13"/>
      <c r="B996" s="13"/>
      <c r="C996" s="13"/>
      <c r="D996" s="13"/>
      <c r="E996" s="13"/>
      <c r="F996" s="13"/>
      <c r="G996" s="13"/>
      <c r="H996" s="13"/>
      <c r="I996" s="13"/>
      <c r="J996" s="13"/>
      <c r="K996" s="13"/>
      <c r="L996" s="13"/>
      <c r="M996" s="13"/>
      <c r="N996" s="13"/>
      <c r="O996" s="13"/>
      <c r="P996" s="13"/>
      <c r="Q996" s="172"/>
      <c r="R996" s="13"/>
      <c r="S996" s="13"/>
      <c r="T996" s="13"/>
      <c r="U996" s="13"/>
      <c r="V996" s="13"/>
      <c r="W996" s="13"/>
      <c r="X996" s="13"/>
      <c r="Y996" s="13"/>
      <c r="Z996" s="13"/>
      <c r="AA996" s="13"/>
      <c r="AB996" s="13"/>
      <c r="AC996" s="13"/>
      <c r="AD996" s="13"/>
      <c r="AE996" s="13"/>
      <c r="AF996" s="13"/>
      <c r="AG996" s="13"/>
      <c r="AH996" s="13"/>
      <c r="AI996" s="4"/>
      <c r="AJ996" s="4"/>
      <c r="AK996" s="4"/>
      <c r="AL996" s="4"/>
    </row>
    <row r="997">
      <c r="A997" s="13"/>
      <c r="B997" s="13"/>
      <c r="C997" s="13"/>
      <c r="D997" s="13"/>
      <c r="E997" s="13"/>
      <c r="F997" s="13"/>
      <c r="G997" s="13"/>
      <c r="H997" s="13"/>
      <c r="I997" s="13"/>
      <c r="J997" s="13"/>
      <c r="K997" s="13"/>
      <c r="L997" s="13"/>
      <c r="M997" s="13"/>
      <c r="N997" s="13"/>
      <c r="O997" s="13"/>
      <c r="P997" s="13"/>
      <c r="Q997" s="172"/>
      <c r="R997" s="13"/>
      <c r="S997" s="13"/>
      <c r="T997" s="13"/>
      <c r="U997" s="13"/>
      <c r="V997" s="13"/>
      <c r="W997" s="13"/>
      <c r="X997" s="13"/>
      <c r="Y997" s="13"/>
      <c r="Z997" s="13"/>
      <c r="AA997" s="13"/>
      <c r="AB997" s="13"/>
      <c r="AC997" s="13"/>
      <c r="AD997" s="13"/>
      <c r="AE997" s="13"/>
      <c r="AF997" s="13"/>
      <c r="AG997" s="13"/>
      <c r="AH997" s="13"/>
      <c r="AI997" s="4"/>
      <c r="AJ997" s="4"/>
      <c r="AK997" s="4"/>
      <c r="AL997" s="4"/>
    </row>
    <row r="998">
      <c r="A998" s="13"/>
      <c r="B998" s="13"/>
      <c r="C998" s="13"/>
      <c r="D998" s="13"/>
      <c r="E998" s="13"/>
      <c r="F998" s="13"/>
      <c r="G998" s="13"/>
      <c r="H998" s="13"/>
      <c r="I998" s="13"/>
      <c r="J998" s="13"/>
      <c r="K998" s="13"/>
      <c r="L998" s="13"/>
      <c r="M998" s="13"/>
      <c r="N998" s="13"/>
      <c r="O998" s="13"/>
      <c r="P998" s="13"/>
      <c r="Q998" s="172"/>
      <c r="R998" s="13"/>
      <c r="S998" s="13"/>
      <c r="T998" s="13"/>
      <c r="U998" s="13"/>
      <c r="V998" s="13"/>
      <c r="W998" s="13"/>
      <c r="X998" s="13"/>
      <c r="Y998" s="13"/>
      <c r="Z998" s="13"/>
      <c r="AA998" s="13"/>
      <c r="AB998" s="13"/>
      <c r="AC998" s="13"/>
      <c r="AD998" s="13"/>
      <c r="AE998" s="13"/>
      <c r="AF998" s="13"/>
      <c r="AG998" s="13"/>
      <c r="AH998" s="13"/>
      <c r="AI998" s="4"/>
      <c r="AJ998" s="4"/>
      <c r="AK998" s="4"/>
      <c r="AL998" s="4"/>
    </row>
    <row r="999">
      <c r="A999" s="13"/>
      <c r="B999" s="13"/>
      <c r="C999" s="13"/>
      <c r="D999" s="13"/>
      <c r="E999" s="13"/>
      <c r="F999" s="13"/>
      <c r="G999" s="13"/>
      <c r="H999" s="13"/>
      <c r="I999" s="13"/>
      <c r="J999" s="13"/>
      <c r="K999" s="13"/>
      <c r="L999" s="13"/>
      <c r="M999" s="13"/>
      <c r="N999" s="13"/>
      <c r="O999" s="13"/>
      <c r="P999" s="13"/>
      <c r="Q999" s="172"/>
      <c r="R999" s="13"/>
      <c r="S999" s="13"/>
      <c r="T999" s="13"/>
      <c r="U999" s="13"/>
      <c r="V999" s="13"/>
      <c r="W999" s="13"/>
      <c r="X999" s="13"/>
      <c r="Y999" s="13"/>
      <c r="Z999" s="13"/>
      <c r="AA999" s="13"/>
      <c r="AB999" s="13"/>
      <c r="AC999" s="13"/>
      <c r="AD999" s="13"/>
      <c r="AE999" s="13"/>
      <c r="AF999" s="13"/>
      <c r="AG999" s="13"/>
      <c r="AH999" s="13"/>
      <c r="AI999" s="4"/>
      <c r="AJ999" s="4"/>
      <c r="AK999" s="4"/>
      <c r="AL999" s="4"/>
    </row>
    <row r="1000">
      <c r="A1000" s="13"/>
      <c r="B1000" s="13"/>
      <c r="C1000" s="13"/>
      <c r="D1000" s="13"/>
      <c r="E1000" s="13"/>
      <c r="F1000" s="13"/>
      <c r="G1000" s="13"/>
      <c r="H1000" s="13"/>
      <c r="I1000" s="13"/>
      <c r="J1000" s="13"/>
      <c r="K1000" s="13"/>
      <c r="L1000" s="13"/>
      <c r="M1000" s="13"/>
      <c r="N1000" s="13"/>
      <c r="O1000" s="13"/>
      <c r="P1000" s="13"/>
      <c r="Q1000" s="172"/>
      <c r="R1000" s="13"/>
      <c r="S1000" s="13"/>
      <c r="T1000" s="13"/>
      <c r="U1000" s="13"/>
      <c r="V1000" s="13"/>
      <c r="W1000" s="13"/>
      <c r="X1000" s="13"/>
      <c r="Y1000" s="13"/>
      <c r="Z1000" s="13"/>
      <c r="AA1000" s="13"/>
      <c r="AB1000" s="13"/>
      <c r="AC1000" s="13"/>
      <c r="AD1000" s="13"/>
      <c r="AE1000" s="13"/>
      <c r="AF1000" s="13"/>
      <c r="AG1000" s="13"/>
      <c r="AH1000" s="13"/>
      <c r="AI1000" s="4"/>
      <c r="AJ1000" s="4"/>
      <c r="AK1000" s="4"/>
      <c r="AL1000" s="4"/>
    </row>
    <row r="1001">
      <c r="A1001" s="13"/>
      <c r="B1001" s="13"/>
      <c r="C1001" s="13"/>
      <c r="D1001" s="13"/>
      <c r="E1001" s="13"/>
      <c r="F1001" s="13"/>
      <c r="G1001" s="13"/>
      <c r="H1001" s="13"/>
      <c r="I1001" s="13"/>
      <c r="J1001" s="13"/>
      <c r="K1001" s="13"/>
      <c r="L1001" s="13"/>
      <c r="M1001" s="13"/>
      <c r="N1001" s="13"/>
      <c r="O1001" s="13"/>
      <c r="P1001" s="13"/>
      <c r="Q1001" s="172"/>
      <c r="R1001" s="13"/>
      <c r="S1001" s="13"/>
      <c r="T1001" s="13"/>
      <c r="U1001" s="13"/>
      <c r="V1001" s="13"/>
      <c r="W1001" s="13"/>
      <c r="X1001" s="13"/>
      <c r="Y1001" s="13"/>
      <c r="Z1001" s="13"/>
      <c r="AA1001" s="13"/>
      <c r="AB1001" s="13"/>
      <c r="AC1001" s="13"/>
      <c r="AD1001" s="13"/>
      <c r="AE1001" s="13"/>
      <c r="AF1001" s="13"/>
      <c r="AG1001" s="13"/>
      <c r="AH1001" s="13"/>
      <c r="AI1001" s="4"/>
      <c r="AJ1001" s="4"/>
      <c r="AK1001" s="4"/>
      <c r="AL1001" s="4"/>
    </row>
    <row r="1002">
      <c r="A1002" s="13"/>
      <c r="B1002" s="13"/>
      <c r="C1002" s="13"/>
      <c r="D1002" s="13"/>
      <c r="E1002" s="13"/>
      <c r="F1002" s="13"/>
      <c r="G1002" s="13"/>
      <c r="H1002" s="13"/>
      <c r="I1002" s="13"/>
      <c r="J1002" s="13"/>
      <c r="K1002" s="13"/>
      <c r="L1002" s="13"/>
      <c r="M1002" s="13"/>
      <c r="N1002" s="13"/>
      <c r="O1002" s="13"/>
      <c r="P1002" s="13"/>
      <c r="Q1002" s="172"/>
      <c r="R1002" s="13"/>
      <c r="S1002" s="13"/>
      <c r="T1002" s="13"/>
      <c r="U1002" s="13"/>
      <c r="V1002" s="13"/>
      <c r="W1002" s="13"/>
      <c r="X1002" s="13"/>
      <c r="Y1002" s="13"/>
      <c r="Z1002" s="13"/>
      <c r="AA1002" s="13"/>
      <c r="AB1002" s="13"/>
      <c r="AC1002" s="13"/>
      <c r="AD1002" s="13"/>
      <c r="AE1002" s="13"/>
      <c r="AF1002" s="13"/>
      <c r="AG1002" s="13"/>
      <c r="AH1002" s="13"/>
      <c r="AI1002" s="4"/>
      <c r="AJ1002" s="4"/>
      <c r="AK1002" s="4"/>
      <c r="AL1002" s="4"/>
    </row>
    <row r="1003">
      <c r="A1003" s="13"/>
      <c r="B1003" s="13"/>
      <c r="C1003" s="13"/>
      <c r="D1003" s="13"/>
      <c r="E1003" s="13"/>
      <c r="F1003" s="13"/>
      <c r="G1003" s="13"/>
      <c r="H1003" s="13"/>
      <c r="I1003" s="13"/>
      <c r="J1003" s="13"/>
      <c r="K1003" s="13"/>
      <c r="L1003" s="13"/>
      <c r="M1003" s="13"/>
      <c r="N1003" s="13"/>
      <c r="O1003" s="13"/>
      <c r="P1003" s="13"/>
      <c r="Q1003" s="172"/>
      <c r="R1003" s="13"/>
      <c r="S1003" s="13"/>
      <c r="T1003" s="13"/>
      <c r="U1003" s="13"/>
      <c r="V1003" s="13"/>
      <c r="W1003" s="13"/>
      <c r="X1003" s="13"/>
      <c r="Y1003" s="13"/>
      <c r="Z1003" s="13"/>
      <c r="AA1003" s="13"/>
      <c r="AB1003" s="13"/>
      <c r="AC1003" s="13"/>
      <c r="AD1003" s="13"/>
      <c r="AE1003" s="13"/>
      <c r="AF1003" s="13"/>
      <c r="AG1003" s="13"/>
      <c r="AH1003" s="13"/>
      <c r="AI1003" s="4"/>
      <c r="AJ1003" s="4"/>
      <c r="AK1003" s="4"/>
      <c r="AL1003" s="4"/>
    </row>
    <row r="1004">
      <c r="A1004" s="13"/>
      <c r="B1004" s="13"/>
      <c r="C1004" s="13"/>
      <c r="D1004" s="13"/>
      <c r="E1004" s="13"/>
      <c r="F1004" s="13"/>
      <c r="G1004" s="13"/>
      <c r="H1004" s="13"/>
      <c r="I1004" s="13"/>
      <c r="J1004" s="13"/>
      <c r="K1004" s="13"/>
      <c r="L1004" s="13"/>
      <c r="M1004" s="13"/>
      <c r="N1004" s="13"/>
      <c r="O1004" s="13"/>
      <c r="P1004" s="13"/>
      <c r="Q1004" s="172"/>
      <c r="R1004" s="13"/>
      <c r="S1004" s="13"/>
      <c r="T1004" s="13"/>
      <c r="U1004" s="13"/>
      <c r="V1004" s="13"/>
      <c r="W1004" s="13"/>
      <c r="X1004" s="13"/>
      <c r="Y1004" s="13"/>
      <c r="Z1004" s="13"/>
      <c r="AA1004" s="13"/>
      <c r="AB1004" s="13"/>
      <c r="AC1004" s="13"/>
      <c r="AD1004" s="13"/>
      <c r="AE1004" s="13"/>
      <c r="AF1004" s="13"/>
      <c r="AG1004" s="13"/>
      <c r="AH1004" s="13"/>
      <c r="AI1004" s="4"/>
      <c r="AJ1004" s="4"/>
      <c r="AK1004" s="4"/>
      <c r="AL1004" s="4"/>
    </row>
    <row r="1005">
      <c r="A1005" s="13"/>
      <c r="B1005" s="13"/>
      <c r="C1005" s="13"/>
      <c r="D1005" s="13"/>
      <c r="E1005" s="13"/>
      <c r="F1005" s="13"/>
      <c r="G1005" s="13"/>
      <c r="H1005" s="13"/>
      <c r="I1005" s="13"/>
      <c r="J1005" s="13"/>
      <c r="K1005" s="13"/>
      <c r="L1005" s="13"/>
      <c r="M1005" s="13"/>
      <c r="N1005" s="13"/>
      <c r="O1005" s="13"/>
      <c r="P1005" s="13"/>
      <c r="Q1005" s="172"/>
      <c r="R1005" s="13"/>
      <c r="S1005" s="13"/>
      <c r="T1005" s="13"/>
      <c r="U1005" s="13"/>
      <c r="V1005" s="13"/>
      <c r="W1005" s="13"/>
      <c r="X1005" s="13"/>
      <c r="Y1005" s="13"/>
      <c r="Z1005" s="13"/>
      <c r="AA1005" s="13"/>
      <c r="AB1005" s="13"/>
      <c r="AC1005" s="13"/>
      <c r="AD1005" s="13"/>
      <c r="AE1005" s="13"/>
      <c r="AF1005" s="13"/>
      <c r="AG1005" s="13"/>
      <c r="AH1005" s="13"/>
      <c r="AI1005" s="4"/>
      <c r="AJ1005" s="4"/>
      <c r="AK1005" s="4"/>
      <c r="AL1005" s="4"/>
    </row>
    <row r="1006">
      <c r="A1006" s="13"/>
      <c r="B1006" s="13"/>
      <c r="C1006" s="13"/>
      <c r="D1006" s="13"/>
      <c r="E1006" s="13"/>
      <c r="F1006" s="13"/>
      <c r="G1006" s="13"/>
      <c r="H1006" s="13"/>
      <c r="I1006" s="13"/>
      <c r="J1006" s="13"/>
      <c r="K1006" s="13"/>
      <c r="L1006" s="13"/>
      <c r="M1006" s="13"/>
      <c r="N1006" s="13"/>
      <c r="O1006" s="13"/>
      <c r="P1006" s="13"/>
      <c r="Q1006" s="172"/>
      <c r="R1006" s="13"/>
      <c r="S1006" s="13"/>
      <c r="T1006" s="13"/>
      <c r="U1006" s="13"/>
      <c r="V1006" s="13"/>
      <c r="W1006" s="13"/>
      <c r="X1006" s="13"/>
      <c r="Y1006" s="13"/>
      <c r="Z1006" s="13"/>
      <c r="AA1006" s="13"/>
      <c r="AB1006" s="13"/>
      <c r="AC1006" s="13"/>
      <c r="AD1006" s="13"/>
      <c r="AE1006" s="13"/>
      <c r="AF1006" s="13"/>
      <c r="AG1006" s="13"/>
      <c r="AH1006" s="13"/>
      <c r="AI1006" s="4"/>
      <c r="AJ1006" s="4"/>
      <c r="AK1006" s="4"/>
      <c r="AL1006" s="4"/>
    </row>
    <row r="1007">
      <c r="A1007" s="13"/>
      <c r="B1007" s="13"/>
      <c r="C1007" s="13"/>
      <c r="D1007" s="13"/>
      <c r="E1007" s="13"/>
      <c r="F1007" s="13"/>
      <c r="G1007" s="13"/>
      <c r="H1007" s="13"/>
      <c r="I1007" s="13"/>
      <c r="J1007" s="13"/>
      <c r="K1007" s="13"/>
      <c r="L1007" s="13"/>
      <c r="M1007" s="13"/>
      <c r="N1007" s="13"/>
      <c r="O1007" s="13"/>
      <c r="P1007" s="13"/>
      <c r="Q1007" s="172"/>
      <c r="R1007" s="13"/>
      <c r="S1007" s="13"/>
      <c r="T1007" s="13"/>
      <c r="U1007" s="13"/>
      <c r="V1007" s="13"/>
      <c r="W1007" s="13"/>
      <c r="X1007" s="13"/>
      <c r="Y1007" s="13"/>
      <c r="Z1007" s="13"/>
      <c r="AA1007" s="13"/>
      <c r="AB1007" s="13"/>
      <c r="AC1007" s="13"/>
      <c r="AD1007" s="13"/>
      <c r="AE1007" s="13"/>
      <c r="AF1007" s="13"/>
      <c r="AG1007" s="13"/>
      <c r="AH1007" s="13"/>
      <c r="AI1007" s="4"/>
      <c r="AJ1007" s="4"/>
      <c r="AK1007" s="4"/>
      <c r="AL1007" s="4"/>
    </row>
    <row r="1008">
      <c r="A1008" s="13"/>
      <c r="B1008" s="13"/>
      <c r="C1008" s="13"/>
      <c r="D1008" s="13"/>
      <c r="E1008" s="13"/>
      <c r="F1008" s="13"/>
      <c r="G1008" s="13"/>
      <c r="H1008" s="13"/>
      <c r="I1008" s="13"/>
      <c r="J1008" s="13"/>
      <c r="K1008" s="13"/>
      <c r="L1008" s="13"/>
      <c r="M1008" s="13"/>
      <c r="N1008" s="13"/>
      <c r="O1008" s="13"/>
      <c r="P1008" s="13"/>
      <c r="Q1008" s="172"/>
      <c r="R1008" s="13"/>
      <c r="S1008" s="13"/>
      <c r="T1008" s="13"/>
      <c r="U1008" s="13"/>
      <c r="V1008" s="13"/>
      <c r="W1008" s="13"/>
      <c r="X1008" s="13"/>
      <c r="Y1008" s="13"/>
      <c r="Z1008" s="13"/>
      <c r="AA1008" s="13"/>
      <c r="AB1008" s="13"/>
      <c r="AC1008" s="13"/>
      <c r="AD1008" s="13"/>
      <c r="AE1008" s="13"/>
      <c r="AF1008" s="13"/>
      <c r="AG1008" s="13"/>
      <c r="AH1008" s="13"/>
      <c r="AI1008" s="4"/>
      <c r="AJ1008" s="4"/>
      <c r="AK1008" s="4"/>
      <c r="AL1008" s="4"/>
    </row>
    <row r="1009">
      <c r="A1009" s="13"/>
      <c r="B1009" s="13"/>
      <c r="C1009" s="13"/>
      <c r="D1009" s="13"/>
      <c r="E1009" s="13"/>
      <c r="F1009" s="13"/>
      <c r="G1009" s="13"/>
      <c r="H1009" s="13"/>
      <c r="I1009" s="13"/>
      <c r="J1009" s="13"/>
      <c r="K1009" s="13"/>
      <c r="L1009" s="13"/>
      <c r="M1009" s="13"/>
      <c r="N1009" s="13"/>
      <c r="O1009" s="13"/>
      <c r="P1009" s="13"/>
      <c r="Q1009" s="172"/>
      <c r="R1009" s="13"/>
      <c r="S1009" s="13"/>
      <c r="T1009" s="13"/>
      <c r="U1009" s="13"/>
      <c r="V1009" s="13"/>
      <c r="W1009" s="13"/>
      <c r="X1009" s="13"/>
      <c r="Y1009" s="13"/>
      <c r="Z1009" s="13"/>
      <c r="AA1009" s="13"/>
      <c r="AB1009" s="13"/>
      <c r="AC1009" s="13"/>
      <c r="AD1009" s="13"/>
      <c r="AE1009" s="13"/>
      <c r="AF1009" s="13"/>
      <c r="AG1009" s="13"/>
      <c r="AH1009" s="13"/>
      <c r="AI1009" s="4"/>
      <c r="AJ1009" s="4"/>
      <c r="AK1009" s="4"/>
      <c r="AL1009" s="4"/>
    </row>
    <row r="1010">
      <c r="A1010" s="13"/>
      <c r="B1010" s="13"/>
      <c r="C1010" s="13"/>
      <c r="D1010" s="13"/>
      <c r="E1010" s="13"/>
      <c r="F1010" s="13"/>
      <c r="G1010" s="13"/>
      <c r="H1010" s="13"/>
      <c r="I1010" s="13"/>
      <c r="J1010" s="13"/>
      <c r="K1010" s="13"/>
      <c r="L1010" s="13"/>
      <c r="M1010" s="13"/>
      <c r="N1010" s="13"/>
      <c r="O1010" s="13"/>
      <c r="P1010" s="13"/>
      <c r="Q1010" s="172"/>
      <c r="R1010" s="13"/>
      <c r="S1010" s="13"/>
      <c r="T1010" s="13"/>
      <c r="U1010" s="13"/>
      <c r="V1010" s="13"/>
      <c r="W1010" s="13"/>
      <c r="X1010" s="13"/>
      <c r="Y1010" s="13"/>
      <c r="Z1010" s="13"/>
      <c r="AA1010" s="13"/>
      <c r="AB1010" s="13"/>
      <c r="AC1010" s="13"/>
      <c r="AD1010" s="13"/>
      <c r="AE1010" s="13"/>
      <c r="AF1010" s="13"/>
      <c r="AG1010" s="13"/>
      <c r="AH1010" s="13"/>
      <c r="AI1010" s="4"/>
      <c r="AJ1010" s="4"/>
      <c r="AK1010" s="4"/>
      <c r="AL1010" s="4"/>
    </row>
    <row r="1011">
      <c r="A1011" s="13"/>
      <c r="B1011" s="13"/>
      <c r="C1011" s="13"/>
      <c r="D1011" s="13"/>
      <c r="E1011" s="13"/>
      <c r="F1011" s="13"/>
      <c r="G1011" s="13"/>
      <c r="H1011" s="13"/>
      <c r="I1011" s="13"/>
      <c r="J1011" s="13"/>
      <c r="K1011" s="13"/>
      <c r="L1011" s="13"/>
      <c r="M1011" s="13"/>
      <c r="N1011" s="13"/>
      <c r="O1011" s="13"/>
      <c r="P1011" s="13"/>
      <c r="Q1011" s="172"/>
      <c r="R1011" s="13"/>
      <c r="S1011" s="13"/>
      <c r="T1011" s="13"/>
      <c r="U1011" s="13"/>
      <c r="V1011" s="13"/>
      <c r="W1011" s="13"/>
      <c r="X1011" s="13"/>
      <c r="Y1011" s="13"/>
      <c r="Z1011" s="13"/>
      <c r="AA1011" s="13"/>
      <c r="AB1011" s="13"/>
      <c r="AC1011" s="13"/>
      <c r="AD1011" s="13"/>
      <c r="AE1011" s="13"/>
      <c r="AF1011" s="13"/>
      <c r="AG1011" s="13"/>
      <c r="AH1011" s="13"/>
      <c r="AI1011" s="4"/>
      <c r="AJ1011" s="4"/>
      <c r="AK1011" s="4"/>
      <c r="AL1011" s="4"/>
    </row>
    <row r="1012">
      <c r="A1012" s="13"/>
      <c r="B1012" s="13"/>
      <c r="C1012" s="13"/>
      <c r="D1012" s="13"/>
      <c r="E1012" s="13"/>
      <c r="F1012" s="13"/>
      <c r="G1012" s="13"/>
      <c r="H1012" s="13"/>
      <c r="I1012" s="13"/>
      <c r="J1012" s="13"/>
      <c r="K1012" s="13"/>
      <c r="L1012" s="13"/>
      <c r="M1012" s="13"/>
      <c r="N1012" s="13"/>
      <c r="O1012" s="13"/>
      <c r="P1012" s="13"/>
      <c r="Q1012" s="172"/>
      <c r="R1012" s="13"/>
      <c r="S1012" s="13"/>
      <c r="T1012" s="13"/>
      <c r="U1012" s="13"/>
      <c r="V1012" s="13"/>
      <c r="W1012" s="13"/>
      <c r="X1012" s="13"/>
      <c r="Y1012" s="13"/>
      <c r="Z1012" s="13"/>
      <c r="AA1012" s="13"/>
      <c r="AB1012" s="13"/>
      <c r="AC1012" s="13"/>
      <c r="AD1012" s="13"/>
      <c r="AE1012" s="13"/>
      <c r="AF1012" s="13"/>
      <c r="AG1012" s="13"/>
      <c r="AH1012" s="13"/>
      <c r="AI1012" s="4"/>
      <c r="AJ1012" s="4"/>
      <c r="AK1012" s="4"/>
      <c r="AL1012" s="4"/>
    </row>
    <row r="1013">
      <c r="A1013" s="13"/>
      <c r="B1013" s="13"/>
      <c r="C1013" s="13"/>
      <c r="D1013" s="13"/>
      <c r="E1013" s="13"/>
      <c r="F1013" s="13"/>
      <c r="G1013" s="13"/>
      <c r="H1013" s="13"/>
      <c r="I1013" s="13"/>
      <c r="J1013" s="13"/>
      <c r="K1013" s="13"/>
      <c r="L1013" s="13"/>
      <c r="M1013" s="13"/>
      <c r="N1013" s="13"/>
      <c r="O1013" s="13"/>
      <c r="P1013" s="13"/>
      <c r="Q1013" s="172"/>
      <c r="R1013" s="13"/>
      <c r="S1013" s="13"/>
      <c r="T1013" s="13"/>
      <c r="U1013" s="13"/>
      <c r="V1013" s="13"/>
      <c r="W1013" s="13"/>
      <c r="X1013" s="13"/>
      <c r="Y1013" s="13"/>
      <c r="Z1013" s="13"/>
      <c r="AA1013" s="13"/>
      <c r="AB1013" s="13"/>
      <c r="AC1013" s="13"/>
      <c r="AD1013" s="13"/>
      <c r="AE1013" s="13"/>
      <c r="AF1013" s="13"/>
      <c r="AG1013" s="13"/>
      <c r="AH1013" s="13"/>
      <c r="AI1013" s="4"/>
      <c r="AJ1013" s="4"/>
      <c r="AK1013" s="4"/>
      <c r="AL1013" s="4"/>
    </row>
    <row r="1014">
      <c r="A1014" s="13"/>
      <c r="B1014" s="13"/>
      <c r="C1014" s="13"/>
      <c r="D1014" s="13"/>
      <c r="E1014" s="13"/>
      <c r="F1014" s="13"/>
      <c r="G1014" s="13"/>
      <c r="H1014" s="13"/>
      <c r="I1014" s="13"/>
      <c r="J1014" s="13"/>
      <c r="K1014" s="13"/>
      <c r="L1014" s="13"/>
      <c r="M1014" s="13"/>
      <c r="N1014" s="13"/>
      <c r="O1014" s="13"/>
      <c r="P1014" s="13"/>
      <c r="Q1014" s="172"/>
      <c r="R1014" s="13"/>
      <c r="S1014" s="13"/>
      <c r="T1014" s="13"/>
      <c r="U1014" s="13"/>
      <c r="V1014" s="13"/>
      <c r="W1014" s="13"/>
      <c r="X1014" s="13"/>
      <c r="Y1014" s="13"/>
      <c r="Z1014" s="13"/>
      <c r="AA1014" s="13"/>
      <c r="AB1014" s="13"/>
      <c r="AC1014" s="13"/>
      <c r="AD1014" s="13"/>
      <c r="AE1014" s="13"/>
      <c r="AF1014" s="13"/>
      <c r="AG1014" s="13"/>
      <c r="AH1014" s="13"/>
      <c r="AI1014" s="4"/>
      <c r="AJ1014" s="4"/>
      <c r="AK1014" s="4"/>
      <c r="AL1014" s="4"/>
    </row>
    <row r="1015">
      <c r="A1015" s="13"/>
      <c r="B1015" s="13"/>
      <c r="C1015" s="13"/>
      <c r="D1015" s="13"/>
      <c r="E1015" s="13"/>
      <c r="F1015" s="13"/>
      <c r="G1015" s="13"/>
      <c r="H1015" s="13"/>
      <c r="I1015" s="13"/>
      <c r="J1015" s="13"/>
      <c r="K1015" s="13"/>
      <c r="L1015" s="13"/>
      <c r="M1015" s="13"/>
      <c r="N1015" s="13"/>
      <c r="O1015" s="13"/>
      <c r="P1015" s="13"/>
      <c r="Q1015" s="172"/>
      <c r="R1015" s="13"/>
      <c r="S1015" s="13"/>
      <c r="T1015" s="13"/>
      <c r="U1015" s="13"/>
      <c r="V1015" s="13"/>
      <c r="W1015" s="13"/>
      <c r="X1015" s="13"/>
      <c r="Y1015" s="13"/>
      <c r="Z1015" s="13"/>
      <c r="AA1015" s="13"/>
      <c r="AB1015" s="13"/>
      <c r="AC1015" s="13"/>
      <c r="AD1015" s="13"/>
      <c r="AE1015" s="13"/>
      <c r="AF1015" s="13"/>
      <c r="AG1015" s="13"/>
      <c r="AH1015" s="13"/>
      <c r="AI1015" s="4"/>
      <c r="AJ1015" s="4"/>
      <c r="AK1015" s="4"/>
      <c r="AL1015" s="4"/>
    </row>
    <row r="1016">
      <c r="A1016" s="13"/>
      <c r="B1016" s="13"/>
      <c r="C1016" s="13"/>
      <c r="D1016" s="13"/>
      <c r="E1016" s="13"/>
      <c r="F1016" s="13"/>
      <c r="G1016" s="13"/>
      <c r="H1016" s="13"/>
      <c r="I1016" s="13"/>
      <c r="J1016" s="13"/>
      <c r="K1016" s="13"/>
      <c r="L1016" s="13"/>
      <c r="M1016" s="13"/>
      <c r="N1016" s="13"/>
      <c r="O1016" s="13"/>
      <c r="P1016" s="13"/>
      <c r="Q1016" s="172"/>
      <c r="R1016" s="13"/>
      <c r="S1016" s="13"/>
      <c r="T1016" s="13"/>
      <c r="U1016" s="13"/>
      <c r="V1016" s="13"/>
      <c r="W1016" s="13"/>
      <c r="X1016" s="13"/>
      <c r="Y1016" s="13"/>
      <c r="Z1016" s="13"/>
      <c r="AA1016" s="13"/>
      <c r="AB1016" s="13"/>
      <c r="AC1016" s="13"/>
      <c r="AD1016" s="13"/>
      <c r="AE1016" s="13"/>
      <c r="AF1016" s="13"/>
      <c r="AG1016" s="13"/>
      <c r="AH1016" s="13"/>
      <c r="AI1016" s="4"/>
      <c r="AJ1016" s="4"/>
      <c r="AK1016" s="4"/>
      <c r="AL1016" s="4"/>
    </row>
    <row r="1017">
      <c r="A1017" s="13"/>
      <c r="B1017" s="13"/>
      <c r="C1017" s="13"/>
      <c r="D1017" s="13"/>
      <c r="E1017" s="13"/>
      <c r="F1017" s="13"/>
      <c r="G1017" s="13"/>
      <c r="H1017" s="13"/>
      <c r="I1017" s="13"/>
      <c r="J1017" s="13"/>
      <c r="K1017" s="13"/>
      <c r="L1017" s="13"/>
      <c r="M1017" s="13"/>
      <c r="N1017" s="13"/>
      <c r="O1017" s="13"/>
      <c r="P1017" s="13"/>
      <c r="Q1017" s="172"/>
      <c r="R1017" s="13"/>
      <c r="S1017" s="13"/>
      <c r="T1017" s="13"/>
      <c r="U1017" s="13"/>
      <c r="V1017" s="13"/>
      <c r="W1017" s="13"/>
      <c r="X1017" s="13"/>
      <c r="Y1017" s="13"/>
      <c r="Z1017" s="13"/>
      <c r="AA1017" s="13"/>
      <c r="AB1017" s="13"/>
      <c r="AC1017" s="13"/>
      <c r="AD1017" s="13"/>
      <c r="AE1017" s="13"/>
      <c r="AF1017" s="13"/>
      <c r="AG1017" s="13"/>
      <c r="AH1017" s="13"/>
      <c r="AI1017" s="4"/>
      <c r="AJ1017" s="4"/>
      <c r="AK1017" s="4"/>
      <c r="AL1017" s="4"/>
    </row>
    <row r="1018">
      <c r="A1018" s="13"/>
      <c r="B1018" s="13"/>
      <c r="C1018" s="13"/>
      <c r="D1018" s="13"/>
      <c r="E1018" s="13"/>
      <c r="F1018" s="13"/>
      <c r="G1018" s="13"/>
      <c r="H1018" s="13"/>
      <c r="I1018" s="13"/>
      <c r="J1018" s="13"/>
      <c r="K1018" s="13"/>
      <c r="L1018" s="13"/>
      <c r="M1018" s="13"/>
      <c r="N1018" s="13"/>
      <c r="O1018" s="13"/>
      <c r="P1018" s="13"/>
      <c r="Q1018" s="172"/>
      <c r="R1018" s="13"/>
      <c r="S1018" s="13"/>
      <c r="T1018" s="13"/>
      <c r="U1018" s="13"/>
      <c r="V1018" s="13"/>
      <c r="W1018" s="13"/>
      <c r="X1018" s="13"/>
      <c r="Y1018" s="13"/>
      <c r="Z1018" s="13"/>
      <c r="AA1018" s="13"/>
      <c r="AB1018" s="13"/>
      <c r="AC1018" s="13"/>
      <c r="AD1018" s="13"/>
      <c r="AE1018" s="13"/>
      <c r="AF1018" s="13"/>
      <c r="AG1018" s="13"/>
      <c r="AH1018" s="13"/>
      <c r="AI1018" s="4"/>
      <c r="AJ1018" s="4"/>
      <c r="AK1018" s="4"/>
      <c r="AL1018" s="4"/>
    </row>
    <row r="1019">
      <c r="A1019" s="13"/>
      <c r="B1019" s="13"/>
      <c r="C1019" s="13"/>
      <c r="D1019" s="13"/>
      <c r="E1019" s="13"/>
      <c r="F1019" s="13"/>
      <c r="G1019" s="13"/>
      <c r="H1019" s="13"/>
      <c r="I1019" s="13"/>
      <c r="J1019" s="13"/>
      <c r="K1019" s="13"/>
      <c r="L1019" s="13"/>
      <c r="M1019" s="13"/>
      <c r="N1019" s="13"/>
      <c r="O1019" s="13"/>
      <c r="P1019" s="13"/>
      <c r="Q1019" s="172"/>
      <c r="R1019" s="13"/>
      <c r="S1019" s="13"/>
      <c r="T1019" s="13"/>
      <c r="U1019" s="13"/>
      <c r="V1019" s="13"/>
      <c r="W1019" s="13"/>
      <c r="X1019" s="13"/>
      <c r="Y1019" s="13"/>
      <c r="Z1019" s="13"/>
      <c r="AA1019" s="13"/>
      <c r="AB1019" s="13"/>
      <c r="AC1019" s="13"/>
      <c r="AD1019" s="13"/>
      <c r="AE1019" s="13"/>
      <c r="AF1019" s="13"/>
      <c r="AG1019" s="13"/>
      <c r="AH1019" s="13"/>
      <c r="AI1019" s="4"/>
      <c r="AJ1019" s="4"/>
      <c r="AK1019" s="4"/>
      <c r="AL1019" s="4"/>
    </row>
    <row r="1020">
      <c r="A1020" s="13"/>
      <c r="B1020" s="13"/>
      <c r="C1020" s="13"/>
      <c r="D1020" s="13"/>
      <c r="E1020" s="13"/>
      <c r="F1020" s="13"/>
      <c r="G1020" s="13"/>
      <c r="H1020" s="13"/>
      <c r="I1020" s="13"/>
      <c r="J1020" s="13"/>
      <c r="K1020" s="13"/>
      <c r="L1020" s="13"/>
      <c r="M1020" s="13"/>
      <c r="N1020" s="13"/>
      <c r="O1020" s="13"/>
      <c r="P1020" s="13"/>
      <c r="Q1020" s="172"/>
      <c r="R1020" s="13"/>
      <c r="S1020" s="13"/>
      <c r="T1020" s="13"/>
      <c r="U1020" s="13"/>
      <c r="V1020" s="13"/>
      <c r="W1020" s="13"/>
      <c r="X1020" s="13"/>
      <c r="Y1020" s="13"/>
      <c r="Z1020" s="13"/>
      <c r="AA1020" s="13"/>
      <c r="AB1020" s="13"/>
      <c r="AC1020" s="13"/>
      <c r="AD1020" s="13"/>
      <c r="AE1020" s="13"/>
      <c r="AF1020" s="13"/>
      <c r="AG1020" s="13"/>
      <c r="AH1020" s="13"/>
      <c r="AI1020" s="4"/>
      <c r="AJ1020" s="4"/>
      <c r="AK1020" s="4"/>
      <c r="AL1020" s="4"/>
    </row>
    <row r="1021">
      <c r="A1021" s="13"/>
      <c r="B1021" s="13"/>
      <c r="C1021" s="13"/>
      <c r="D1021" s="13"/>
      <c r="E1021" s="13"/>
      <c r="F1021" s="13"/>
      <c r="G1021" s="13"/>
      <c r="H1021" s="13"/>
      <c r="I1021" s="13"/>
      <c r="J1021" s="13"/>
      <c r="K1021" s="13"/>
      <c r="L1021" s="13"/>
      <c r="M1021" s="13"/>
      <c r="N1021" s="13"/>
      <c r="O1021" s="13"/>
      <c r="P1021" s="13"/>
      <c r="Q1021" s="172"/>
      <c r="R1021" s="13"/>
      <c r="S1021" s="13"/>
      <c r="T1021" s="13"/>
      <c r="U1021" s="13"/>
      <c r="V1021" s="13"/>
      <c r="W1021" s="13"/>
      <c r="X1021" s="13"/>
      <c r="Y1021" s="13"/>
      <c r="Z1021" s="13"/>
      <c r="AA1021" s="13"/>
      <c r="AB1021" s="13"/>
      <c r="AC1021" s="13"/>
      <c r="AD1021" s="13"/>
      <c r="AE1021" s="13"/>
      <c r="AF1021" s="13"/>
      <c r="AG1021" s="13"/>
      <c r="AH1021" s="13"/>
      <c r="AI1021" s="4"/>
      <c r="AJ1021" s="4"/>
      <c r="AK1021" s="4"/>
      <c r="AL1021" s="4"/>
    </row>
    <row r="1022">
      <c r="A1022" s="13"/>
      <c r="B1022" s="13"/>
      <c r="C1022" s="13"/>
      <c r="D1022" s="13"/>
      <c r="E1022" s="13"/>
      <c r="F1022" s="13"/>
      <c r="G1022" s="13"/>
      <c r="H1022" s="13"/>
      <c r="I1022" s="13"/>
      <c r="J1022" s="13"/>
      <c r="K1022" s="13"/>
      <c r="L1022" s="13"/>
      <c r="M1022" s="13"/>
      <c r="N1022" s="13"/>
      <c r="O1022" s="13"/>
      <c r="P1022" s="13"/>
      <c r="Q1022" s="172"/>
      <c r="R1022" s="13"/>
      <c r="S1022" s="13"/>
      <c r="T1022" s="13"/>
      <c r="U1022" s="13"/>
      <c r="V1022" s="13"/>
      <c r="W1022" s="13"/>
      <c r="X1022" s="13"/>
      <c r="Y1022" s="13"/>
      <c r="Z1022" s="13"/>
      <c r="AA1022" s="13"/>
      <c r="AB1022" s="13"/>
      <c r="AC1022" s="13"/>
      <c r="AD1022" s="13"/>
      <c r="AE1022" s="13"/>
      <c r="AF1022" s="13"/>
      <c r="AG1022" s="13"/>
      <c r="AH1022" s="13"/>
      <c r="AI1022" s="4"/>
      <c r="AJ1022" s="4"/>
      <c r="AK1022" s="4"/>
      <c r="AL1022" s="4"/>
    </row>
    <row r="1023">
      <c r="A1023" s="13"/>
      <c r="B1023" s="13"/>
      <c r="C1023" s="13"/>
      <c r="D1023" s="13"/>
      <c r="E1023" s="13"/>
      <c r="F1023" s="13"/>
      <c r="G1023" s="13"/>
      <c r="H1023" s="13"/>
      <c r="I1023" s="13"/>
      <c r="J1023" s="13"/>
      <c r="K1023" s="13"/>
      <c r="L1023" s="13"/>
      <c r="M1023" s="13"/>
      <c r="N1023" s="13"/>
      <c r="O1023" s="13"/>
      <c r="P1023" s="13"/>
      <c r="Q1023" s="172"/>
      <c r="R1023" s="13"/>
      <c r="S1023" s="13"/>
      <c r="T1023" s="13"/>
      <c r="U1023" s="13"/>
      <c r="V1023" s="13"/>
      <c r="W1023" s="13"/>
      <c r="X1023" s="13"/>
      <c r="Y1023" s="13"/>
      <c r="Z1023" s="13"/>
      <c r="AA1023" s="13"/>
      <c r="AB1023" s="13"/>
      <c r="AC1023" s="13"/>
      <c r="AD1023" s="13"/>
      <c r="AE1023" s="13"/>
      <c r="AF1023" s="13"/>
      <c r="AG1023" s="13"/>
      <c r="AH1023" s="13"/>
      <c r="AI1023" s="4"/>
      <c r="AJ1023" s="4"/>
      <c r="AK1023" s="4"/>
      <c r="AL1023" s="4"/>
    </row>
    <row r="1024">
      <c r="A1024" s="13"/>
      <c r="B1024" s="13"/>
      <c r="C1024" s="13"/>
      <c r="D1024" s="13"/>
      <c r="E1024" s="13"/>
      <c r="F1024" s="13"/>
      <c r="G1024" s="13"/>
      <c r="H1024" s="13"/>
      <c r="I1024" s="13"/>
      <c r="J1024" s="13"/>
      <c r="K1024" s="13"/>
      <c r="L1024" s="13"/>
      <c r="M1024" s="13"/>
      <c r="N1024" s="13"/>
      <c r="O1024" s="13"/>
      <c r="P1024" s="13"/>
      <c r="Q1024" s="172"/>
      <c r="R1024" s="13"/>
      <c r="S1024" s="13"/>
      <c r="T1024" s="13"/>
      <c r="U1024" s="13"/>
      <c r="V1024" s="13"/>
      <c r="W1024" s="13"/>
      <c r="X1024" s="13"/>
      <c r="Y1024" s="13"/>
      <c r="Z1024" s="13"/>
      <c r="AA1024" s="13"/>
      <c r="AB1024" s="13"/>
      <c r="AC1024" s="13"/>
      <c r="AD1024" s="13"/>
      <c r="AE1024" s="13"/>
      <c r="AF1024" s="13"/>
      <c r="AG1024" s="13"/>
      <c r="AH1024" s="13"/>
      <c r="AI1024" s="4"/>
      <c r="AJ1024" s="4"/>
      <c r="AK1024" s="4"/>
      <c r="AL1024" s="4"/>
    </row>
    <row r="1025">
      <c r="A1025" s="13"/>
      <c r="B1025" s="13"/>
      <c r="C1025" s="13"/>
      <c r="D1025" s="13"/>
      <c r="E1025" s="13"/>
      <c r="F1025" s="13"/>
      <c r="G1025" s="13"/>
      <c r="H1025" s="13"/>
      <c r="I1025" s="13"/>
      <c r="J1025" s="13"/>
      <c r="K1025" s="13"/>
      <c r="L1025" s="13"/>
      <c r="M1025" s="13"/>
      <c r="N1025" s="13"/>
      <c r="O1025" s="13"/>
      <c r="P1025" s="13"/>
      <c r="Q1025" s="172"/>
      <c r="R1025" s="13"/>
      <c r="S1025" s="13"/>
      <c r="T1025" s="13"/>
      <c r="U1025" s="13"/>
      <c r="V1025" s="13"/>
      <c r="W1025" s="13"/>
      <c r="X1025" s="13"/>
      <c r="Y1025" s="13"/>
      <c r="Z1025" s="13"/>
      <c r="AA1025" s="13"/>
      <c r="AB1025" s="13"/>
      <c r="AC1025" s="13"/>
      <c r="AD1025" s="13"/>
      <c r="AE1025" s="13"/>
      <c r="AF1025" s="13"/>
      <c r="AG1025" s="13"/>
      <c r="AH1025" s="13"/>
      <c r="AI1025" s="4"/>
      <c r="AJ1025" s="4"/>
      <c r="AK1025" s="4"/>
      <c r="AL1025" s="4"/>
    </row>
    <row r="1026">
      <c r="A1026" s="13"/>
      <c r="B1026" s="13"/>
      <c r="C1026" s="13"/>
      <c r="D1026" s="13"/>
      <c r="E1026" s="13"/>
      <c r="F1026" s="13"/>
      <c r="G1026" s="13"/>
      <c r="H1026" s="13"/>
      <c r="I1026" s="13"/>
      <c r="J1026" s="13"/>
      <c r="K1026" s="13"/>
      <c r="L1026" s="13"/>
      <c r="M1026" s="13"/>
      <c r="N1026" s="13"/>
      <c r="O1026" s="13"/>
      <c r="P1026" s="13"/>
      <c r="Q1026" s="172"/>
      <c r="R1026" s="13"/>
      <c r="S1026" s="13"/>
      <c r="T1026" s="13"/>
      <c r="U1026" s="13"/>
      <c r="V1026" s="13"/>
      <c r="W1026" s="13"/>
      <c r="X1026" s="13"/>
      <c r="Y1026" s="13"/>
      <c r="Z1026" s="13"/>
      <c r="AA1026" s="13"/>
      <c r="AB1026" s="13"/>
      <c r="AC1026" s="13"/>
      <c r="AD1026" s="13"/>
      <c r="AE1026" s="13"/>
      <c r="AF1026" s="13"/>
      <c r="AG1026" s="13"/>
      <c r="AH1026" s="13"/>
      <c r="AI1026" s="4"/>
      <c r="AJ1026" s="4"/>
      <c r="AK1026" s="4"/>
      <c r="AL1026" s="4"/>
    </row>
    <row r="1027">
      <c r="A1027" s="13"/>
      <c r="B1027" s="13"/>
      <c r="C1027" s="13"/>
      <c r="D1027" s="13"/>
      <c r="E1027" s="13"/>
      <c r="F1027" s="13"/>
      <c r="G1027" s="13"/>
      <c r="H1027" s="13"/>
      <c r="I1027" s="13"/>
      <c r="J1027" s="13"/>
      <c r="K1027" s="13"/>
      <c r="L1027" s="13"/>
      <c r="M1027" s="13"/>
      <c r="N1027" s="13"/>
      <c r="O1027" s="13"/>
      <c r="P1027" s="13"/>
      <c r="Q1027" s="172"/>
      <c r="R1027" s="13"/>
      <c r="S1027" s="13"/>
      <c r="T1027" s="13"/>
      <c r="U1027" s="13"/>
      <c r="V1027" s="13"/>
      <c r="W1027" s="13"/>
      <c r="X1027" s="13"/>
      <c r="Y1027" s="13"/>
      <c r="Z1027" s="13"/>
      <c r="AA1027" s="13"/>
      <c r="AB1027" s="13"/>
      <c r="AC1027" s="13"/>
      <c r="AD1027" s="13"/>
      <c r="AE1027" s="13"/>
      <c r="AF1027" s="13"/>
      <c r="AG1027" s="13"/>
      <c r="AH1027" s="13"/>
      <c r="AI1027" s="4"/>
      <c r="AJ1027" s="4"/>
      <c r="AK1027" s="4"/>
      <c r="AL1027" s="4"/>
    </row>
    <row r="1028">
      <c r="A1028" s="13"/>
      <c r="B1028" s="13"/>
      <c r="C1028" s="13"/>
      <c r="D1028" s="13"/>
      <c r="E1028" s="13"/>
      <c r="F1028" s="13"/>
      <c r="G1028" s="13"/>
      <c r="H1028" s="13"/>
      <c r="I1028" s="13"/>
      <c r="J1028" s="13"/>
      <c r="K1028" s="13"/>
      <c r="L1028" s="13"/>
      <c r="M1028" s="13"/>
      <c r="N1028" s="13"/>
      <c r="O1028" s="13"/>
      <c r="P1028" s="13"/>
      <c r="Q1028" s="172"/>
      <c r="R1028" s="13"/>
      <c r="S1028" s="13"/>
      <c r="T1028" s="13"/>
      <c r="U1028" s="13"/>
      <c r="V1028" s="13"/>
      <c r="W1028" s="13"/>
      <c r="X1028" s="13"/>
      <c r="Y1028" s="13"/>
      <c r="Z1028" s="13"/>
      <c r="AA1028" s="13"/>
      <c r="AB1028" s="13"/>
      <c r="AC1028" s="13"/>
      <c r="AD1028" s="13"/>
      <c r="AE1028" s="13"/>
      <c r="AF1028" s="13"/>
      <c r="AG1028" s="13"/>
      <c r="AH1028" s="13"/>
      <c r="AI1028" s="4"/>
      <c r="AJ1028" s="4"/>
      <c r="AK1028" s="4"/>
      <c r="AL1028" s="4"/>
    </row>
    <row r="1029">
      <c r="A1029" s="13"/>
      <c r="B1029" s="13"/>
      <c r="C1029" s="13"/>
      <c r="D1029" s="13"/>
      <c r="E1029" s="13"/>
      <c r="F1029" s="13"/>
      <c r="G1029" s="13"/>
      <c r="H1029" s="13"/>
      <c r="I1029" s="13"/>
      <c r="J1029" s="13"/>
      <c r="K1029" s="13"/>
      <c r="L1029" s="13"/>
      <c r="M1029" s="13"/>
      <c r="N1029" s="13"/>
      <c r="O1029" s="13"/>
      <c r="P1029" s="13"/>
      <c r="Q1029" s="172"/>
      <c r="R1029" s="13"/>
      <c r="S1029" s="13"/>
      <c r="T1029" s="13"/>
      <c r="U1029" s="13"/>
      <c r="V1029" s="13"/>
      <c r="W1029" s="13"/>
      <c r="X1029" s="13"/>
      <c r="Y1029" s="13"/>
      <c r="Z1029" s="13"/>
      <c r="AA1029" s="13"/>
      <c r="AB1029" s="13"/>
      <c r="AC1029" s="13"/>
      <c r="AD1029" s="13"/>
      <c r="AE1029" s="13"/>
      <c r="AF1029" s="13"/>
      <c r="AG1029" s="13"/>
      <c r="AH1029" s="13"/>
      <c r="AI1029" s="4"/>
      <c r="AJ1029" s="4"/>
      <c r="AK1029" s="4"/>
      <c r="AL1029" s="4"/>
    </row>
    <row r="1030">
      <c r="A1030" s="13"/>
      <c r="B1030" s="13"/>
      <c r="C1030" s="13"/>
      <c r="D1030" s="13"/>
      <c r="E1030" s="13"/>
      <c r="F1030" s="13"/>
      <c r="G1030" s="13"/>
      <c r="H1030" s="13"/>
      <c r="I1030" s="13"/>
      <c r="J1030" s="13"/>
      <c r="K1030" s="13"/>
      <c r="L1030" s="13"/>
      <c r="M1030" s="13"/>
      <c r="N1030" s="13"/>
      <c r="O1030" s="13"/>
      <c r="P1030" s="13"/>
      <c r="Q1030" s="172"/>
      <c r="R1030" s="13"/>
      <c r="S1030" s="13"/>
      <c r="T1030" s="13"/>
      <c r="U1030" s="13"/>
      <c r="V1030" s="13"/>
      <c r="W1030" s="13"/>
      <c r="X1030" s="13"/>
      <c r="Y1030" s="13"/>
      <c r="Z1030" s="13"/>
      <c r="AA1030" s="13"/>
      <c r="AB1030" s="13"/>
      <c r="AC1030" s="13"/>
      <c r="AD1030" s="13"/>
      <c r="AE1030" s="13"/>
      <c r="AF1030" s="13"/>
      <c r="AG1030" s="13"/>
      <c r="AH1030" s="13"/>
      <c r="AI1030" s="4"/>
      <c r="AJ1030" s="4"/>
      <c r="AK1030" s="4"/>
      <c r="AL1030" s="4"/>
    </row>
    <row r="1031">
      <c r="A1031" s="13"/>
      <c r="B1031" s="13"/>
      <c r="C1031" s="13"/>
      <c r="D1031" s="13"/>
      <c r="E1031" s="13"/>
      <c r="F1031" s="13"/>
      <c r="G1031" s="13"/>
      <c r="H1031" s="13"/>
      <c r="I1031" s="13"/>
      <c r="J1031" s="13"/>
      <c r="K1031" s="13"/>
      <c r="L1031" s="13"/>
      <c r="M1031" s="13"/>
      <c r="N1031" s="13"/>
      <c r="O1031" s="13"/>
      <c r="P1031" s="13"/>
      <c r="Q1031" s="172"/>
      <c r="R1031" s="13"/>
      <c r="S1031" s="13"/>
      <c r="T1031" s="13"/>
      <c r="U1031" s="13"/>
      <c r="V1031" s="13"/>
      <c r="W1031" s="13"/>
      <c r="X1031" s="13"/>
      <c r="Y1031" s="13"/>
      <c r="Z1031" s="13"/>
      <c r="AA1031" s="13"/>
      <c r="AB1031" s="13"/>
      <c r="AC1031" s="13"/>
      <c r="AD1031" s="13"/>
      <c r="AE1031" s="13"/>
      <c r="AF1031" s="13"/>
      <c r="AG1031" s="13"/>
      <c r="AH1031" s="13"/>
      <c r="AI1031" s="4"/>
      <c r="AJ1031" s="4"/>
      <c r="AK1031" s="4"/>
      <c r="AL1031" s="4"/>
    </row>
    <row r="1032">
      <c r="A1032" s="13"/>
      <c r="B1032" s="13"/>
      <c r="C1032" s="13"/>
      <c r="D1032" s="13"/>
      <c r="E1032" s="13"/>
      <c r="F1032" s="13"/>
      <c r="G1032" s="13"/>
      <c r="H1032" s="13"/>
      <c r="I1032" s="13"/>
      <c r="J1032" s="13"/>
      <c r="K1032" s="13"/>
      <c r="L1032" s="13"/>
      <c r="M1032" s="13"/>
      <c r="N1032" s="13"/>
      <c r="O1032" s="13"/>
      <c r="P1032" s="13"/>
      <c r="Q1032" s="172"/>
      <c r="R1032" s="13"/>
      <c r="S1032" s="13"/>
      <c r="T1032" s="13"/>
      <c r="U1032" s="13"/>
      <c r="V1032" s="13"/>
      <c r="W1032" s="13"/>
      <c r="X1032" s="13"/>
      <c r="Y1032" s="13"/>
      <c r="Z1032" s="13"/>
      <c r="AA1032" s="13"/>
      <c r="AB1032" s="13"/>
      <c r="AC1032" s="13"/>
      <c r="AD1032" s="13"/>
      <c r="AE1032" s="13"/>
      <c r="AF1032" s="13"/>
      <c r="AG1032" s="13"/>
      <c r="AH1032" s="13"/>
      <c r="AI1032" s="4"/>
      <c r="AJ1032" s="4"/>
      <c r="AK1032" s="4"/>
      <c r="AL1032" s="4"/>
    </row>
    <row r="1033">
      <c r="A1033" s="13"/>
      <c r="B1033" s="13"/>
      <c r="C1033" s="13"/>
      <c r="D1033" s="13"/>
      <c r="E1033" s="13"/>
      <c r="F1033" s="13"/>
      <c r="G1033" s="13"/>
      <c r="H1033" s="13"/>
      <c r="I1033" s="13"/>
      <c r="J1033" s="13"/>
      <c r="K1033" s="13"/>
      <c r="L1033" s="13"/>
      <c r="M1033" s="13"/>
      <c r="N1033" s="13"/>
      <c r="O1033" s="13"/>
      <c r="P1033" s="13"/>
      <c r="Q1033" s="172"/>
      <c r="R1033" s="13"/>
      <c r="S1033" s="13"/>
      <c r="T1033" s="13"/>
      <c r="U1033" s="13"/>
      <c r="V1033" s="13"/>
      <c r="W1033" s="13"/>
      <c r="X1033" s="13"/>
      <c r="Y1033" s="13"/>
      <c r="Z1033" s="13"/>
      <c r="AA1033" s="13"/>
      <c r="AB1033" s="13"/>
      <c r="AC1033" s="13"/>
      <c r="AD1033" s="13"/>
      <c r="AE1033" s="13"/>
      <c r="AF1033" s="13"/>
      <c r="AG1033" s="13"/>
      <c r="AH1033" s="13"/>
      <c r="AI1033" s="4"/>
      <c r="AJ1033" s="4"/>
      <c r="AK1033" s="4"/>
      <c r="AL1033" s="4"/>
    </row>
    <row r="1034">
      <c r="A1034" s="13"/>
      <c r="B1034" s="13"/>
      <c r="C1034" s="13"/>
      <c r="D1034" s="13"/>
      <c r="E1034" s="13"/>
      <c r="F1034" s="13"/>
      <c r="G1034" s="13"/>
      <c r="H1034" s="13"/>
      <c r="I1034" s="13"/>
      <c r="J1034" s="13"/>
      <c r="K1034" s="13"/>
      <c r="L1034" s="13"/>
      <c r="M1034" s="13"/>
      <c r="N1034" s="13"/>
      <c r="O1034" s="13"/>
      <c r="P1034" s="13"/>
      <c r="Q1034" s="172"/>
      <c r="R1034" s="13"/>
      <c r="S1034" s="13"/>
      <c r="T1034" s="13"/>
      <c r="U1034" s="13"/>
      <c r="V1034" s="13"/>
      <c r="W1034" s="13"/>
      <c r="X1034" s="13"/>
      <c r="Y1034" s="13"/>
      <c r="Z1034" s="13"/>
      <c r="AA1034" s="13"/>
      <c r="AB1034" s="13"/>
      <c r="AC1034" s="13"/>
      <c r="AD1034" s="13"/>
      <c r="AE1034" s="13"/>
      <c r="AF1034" s="13"/>
      <c r="AG1034" s="13"/>
      <c r="AH1034" s="13"/>
      <c r="AI1034" s="4"/>
      <c r="AJ1034" s="4"/>
      <c r="AK1034" s="4"/>
      <c r="AL1034" s="4"/>
    </row>
    <row r="1035">
      <c r="A1035" s="13"/>
      <c r="B1035" s="13"/>
      <c r="C1035" s="13"/>
      <c r="D1035" s="13"/>
      <c r="E1035" s="13"/>
      <c r="F1035" s="13"/>
      <c r="G1035" s="13"/>
      <c r="H1035" s="13"/>
      <c r="I1035" s="13"/>
      <c r="J1035" s="13"/>
      <c r="K1035" s="13"/>
      <c r="L1035" s="13"/>
      <c r="M1035" s="13"/>
      <c r="N1035" s="13"/>
      <c r="O1035" s="13"/>
      <c r="P1035" s="13"/>
      <c r="Q1035" s="172"/>
      <c r="R1035" s="13"/>
      <c r="S1035" s="13"/>
      <c r="T1035" s="13"/>
      <c r="U1035" s="13"/>
      <c r="V1035" s="13"/>
      <c r="W1035" s="13"/>
      <c r="X1035" s="13"/>
      <c r="Y1035" s="13"/>
      <c r="Z1035" s="13"/>
      <c r="AA1035" s="13"/>
      <c r="AB1035" s="13"/>
      <c r="AC1035" s="13"/>
      <c r="AD1035" s="13"/>
      <c r="AE1035" s="13"/>
      <c r="AF1035" s="13"/>
      <c r="AG1035" s="13"/>
      <c r="AH1035" s="13"/>
      <c r="AI1035" s="4"/>
      <c r="AJ1035" s="4"/>
      <c r="AK1035" s="4"/>
      <c r="AL1035" s="4"/>
    </row>
    <row r="1036">
      <c r="A1036" s="13"/>
      <c r="B1036" s="13"/>
      <c r="C1036" s="13"/>
      <c r="D1036" s="13"/>
      <c r="E1036" s="13"/>
      <c r="F1036" s="13"/>
      <c r="G1036" s="13"/>
      <c r="H1036" s="13"/>
      <c r="I1036" s="13"/>
      <c r="J1036" s="13"/>
      <c r="K1036" s="13"/>
      <c r="L1036" s="13"/>
      <c r="M1036" s="13"/>
      <c r="N1036" s="13"/>
      <c r="O1036" s="13"/>
      <c r="P1036" s="13"/>
      <c r="Q1036" s="172"/>
      <c r="R1036" s="13"/>
      <c r="S1036" s="13"/>
      <c r="T1036" s="13"/>
      <c r="U1036" s="13"/>
      <c r="V1036" s="13"/>
      <c r="W1036" s="13"/>
      <c r="X1036" s="13"/>
      <c r="Y1036" s="13"/>
      <c r="Z1036" s="13"/>
      <c r="AA1036" s="13"/>
      <c r="AB1036" s="13"/>
      <c r="AC1036" s="13"/>
      <c r="AD1036" s="13"/>
      <c r="AE1036" s="13"/>
      <c r="AF1036" s="13"/>
      <c r="AG1036" s="13"/>
      <c r="AH1036" s="13"/>
      <c r="AI1036" s="4"/>
      <c r="AJ1036" s="4"/>
      <c r="AK1036" s="4"/>
      <c r="AL1036" s="4"/>
    </row>
    <row r="1037">
      <c r="A1037" s="13"/>
      <c r="B1037" s="13"/>
      <c r="C1037" s="13"/>
      <c r="D1037" s="13"/>
      <c r="E1037" s="13"/>
      <c r="F1037" s="13"/>
      <c r="G1037" s="13"/>
      <c r="H1037" s="13"/>
      <c r="I1037" s="13"/>
      <c r="J1037" s="13"/>
      <c r="K1037" s="13"/>
      <c r="L1037" s="13"/>
      <c r="M1037" s="13"/>
      <c r="N1037" s="13"/>
      <c r="O1037" s="13"/>
      <c r="P1037" s="13"/>
      <c r="Q1037" s="172"/>
      <c r="R1037" s="13"/>
      <c r="S1037" s="13"/>
      <c r="T1037" s="13"/>
      <c r="U1037" s="13"/>
      <c r="V1037" s="13"/>
      <c r="W1037" s="13"/>
      <c r="X1037" s="13"/>
      <c r="Y1037" s="13"/>
      <c r="Z1037" s="13"/>
      <c r="AA1037" s="13"/>
      <c r="AB1037" s="13"/>
      <c r="AC1037" s="13"/>
      <c r="AD1037" s="13"/>
      <c r="AE1037" s="13"/>
      <c r="AF1037" s="13"/>
      <c r="AG1037" s="13"/>
      <c r="AH1037" s="13"/>
      <c r="AI1037" s="4"/>
      <c r="AJ1037" s="4"/>
      <c r="AK1037" s="4"/>
      <c r="AL1037" s="4"/>
    </row>
    <row r="1038">
      <c r="A1038" s="13"/>
      <c r="B1038" s="13"/>
      <c r="C1038" s="13"/>
      <c r="D1038" s="13"/>
      <c r="E1038" s="13"/>
      <c r="F1038" s="13"/>
      <c r="G1038" s="13"/>
      <c r="H1038" s="13"/>
      <c r="I1038" s="13"/>
      <c r="J1038" s="13"/>
      <c r="K1038" s="13"/>
      <c r="L1038" s="13"/>
      <c r="M1038" s="13"/>
      <c r="N1038" s="13"/>
      <c r="O1038" s="13"/>
      <c r="P1038" s="13"/>
      <c r="Q1038" s="172"/>
      <c r="R1038" s="13"/>
      <c r="S1038" s="13"/>
      <c r="T1038" s="13"/>
      <c r="U1038" s="13"/>
      <c r="V1038" s="13"/>
      <c r="W1038" s="13"/>
      <c r="X1038" s="13"/>
      <c r="Y1038" s="13"/>
      <c r="Z1038" s="13"/>
      <c r="AA1038" s="13"/>
      <c r="AB1038" s="13"/>
      <c r="AC1038" s="13"/>
      <c r="AD1038" s="13"/>
      <c r="AE1038" s="13"/>
      <c r="AF1038" s="13"/>
      <c r="AG1038" s="13"/>
      <c r="AH1038" s="13"/>
      <c r="AI1038" s="4"/>
      <c r="AJ1038" s="4"/>
      <c r="AK1038" s="4"/>
      <c r="AL1038" s="4"/>
    </row>
    <row r="1039">
      <c r="A1039" s="13"/>
      <c r="B1039" s="13"/>
      <c r="C1039" s="13"/>
      <c r="D1039" s="13"/>
      <c r="E1039" s="13"/>
      <c r="F1039" s="13"/>
      <c r="G1039" s="13"/>
      <c r="H1039" s="13"/>
      <c r="I1039" s="13"/>
      <c r="J1039" s="13"/>
      <c r="K1039" s="13"/>
      <c r="L1039" s="13"/>
      <c r="M1039" s="13"/>
      <c r="N1039" s="13"/>
      <c r="O1039" s="13"/>
      <c r="P1039" s="13"/>
      <c r="Q1039" s="172"/>
      <c r="R1039" s="13"/>
      <c r="S1039" s="13"/>
      <c r="T1039" s="13"/>
      <c r="U1039" s="13"/>
      <c r="V1039" s="13"/>
      <c r="W1039" s="13"/>
      <c r="X1039" s="13"/>
      <c r="Y1039" s="13"/>
      <c r="Z1039" s="13"/>
      <c r="AA1039" s="13"/>
      <c r="AB1039" s="13"/>
      <c r="AC1039" s="13"/>
      <c r="AD1039" s="13"/>
      <c r="AE1039" s="13"/>
      <c r="AF1039" s="13"/>
      <c r="AG1039" s="13"/>
      <c r="AH1039" s="13"/>
      <c r="AI1039" s="4"/>
      <c r="AJ1039" s="4"/>
      <c r="AK1039" s="4"/>
      <c r="AL1039" s="4"/>
    </row>
    <row r="1040">
      <c r="A1040" s="13"/>
      <c r="B1040" s="13"/>
      <c r="C1040" s="13"/>
      <c r="D1040" s="13"/>
      <c r="E1040" s="13"/>
      <c r="F1040" s="13"/>
      <c r="G1040" s="13"/>
      <c r="H1040" s="13"/>
      <c r="I1040" s="13"/>
      <c r="J1040" s="13"/>
      <c r="K1040" s="13"/>
      <c r="L1040" s="13"/>
      <c r="M1040" s="13"/>
      <c r="N1040" s="13"/>
      <c r="O1040" s="13"/>
      <c r="P1040" s="13"/>
      <c r="Q1040" s="172"/>
      <c r="R1040" s="13"/>
      <c r="S1040" s="13"/>
      <c r="T1040" s="13"/>
      <c r="U1040" s="13"/>
      <c r="V1040" s="13"/>
      <c r="W1040" s="13"/>
      <c r="X1040" s="13"/>
      <c r="Y1040" s="13"/>
      <c r="Z1040" s="13"/>
      <c r="AA1040" s="13"/>
      <c r="AB1040" s="13"/>
      <c r="AC1040" s="13"/>
      <c r="AD1040" s="13"/>
      <c r="AE1040" s="13"/>
      <c r="AF1040" s="13"/>
      <c r="AG1040" s="13"/>
      <c r="AH1040" s="13"/>
      <c r="AI1040" s="4"/>
      <c r="AJ1040" s="4"/>
      <c r="AK1040" s="4"/>
      <c r="AL1040" s="4"/>
    </row>
    <row r="1041">
      <c r="A1041" s="13"/>
      <c r="B1041" s="13"/>
      <c r="C1041" s="13"/>
      <c r="D1041" s="13"/>
      <c r="E1041" s="13"/>
      <c r="F1041" s="13"/>
      <c r="G1041" s="13"/>
      <c r="H1041" s="13"/>
      <c r="I1041" s="13"/>
      <c r="J1041" s="13"/>
      <c r="K1041" s="13"/>
      <c r="L1041" s="13"/>
      <c r="M1041" s="13"/>
      <c r="N1041" s="13"/>
      <c r="O1041" s="13"/>
      <c r="P1041" s="13"/>
      <c r="Q1041" s="172"/>
      <c r="R1041" s="13"/>
      <c r="S1041" s="13"/>
      <c r="T1041" s="13"/>
      <c r="U1041" s="13"/>
      <c r="V1041" s="13"/>
      <c r="W1041" s="13"/>
      <c r="X1041" s="13"/>
      <c r="Y1041" s="13"/>
      <c r="Z1041" s="13"/>
      <c r="AA1041" s="13"/>
      <c r="AB1041" s="13"/>
      <c r="AC1041" s="13"/>
      <c r="AD1041" s="13"/>
      <c r="AE1041" s="13"/>
      <c r="AF1041" s="13"/>
      <c r="AG1041" s="13"/>
      <c r="AH1041" s="13"/>
      <c r="AI1041" s="4"/>
      <c r="AJ1041" s="4"/>
      <c r="AK1041" s="4"/>
      <c r="AL1041" s="4"/>
    </row>
    <row r="1042">
      <c r="A1042" s="13"/>
      <c r="B1042" s="13"/>
      <c r="C1042" s="13"/>
      <c r="D1042" s="13"/>
      <c r="E1042" s="13"/>
      <c r="F1042" s="13"/>
      <c r="G1042" s="13"/>
      <c r="H1042" s="13"/>
      <c r="I1042" s="13"/>
      <c r="J1042" s="13"/>
      <c r="K1042" s="13"/>
      <c r="L1042" s="13"/>
      <c r="M1042" s="13"/>
      <c r="N1042" s="13"/>
      <c r="O1042" s="13"/>
      <c r="P1042" s="13"/>
      <c r="Q1042" s="172"/>
      <c r="R1042" s="13"/>
      <c r="S1042" s="13"/>
      <c r="T1042" s="13"/>
      <c r="U1042" s="13"/>
      <c r="V1042" s="13"/>
      <c r="W1042" s="13"/>
      <c r="X1042" s="13"/>
      <c r="Y1042" s="13"/>
      <c r="Z1042" s="13"/>
      <c r="AA1042" s="13"/>
      <c r="AB1042" s="13"/>
      <c r="AC1042" s="13"/>
      <c r="AD1042" s="13"/>
      <c r="AE1042" s="13"/>
      <c r="AF1042" s="13"/>
      <c r="AG1042" s="13"/>
      <c r="AH1042" s="13"/>
      <c r="AI1042" s="4"/>
      <c r="AJ1042" s="4"/>
      <c r="AK1042" s="4"/>
      <c r="AL1042" s="4"/>
    </row>
    <row r="1043">
      <c r="A1043" s="13"/>
      <c r="B1043" s="13"/>
      <c r="C1043" s="13"/>
      <c r="D1043" s="13"/>
      <c r="E1043" s="13"/>
      <c r="F1043" s="13"/>
      <c r="G1043" s="13"/>
      <c r="H1043" s="13"/>
      <c r="I1043" s="13"/>
      <c r="J1043" s="13"/>
      <c r="K1043" s="13"/>
      <c r="L1043" s="13"/>
      <c r="M1043" s="13"/>
      <c r="N1043" s="13"/>
      <c r="O1043" s="13"/>
      <c r="P1043" s="13"/>
      <c r="Q1043" s="172"/>
      <c r="R1043" s="13"/>
      <c r="S1043" s="13"/>
      <c r="T1043" s="13"/>
      <c r="U1043" s="13"/>
      <c r="V1043" s="13"/>
      <c r="W1043" s="13"/>
      <c r="X1043" s="13"/>
      <c r="Y1043" s="13"/>
      <c r="Z1043" s="13"/>
      <c r="AA1043" s="13"/>
      <c r="AB1043" s="13"/>
      <c r="AC1043" s="13"/>
      <c r="AD1043" s="13"/>
      <c r="AE1043" s="13"/>
      <c r="AF1043" s="13"/>
      <c r="AG1043" s="13"/>
      <c r="AH1043" s="13"/>
      <c r="AI1043" s="4"/>
      <c r="AJ1043" s="4"/>
      <c r="AK1043" s="4"/>
      <c r="AL1043" s="4"/>
    </row>
    <row r="1044">
      <c r="A1044" s="13"/>
      <c r="B1044" s="13"/>
      <c r="C1044" s="13"/>
      <c r="D1044" s="13"/>
      <c r="E1044" s="13"/>
      <c r="F1044" s="13"/>
      <c r="G1044" s="13"/>
      <c r="H1044" s="13"/>
      <c r="I1044" s="13"/>
      <c r="J1044" s="13"/>
      <c r="K1044" s="13"/>
      <c r="L1044" s="13"/>
      <c r="M1044" s="13"/>
      <c r="N1044" s="13"/>
      <c r="O1044" s="13"/>
      <c r="P1044" s="13"/>
      <c r="Q1044" s="172"/>
      <c r="R1044" s="13"/>
      <c r="S1044" s="13"/>
      <c r="T1044" s="13"/>
      <c r="U1044" s="13"/>
      <c r="V1044" s="13"/>
      <c r="W1044" s="13"/>
      <c r="X1044" s="13"/>
      <c r="Y1044" s="13"/>
      <c r="Z1044" s="13"/>
      <c r="AA1044" s="13"/>
      <c r="AB1044" s="13"/>
      <c r="AC1044" s="13"/>
      <c r="AD1044" s="13"/>
      <c r="AE1044" s="13"/>
      <c r="AF1044" s="13"/>
      <c r="AG1044" s="13"/>
      <c r="AH1044" s="13"/>
      <c r="AI1044" s="4"/>
      <c r="AJ1044" s="4"/>
      <c r="AK1044" s="4"/>
      <c r="AL1044" s="4"/>
    </row>
    <row r="1045">
      <c r="A1045" s="13"/>
      <c r="B1045" s="13"/>
      <c r="C1045" s="13"/>
      <c r="D1045" s="13"/>
      <c r="E1045" s="13"/>
      <c r="F1045" s="13"/>
      <c r="G1045" s="13"/>
      <c r="H1045" s="13"/>
      <c r="I1045" s="13"/>
      <c r="J1045" s="13"/>
      <c r="K1045" s="13"/>
      <c r="L1045" s="13"/>
      <c r="M1045" s="13"/>
      <c r="N1045" s="13"/>
      <c r="O1045" s="13"/>
      <c r="P1045" s="13"/>
      <c r="Q1045" s="172"/>
      <c r="R1045" s="13"/>
      <c r="S1045" s="13"/>
      <c r="T1045" s="13"/>
      <c r="U1045" s="13"/>
      <c r="V1045" s="13"/>
      <c r="W1045" s="13"/>
      <c r="X1045" s="13"/>
      <c r="Y1045" s="13"/>
      <c r="Z1045" s="13"/>
      <c r="AA1045" s="13"/>
      <c r="AB1045" s="13"/>
      <c r="AC1045" s="13"/>
      <c r="AD1045" s="13"/>
      <c r="AE1045" s="13"/>
      <c r="AF1045" s="13"/>
      <c r="AG1045" s="13"/>
      <c r="AH1045" s="13"/>
      <c r="AI1045" s="4"/>
      <c r="AJ1045" s="4"/>
      <c r="AK1045" s="4"/>
      <c r="AL1045" s="4"/>
    </row>
    <row r="1046">
      <c r="A1046" s="13"/>
      <c r="B1046" s="13"/>
      <c r="C1046" s="13"/>
      <c r="D1046" s="13"/>
      <c r="E1046" s="13"/>
      <c r="F1046" s="13"/>
      <c r="G1046" s="13"/>
      <c r="H1046" s="13"/>
      <c r="I1046" s="13"/>
      <c r="J1046" s="13"/>
      <c r="K1046" s="13"/>
      <c r="L1046" s="13"/>
      <c r="M1046" s="13"/>
      <c r="N1046" s="13"/>
      <c r="O1046" s="13"/>
      <c r="P1046" s="13"/>
      <c r="Q1046" s="172"/>
      <c r="R1046" s="13"/>
      <c r="S1046" s="13"/>
      <c r="T1046" s="13"/>
      <c r="U1046" s="13"/>
      <c r="V1046" s="13"/>
      <c r="W1046" s="13"/>
      <c r="X1046" s="13"/>
      <c r="Y1046" s="13"/>
      <c r="Z1046" s="13"/>
      <c r="AA1046" s="13"/>
      <c r="AB1046" s="13"/>
      <c r="AC1046" s="13"/>
      <c r="AD1046" s="13"/>
      <c r="AE1046" s="13"/>
      <c r="AF1046" s="13"/>
      <c r="AG1046" s="13"/>
      <c r="AH1046" s="13"/>
      <c r="AI1046" s="4"/>
      <c r="AJ1046" s="4"/>
      <c r="AK1046" s="4"/>
      <c r="AL1046" s="4"/>
    </row>
    <row r="1047">
      <c r="A1047" s="13"/>
      <c r="B1047" s="13"/>
      <c r="C1047" s="13"/>
      <c r="D1047" s="13"/>
      <c r="E1047" s="13"/>
      <c r="F1047" s="13"/>
      <c r="G1047" s="13"/>
      <c r="H1047" s="13"/>
      <c r="I1047" s="13"/>
      <c r="J1047" s="13"/>
      <c r="K1047" s="13"/>
      <c r="L1047" s="13"/>
      <c r="M1047" s="13"/>
      <c r="N1047" s="13"/>
      <c r="O1047" s="13"/>
      <c r="P1047" s="13"/>
      <c r="Q1047" s="172"/>
      <c r="R1047" s="13"/>
      <c r="S1047" s="13"/>
      <c r="T1047" s="13"/>
      <c r="U1047" s="13"/>
      <c r="V1047" s="13"/>
      <c r="W1047" s="13"/>
      <c r="X1047" s="13"/>
      <c r="Y1047" s="13"/>
      <c r="Z1047" s="13"/>
      <c r="AA1047" s="13"/>
      <c r="AB1047" s="13"/>
      <c r="AC1047" s="13"/>
      <c r="AD1047" s="13"/>
      <c r="AE1047" s="13"/>
      <c r="AF1047" s="13"/>
      <c r="AG1047" s="13"/>
      <c r="AH1047" s="13"/>
      <c r="AI1047" s="4"/>
      <c r="AJ1047" s="4"/>
      <c r="AK1047" s="4"/>
      <c r="AL1047" s="4"/>
    </row>
    <row r="1048">
      <c r="A1048" s="13"/>
      <c r="B1048" s="13"/>
      <c r="C1048" s="13"/>
      <c r="D1048" s="13"/>
      <c r="E1048" s="13"/>
      <c r="F1048" s="13"/>
      <c r="G1048" s="13"/>
      <c r="H1048" s="13"/>
      <c r="I1048" s="13"/>
      <c r="J1048" s="13"/>
      <c r="K1048" s="13"/>
      <c r="L1048" s="13"/>
      <c r="M1048" s="13"/>
      <c r="N1048" s="13"/>
      <c r="O1048" s="13"/>
      <c r="P1048" s="13"/>
      <c r="Q1048" s="172"/>
      <c r="R1048" s="13"/>
      <c r="S1048" s="13"/>
      <c r="T1048" s="13"/>
      <c r="U1048" s="13"/>
      <c r="V1048" s="13"/>
      <c r="W1048" s="13"/>
      <c r="X1048" s="13"/>
      <c r="Y1048" s="13"/>
      <c r="Z1048" s="13"/>
      <c r="AA1048" s="13"/>
      <c r="AB1048" s="13"/>
      <c r="AC1048" s="13"/>
      <c r="AD1048" s="13"/>
      <c r="AE1048" s="13"/>
      <c r="AF1048" s="13"/>
      <c r="AG1048" s="13"/>
      <c r="AH1048" s="13"/>
      <c r="AI1048" s="4"/>
      <c r="AJ1048" s="4"/>
      <c r="AK1048" s="4"/>
      <c r="AL1048" s="4"/>
    </row>
    <row r="1049">
      <c r="A1049" s="13"/>
      <c r="B1049" s="13"/>
      <c r="C1049" s="13"/>
      <c r="D1049" s="13"/>
      <c r="E1049" s="13"/>
      <c r="F1049" s="13"/>
      <c r="G1049" s="13"/>
      <c r="H1049" s="13"/>
      <c r="I1049" s="13"/>
      <c r="J1049" s="13"/>
      <c r="K1049" s="13"/>
      <c r="L1049" s="13"/>
      <c r="M1049" s="13"/>
      <c r="N1049" s="13"/>
      <c r="O1049" s="13"/>
      <c r="P1049" s="13"/>
      <c r="Q1049" s="172"/>
      <c r="R1049" s="13"/>
      <c r="S1049" s="13"/>
      <c r="T1049" s="13"/>
      <c r="U1049" s="13"/>
      <c r="V1049" s="13"/>
      <c r="W1049" s="13"/>
      <c r="X1049" s="13"/>
      <c r="Y1049" s="13"/>
      <c r="Z1049" s="13"/>
      <c r="AA1049" s="13"/>
      <c r="AB1049" s="13"/>
      <c r="AC1049" s="13"/>
      <c r="AD1049" s="13"/>
      <c r="AE1049" s="13"/>
      <c r="AF1049" s="13"/>
      <c r="AG1049" s="13"/>
      <c r="AH1049" s="13"/>
      <c r="AI1049" s="4"/>
      <c r="AJ1049" s="4"/>
      <c r="AK1049" s="4"/>
      <c r="AL1049" s="4"/>
    </row>
    <row r="1050">
      <c r="A1050" s="13"/>
      <c r="B1050" s="13"/>
      <c r="C1050" s="13"/>
      <c r="D1050" s="13"/>
      <c r="E1050" s="13"/>
      <c r="F1050" s="13"/>
      <c r="G1050" s="13"/>
      <c r="H1050" s="13"/>
      <c r="I1050" s="13"/>
      <c r="J1050" s="13"/>
      <c r="K1050" s="13"/>
      <c r="L1050" s="13"/>
      <c r="M1050" s="13"/>
      <c r="N1050" s="13"/>
      <c r="O1050" s="13"/>
      <c r="P1050" s="13"/>
      <c r="Q1050" s="172"/>
      <c r="R1050" s="13"/>
      <c r="S1050" s="13"/>
      <c r="T1050" s="13"/>
      <c r="U1050" s="13"/>
      <c r="V1050" s="13"/>
      <c r="W1050" s="13"/>
      <c r="X1050" s="13"/>
      <c r="Y1050" s="13"/>
      <c r="Z1050" s="13"/>
      <c r="AA1050" s="13"/>
      <c r="AB1050" s="13"/>
      <c r="AC1050" s="13"/>
      <c r="AD1050" s="13"/>
      <c r="AE1050" s="13"/>
      <c r="AF1050" s="13"/>
      <c r="AG1050" s="13"/>
      <c r="AH1050" s="13"/>
      <c r="AI1050" s="4"/>
      <c r="AJ1050" s="4"/>
      <c r="AK1050" s="4"/>
      <c r="AL1050" s="4"/>
    </row>
    <row r="1051">
      <c r="A1051" s="13"/>
      <c r="B1051" s="13"/>
      <c r="C1051" s="13"/>
      <c r="D1051" s="13"/>
      <c r="E1051" s="13"/>
      <c r="F1051" s="13"/>
      <c r="G1051" s="13"/>
      <c r="H1051" s="13"/>
      <c r="I1051" s="13"/>
      <c r="J1051" s="13"/>
      <c r="K1051" s="13"/>
      <c r="L1051" s="13"/>
      <c r="M1051" s="13"/>
      <c r="N1051" s="13"/>
      <c r="O1051" s="13"/>
      <c r="P1051" s="13"/>
      <c r="Q1051" s="172"/>
      <c r="R1051" s="13"/>
      <c r="S1051" s="13"/>
      <c r="T1051" s="13"/>
      <c r="U1051" s="13"/>
      <c r="V1051" s="13"/>
      <c r="W1051" s="13"/>
      <c r="X1051" s="13"/>
      <c r="Y1051" s="13"/>
      <c r="Z1051" s="13"/>
      <c r="AA1051" s="13"/>
      <c r="AB1051" s="13"/>
      <c r="AC1051" s="13"/>
      <c r="AD1051" s="13"/>
      <c r="AE1051" s="13"/>
      <c r="AF1051" s="13"/>
      <c r="AG1051" s="13"/>
      <c r="AH1051" s="13"/>
      <c r="AI1051" s="4"/>
      <c r="AJ1051" s="4"/>
      <c r="AK1051" s="4"/>
      <c r="AL1051" s="4"/>
    </row>
    <row r="1052">
      <c r="A1052" s="13"/>
      <c r="B1052" s="13"/>
      <c r="C1052" s="13"/>
      <c r="D1052" s="13"/>
      <c r="E1052" s="13"/>
      <c r="F1052" s="13"/>
      <c r="G1052" s="13"/>
      <c r="H1052" s="13"/>
      <c r="I1052" s="13"/>
      <c r="J1052" s="13"/>
      <c r="K1052" s="13"/>
      <c r="L1052" s="13"/>
      <c r="M1052" s="13"/>
      <c r="N1052" s="13"/>
      <c r="O1052" s="13"/>
      <c r="P1052" s="13"/>
      <c r="Q1052" s="172"/>
      <c r="R1052" s="13"/>
      <c r="S1052" s="13"/>
      <c r="T1052" s="13"/>
      <c r="U1052" s="13"/>
      <c r="V1052" s="13"/>
      <c r="W1052" s="13"/>
      <c r="X1052" s="13"/>
      <c r="Y1052" s="13"/>
      <c r="Z1052" s="13"/>
      <c r="AA1052" s="13"/>
      <c r="AB1052" s="13"/>
      <c r="AC1052" s="13"/>
      <c r="AD1052" s="13"/>
      <c r="AE1052" s="13"/>
      <c r="AF1052" s="13"/>
      <c r="AG1052" s="13"/>
      <c r="AH1052" s="13"/>
      <c r="AI1052" s="4"/>
      <c r="AJ1052" s="4"/>
      <c r="AK1052" s="4"/>
      <c r="AL1052" s="4"/>
    </row>
    <row r="1053">
      <c r="A1053" s="13"/>
      <c r="B1053" s="13"/>
      <c r="C1053" s="13"/>
      <c r="D1053" s="13"/>
      <c r="E1053" s="13"/>
      <c r="F1053" s="13"/>
      <c r="G1053" s="13"/>
      <c r="H1053" s="13"/>
      <c r="I1053" s="13"/>
      <c r="J1053" s="13"/>
      <c r="K1053" s="13"/>
      <c r="L1053" s="13"/>
      <c r="M1053" s="13"/>
      <c r="N1053" s="13"/>
      <c r="O1053" s="13"/>
      <c r="P1053" s="13"/>
      <c r="Q1053" s="172"/>
      <c r="R1053" s="13"/>
      <c r="S1053" s="13"/>
      <c r="T1053" s="13"/>
      <c r="U1053" s="13"/>
      <c r="V1053" s="13"/>
      <c r="W1053" s="13"/>
      <c r="X1053" s="13"/>
      <c r="Y1053" s="13"/>
      <c r="Z1053" s="13"/>
      <c r="AA1053" s="13"/>
      <c r="AB1053" s="13"/>
      <c r="AC1053" s="13"/>
      <c r="AD1053" s="13"/>
      <c r="AE1053" s="13"/>
      <c r="AF1053" s="13"/>
      <c r="AG1053" s="13"/>
      <c r="AH1053" s="13"/>
      <c r="AI1053" s="4"/>
      <c r="AJ1053" s="4"/>
      <c r="AK1053" s="4"/>
      <c r="AL1053" s="4"/>
    </row>
    <row r="1054">
      <c r="A1054" s="13"/>
      <c r="B1054" s="13"/>
      <c r="C1054" s="13"/>
      <c r="D1054" s="13"/>
      <c r="E1054" s="13"/>
      <c r="F1054" s="13"/>
      <c r="G1054" s="13"/>
      <c r="H1054" s="13"/>
      <c r="I1054" s="13"/>
      <c r="J1054" s="13"/>
      <c r="K1054" s="13"/>
      <c r="L1054" s="13"/>
      <c r="M1054" s="13"/>
      <c r="N1054" s="13"/>
      <c r="O1054" s="13"/>
      <c r="P1054" s="13"/>
      <c r="Q1054" s="172"/>
      <c r="R1054" s="13"/>
      <c r="S1054" s="13"/>
      <c r="T1054" s="13"/>
      <c r="U1054" s="13"/>
      <c r="V1054" s="13"/>
      <c r="W1054" s="13"/>
      <c r="X1054" s="13"/>
      <c r="Y1054" s="13"/>
      <c r="Z1054" s="13"/>
      <c r="AA1054" s="13"/>
      <c r="AB1054" s="13"/>
      <c r="AC1054" s="13"/>
      <c r="AD1054" s="13"/>
      <c r="AE1054" s="13"/>
      <c r="AF1054" s="13"/>
      <c r="AG1054" s="13"/>
      <c r="AH1054" s="13"/>
      <c r="AI1054" s="4"/>
      <c r="AJ1054" s="4"/>
      <c r="AK1054" s="4"/>
      <c r="AL1054" s="4"/>
    </row>
    <row r="1055">
      <c r="A1055" s="13"/>
      <c r="B1055" s="13"/>
      <c r="C1055" s="13"/>
      <c r="D1055" s="13"/>
      <c r="E1055" s="13"/>
      <c r="F1055" s="13"/>
      <c r="G1055" s="13"/>
      <c r="H1055" s="13"/>
      <c r="I1055" s="13"/>
      <c r="J1055" s="13"/>
      <c r="K1055" s="13"/>
      <c r="L1055" s="13"/>
      <c r="M1055" s="13"/>
      <c r="N1055" s="13"/>
      <c r="O1055" s="13"/>
      <c r="P1055" s="13"/>
      <c r="Q1055" s="172"/>
      <c r="R1055" s="13"/>
      <c r="S1055" s="13"/>
      <c r="T1055" s="13"/>
      <c r="U1055" s="13"/>
      <c r="V1055" s="13"/>
      <c r="W1055" s="13"/>
      <c r="X1055" s="13"/>
      <c r="Y1055" s="13"/>
      <c r="Z1055" s="13"/>
      <c r="AA1055" s="13"/>
      <c r="AB1055" s="13"/>
      <c r="AC1055" s="13"/>
      <c r="AD1055" s="13"/>
      <c r="AE1055" s="13"/>
      <c r="AF1055" s="13"/>
      <c r="AG1055" s="13"/>
      <c r="AH1055" s="13"/>
      <c r="AI1055" s="4"/>
      <c r="AJ1055" s="4"/>
      <c r="AK1055" s="4"/>
      <c r="AL1055" s="4"/>
    </row>
    <row r="1056">
      <c r="A1056" s="13"/>
      <c r="B1056" s="13"/>
      <c r="C1056" s="13"/>
      <c r="D1056" s="13"/>
      <c r="E1056" s="13"/>
      <c r="F1056" s="13"/>
      <c r="G1056" s="13"/>
      <c r="H1056" s="13"/>
      <c r="I1056" s="13"/>
      <c r="J1056" s="13"/>
      <c r="K1056" s="13"/>
      <c r="L1056" s="13"/>
      <c r="M1056" s="13"/>
      <c r="N1056" s="13"/>
      <c r="O1056" s="13"/>
      <c r="P1056" s="13"/>
      <c r="Q1056" s="172"/>
      <c r="R1056" s="13"/>
      <c r="S1056" s="13"/>
      <c r="T1056" s="13"/>
      <c r="U1056" s="13"/>
      <c r="V1056" s="13"/>
      <c r="W1056" s="13"/>
      <c r="X1056" s="13"/>
      <c r="Y1056" s="13"/>
      <c r="Z1056" s="13"/>
      <c r="AA1056" s="13"/>
      <c r="AB1056" s="13"/>
      <c r="AC1056" s="13"/>
      <c r="AD1056" s="13"/>
      <c r="AE1056" s="13"/>
      <c r="AF1056" s="13"/>
      <c r="AG1056" s="13"/>
      <c r="AH1056" s="13"/>
      <c r="AI1056" s="4"/>
      <c r="AJ1056" s="4"/>
      <c r="AK1056" s="4"/>
      <c r="AL1056" s="4"/>
    </row>
    <row r="1057">
      <c r="A1057" s="13"/>
      <c r="B1057" s="13"/>
      <c r="C1057" s="13"/>
      <c r="D1057" s="13"/>
      <c r="E1057" s="13"/>
      <c r="F1057" s="13"/>
      <c r="G1057" s="13"/>
      <c r="H1057" s="13"/>
      <c r="I1057" s="13"/>
      <c r="J1057" s="13"/>
      <c r="K1057" s="13"/>
      <c r="L1057" s="13"/>
      <c r="M1057" s="13"/>
      <c r="N1057" s="13"/>
      <c r="O1057" s="13"/>
      <c r="P1057" s="13"/>
      <c r="Q1057" s="172"/>
      <c r="R1057" s="13"/>
      <c r="S1057" s="13"/>
      <c r="T1057" s="13"/>
      <c r="U1057" s="13"/>
      <c r="V1057" s="13"/>
      <c r="W1057" s="13"/>
      <c r="X1057" s="13"/>
      <c r="Y1057" s="13"/>
      <c r="Z1057" s="13"/>
      <c r="AA1057" s="13"/>
      <c r="AB1057" s="13"/>
      <c r="AC1057" s="13"/>
      <c r="AD1057" s="13"/>
      <c r="AE1057" s="13"/>
      <c r="AF1057" s="13"/>
      <c r="AG1057" s="13"/>
      <c r="AH1057" s="13"/>
      <c r="AI1057" s="4"/>
      <c r="AJ1057" s="4"/>
      <c r="AK1057" s="4"/>
      <c r="AL1057" s="4"/>
    </row>
    <row r="1058">
      <c r="A1058" s="13"/>
      <c r="B1058" s="13"/>
      <c r="C1058" s="13"/>
      <c r="D1058" s="13"/>
      <c r="E1058" s="13"/>
      <c r="F1058" s="13"/>
      <c r="G1058" s="13"/>
      <c r="H1058" s="13"/>
      <c r="I1058" s="13"/>
      <c r="J1058" s="13"/>
      <c r="K1058" s="13"/>
      <c r="L1058" s="13"/>
      <c r="M1058" s="13"/>
      <c r="N1058" s="13"/>
      <c r="O1058" s="13"/>
      <c r="P1058" s="13"/>
      <c r="Q1058" s="172"/>
      <c r="R1058" s="13"/>
      <c r="S1058" s="13"/>
      <c r="T1058" s="13"/>
      <c r="U1058" s="13"/>
      <c r="V1058" s="13"/>
      <c r="W1058" s="13"/>
      <c r="X1058" s="13"/>
      <c r="Y1058" s="13"/>
      <c r="Z1058" s="13"/>
      <c r="AA1058" s="13"/>
      <c r="AB1058" s="13"/>
      <c r="AC1058" s="13"/>
      <c r="AD1058" s="13"/>
      <c r="AE1058" s="13"/>
      <c r="AF1058" s="13"/>
      <c r="AG1058" s="13"/>
      <c r="AH1058" s="13"/>
      <c r="AI1058" s="4"/>
      <c r="AJ1058" s="4"/>
      <c r="AK1058" s="4"/>
      <c r="AL1058" s="4"/>
    </row>
    <row r="1059">
      <c r="A1059" s="13"/>
      <c r="B1059" s="13"/>
      <c r="C1059" s="13"/>
      <c r="D1059" s="13"/>
      <c r="E1059" s="13"/>
      <c r="F1059" s="13"/>
      <c r="G1059" s="13"/>
      <c r="H1059" s="13"/>
      <c r="I1059" s="13"/>
      <c r="J1059" s="13"/>
      <c r="K1059" s="13"/>
      <c r="L1059" s="13"/>
      <c r="M1059" s="13"/>
      <c r="N1059" s="13"/>
      <c r="O1059" s="13"/>
      <c r="P1059" s="13"/>
      <c r="Q1059" s="172"/>
      <c r="R1059" s="13"/>
      <c r="S1059" s="13"/>
      <c r="T1059" s="13"/>
      <c r="U1059" s="13"/>
      <c r="V1059" s="13"/>
      <c r="W1059" s="13"/>
      <c r="X1059" s="13"/>
      <c r="Y1059" s="13"/>
      <c r="Z1059" s="13"/>
      <c r="AA1059" s="13"/>
      <c r="AB1059" s="13"/>
      <c r="AC1059" s="13"/>
      <c r="AD1059" s="13"/>
      <c r="AE1059" s="13"/>
      <c r="AF1059" s="13"/>
      <c r="AG1059" s="13"/>
      <c r="AH1059" s="13"/>
      <c r="AI1059" s="4"/>
      <c r="AJ1059" s="4"/>
      <c r="AK1059" s="4"/>
      <c r="AL1059" s="4"/>
    </row>
    <row r="1060">
      <c r="A1060" s="13"/>
      <c r="B1060" s="13"/>
      <c r="C1060" s="13"/>
      <c r="D1060" s="13"/>
      <c r="E1060" s="13"/>
      <c r="F1060" s="13"/>
      <c r="G1060" s="13"/>
      <c r="H1060" s="13"/>
      <c r="I1060" s="13"/>
      <c r="J1060" s="13"/>
      <c r="K1060" s="13"/>
      <c r="L1060" s="13"/>
      <c r="M1060" s="13"/>
      <c r="N1060" s="13"/>
      <c r="O1060" s="13"/>
      <c r="P1060" s="13"/>
      <c r="Q1060" s="172"/>
      <c r="R1060" s="13"/>
      <c r="S1060" s="13"/>
      <c r="T1060" s="13"/>
      <c r="U1060" s="13"/>
      <c r="V1060" s="13"/>
      <c r="W1060" s="13"/>
      <c r="X1060" s="13"/>
      <c r="Y1060" s="13"/>
      <c r="Z1060" s="13"/>
      <c r="AA1060" s="13"/>
      <c r="AB1060" s="13"/>
      <c r="AC1060" s="13"/>
      <c r="AD1060" s="13"/>
      <c r="AE1060" s="13"/>
      <c r="AF1060" s="13"/>
      <c r="AG1060" s="13"/>
      <c r="AH1060" s="13"/>
      <c r="AI1060" s="4"/>
      <c r="AJ1060" s="4"/>
      <c r="AK1060" s="4"/>
      <c r="AL1060" s="4"/>
    </row>
    <row r="1061">
      <c r="A1061" s="13"/>
      <c r="B1061" s="13"/>
      <c r="C1061" s="13"/>
      <c r="D1061" s="13"/>
      <c r="E1061" s="13"/>
      <c r="F1061" s="13"/>
      <c r="G1061" s="13"/>
      <c r="H1061" s="13"/>
      <c r="I1061" s="13"/>
      <c r="J1061" s="13"/>
      <c r="K1061" s="13"/>
      <c r="L1061" s="13"/>
      <c r="M1061" s="13"/>
      <c r="N1061" s="13"/>
      <c r="O1061" s="13"/>
      <c r="P1061" s="13"/>
      <c r="Q1061" s="172"/>
      <c r="R1061" s="13"/>
      <c r="S1061" s="13"/>
      <c r="T1061" s="13"/>
      <c r="U1061" s="13"/>
      <c r="V1061" s="13"/>
      <c r="W1061" s="13"/>
      <c r="X1061" s="13"/>
      <c r="Y1061" s="13"/>
      <c r="Z1061" s="13"/>
      <c r="AA1061" s="13"/>
      <c r="AB1061" s="13"/>
      <c r="AC1061" s="13"/>
      <c r="AD1061" s="13"/>
      <c r="AE1061" s="13"/>
      <c r="AF1061" s="13"/>
      <c r="AG1061" s="13"/>
      <c r="AH1061" s="13"/>
      <c r="AI1061" s="4"/>
      <c r="AJ1061" s="4"/>
      <c r="AK1061" s="4"/>
      <c r="AL1061" s="4"/>
    </row>
    <row r="1062">
      <c r="A1062" s="13"/>
      <c r="B1062" s="13"/>
      <c r="C1062" s="13"/>
      <c r="D1062" s="13"/>
      <c r="E1062" s="13"/>
      <c r="F1062" s="13"/>
      <c r="G1062" s="13"/>
      <c r="H1062" s="13"/>
      <c r="I1062" s="13"/>
      <c r="J1062" s="13"/>
      <c r="K1062" s="13"/>
      <c r="L1062" s="13"/>
      <c r="M1062" s="13"/>
      <c r="N1062" s="13"/>
      <c r="O1062" s="13"/>
      <c r="P1062" s="13"/>
      <c r="Q1062" s="172"/>
      <c r="R1062" s="13"/>
      <c r="S1062" s="13"/>
      <c r="T1062" s="13"/>
      <c r="U1062" s="13"/>
      <c r="V1062" s="13"/>
      <c r="W1062" s="13"/>
      <c r="X1062" s="13"/>
      <c r="Y1062" s="13"/>
      <c r="Z1062" s="13"/>
      <c r="AA1062" s="13"/>
      <c r="AB1062" s="13"/>
      <c r="AC1062" s="13"/>
      <c r="AD1062" s="13"/>
      <c r="AE1062" s="13"/>
      <c r="AF1062" s="13"/>
      <c r="AG1062" s="13"/>
      <c r="AH1062" s="13"/>
      <c r="AI1062" s="4"/>
      <c r="AJ1062" s="4"/>
      <c r="AK1062" s="4"/>
      <c r="AL1062" s="4"/>
    </row>
    <row r="1063">
      <c r="A1063" s="13"/>
      <c r="B1063" s="13"/>
      <c r="C1063" s="13"/>
      <c r="D1063" s="13"/>
      <c r="E1063" s="13"/>
      <c r="F1063" s="13"/>
      <c r="G1063" s="13"/>
      <c r="H1063" s="13"/>
      <c r="I1063" s="13"/>
      <c r="J1063" s="13"/>
      <c r="K1063" s="13"/>
      <c r="L1063" s="13"/>
      <c r="M1063" s="13"/>
      <c r="N1063" s="13"/>
      <c r="O1063" s="13"/>
      <c r="P1063" s="13"/>
      <c r="Q1063" s="172"/>
      <c r="R1063" s="13"/>
      <c r="S1063" s="13"/>
      <c r="T1063" s="13"/>
      <c r="U1063" s="13"/>
      <c r="V1063" s="13"/>
      <c r="W1063" s="13"/>
      <c r="X1063" s="13"/>
      <c r="Y1063" s="13"/>
      <c r="Z1063" s="13"/>
      <c r="AA1063" s="13"/>
      <c r="AB1063" s="13"/>
      <c r="AC1063" s="13"/>
      <c r="AD1063" s="13"/>
      <c r="AE1063" s="13"/>
      <c r="AF1063" s="13"/>
      <c r="AG1063" s="13"/>
      <c r="AH1063" s="13"/>
      <c r="AI1063" s="4"/>
      <c r="AJ1063" s="4"/>
      <c r="AK1063" s="4"/>
      <c r="AL1063" s="4"/>
    </row>
    <row r="1064">
      <c r="A1064" s="13"/>
      <c r="B1064" s="13"/>
      <c r="C1064" s="13"/>
      <c r="D1064" s="13"/>
      <c r="E1064" s="13"/>
      <c r="F1064" s="13"/>
      <c r="G1064" s="13"/>
      <c r="H1064" s="13"/>
      <c r="I1064" s="13"/>
      <c r="J1064" s="13"/>
      <c r="K1064" s="13"/>
      <c r="L1064" s="13"/>
      <c r="M1064" s="13"/>
      <c r="N1064" s="13"/>
      <c r="O1064" s="13"/>
      <c r="P1064" s="13"/>
      <c r="Q1064" s="172"/>
      <c r="R1064" s="13"/>
      <c r="S1064" s="13"/>
      <c r="T1064" s="13"/>
      <c r="U1064" s="13"/>
      <c r="V1064" s="13"/>
      <c r="W1064" s="13"/>
      <c r="X1064" s="13"/>
      <c r="Y1064" s="13"/>
      <c r="Z1064" s="13"/>
      <c r="AA1064" s="13"/>
      <c r="AB1064" s="13"/>
      <c r="AC1064" s="13"/>
      <c r="AD1064" s="13"/>
      <c r="AE1064" s="13"/>
      <c r="AF1064" s="13"/>
      <c r="AG1064" s="13"/>
      <c r="AH1064" s="13"/>
      <c r="AI1064" s="4"/>
      <c r="AJ1064" s="4"/>
      <c r="AK1064" s="4"/>
      <c r="AL1064" s="4"/>
    </row>
    <row r="1065">
      <c r="A1065" s="13"/>
      <c r="B1065" s="13"/>
      <c r="C1065" s="13"/>
      <c r="D1065" s="13"/>
      <c r="E1065" s="13"/>
      <c r="F1065" s="13"/>
      <c r="G1065" s="13"/>
      <c r="H1065" s="13"/>
      <c r="I1065" s="13"/>
      <c r="J1065" s="13"/>
      <c r="K1065" s="13"/>
      <c r="L1065" s="13"/>
      <c r="M1065" s="13"/>
      <c r="N1065" s="13"/>
      <c r="O1065" s="13"/>
      <c r="P1065" s="13"/>
      <c r="Q1065" s="172"/>
      <c r="R1065" s="13"/>
      <c r="S1065" s="13"/>
      <c r="T1065" s="13"/>
      <c r="U1065" s="13"/>
      <c r="V1065" s="13"/>
      <c r="W1065" s="13"/>
      <c r="X1065" s="13"/>
      <c r="Y1065" s="13"/>
      <c r="Z1065" s="13"/>
      <c r="AA1065" s="13"/>
      <c r="AB1065" s="13"/>
      <c r="AC1065" s="13"/>
      <c r="AD1065" s="13"/>
      <c r="AE1065" s="13"/>
      <c r="AF1065" s="13"/>
      <c r="AG1065" s="13"/>
      <c r="AH1065" s="13"/>
      <c r="AI1065" s="4"/>
      <c r="AJ1065" s="4"/>
      <c r="AK1065" s="4"/>
      <c r="AL1065" s="4"/>
    </row>
    <row r="1066">
      <c r="A1066" s="13"/>
      <c r="B1066" s="13"/>
      <c r="C1066" s="13"/>
      <c r="D1066" s="13"/>
      <c r="E1066" s="13"/>
      <c r="F1066" s="13"/>
      <c r="G1066" s="13"/>
      <c r="H1066" s="13"/>
      <c r="I1066" s="13"/>
      <c r="J1066" s="13"/>
      <c r="K1066" s="13"/>
      <c r="L1066" s="13"/>
      <c r="M1066" s="13"/>
      <c r="N1066" s="13"/>
      <c r="O1066" s="13"/>
      <c r="P1066" s="13"/>
      <c r="Q1066" s="172"/>
      <c r="R1066" s="13"/>
      <c r="S1066" s="13"/>
      <c r="T1066" s="13"/>
      <c r="U1066" s="13"/>
      <c r="V1066" s="13"/>
      <c r="W1066" s="13"/>
      <c r="X1066" s="13"/>
      <c r="Y1066" s="13"/>
      <c r="Z1066" s="13"/>
      <c r="AA1066" s="13"/>
      <c r="AB1066" s="13"/>
      <c r="AC1066" s="13"/>
      <c r="AD1066" s="13"/>
      <c r="AE1066" s="13"/>
      <c r="AF1066" s="13"/>
      <c r="AG1066" s="13"/>
      <c r="AH1066" s="13"/>
      <c r="AI1066" s="4"/>
      <c r="AJ1066" s="4"/>
      <c r="AK1066" s="4"/>
      <c r="AL1066" s="4"/>
    </row>
    <row r="1067">
      <c r="A1067" s="13"/>
      <c r="B1067" s="13"/>
      <c r="C1067" s="13"/>
      <c r="D1067" s="13"/>
      <c r="E1067" s="13"/>
      <c r="F1067" s="13"/>
      <c r="G1067" s="13"/>
      <c r="H1067" s="13"/>
      <c r="I1067" s="13"/>
      <c r="J1067" s="13"/>
      <c r="K1067" s="13"/>
      <c r="L1067" s="13"/>
      <c r="M1067" s="13"/>
      <c r="N1067" s="13"/>
      <c r="O1067" s="13"/>
      <c r="P1067" s="13"/>
      <c r="Q1067" s="172"/>
      <c r="R1067" s="13"/>
      <c r="S1067" s="13"/>
      <c r="T1067" s="13"/>
      <c r="U1067" s="13"/>
      <c r="V1067" s="13"/>
      <c r="W1067" s="13"/>
      <c r="X1067" s="13"/>
      <c r="Y1067" s="13"/>
      <c r="Z1067" s="13"/>
      <c r="AA1067" s="13"/>
      <c r="AB1067" s="13"/>
      <c r="AC1067" s="13"/>
      <c r="AD1067" s="13"/>
      <c r="AE1067" s="13"/>
      <c r="AF1067" s="13"/>
      <c r="AG1067" s="13"/>
      <c r="AH1067" s="13"/>
      <c r="AI1067" s="4"/>
      <c r="AJ1067" s="4"/>
      <c r="AK1067" s="4"/>
      <c r="AL1067" s="4"/>
    </row>
    <row r="1068">
      <c r="A1068" s="13"/>
      <c r="B1068" s="13"/>
      <c r="C1068" s="13"/>
      <c r="D1068" s="13"/>
      <c r="E1068" s="13"/>
      <c r="F1068" s="13"/>
      <c r="G1068" s="13"/>
      <c r="H1068" s="13"/>
      <c r="I1068" s="13"/>
      <c r="J1068" s="13"/>
      <c r="K1068" s="13"/>
      <c r="L1068" s="13"/>
      <c r="M1068" s="13"/>
      <c r="N1068" s="13"/>
      <c r="O1068" s="13"/>
      <c r="P1068" s="13"/>
      <c r="Q1068" s="172"/>
      <c r="R1068" s="13"/>
      <c r="S1068" s="13"/>
      <c r="T1068" s="13"/>
      <c r="U1068" s="13"/>
      <c r="V1068" s="13"/>
      <c r="W1068" s="13"/>
      <c r="X1068" s="13"/>
      <c r="Y1068" s="13"/>
      <c r="Z1068" s="13"/>
      <c r="AA1068" s="13"/>
      <c r="AB1068" s="13"/>
      <c r="AC1068" s="13"/>
      <c r="AD1068" s="13"/>
      <c r="AE1068" s="13"/>
      <c r="AF1068" s="13"/>
      <c r="AG1068" s="13"/>
      <c r="AH1068" s="13"/>
      <c r="AI1068" s="4"/>
      <c r="AJ1068" s="4"/>
      <c r="AK1068" s="4"/>
      <c r="AL1068" s="4"/>
    </row>
    <row r="1069">
      <c r="A1069" s="13"/>
      <c r="B1069" s="13"/>
      <c r="C1069" s="13"/>
      <c r="D1069" s="13"/>
      <c r="E1069" s="13"/>
      <c r="F1069" s="13"/>
      <c r="G1069" s="13"/>
      <c r="H1069" s="13"/>
      <c r="I1069" s="13"/>
      <c r="J1069" s="13"/>
      <c r="K1069" s="13"/>
      <c r="L1069" s="13"/>
      <c r="M1069" s="13"/>
      <c r="N1069" s="13"/>
      <c r="O1069" s="13"/>
      <c r="P1069" s="13"/>
      <c r="Q1069" s="172"/>
      <c r="R1069" s="13"/>
      <c r="S1069" s="13"/>
      <c r="T1069" s="13"/>
      <c r="U1069" s="13"/>
      <c r="V1069" s="13"/>
      <c r="W1069" s="13"/>
      <c r="X1069" s="13"/>
      <c r="Y1069" s="13"/>
      <c r="Z1069" s="13"/>
      <c r="AA1069" s="13"/>
      <c r="AB1069" s="13"/>
      <c r="AC1069" s="13"/>
      <c r="AD1069" s="13"/>
      <c r="AE1069" s="13"/>
      <c r="AF1069" s="13"/>
      <c r="AG1069" s="13"/>
      <c r="AH1069" s="13"/>
      <c r="AI1069" s="4"/>
      <c r="AJ1069" s="4"/>
      <c r="AK1069" s="4"/>
      <c r="AL1069" s="4"/>
    </row>
    <row r="1070">
      <c r="A1070" s="13"/>
      <c r="B1070" s="13"/>
      <c r="C1070" s="13"/>
      <c r="D1070" s="13"/>
      <c r="E1070" s="13"/>
      <c r="F1070" s="13"/>
      <c r="G1070" s="13"/>
      <c r="H1070" s="13"/>
      <c r="I1070" s="13"/>
      <c r="J1070" s="13"/>
      <c r="K1070" s="13"/>
      <c r="L1070" s="13"/>
      <c r="M1070" s="13"/>
      <c r="N1070" s="13"/>
      <c r="O1070" s="13"/>
      <c r="P1070" s="13"/>
      <c r="Q1070" s="172"/>
      <c r="R1070" s="13"/>
      <c r="S1070" s="13"/>
      <c r="T1070" s="13"/>
      <c r="U1070" s="13"/>
      <c r="V1070" s="13"/>
      <c r="W1070" s="13"/>
      <c r="X1070" s="13"/>
      <c r="Y1070" s="13"/>
      <c r="Z1070" s="13"/>
      <c r="AA1070" s="13"/>
      <c r="AB1070" s="13"/>
      <c r="AC1070" s="13"/>
      <c r="AD1070" s="13"/>
      <c r="AE1070" s="13"/>
      <c r="AF1070" s="13"/>
      <c r="AG1070" s="13"/>
      <c r="AH1070" s="13"/>
      <c r="AI1070" s="4"/>
      <c r="AJ1070" s="4"/>
      <c r="AK1070" s="4"/>
      <c r="AL1070" s="4"/>
    </row>
    <row r="1071">
      <c r="A1071" s="13"/>
      <c r="B1071" s="13"/>
      <c r="C1071" s="13"/>
      <c r="D1071" s="13"/>
      <c r="E1071" s="13"/>
      <c r="F1071" s="13"/>
      <c r="G1071" s="13"/>
      <c r="H1071" s="13"/>
      <c r="I1071" s="13"/>
      <c r="J1071" s="13"/>
      <c r="K1071" s="13"/>
      <c r="L1071" s="13"/>
      <c r="M1071" s="13"/>
      <c r="N1071" s="13"/>
      <c r="O1071" s="13"/>
      <c r="P1071" s="13"/>
      <c r="Q1071" s="172"/>
      <c r="R1071" s="13"/>
      <c r="S1071" s="13"/>
      <c r="T1071" s="13"/>
      <c r="U1071" s="13"/>
      <c r="V1071" s="13"/>
      <c r="W1071" s="13"/>
      <c r="X1071" s="13"/>
      <c r="Y1071" s="13"/>
      <c r="Z1071" s="13"/>
      <c r="AA1071" s="13"/>
      <c r="AB1071" s="13"/>
      <c r="AC1071" s="13"/>
      <c r="AD1071" s="13"/>
      <c r="AE1071" s="13"/>
      <c r="AF1071" s="13"/>
      <c r="AG1071" s="13"/>
      <c r="AH1071" s="13"/>
      <c r="AI1071" s="4"/>
      <c r="AJ1071" s="4"/>
      <c r="AK1071" s="4"/>
      <c r="AL1071" s="4"/>
    </row>
    <row r="1072">
      <c r="A1072" s="13"/>
      <c r="B1072" s="13"/>
      <c r="C1072" s="13"/>
      <c r="D1072" s="13"/>
      <c r="E1072" s="13"/>
      <c r="F1072" s="13"/>
      <c r="G1072" s="13"/>
      <c r="H1072" s="13"/>
      <c r="I1072" s="13"/>
      <c r="J1072" s="13"/>
      <c r="K1072" s="13"/>
      <c r="L1072" s="13"/>
      <c r="M1072" s="13"/>
      <c r="N1072" s="13"/>
      <c r="O1072" s="13"/>
      <c r="P1072" s="13"/>
      <c r="Q1072" s="172"/>
      <c r="R1072" s="13"/>
      <c r="S1072" s="13"/>
      <c r="T1072" s="13"/>
      <c r="U1072" s="13"/>
      <c r="V1072" s="13"/>
      <c r="W1072" s="13"/>
      <c r="X1072" s="13"/>
      <c r="Y1072" s="13"/>
      <c r="Z1072" s="13"/>
      <c r="AA1072" s="13"/>
      <c r="AB1072" s="13"/>
      <c r="AC1072" s="13"/>
      <c r="AD1072" s="13"/>
      <c r="AE1072" s="13"/>
      <c r="AF1072" s="13"/>
      <c r="AG1072" s="13"/>
      <c r="AH1072" s="13"/>
      <c r="AI1072" s="4"/>
      <c r="AJ1072" s="4"/>
      <c r="AK1072" s="4"/>
      <c r="AL1072" s="4"/>
    </row>
    <row r="1073">
      <c r="A1073" s="13"/>
      <c r="B1073" s="13"/>
      <c r="C1073" s="13"/>
      <c r="D1073" s="13"/>
      <c r="E1073" s="13"/>
      <c r="F1073" s="13"/>
      <c r="G1073" s="13"/>
      <c r="H1073" s="13"/>
      <c r="I1073" s="13"/>
      <c r="J1073" s="13"/>
      <c r="K1073" s="13"/>
      <c r="L1073" s="13"/>
      <c r="M1073" s="13"/>
      <c r="N1073" s="13"/>
      <c r="O1073" s="13"/>
      <c r="P1073" s="13"/>
      <c r="Q1073" s="172"/>
      <c r="R1073" s="13"/>
      <c r="S1073" s="13"/>
      <c r="T1073" s="13"/>
      <c r="U1073" s="13"/>
      <c r="V1073" s="13"/>
      <c r="W1073" s="13"/>
      <c r="X1073" s="13"/>
      <c r="Y1073" s="13"/>
      <c r="Z1073" s="13"/>
      <c r="AA1073" s="13"/>
      <c r="AB1073" s="13"/>
      <c r="AC1073" s="13"/>
      <c r="AD1073" s="13"/>
      <c r="AE1073" s="13"/>
      <c r="AF1073" s="13"/>
      <c r="AG1073" s="13"/>
      <c r="AH1073" s="13"/>
      <c r="AI1073" s="4"/>
      <c r="AJ1073" s="4"/>
      <c r="AK1073" s="4"/>
      <c r="AL1073" s="4"/>
    </row>
    <row r="1074">
      <c r="A1074" s="13"/>
      <c r="B1074" s="13"/>
      <c r="C1074" s="13"/>
      <c r="D1074" s="13"/>
      <c r="E1074" s="13"/>
      <c r="F1074" s="13"/>
      <c r="G1074" s="13"/>
      <c r="H1074" s="13"/>
      <c r="I1074" s="13"/>
      <c r="J1074" s="13"/>
      <c r="K1074" s="13"/>
      <c r="L1074" s="13"/>
      <c r="M1074" s="13"/>
      <c r="N1074" s="13"/>
      <c r="O1074" s="13"/>
      <c r="P1074" s="13"/>
      <c r="Q1074" s="172"/>
      <c r="R1074" s="13"/>
      <c r="S1074" s="13"/>
      <c r="T1074" s="13"/>
      <c r="U1074" s="13"/>
      <c r="V1074" s="13"/>
      <c r="W1074" s="13"/>
      <c r="X1074" s="13"/>
      <c r="Y1074" s="13"/>
      <c r="Z1074" s="13"/>
      <c r="AA1074" s="13"/>
      <c r="AB1074" s="13"/>
      <c r="AC1074" s="13"/>
      <c r="AD1074" s="13"/>
      <c r="AE1074" s="13"/>
      <c r="AF1074" s="13"/>
      <c r="AG1074" s="13"/>
      <c r="AH1074" s="13"/>
      <c r="AI1074" s="4"/>
      <c r="AJ1074" s="4"/>
      <c r="AK1074" s="4"/>
      <c r="AL1074" s="4"/>
    </row>
    <row r="1075">
      <c r="A1075" s="13"/>
      <c r="B1075" s="13"/>
      <c r="C1075" s="13"/>
      <c r="D1075" s="13"/>
      <c r="E1075" s="13"/>
      <c r="F1075" s="13"/>
      <c r="G1075" s="13"/>
      <c r="H1075" s="13"/>
      <c r="I1075" s="13"/>
      <c r="J1075" s="13"/>
      <c r="K1075" s="13"/>
      <c r="L1075" s="13"/>
      <c r="M1075" s="13"/>
      <c r="N1075" s="13"/>
      <c r="O1075" s="13"/>
      <c r="P1075" s="13"/>
      <c r="Q1075" s="172"/>
      <c r="R1075" s="13"/>
      <c r="S1075" s="13"/>
      <c r="T1075" s="13"/>
      <c r="U1075" s="13"/>
      <c r="V1075" s="13"/>
      <c r="W1075" s="13"/>
      <c r="X1075" s="13"/>
      <c r="Y1075" s="13"/>
      <c r="Z1075" s="13"/>
      <c r="AA1075" s="13"/>
      <c r="AB1075" s="13"/>
      <c r="AC1075" s="13"/>
      <c r="AD1075" s="13"/>
      <c r="AE1075" s="13"/>
      <c r="AF1075" s="13"/>
      <c r="AG1075" s="13"/>
      <c r="AH1075" s="13"/>
      <c r="AI1075" s="4"/>
      <c r="AJ1075" s="4"/>
      <c r="AK1075" s="4"/>
      <c r="AL1075" s="4"/>
    </row>
    <row r="1076">
      <c r="A1076" s="13"/>
      <c r="B1076" s="13"/>
      <c r="C1076" s="13"/>
      <c r="D1076" s="13"/>
      <c r="E1076" s="13"/>
      <c r="F1076" s="13"/>
      <c r="G1076" s="13"/>
      <c r="H1076" s="13"/>
      <c r="I1076" s="13"/>
      <c r="J1076" s="13"/>
      <c r="K1076" s="13"/>
      <c r="L1076" s="13"/>
      <c r="M1076" s="13"/>
      <c r="N1076" s="13"/>
      <c r="O1076" s="13"/>
      <c r="P1076" s="13"/>
      <c r="Q1076" s="172"/>
      <c r="R1076" s="13"/>
      <c r="S1076" s="13"/>
      <c r="T1076" s="13"/>
      <c r="U1076" s="13"/>
      <c r="V1076" s="13"/>
      <c r="W1076" s="13"/>
      <c r="X1076" s="13"/>
      <c r="Y1076" s="13"/>
      <c r="Z1076" s="13"/>
      <c r="AA1076" s="13"/>
      <c r="AB1076" s="13"/>
      <c r="AC1076" s="13"/>
      <c r="AD1076" s="13"/>
      <c r="AE1076" s="13"/>
      <c r="AF1076" s="13"/>
      <c r="AG1076" s="13"/>
      <c r="AH1076" s="13"/>
      <c r="AI1076" s="4"/>
      <c r="AJ1076" s="4"/>
      <c r="AK1076" s="4"/>
      <c r="AL1076" s="4"/>
    </row>
    <row r="1077">
      <c r="A1077" s="13"/>
      <c r="B1077" s="13"/>
      <c r="C1077" s="13"/>
      <c r="D1077" s="13"/>
      <c r="E1077" s="13"/>
      <c r="F1077" s="13"/>
      <c r="G1077" s="13"/>
      <c r="H1077" s="13"/>
      <c r="I1077" s="13"/>
      <c r="J1077" s="13"/>
      <c r="K1077" s="13"/>
      <c r="L1077" s="13"/>
      <c r="M1077" s="13"/>
      <c r="N1077" s="13"/>
      <c r="O1077" s="13"/>
      <c r="P1077" s="13"/>
      <c r="Q1077" s="172"/>
      <c r="R1077" s="13"/>
      <c r="S1077" s="13"/>
      <c r="T1077" s="13"/>
      <c r="U1077" s="13"/>
      <c r="V1077" s="13"/>
      <c r="W1077" s="13"/>
      <c r="X1077" s="13"/>
      <c r="Y1077" s="13"/>
      <c r="Z1077" s="13"/>
      <c r="AA1077" s="13"/>
      <c r="AB1077" s="13"/>
      <c r="AC1077" s="13"/>
      <c r="AD1077" s="13"/>
      <c r="AE1077" s="13"/>
      <c r="AF1077" s="13"/>
      <c r="AG1077" s="13"/>
      <c r="AH1077" s="13"/>
      <c r="AI1077" s="4"/>
      <c r="AJ1077" s="4"/>
      <c r="AK1077" s="4"/>
      <c r="AL1077" s="4"/>
    </row>
    <row r="1078">
      <c r="A1078" s="13"/>
      <c r="B1078" s="13"/>
      <c r="C1078" s="13"/>
      <c r="D1078" s="13"/>
      <c r="E1078" s="13"/>
      <c r="F1078" s="13"/>
      <c r="G1078" s="13"/>
      <c r="H1078" s="13"/>
      <c r="I1078" s="13"/>
      <c r="J1078" s="13"/>
      <c r="K1078" s="13"/>
      <c r="L1078" s="13"/>
      <c r="M1078" s="13"/>
      <c r="N1078" s="13"/>
      <c r="O1078" s="13"/>
      <c r="P1078" s="13"/>
      <c r="Q1078" s="172"/>
      <c r="R1078" s="13"/>
      <c r="S1078" s="13"/>
      <c r="T1078" s="13"/>
      <c r="U1078" s="13"/>
      <c r="V1078" s="13"/>
      <c r="W1078" s="13"/>
      <c r="X1078" s="13"/>
      <c r="Y1078" s="13"/>
      <c r="Z1078" s="13"/>
      <c r="AA1078" s="13"/>
      <c r="AB1078" s="13"/>
      <c r="AC1078" s="13"/>
      <c r="AD1078" s="13"/>
      <c r="AE1078" s="13"/>
      <c r="AF1078" s="13"/>
      <c r="AG1078" s="13"/>
      <c r="AH1078" s="13"/>
      <c r="AI1078" s="4"/>
      <c r="AJ1078" s="4"/>
      <c r="AK1078" s="4"/>
      <c r="AL1078" s="4"/>
    </row>
    <row r="1079">
      <c r="A1079" s="13"/>
      <c r="B1079" s="13"/>
      <c r="C1079" s="13"/>
      <c r="D1079" s="13"/>
      <c r="E1079" s="13"/>
      <c r="F1079" s="13"/>
      <c r="G1079" s="13"/>
      <c r="H1079" s="13"/>
      <c r="I1079" s="13"/>
      <c r="J1079" s="13"/>
      <c r="K1079" s="13"/>
      <c r="L1079" s="13"/>
      <c r="M1079" s="13"/>
      <c r="N1079" s="13"/>
      <c r="O1079" s="13"/>
      <c r="P1079" s="13"/>
      <c r="Q1079" s="172"/>
      <c r="R1079" s="13"/>
      <c r="S1079" s="13"/>
      <c r="T1079" s="13"/>
      <c r="U1079" s="13"/>
      <c r="V1079" s="13"/>
      <c r="W1079" s="13"/>
      <c r="X1079" s="13"/>
      <c r="Y1079" s="13"/>
      <c r="Z1079" s="13"/>
      <c r="AA1079" s="13"/>
      <c r="AB1079" s="13"/>
      <c r="AC1079" s="13"/>
      <c r="AD1079" s="13"/>
      <c r="AE1079" s="13"/>
      <c r="AF1079" s="13"/>
      <c r="AG1079" s="13"/>
      <c r="AH1079" s="13"/>
      <c r="AI1079" s="4"/>
      <c r="AJ1079" s="4"/>
      <c r="AK1079" s="4"/>
      <c r="AL1079" s="4"/>
    </row>
    <row r="1080">
      <c r="A1080" s="13"/>
      <c r="B1080" s="13"/>
      <c r="C1080" s="13"/>
      <c r="D1080" s="13"/>
      <c r="E1080" s="13"/>
      <c r="F1080" s="13"/>
      <c r="G1080" s="13"/>
      <c r="H1080" s="13"/>
      <c r="I1080" s="13"/>
      <c r="J1080" s="13"/>
      <c r="K1080" s="13"/>
      <c r="L1080" s="13"/>
      <c r="M1080" s="13"/>
      <c r="N1080" s="13"/>
      <c r="O1080" s="13"/>
      <c r="P1080" s="13"/>
      <c r="Q1080" s="172"/>
      <c r="R1080" s="13"/>
      <c r="S1080" s="13"/>
      <c r="T1080" s="13"/>
      <c r="U1080" s="13"/>
      <c r="V1080" s="13"/>
      <c r="W1080" s="13"/>
      <c r="X1080" s="13"/>
      <c r="Y1080" s="13"/>
      <c r="Z1080" s="13"/>
      <c r="AA1080" s="13"/>
      <c r="AB1080" s="13"/>
      <c r="AC1080" s="13"/>
      <c r="AD1080" s="13"/>
      <c r="AE1080" s="13"/>
      <c r="AF1080" s="13"/>
      <c r="AG1080" s="13"/>
      <c r="AH1080" s="13"/>
      <c r="AI1080" s="4"/>
      <c r="AJ1080" s="4"/>
      <c r="AK1080" s="4"/>
      <c r="AL1080" s="4"/>
    </row>
    <row r="1081">
      <c r="A1081" s="13"/>
      <c r="B1081" s="13"/>
      <c r="C1081" s="13"/>
      <c r="D1081" s="13"/>
      <c r="E1081" s="13"/>
      <c r="F1081" s="13"/>
      <c r="G1081" s="13"/>
      <c r="H1081" s="13"/>
      <c r="I1081" s="13"/>
      <c r="J1081" s="13"/>
      <c r="K1081" s="13"/>
      <c r="L1081" s="13"/>
      <c r="M1081" s="13"/>
      <c r="N1081" s="13"/>
      <c r="O1081" s="13"/>
      <c r="P1081" s="13"/>
      <c r="Q1081" s="172"/>
      <c r="R1081" s="13"/>
      <c r="S1081" s="13"/>
      <c r="T1081" s="13"/>
      <c r="U1081" s="13"/>
      <c r="V1081" s="13"/>
      <c r="W1081" s="13"/>
      <c r="X1081" s="13"/>
      <c r="Y1081" s="13"/>
      <c r="Z1081" s="13"/>
      <c r="AA1081" s="13"/>
      <c r="AB1081" s="13"/>
      <c r="AC1081" s="13"/>
      <c r="AD1081" s="13"/>
      <c r="AE1081" s="13"/>
      <c r="AF1081" s="13"/>
      <c r="AG1081" s="13"/>
      <c r="AH1081" s="13"/>
      <c r="AI1081" s="4"/>
      <c r="AJ1081" s="4"/>
      <c r="AK1081" s="4"/>
      <c r="AL1081" s="4"/>
    </row>
    <row r="1082">
      <c r="A1082" s="13"/>
      <c r="B1082" s="13"/>
      <c r="C1082" s="13"/>
      <c r="D1082" s="13"/>
      <c r="E1082" s="13"/>
      <c r="F1082" s="13"/>
      <c r="G1082" s="13"/>
      <c r="H1082" s="13"/>
      <c r="I1082" s="13"/>
      <c r="J1082" s="13"/>
      <c r="K1082" s="13"/>
      <c r="L1082" s="13"/>
      <c r="M1082" s="13"/>
      <c r="N1082" s="13"/>
      <c r="O1082" s="13"/>
      <c r="P1082" s="13"/>
      <c r="Q1082" s="172"/>
      <c r="R1082" s="13"/>
      <c r="S1082" s="13"/>
      <c r="T1082" s="13"/>
      <c r="U1082" s="13"/>
      <c r="V1082" s="13"/>
      <c r="W1082" s="13"/>
      <c r="X1082" s="13"/>
      <c r="Y1082" s="13"/>
      <c r="Z1082" s="13"/>
      <c r="AA1082" s="13"/>
      <c r="AB1082" s="13"/>
      <c r="AC1082" s="13"/>
      <c r="AD1082" s="13"/>
      <c r="AE1082" s="13"/>
      <c r="AF1082" s="13"/>
      <c r="AG1082" s="13"/>
      <c r="AH1082" s="13"/>
      <c r="AI1082" s="4"/>
      <c r="AJ1082" s="4"/>
      <c r="AK1082" s="4"/>
      <c r="AL1082" s="4"/>
    </row>
    <row r="1083">
      <c r="A1083" s="13"/>
      <c r="B1083" s="13"/>
      <c r="C1083" s="13"/>
      <c r="D1083" s="13"/>
      <c r="E1083" s="13"/>
      <c r="F1083" s="13"/>
      <c r="G1083" s="13"/>
      <c r="H1083" s="13"/>
      <c r="I1083" s="13"/>
      <c r="J1083" s="13"/>
      <c r="K1083" s="13"/>
      <c r="L1083" s="13"/>
      <c r="M1083" s="13"/>
      <c r="N1083" s="13"/>
      <c r="O1083" s="13"/>
      <c r="P1083" s="13"/>
      <c r="Q1083" s="172"/>
      <c r="R1083" s="13"/>
      <c r="S1083" s="13"/>
      <c r="T1083" s="13"/>
      <c r="U1083" s="13"/>
      <c r="V1083" s="13"/>
      <c r="W1083" s="13"/>
      <c r="X1083" s="13"/>
      <c r="Y1083" s="13"/>
      <c r="Z1083" s="13"/>
      <c r="AA1083" s="13"/>
      <c r="AB1083" s="13"/>
      <c r="AC1083" s="13"/>
      <c r="AD1083" s="13"/>
      <c r="AE1083" s="13"/>
      <c r="AF1083" s="13"/>
      <c r="AG1083" s="13"/>
      <c r="AH1083" s="13"/>
      <c r="AI1083" s="4"/>
      <c r="AJ1083" s="4"/>
      <c r="AK1083" s="4"/>
      <c r="AL1083" s="4"/>
    </row>
    <row r="1084">
      <c r="A1084" s="13"/>
      <c r="B1084" s="13"/>
      <c r="C1084" s="13"/>
      <c r="D1084" s="13"/>
      <c r="E1084" s="13"/>
      <c r="F1084" s="13"/>
      <c r="G1084" s="13"/>
      <c r="H1084" s="13"/>
      <c r="I1084" s="13"/>
      <c r="J1084" s="13"/>
      <c r="K1084" s="13"/>
      <c r="L1084" s="13"/>
      <c r="M1084" s="13"/>
      <c r="N1084" s="13"/>
      <c r="O1084" s="13"/>
      <c r="P1084" s="13"/>
      <c r="Q1084" s="172"/>
      <c r="R1084" s="13"/>
      <c r="S1084" s="13"/>
      <c r="T1084" s="13"/>
      <c r="U1084" s="13"/>
      <c r="V1084" s="13"/>
      <c r="W1084" s="13"/>
      <c r="X1084" s="13"/>
      <c r="Y1084" s="13"/>
      <c r="Z1084" s="13"/>
      <c r="AA1084" s="13"/>
      <c r="AB1084" s="13"/>
      <c r="AC1084" s="13"/>
      <c r="AD1084" s="13"/>
      <c r="AE1084" s="13"/>
      <c r="AF1084" s="13"/>
      <c r="AG1084" s="13"/>
      <c r="AH1084" s="13"/>
      <c r="AI1084" s="4"/>
      <c r="AJ1084" s="4"/>
      <c r="AK1084" s="4"/>
      <c r="AL1084" s="4"/>
    </row>
    <row r="1085">
      <c r="A1085" s="13"/>
      <c r="B1085" s="13"/>
      <c r="C1085" s="13"/>
      <c r="D1085" s="13"/>
      <c r="E1085" s="13"/>
      <c r="F1085" s="13"/>
      <c r="G1085" s="13"/>
      <c r="H1085" s="13"/>
      <c r="I1085" s="13"/>
      <c r="J1085" s="13"/>
      <c r="K1085" s="13"/>
      <c r="L1085" s="13"/>
      <c r="M1085" s="13"/>
      <c r="N1085" s="13"/>
      <c r="O1085" s="13"/>
      <c r="P1085" s="13"/>
      <c r="Q1085" s="172"/>
      <c r="R1085" s="13"/>
      <c r="S1085" s="13"/>
      <c r="T1085" s="13"/>
      <c r="U1085" s="13"/>
      <c r="V1085" s="13"/>
      <c r="W1085" s="13"/>
      <c r="X1085" s="13"/>
      <c r="Y1085" s="13"/>
      <c r="Z1085" s="13"/>
      <c r="AA1085" s="13"/>
      <c r="AB1085" s="13"/>
      <c r="AC1085" s="13"/>
      <c r="AD1085" s="13"/>
      <c r="AE1085" s="13"/>
      <c r="AF1085" s="13"/>
      <c r="AG1085" s="13"/>
      <c r="AH1085" s="13"/>
      <c r="AI1085" s="4"/>
      <c r="AJ1085" s="4"/>
      <c r="AK1085" s="4"/>
      <c r="AL1085" s="4"/>
    </row>
    <row r="1086">
      <c r="A1086" s="13"/>
      <c r="B1086" s="13"/>
      <c r="C1086" s="13"/>
      <c r="D1086" s="13"/>
      <c r="E1086" s="13"/>
      <c r="F1086" s="13"/>
      <c r="G1086" s="13"/>
      <c r="H1086" s="13"/>
      <c r="I1086" s="13"/>
      <c r="J1086" s="13"/>
      <c r="K1086" s="13"/>
      <c r="L1086" s="13"/>
      <c r="M1086" s="13"/>
      <c r="N1086" s="13"/>
      <c r="O1086" s="13"/>
      <c r="P1086" s="13"/>
      <c r="Q1086" s="172"/>
      <c r="R1086" s="13"/>
      <c r="S1086" s="13"/>
      <c r="T1086" s="13"/>
      <c r="U1086" s="13"/>
      <c r="V1086" s="13"/>
      <c r="W1086" s="13"/>
      <c r="X1086" s="13"/>
      <c r="Y1086" s="13"/>
      <c r="Z1086" s="13"/>
      <c r="AA1086" s="13"/>
      <c r="AB1086" s="13"/>
      <c r="AC1086" s="13"/>
      <c r="AD1086" s="13"/>
      <c r="AE1086" s="13"/>
      <c r="AF1086" s="13"/>
      <c r="AG1086" s="13"/>
      <c r="AH1086" s="13"/>
      <c r="AI1086" s="4"/>
      <c r="AJ1086" s="4"/>
      <c r="AK1086" s="4"/>
      <c r="AL1086" s="4"/>
    </row>
    <row r="1087">
      <c r="A1087" s="13"/>
      <c r="B1087" s="13"/>
      <c r="C1087" s="13"/>
      <c r="D1087" s="13"/>
      <c r="E1087" s="13"/>
      <c r="F1087" s="13"/>
      <c r="G1087" s="13"/>
      <c r="H1087" s="13"/>
      <c r="I1087" s="13"/>
      <c r="J1087" s="13"/>
      <c r="K1087" s="13"/>
      <c r="L1087" s="13"/>
      <c r="M1087" s="13"/>
      <c r="N1087" s="13"/>
      <c r="O1087" s="13"/>
      <c r="P1087" s="13"/>
      <c r="Q1087" s="172"/>
      <c r="R1087" s="13"/>
      <c r="S1087" s="13"/>
      <c r="T1087" s="13"/>
      <c r="U1087" s="13"/>
      <c r="V1087" s="13"/>
      <c r="W1087" s="13"/>
      <c r="X1087" s="13"/>
      <c r="Y1087" s="13"/>
      <c r="Z1087" s="13"/>
      <c r="AA1087" s="13"/>
      <c r="AB1087" s="13"/>
      <c r="AC1087" s="13"/>
      <c r="AD1087" s="13"/>
      <c r="AE1087" s="13"/>
      <c r="AF1087" s="13"/>
      <c r="AG1087" s="13"/>
      <c r="AH1087" s="13"/>
      <c r="AI1087" s="4"/>
      <c r="AJ1087" s="4"/>
      <c r="AK1087" s="4"/>
      <c r="AL1087" s="4"/>
    </row>
    <row r="1088">
      <c r="A1088" s="13"/>
      <c r="B1088" s="13"/>
      <c r="C1088" s="13"/>
      <c r="D1088" s="13"/>
      <c r="E1088" s="13"/>
      <c r="F1088" s="13"/>
      <c r="G1088" s="13"/>
      <c r="H1088" s="13"/>
      <c r="I1088" s="13"/>
      <c r="J1088" s="13"/>
      <c r="K1088" s="13"/>
      <c r="L1088" s="13"/>
      <c r="M1088" s="13"/>
      <c r="N1088" s="13"/>
      <c r="O1088" s="13"/>
      <c r="P1088" s="13"/>
      <c r="Q1088" s="172"/>
      <c r="R1088" s="13"/>
      <c r="S1088" s="13"/>
      <c r="T1088" s="13"/>
      <c r="U1088" s="13"/>
      <c r="V1088" s="13"/>
      <c r="W1088" s="13"/>
      <c r="X1088" s="13"/>
      <c r="Y1088" s="13"/>
      <c r="Z1088" s="13"/>
      <c r="AA1088" s="13"/>
      <c r="AB1088" s="13"/>
      <c r="AC1088" s="13"/>
      <c r="AD1088" s="13"/>
      <c r="AE1088" s="13"/>
      <c r="AF1088" s="13"/>
      <c r="AG1088" s="13"/>
      <c r="AH1088" s="13"/>
      <c r="AI1088" s="4"/>
      <c r="AJ1088" s="4"/>
      <c r="AK1088" s="4"/>
      <c r="AL1088" s="4"/>
    </row>
    <row r="1089">
      <c r="A1089" s="13"/>
      <c r="B1089" s="13"/>
      <c r="C1089" s="13"/>
      <c r="D1089" s="13"/>
      <c r="E1089" s="13"/>
      <c r="F1089" s="13"/>
      <c r="G1089" s="13"/>
      <c r="H1089" s="13"/>
      <c r="I1089" s="13"/>
      <c r="J1089" s="13"/>
      <c r="K1089" s="13"/>
      <c r="L1089" s="13"/>
      <c r="M1089" s="13"/>
      <c r="N1089" s="13"/>
      <c r="O1089" s="13"/>
      <c r="P1089" s="13"/>
      <c r="Q1089" s="172"/>
      <c r="R1089" s="13"/>
      <c r="S1089" s="13"/>
      <c r="T1089" s="13"/>
      <c r="U1089" s="13"/>
      <c r="V1089" s="13"/>
      <c r="W1089" s="13"/>
      <c r="X1089" s="13"/>
      <c r="Y1089" s="13"/>
      <c r="Z1089" s="13"/>
      <c r="AA1089" s="13"/>
      <c r="AB1089" s="13"/>
      <c r="AC1089" s="13"/>
      <c r="AD1089" s="13"/>
      <c r="AE1089" s="13"/>
      <c r="AF1089" s="13"/>
      <c r="AG1089" s="13"/>
      <c r="AH1089" s="13"/>
      <c r="AI1089" s="4"/>
      <c r="AJ1089" s="4"/>
      <c r="AK1089" s="4"/>
      <c r="AL1089" s="4"/>
    </row>
    <row r="1090">
      <c r="A1090" s="13"/>
      <c r="B1090" s="13"/>
      <c r="C1090" s="13"/>
      <c r="D1090" s="13"/>
      <c r="E1090" s="13"/>
      <c r="F1090" s="13"/>
      <c r="G1090" s="13"/>
      <c r="H1090" s="13"/>
      <c r="I1090" s="13"/>
      <c r="J1090" s="13"/>
      <c r="K1090" s="13"/>
      <c r="L1090" s="13"/>
      <c r="M1090" s="13"/>
      <c r="N1090" s="13"/>
      <c r="O1090" s="13"/>
      <c r="P1090" s="13"/>
      <c r="Q1090" s="172"/>
      <c r="R1090" s="13"/>
      <c r="S1090" s="13"/>
      <c r="T1090" s="13"/>
      <c r="U1090" s="13"/>
      <c r="V1090" s="13"/>
      <c r="W1090" s="13"/>
      <c r="X1090" s="13"/>
      <c r="Y1090" s="13"/>
      <c r="Z1090" s="13"/>
      <c r="AA1090" s="13"/>
      <c r="AB1090" s="13"/>
      <c r="AC1090" s="13"/>
      <c r="AD1090" s="13"/>
      <c r="AE1090" s="13"/>
      <c r="AF1090" s="13"/>
      <c r="AG1090" s="13"/>
      <c r="AH1090" s="13"/>
      <c r="AI1090" s="4"/>
      <c r="AJ1090" s="4"/>
      <c r="AK1090" s="4"/>
      <c r="AL1090" s="4"/>
    </row>
    <row r="1091">
      <c r="A1091" s="13"/>
      <c r="B1091" s="13"/>
      <c r="C1091" s="13"/>
      <c r="D1091" s="13"/>
      <c r="E1091" s="13"/>
      <c r="F1091" s="13"/>
      <c r="G1091" s="13"/>
      <c r="H1091" s="13"/>
      <c r="I1091" s="13"/>
      <c r="J1091" s="13"/>
      <c r="K1091" s="13"/>
      <c r="L1091" s="13"/>
      <c r="M1091" s="13"/>
      <c r="N1091" s="13"/>
      <c r="O1091" s="13"/>
      <c r="P1091" s="13"/>
      <c r="Q1091" s="172"/>
      <c r="R1091" s="13"/>
      <c r="S1091" s="13"/>
      <c r="T1091" s="13"/>
      <c r="U1091" s="13"/>
      <c r="V1091" s="13"/>
      <c r="W1091" s="13"/>
      <c r="X1091" s="13"/>
      <c r="Y1091" s="13"/>
      <c r="Z1091" s="13"/>
      <c r="AA1091" s="13"/>
      <c r="AB1091" s="13"/>
      <c r="AC1091" s="13"/>
      <c r="AD1091" s="13"/>
      <c r="AE1091" s="13"/>
      <c r="AF1091" s="13"/>
      <c r="AG1091" s="13"/>
      <c r="AH1091" s="13"/>
      <c r="AI1091" s="4"/>
      <c r="AJ1091" s="4"/>
      <c r="AK1091" s="4"/>
      <c r="AL1091" s="4"/>
    </row>
    <row r="1092">
      <c r="A1092" s="13"/>
      <c r="B1092" s="13"/>
      <c r="C1092" s="13"/>
      <c r="D1092" s="13"/>
      <c r="E1092" s="13"/>
      <c r="F1092" s="13"/>
      <c r="G1092" s="13"/>
      <c r="H1092" s="13"/>
      <c r="I1092" s="13"/>
      <c r="J1092" s="13"/>
      <c r="K1092" s="13"/>
      <c r="L1092" s="13"/>
      <c r="M1092" s="13"/>
      <c r="N1092" s="13"/>
      <c r="O1092" s="13"/>
      <c r="P1092" s="13"/>
      <c r="Q1092" s="172"/>
      <c r="R1092" s="13"/>
      <c r="S1092" s="13"/>
      <c r="T1092" s="13"/>
      <c r="U1092" s="13"/>
      <c r="V1092" s="13"/>
      <c r="W1092" s="13"/>
      <c r="X1092" s="13"/>
      <c r="Y1092" s="13"/>
      <c r="Z1092" s="13"/>
      <c r="AA1092" s="13"/>
      <c r="AB1092" s="13"/>
      <c r="AC1092" s="13"/>
      <c r="AD1092" s="13"/>
      <c r="AE1092" s="13"/>
      <c r="AF1092" s="13"/>
      <c r="AG1092" s="13"/>
      <c r="AH1092" s="13"/>
      <c r="AI1092" s="4"/>
      <c r="AJ1092" s="4"/>
      <c r="AK1092" s="4"/>
      <c r="AL1092" s="4"/>
    </row>
    <row r="1093">
      <c r="A1093" s="13"/>
      <c r="B1093" s="13"/>
      <c r="C1093" s="13"/>
      <c r="D1093" s="13"/>
      <c r="E1093" s="13"/>
      <c r="F1093" s="13"/>
      <c r="G1093" s="13"/>
      <c r="H1093" s="13"/>
      <c r="I1093" s="13"/>
      <c r="J1093" s="13"/>
      <c r="K1093" s="13"/>
      <c r="L1093" s="13"/>
      <c r="M1093" s="13"/>
      <c r="N1093" s="13"/>
      <c r="O1093" s="13"/>
      <c r="P1093" s="13"/>
      <c r="Q1093" s="172"/>
      <c r="R1093" s="13"/>
      <c r="S1093" s="13"/>
      <c r="T1093" s="13"/>
      <c r="U1093" s="13"/>
      <c r="V1093" s="13"/>
      <c r="W1093" s="13"/>
      <c r="X1093" s="13"/>
      <c r="Y1093" s="13"/>
      <c r="Z1093" s="13"/>
      <c r="AA1093" s="13"/>
      <c r="AB1093" s="13"/>
      <c r="AC1093" s="13"/>
      <c r="AD1093" s="13"/>
      <c r="AE1093" s="13"/>
      <c r="AF1093" s="13"/>
      <c r="AG1093" s="13"/>
      <c r="AH1093" s="13"/>
      <c r="AI1093" s="4"/>
      <c r="AJ1093" s="4"/>
      <c r="AK1093" s="4"/>
      <c r="AL1093" s="4"/>
    </row>
    <row r="1094">
      <c r="A1094" s="13"/>
      <c r="B1094" s="13"/>
      <c r="C1094" s="13"/>
      <c r="D1094" s="13"/>
      <c r="E1094" s="13"/>
      <c r="F1094" s="13"/>
      <c r="G1094" s="13"/>
      <c r="H1094" s="13"/>
      <c r="I1094" s="13"/>
      <c r="J1094" s="13"/>
      <c r="K1094" s="13"/>
      <c r="L1094" s="13"/>
      <c r="M1094" s="13"/>
      <c r="N1094" s="13"/>
      <c r="O1094" s="13"/>
      <c r="P1094" s="13"/>
      <c r="Q1094" s="172"/>
      <c r="R1094" s="13"/>
      <c r="S1094" s="13"/>
      <c r="T1094" s="13"/>
      <c r="U1094" s="13"/>
      <c r="V1094" s="13"/>
      <c r="W1094" s="13"/>
      <c r="X1094" s="13"/>
      <c r="Y1094" s="13"/>
      <c r="Z1094" s="13"/>
      <c r="AA1094" s="13"/>
      <c r="AB1094" s="13"/>
      <c r="AC1094" s="13"/>
      <c r="AD1094" s="13"/>
      <c r="AE1094" s="13"/>
      <c r="AF1094" s="13"/>
      <c r="AG1094" s="13"/>
      <c r="AH1094" s="13"/>
      <c r="AI1094" s="4"/>
      <c r="AJ1094" s="4"/>
      <c r="AK1094" s="4"/>
      <c r="AL1094" s="4"/>
    </row>
    <row r="1095">
      <c r="A1095" s="13"/>
      <c r="B1095" s="13"/>
      <c r="C1095" s="13"/>
      <c r="D1095" s="13"/>
      <c r="E1095" s="13"/>
      <c r="F1095" s="13"/>
      <c r="G1095" s="13"/>
      <c r="H1095" s="13"/>
      <c r="I1095" s="13"/>
      <c r="J1095" s="13"/>
      <c r="K1095" s="13"/>
      <c r="L1095" s="13"/>
      <c r="M1095" s="13"/>
      <c r="N1095" s="13"/>
      <c r="O1095" s="13"/>
      <c r="P1095" s="13"/>
      <c r="Q1095" s="172"/>
      <c r="R1095" s="13"/>
      <c r="S1095" s="13"/>
      <c r="T1095" s="13"/>
      <c r="U1095" s="13"/>
      <c r="V1095" s="13"/>
      <c r="W1095" s="13"/>
      <c r="X1095" s="13"/>
      <c r="Y1095" s="13"/>
      <c r="Z1095" s="13"/>
      <c r="AA1095" s="13"/>
      <c r="AB1095" s="13"/>
      <c r="AC1095" s="13"/>
      <c r="AD1095" s="13"/>
      <c r="AE1095" s="13"/>
      <c r="AF1095" s="13"/>
      <c r="AG1095" s="13"/>
      <c r="AH1095" s="13"/>
      <c r="AI1095" s="4"/>
      <c r="AJ1095" s="4"/>
      <c r="AK1095" s="4"/>
      <c r="AL1095" s="4"/>
    </row>
    <row r="1096">
      <c r="A1096" s="13"/>
      <c r="B1096" s="13"/>
      <c r="C1096" s="13"/>
      <c r="D1096" s="13"/>
      <c r="E1096" s="13"/>
      <c r="F1096" s="13"/>
      <c r="G1096" s="13"/>
      <c r="H1096" s="13"/>
      <c r="I1096" s="13"/>
      <c r="J1096" s="13"/>
      <c r="K1096" s="13"/>
      <c r="L1096" s="13"/>
      <c r="M1096" s="13"/>
      <c r="N1096" s="13"/>
      <c r="O1096" s="13"/>
      <c r="P1096" s="13"/>
      <c r="Q1096" s="172"/>
      <c r="R1096" s="13"/>
      <c r="S1096" s="13"/>
      <c r="T1096" s="13"/>
      <c r="U1096" s="13"/>
      <c r="V1096" s="13"/>
      <c r="W1096" s="13"/>
      <c r="X1096" s="13"/>
      <c r="Y1096" s="13"/>
      <c r="Z1096" s="13"/>
      <c r="AA1096" s="13"/>
      <c r="AB1096" s="13"/>
      <c r="AC1096" s="13"/>
      <c r="AD1096" s="13"/>
      <c r="AE1096" s="13"/>
      <c r="AF1096" s="13"/>
      <c r="AG1096" s="13"/>
      <c r="AH1096" s="13"/>
      <c r="AI1096" s="4"/>
      <c r="AJ1096" s="4"/>
      <c r="AK1096" s="4"/>
      <c r="AL1096" s="4"/>
    </row>
    <row r="1097">
      <c r="A1097" s="13"/>
      <c r="B1097" s="13"/>
      <c r="C1097" s="13"/>
      <c r="D1097" s="13"/>
      <c r="E1097" s="13"/>
      <c r="F1097" s="13"/>
      <c r="G1097" s="13"/>
      <c r="H1097" s="13"/>
      <c r="I1097" s="13"/>
      <c r="J1097" s="13"/>
      <c r="K1097" s="13"/>
      <c r="L1097" s="13"/>
      <c r="M1097" s="13"/>
      <c r="N1097" s="13"/>
      <c r="O1097" s="13"/>
      <c r="P1097" s="13"/>
      <c r="Q1097" s="172"/>
      <c r="R1097" s="13"/>
      <c r="S1097" s="13"/>
      <c r="T1097" s="13"/>
      <c r="U1097" s="13"/>
      <c r="V1097" s="13"/>
      <c r="W1097" s="13"/>
      <c r="X1097" s="13"/>
      <c r="Y1097" s="13"/>
      <c r="Z1097" s="13"/>
      <c r="AA1097" s="13"/>
      <c r="AB1097" s="13"/>
      <c r="AC1097" s="13"/>
      <c r="AD1097" s="13"/>
      <c r="AE1097" s="13"/>
      <c r="AF1097" s="13"/>
      <c r="AG1097" s="13"/>
      <c r="AH1097" s="13"/>
      <c r="AI1097" s="4"/>
      <c r="AJ1097" s="4"/>
      <c r="AK1097" s="4"/>
      <c r="AL1097" s="4"/>
    </row>
    <row r="1098">
      <c r="A1098" s="13"/>
      <c r="B1098" s="13"/>
      <c r="C1098" s="13"/>
      <c r="D1098" s="13"/>
      <c r="E1098" s="13"/>
      <c r="F1098" s="13"/>
      <c r="G1098" s="13"/>
      <c r="H1098" s="13"/>
      <c r="I1098" s="13"/>
      <c r="J1098" s="13"/>
      <c r="K1098" s="13"/>
      <c r="L1098" s="13"/>
      <c r="M1098" s="13"/>
      <c r="N1098" s="13"/>
      <c r="O1098" s="13"/>
      <c r="P1098" s="13"/>
      <c r="Q1098" s="172"/>
      <c r="R1098" s="13"/>
      <c r="S1098" s="13"/>
      <c r="T1098" s="13"/>
      <c r="U1098" s="13"/>
      <c r="V1098" s="13"/>
      <c r="W1098" s="13"/>
      <c r="X1098" s="13"/>
      <c r="Y1098" s="13"/>
      <c r="Z1098" s="13"/>
      <c r="AA1098" s="13"/>
      <c r="AB1098" s="13"/>
      <c r="AC1098" s="13"/>
      <c r="AD1098" s="13"/>
      <c r="AE1098" s="13"/>
      <c r="AF1098" s="13"/>
      <c r="AG1098" s="13"/>
      <c r="AH1098" s="13"/>
      <c r="AI1098" s="4"/>
      <c r="AJ1098" s="4"/>
      <c r="AK1098" s="4"/>
      <c r="AL1098" s="4"/>
    </row>
    <row r="1099">
      <c r="A1099" s="13"/>
      <c r="B1099" s="13"/>
      <c r="C1099" s="13"/>
      <c r="D1099" s="13"/>
      <c r="E1099" s="13"/>
      <c r="F1099" s="13"/>
      <c r="G1099" s="13"/>
      <c r="H1099" s="13"/>
      <c r="I1099" s="13"/>
      <c r="J1099" s="13"/>
      <c r="K1099" s="13"/>
      <c r="L1099" s="13"/>
      <c r="M1099" s="13"/>
      <c r="N1099" s="13"/>
      <c r="O1099" s="13"/>
      <c r="P1099" s="13"/>
      <c r="Q1099" s="172"/>
      <c r="R1099" s="13"/>
      <c r="S1099" s="13"/>
      <c r="T1099" s="13"/>
      <c r="U1099" s="13"/>
      <c r="V1099" s="13"/>
      <c r="W1099" s="13"/>
      <c r="X1099" s="13"/>
      <c r="Y1099" s="13"/>
      <c r="Z1099" s="13"/>
      <c r="AA1099" s="13"/>
      <c r="AB1099" s="13"/>
      <c r="AC1099" s="13"/>
      <c r="AD1099" s="13"/>
      <c r="AE1099" s="13"/>
      <c r="AF1099" s="13"/>
      <c r="AG1099" s="13"/>
      <c r="AH1099" s="13"/>
      <c r="AI1099" s="4"/>
      <c r="AJ1099" s="4"/>
      <c r="AK1099" s="4"/>
      <c r="AL1099" s="4"/>
    </row>
    <row r="1100">
      <c r="A1100" s="13"/>
      <c r="B1100" s="13"/>
      <c r="C1100" s="13"/>
      <c r="D1100" s="13"/>
      <c r="E1100" s="13"/>
      <c r="F1100" s="13"/>
      <c r="G1100" s="13"/>
      <c r="H1100" s="13"/>
      <c r="I1100" s="13"/>
      <c r="J1100" s="13"/>
      <c r="K1100" s="13"/>
      <c r="L1100" s="13"/>
      <c r="M1100" s="13"/>
      <c r="N1100" s="13"/>
      <c r="O1100" s="13"/>
      <c r="P1100" s="13"/>
      <c r="Q1100" s="172"/>
      <c r="R1100" s="13"/>
      <c r="S1100" s="13"/>
      <c r="T1100" s="13"/>
      <c r="U1100" s="13"/>
      <c r="V1100" s="13"/>
      <c r="W1100" s="13"/>
      <c r="X1100" s="13"/>
      <c r="Y1100" s="13"/>
      <c r="Z1100" s="13"/>
      <c r="AA1100" s="13"/>
      <c r="AB1100" s="13"/>
      <c r="AC1100" s="13"/>
      <c r="AD1100" s="13"/>
      <c r="AE1100" s="13"/>
      <c r="AF1100" s="13"/>
      <c r="AG1100" s="13"/>
      <c r="AH1100" s="13"/>
      <c r="AI1100" s="4"/>
      <c r="AJ1100" s="4"/>
      <c r="AK1100" s="4"/>
      <c r="AL1100" s="4"/>
    </row>
    <row r="1101">
      <c r="A1101" s="13"/>
      <c r="B1101" s="13"/>
      <c r="C1101" s="13"/>
      <c r="D1101" s="13"/>
      <c r="E1101" s="13"/>
      <c r="F1101" s="13"/>
      <c r="G1101" s="13"/>
      <c r="H1101" s="13"/>
      <c r="I1101" s="13"/>
      <c r="J1101" s="13"/>
      <c r="K1101" s="13"/>
      <c r="L1101" s="13"/>
      <c r="M1101" s="13"/>
      <c r="N1101" s="13"/>
      <c r="O1101" s="13"/>
      <c r="P1101" s="13"/>
      <c r="Q1101" s="172"/>
      <c r="R1101" s="13"/>
      <c r="S1101" s="13"/>
      <c r="T1101" s="13"/>
      <c r="U1101" s="13"/>
      <c r="V1101" s="13"/>
      <c r="W1101" s="13"/>
      <c r="X1101" s="13"/>
      <c r="Y1101" s="13"/>
      <c r="Z1101" s="13"/>
      <c r="AA1101" s="13"/>
      <c r="AB1101" s="13"/>
      <c r="AC1101" s="13"/>
      <c r="AD1101" s="13"/>
      <c r="AE1101" s="13"/>
      <c r="AF1101" s="13"/>
      <c r="AG1101" s="13"/>
      <c r="AH1101" s="13"/>
      <c r="AI1101" s="4"/>
      <c r="AJ1101" s="4"/>
      <c r="AK1101" s="4"/>
      <c r="AL1101" s="4"/>
    </row>
    <row r="1102">
      <c r="A1102" s="13"/>
      <c r="B1102" s="13"/>
      <c r="C1102" s="13"/>
      <c r="D1102" s="13"/>
      <c r="E1102" s="13"/>
      <c r="F1102" s="13"/>
      <c r="G1102" s="13"/>
      <c r="H1102" s="13"/>
      <c r="I1102" s="13"/>
      <c r="J1102" s="13"/>
      <c r="K1102" s="13"/>
      <c r="L1102" s="13"/>
      <c r="M1102" s="13"/>
      <c r="N1102" s="13"/>
      <c r="O1102" s="13"/>
      <c r="P1102" s="13"/>
      <c r="Q1102" s="172"/>
      <c r="R1102" s="13"/>
      <c r="S1102" s="13"/>
      <c r="T1102" s="13"/>
      <c r="U1102" s="13"/>
      <c r="V1102" s="13"/>
      <c r="W1102" s="13"/>
      <c r="X1102" s="13"/>
      <c r="Y1102" s="13"/>
      <c r="Z1102" s="13"/>
      <c r="AA1102" s="13"/>
      <c r="AB1102" s="13"/>
      <c r="AC1102" s="13"/>
      <c r="AD1102" s="13"/>
      <c r="AE1102" s="13"/>
      <c r="AF1102" s="13"/>
      <c r="AG1102" s="13"/>
      <c r="AH1102" s="13"/>
      <c r="AI1102" s="4"/>
      <c r="AJ1102" s="4"/>
      <c r="AK1102" s="4"/>
      <c r="AL1102" s="4"/>
    </row>
    <row r="1103">
      <c r="A1103" s="13"/>
      <c r="B1103" s="13"/>
      <c r="C1103" s="13"/>
      <c r="D1103" s="13"/>
      <c r="E1103" s="13"/>
      <c r="F1103" s="13"/>
      <c r="G1103" s="13"/>
      <c r="H1103" s="13"/>
      <c r="I1103" s="13"/>
      <c r="J1103" s="13"/>
      <c r="K1103" s="13"/>
      <c r="L1103" s="13"/>
      <c r="M1103" s="13"/>
      <c r="N1103" s="13"/>
      <c r="O1103" s="13"/>
      <c r="P1103" s="13"/>
      <c r="Q1103" s="172"/>
      <c r="R1103" s="13"/>
      <c r="S1103" s="13"/>
      <c r="T1103" s="13"/>
      <c r="U1103" s="13"/>
      <c r="V1103" s="13"/>
      <c r="W1103" s="13"/>
      <c r="X1103" s="13"/>
      <c r="Y1103" s="13"/>
      <c r="Z1103" s="13"/>
      <c r="AA1103" s="13"/>
      <c r="AB1103" s="13"/>
      <c r="AC1103" s="13"/>
      <c r="AD1103" s="13"/>
      <c r="AE1103" s="13"/>
      <c r="AF1103" s="13"/>
      <c r="AG1103" s="13"/>
      <c r="AH1103" s="13"/>
      <c r="AI1103" s="4"/>
      <c r="AJ1103" s="4"/>
      <c r="AK1103" s="4"/>
      <c r="AL1103" s="4"/>
    </row>
    <row r="1104">
      <c r="A1104" s="13"/>
      <c r="B1104" s="13"/>
      <c r="C1104" s="13"/>
      <c r="D1104" s="13"/>
      <c r="E1104" s="13"/>
      <c r="F1104" s="13"/>
      <c r="G1104" s="13"/>
      <c r="H1104" s="13"/>
      <c r="I1104" s="13"/>
      <c r="J1104" s="13"/>
      <c r="K1104" s="13"/>
      <c r="L1104" s="13"/>
      <c r="M1104" s="13"/>
      <c r="N1104" s="13"/>
      <c r="O1104" s="13"/>
      <c r="P1104" s="13"/>
      <c r="Q1104" s="172"/>
      <c r="R1104" s="13"/>
      <c r="S1104" s="13"/>
      <c r="T1104" s="13"/>
      <c r="U1104" s="13"/>
      <c r="V1104" s="13"/>
      <c r="W1104" s="13"/>
      <c r="X1104" s="13"/>
      <c r="Y1104" s="13"/>
      <c r="Z1104" s="13"/>
      <c r="AA1104" s="13"/>
      <c r="AB1104" s="13"/>
      <c r="AC1104" s="13"/>
      <c r="AD1104" s="13"/>
      <c r="AE1104" s="13"/>
      <c r="AF1104" s="13"/>
      <c r="AG1104" s="13"/>
      <c r="AH1104" s="13"/>
      <c r="AI1104" s="4"/>
      <c r="AJ1104" s="4"/>
      <c r="AK1104" s="4"/>
      <c r="AL1104" s="4"/>
    </row>
    <row r="1105">
      <c r="A1105" s="13"/>
      <c r="B1105" s="13"/>
      <c r="C1105" s="13"/>
      <c r="D1105" s="13"/>
      <c r="E1105" s="13"/>
      <c r="F1105" s="13"/>
      <c r="G1105" s="13"/>
      <c r="H1105" s="13"/>
      <c r="I1105" s="13"/>
      <c r="J1105" s="13"/>
      <c r="K1105" s="13"/>
      <c r="L1105" s="13"/>
      <c r="M1105" s="13"/>
      <c r="N1105" s="13"/>
      <c r="O1105" s="13"/>
      <c r="P1105" s="13"/>
      <c r="Q1105" s="172"/>
      <c r="R1105" s="13"/>
      <c r="S1105" s="13"/>
      <c r="T1105" s="13"/>
      <c r="U1105" s="13"/>
      <c r="V1105" s="13"/>
      <c r="W1105" s="13"/>
      <c r="X1105" s="13"/>
      <c r="Y1105" s="13"/>
      <c r="Z1105" s="13"/>
      <c r="AA1105" s="13"/>
      <c r="AB1105" s="13"/>
      <c r="AC1105" s="13"/>
      <c r="AD1105" s="13"/>
      <c r="AE1105" s="13"/>
      <c r="AF1105" s="13"/>
      <c r="AG1105" s="13"/>
      <c r="AH1105" s="13"/>
      <c r="AI1105" s="4"/>
      <c r="AJ1105" s="4"/>
      <c r="AK1105" s="4"/>
      <c r="AL1105" s="4"/>
    </row>
    <row r="1106">
      <c r="A1106" s="13"/>
      <c r="B1106" s="13"/>
      <c r="C1106" s="13"/>
      <c r="D1106" s="13"/>
      <c r="E1106" s="13"/>
      <c r="F1106" s="13"/>
      <c r="G1106" s="13"/>
      <c r="H1106" s="13"/>
      <c r="I1106" s="13"/>
      <c r="J1106" s="13"/>
      <c r="K1106" s="13"/>
      <c r="L1106" s="13"/>
      <c r="M1106" s="13"/>
      <c r="N1106" s="13"/>
      <c r="O1106" s="13"/>
      <c r="P1106" s="13"/>
      <c r="Q1106" s="172"/>
      <c r="R1106" s="13"/>
      <c r="S1106" s="13"/>
      <c r="T1106" s="13"/>
      <c r="U1106" s="13"/>
      <c r="V1106" s="13"/>
      <c r="W1106" s="13"/>
      <c r="X1106" s="13"/>
      <c r="Y1106" s="13"/>
      <c r="Z1106" s="13"/>
      <c r="AA1106" s="13"/>
      <c r="AB1106" s="13"/>
      <c r="AC1106" s="13"/>
      <c r="AD1106" s="13"/>
      <c r="AE1106" s="13"/>
      <c r="AF1106" s="13"/>
      <c r="AG1106" s="13"/>
      <c r="AH1106" s="13"/>
      <c r="AI1106" s="4"/>
      <c r="AJ1106" s="4"/>
      <c r="AK1106" s="4"/>
      <c r="AL1106" s="4"/>
    </row>
    <row r="1107">
      <c r="A1107" s="13"/>
      <c r="B1107" s="13"/>
      <c r="C1107" s="13"/>
      <c r="D1107" s="13"/>
      <c r="E1107" s="13"/>
      <c r="F1107" s="13"/>
      <c r="G1107" s="13"/>
      <c r="H1107" s="13"/>
      <c r="I1107" s="13"/>
      <c r="J1107" s="13"/>
      <c r="K1107" s="13"/>
      <c r="L1107" s="13"/>
      <c r="M1107" s="13"/>
      <c r="N1107" s="13"/>
      <c r="O1107" s="13"/>
      <c r="P1107" s="13"/>
      <c r="Q1107" s="172"/>
      <c r="R1107" s="13"/>
      <c r="S1107" s="13"/>
      <c r="T1107" s="13"/>
      <c r="U1107" s="13"/>
      <c r="V1107" s="13"/>
      <c r="W1107" s="13"/>
      <c r="X1107" s="13"/>
      <c r="Y1107" s="13"/>
      <c r="Z1107" s="13"/>
      <c r="AA1107" s="13"/>
      <c r="AB1107" s="13"/>
      <c r="AC1107" s="13"/>
      <c r="AD1107" s="13"/>
      <c r="AE1107" s="13"/>
      <c r="AF1107" s="13"/>
      <c r="AG1107" s="13"/>
      <c r="AH1107" s="13"/>
      <c r="AI1107" s="4"/>
      <c r="AJ1107" s="4"/>
      <c r="AK1107" s="4"/>
      <c r="AL1107" s="4"/>
    </row>
    <row r="1108">
      <c r="A1108" s="13"/>
      <c r="B1108" s="13"/>
      <c r="C1108" s="13"/>
      <c r="D1108" s="13"/>
      <c r="E1108" s="13"/>
      <c r="F1108" s="13"/>
      <c r="G1108" s="13"/>
      <c r="H1108" s="13"/>
      <c r="I1108" s="13"/>
      <c r="J1108" s="13"/>
      <c r="K1108" s="13"/>
      <c r="L1108" s="13"/>
      <c r="M1108" s="13"/>
      <c r="N1108" s="13"/>
      <c r="O1108" s="13"/>
      <c r="P1108" s="13"/>
      <c r="Q1108" s="172"/>
      <c r="R1108" s="13"/>
      <c r="S1108" s="13"/>
      <c r="T1108" s="13"/>
      <c r="U1108" s="13"/>
      <c r="V1108" s="13"/>
      <c r="W1108" s="13"/>
      <c r="X1108" s="13"/>
      <c r="Y1108" s="13"/>
      <c r="Z1108" s="13"/>
      <c r="AA1108" s="13"/>
      <c r="AB1108" s="13"/>
      <c r="AC1108" s="13"/>
      <c r="AD1108" s="13"/>
      <c r="AE1108" s="13"/>
      <c r="AF1108" s="13"/>
      <c r="AG1108" s="13"/>
      <c r="AH1108" s="13"/>
      <c r="AI1108" s="4"/>
      <c r="AJ1108" s="4"/>
      <c r="AK1108" s="4"/>
      <c r="AL1108" s="4"/>
    </row>
    <row r="1109">
      <c r="A1109" s="13"/>
      <c r="B1109" s="13"/>
      <c r="C1109" s="13"/>
      <c r="D1109" s="13"/>
      <c r="E1109" s="13"/>
      <c r="F1109" s="13"/>
      <c r="G1109" s="13"/>
      <c r="H1109" s="13"/>
      <c r="I1109" s="13"/>
      <c r="J1109" s="13"/>
      <c r="K1109" s="13"/>
      <c r="L1109" s="13"/>
      <c r="M1109" s="13"/>
      <c r="N1109" s="13"/>
      <c r="O1109" s="13"/>
      <c r="P1109" s="13"/>
      <c r="Q1109" s="172"/>
      <c r="R1109" s="13"/>
      <c r="S1109" s="13"/>
      <c r="T1109" s="13"/>
      <c r="U1109" s="13"/>
      <c r="V1109" s="13"/>
      <c r="W1109" s="13"/>
      <c r="X1109" s="13"/>
      <c r="Y1109" s="13"/>
      <c r="Z1109" s="13"/>
      <c r="AA1109" s="13"/>
      <c r="AB1109" s="13"/>
      <c r="AC1109" s="13"/>
      <c r="AD1109" s="13"/>
      <c r="AE1109" s="13"/>
      <c r="AF1109" s="13"/>
      <c r="AG1109" s="13"/>
      <c r="AH1109" s="13"/>
      <c r="AI1109" s="4"/>
      <c r="AJ1109" s="4"/>
      <c r="AK1109" s="4"/>
      <c r="AL1109" s="4"/>
    </row>
    <row r="1110">
      <c r="A1110" s="13"/>
      <c r="B1110" s="13"/>
      <c r="C1110" s="13"/>
      <c r="D1110" s="13"/>
      <c r="E1110" s="13"/>
      <c r="F1110" s="13"/>
      <c r="G1110" s="13"/>
      <c r="H1110" s="13"/>
      <c r="I1110" s="13"/>
      <c r="J1110" s="13"/>
      <c r="K1110" s="13"/>
      <c r="L1110" s="13"/>
      <c r="M1110" s="13"/>
      <c r="N1110" s="13"/>
      <c r="O1110" s="13"/>
      <c r="P1110" s="13"/>
      <c r="Q1110" s="172"/>
      <c r="R1110" s="13"/>
      <c r="S1110" s="13"/>
      <c r="T1110" s="13"/>
      <c r="U1110" s="13"/>
      <c r="V1110" s="13"/>
      <c r="W1110" s="13"/>
      <c r="X1110" s="13"/>
      <c r="Y1110" s="13"/>
      <c r="Z1110" s="13"/>
      <c r="AA1110" s="13"/>
      <c r="AB1110" s="13"/>
      <c r="AC1110" s="13"/>
      <c r="AD1110" s="13"/>
      <c r="AE1110" s="13"/>
      <c r="AF1110" s="13"/>
      <c r="AG1110" s="13"/>
      <c r="AH1110" s="13"/>
      <c r="AI1110" s="4"/>
      <c r="AJ1110" s="4"/>
      <c r="AK1110" s="4"/>
      <c r="AL1110" s="4"/>
    </row>
    <row r="1111">
      <c r="A1111" s="13"/>
      <c r="B1111" s="13"/>
      <c r="C1111" s="13"/>
      <c r="D1111" s="13"/>
      <c r="E1111" s="13"/>
      <c r="F1111" s="13"/>
      <c r="G1111" s="13"/>
      <c r="H1111" s="13"/>
      <c r="I1111" s="13"/>
      <c r="J1111" s="13"/>
      <c r="K1111" s="13"/>
      <c r="L1111" s="13"/>
      <c r="M1111" s="13"/>
      <c r="N1111" s="13"/>
      <c r="O1111" s="13"/>
      <c r="P1111" s="13"/>
      <c r="Q1111" s="172"/>
      <c r="R1111" s="13"/>
      <c r="S1111" s="13"/>
      <c r="T1111" s="13"/>
      <c r="U1111" s="13"/>
      <c r="V1111" s="13"/>
      <c r="W1111" s="13"/>
      <c r="X1111" s="13"/>
      <c r="Y1111" s="13"/>
      <c r="Z1111" s="13"/>
      <c r="AA1111" s="13"/>
      <c r="AB1111" s="13"/>
      <c r="AC1111" s="13"/>
      <c r="AD1111" s="13"/>
      <c r="AE1111" s="13"/>
      <c r="AF1111" s="13"/>
      <c r="AG1111" s="13"/>
      <c r="AH1111" s="13"/>
      <c r="AI1111" s="4"/>
      <c r="AJ1111" s="4"/>
      <c r="AK1111" s="4"/>
      <c r="AL1111" s="4"/>
    </row>
    <row r="1112">
      <c r="A1112" s="13"/>
      <c r="B1112" s="13"/>
      <c r="C1112" s="13"/>
      <c r="D1112" s="13"/>
      <c r="E1112" s="13"/>
      <c r="F1112" s="13"/>
      <c r="G1112" s="13"/>
      <c r="H1112" s="13"/>
      <c r="I1112" s="13"/>
      <c r="J1112" s="13"/>
      <c r="K1112" s="13"/>
      <c r="L1112" s="13"/>
      <c r="M1112" s="13"/>
      <c r="N1112" s="13"/>
      <c r="O1112" s="13"/>
      <c r="P1112" s="13"/>
      <c r="Q1112" s="172"/>
      <c r="R1112" s="13"/>
      <c r="S1112" s="13"/>
      <c r="T1112" s="13"/>
      <c r="U1112" s="13"/>
      <c r="V1112" s="13"/>
      <c r="W1112" s="13"/>
      <c r="X1112" s="13"/>
      <c r="Y1112" s="13"/>
      <c r="Z1112" s="13"/>
      <c r="AA1112" s="13"/>
      <c r="AB1112" s="13"/>
      <c r="AC1112" s="13"/>
      <c r="AD1112" s="13"/>
      <c r="AE1112" s="13"/>
      <c r="AF1112" s="13"/>
      <c r="AG1112" s="13"/>
      <c r="AH1112" s="13"/>
      <c r="AI1112" s="4"/>
      <c r="AJ1112" s="4"/>
      <c r="AK1112" s="4"/>
      <c r="AL1112" s="4"/>
    </row>
    <row r="1113">
      <c r="A1113" s="13"/>
      <c r="B1113" s="13"/>
      <c r="C1113" s="13"/>
      <c r="D1113" s="13"/>
      <c r="E1113" s="13"/>
      <c r="F1113" s="13"/>
      <c r="G1113" s="13"/>
      <c r="H1113" s="13"/>
      <c r="I1113" s="13"/>
      <c r="J1113" s="13"/>
      <c r="K1113" s="13"/>
      <c r="L1113" s="13"/>
      <c r="M1113" s="13"/>
      <c r="N1113" s="13"/>
      <c r="O1113" s="13"/>
      <c r="P1113" s="13"/>
      <c r="Q1113" s="172"/>
      <c r="R1113" s="13"/>
      <c r="S1113" s="13"/>
      <c r="T1113" s="13"/>
      <c r="U1113" s="13"/>
      <c r="V1113" s="13"/>
      <c r="W1113" s="13"/>
      <c r="X1113" s="13"/>
      <c r="Y1113" s="13"/>
      <c r="Z1113" s="13"/>
      <c r="AA1113" s="13"/>
      <c r="AB1113" s="13"/>
      <c r="AC1113" s="13"/>
      <c r="AD1113" s="13"/>
      <c r="AE1113" s="13"/>
      <c r="AF1113" s="13"/>
      <c r="AG1113" s="13"/>
      <c r="AH1113" s="13"/>
      <c r="AI1113" s="4"/>
      <c r="AJ1113" s="4"/>
      <c r="AK1113" s="4"/>
      <c r="AL1113" s="4"/>
    </row>
    <row r="1114">
      <c r="A1114" s="13"/>
      <c r="B1114" s="13"/>
      <c r="C1114" s="13"/>
      <c r="D1114" s="13"/>
      <c r="E1114" s="13"/>
      <c r="F1114" s="13"/>
      <c r="G1114" s="13"/>
      <c r="H1114" s="13"/>
      <c r="I1114" s="13"/>
      <c r="J1114" s="13"/>
      <c r="K1114" s="13"/>
      <c r="L1114" s="13"/>
      <c r="M1114" s="13"/>
      <c r="N1114" s="13"/>
      <c r="O1114" s="13"/>
      <c r="P1114" s="13"/>
      <c r="Q1114" s="172"/>
      <c r="R1114" s="13"/>
      <c r="S1114" s="13"/>
      <c r="T1114" s="13"/>
      <c r="U1114" s="13"/>
      <c r="V1114" s="13"/>
      <c r="W1114" s="13"/>
      <c r="X1114" s="13"/>
      <c r="Y1114" s="13"/>
      <c r="Z1114" s="13"/>
      <c r="AA1114" s="13"/>
      <c r="AB1114" s="13"/>
      <c r="AC1114" s="13"/>
      <c r="AD1114" s="13"/>
      <c r="AE1114" s="13"/>
      <c r="AF1114" s="13"/>
      <c r="AG1114" s="13"/>
      <c r="AH1114" s="13"/>
      <c r="AI1114" s="4"/>
      <c r="AJ1114" s="4"/>
      <c r="AK1114" s="4"/>
      <c r="AL1114" s="4"/>
    </row>
    <row r="1115">
      <c r="A1115" s="13"/>
      <c r="B1115" s="13"/>
      <c r="C1115" s="13"/>
      <c r="D1115" s="13"/>
      <c r="E1115" s="13"/>
      <c r="F1115" s="13"/>
      <c r="G1115" s="13"/>
      <c r="H1115" s="13"/>
      <c r="I1115" s="13"/>
      <c r="J1115" s="13"/>
      <c r="K1115" s="13"/>
      <c r="L1115" s="13"/>
      <c r="M1115" s="13"/>
      <c r="N1115" s="13"/>
      <c r="O1115" s="13"/>
      <c r="P1115" s="13"/>
      <c r="Q1115" s="172"/>
      <c r="R1115" s="13"/>
      <c r="S1115" s="13"/>
      <c r="T1115" s="13"/>
      <c r="U1115" s="13"/>
      <c r="V1115" s="13"/>
      <c r="W1115" s="13"/>
      <c r="X1115" s="13"/>
      <c r="Y1115" s="13"/>
      <c r="Z1115" s="13"/>
      <c r="AA1115" s="13"/>
      <c r="AB1115" s="13"/>
      <c r="AC1115" s="13"/>
      <c r="AD1115" s="13"/>
      <c r="AE1115" s="13"/>
      <c r="AF1115" s="13"/>
      <c r="AG1115" s="13"/>
      <c r="AH1115" s="13"/>
      <c r="AI1115" s="4"/>
      <c r="AJ1115" s="4"/>
      <c r="AK1115" s="4"/>
      <c r="AL1115" s="4"/>
    </row>
  </sheetData>
  <mergeCells count="3">
    <mergeCell ref="A1:C1"/>
    <mergeCell ref="D1:AH1"/>
    <mergeCell ref="K2:L2"/>
  </mergeCells>
  <conditionalFormatting sqref="A3:A1115">
    <cfRule type="expression" dxfId="2" priority="1">
      <formula>AND($A3&lt;&gt;"", $A3&lt;&gt;"Укажите вручную", COUNTIF($A:$A, $A3) &gt; COUNTIFS($A:$A, $A3, $B:$B, $B3, $C:$C, $C3, $I:$I, $I3))</formula>
    </cfRule>
  </conditionalFormatting>
  <dataValidations>
    <dataValidation type="list" allowBlank="1" showErrorMessage="1" sqref="H3:H681">
      <formula1>"Бизнес,Комфорт,Стандарт"</formula1>
    </dataValidation>
    <dataValidation type="list" allowBlank="1" showErrorMessage="1" sqref="F3:F681">
      <formula1>"А,Б"</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5.88"/>
    <col customWidth="1" min="2" max="2" width="15.25"/>
    <col customWidth="1" min="3" max="3" width="30.38"/>
  </cols>
  <sheetData>
    <row r="1" ht="34.5" customHeight="1">
      <c r="A1" s="80"/>
      <c r="B1" s="81"/>
      <c r="C1" s="82"/>
      <c r="D1" s="83" t="s">
        <v>1470</v>
      </c>
      <c r="E1" s="81"/>
      <c r="F1" s="81"/>
      <c r="G1" s="81"/>
      <c r="H1" s="81"/>
      <c r="I1" s="81"/>
      <c r="J1" s="81"/>
      <c r="K1" s="81"/>
      <c r="L1" s="81"/>
      <c r="M1" s="81"/>
      <c r="N1" s="81"/>
      <c r="O1" s="82"/>
      <c r="P1" s="83" t="s">
        <v>1478</v>
      </c>
      <c r="Q1" s="81"/>
      <c r="R1" s="81"/>
      <c r="S1" s="81"/>
      <c r="T1" s="81"/>
      <c r="U1" s="81"/>
      <c r="V1" s="81"/>
      <c r="W1" s="81"/>
      <c r="X1" s="82"/>
    </row>
    <row r="2" ht="34.5" customHeight="1">
      <c r="A2" s="84"/>
      <c r="B2" s="85"/>
      <c r="C2" s="86"/>
      <c r="D2" s="84"/>
      <c r="E2" s="85"/>
      <c r="F2" s="85"/>
      <c r="G2" s="85"/>
      <c r="H2" s="85"/>
      <c r="I2" s="85"/>
      <c r="J2" s="85"/>
      <c r="K2" s="85"/>
      <c r="L2" s="85"/>
      <c r="M2" s="85"/>
      <c r="N2" s="85"/>
      <c r="O2" s="86"/>
      <c r="P2" s="84"/>
      <c r="Q2" s="85"/>
      <c r="R2" s="85"/>
      <c r="S2" s="85"/>
      <c r="T2" s="85"/>
      <c r="U2" s="85"/>
      <c r="V2" s="85"/>
      <c r="W2" s="85"/>
      <c r="X2" s="86"/>
    </row>
    <row r="3">
      <c r="A3" s="87" t="s">
        <v>1482</v>
      </c>
      <c r="B3" s="87" t="s">
        <v>1483</v>
      </c>
      <c r="C3" s="87" t="s">
        <v>1484</v>
      </c>
      <c r="D3" s="3" t="s">
        <v>1485</v>
      </c>
      <c r="E3" s="87" t="s">
        <v>1486</v>
      </c>
      <c r="F3" s="87" t="s">
        <v>34</v>
      </c>
      <c r="G3" s="87" t="s">
        <v>36</v>
      </c>
      <c r="H3" s="87" t="s">
        <v>1487</v>
      </c>
      <c r="I3" s="87" t="s">
        <v>1488</v>
      </c>
      <c r="J3" s="3" t="s">
        <v>58</v>
      </c>
      <c r="K3" s="88" t="s">
        <v>21</v>
      </c>
      <c r="L3" s="88" t="s">
        <v>24</v>
      </c>
      <c r="M3" s="88" t="s">
        <v>1492</v>
      </c>
      <c r="N3" s="88" t="s">
        <v>1493</v>
      </c>
      <c r="O3" s="89" t="s">
        <v>1494</v>
      </c>
      <c r="P3" s="87" t="s">
        <v>34</v>
      </c>
      <c r="Q3" s="87" t="s">
        <v>36</v>
      </c>
      <c r="R3" s="87" t="s">
        <v>1488</v>
      </c>
      <c r="S3" s="3" t="s">
        <v>58</v>
      </c>
      <c r="T3" s="88" t="s">
        <v>21</v>
      </c>
      <c r="U3" s="88" t="s">
        <v>24</v>
      </c>
      <c r="V3" s="88" t="s">
        <v>1492</v>
      </c>
      <c r="W3" s="88" t="s">
        <v>1493</v>
      </c>
      <c r="X3" s="88" t="s">
        <v>1494</v>
      </c>
    </row>
    <row r="4">
      <c r="A4" s="90" t="s">
        <v>17</v>
      </c>
      <c r="B4" s="90" t="s">
        <v>19</v>
      </c>
      <c r="C4" s="90" t="s">
        <v>67</v>
      </c>
      <c r="D4" s="91">
        <f>IFERROR(__xludf.DUMMYFUNCTION("IFERROR(sum(filter('Основной эфир'!$AA:$AA, 'Основной эфир'!$B:$B=$A4,'Основной эфир'!$C:$C=$B4,'Основной эфир'!$I:$I=$C4)), 0) "),2880.0)</f>
        <v>2880</v>
      </c>
      <c r="E4" s="91">
        <f>IFERROR(__xludf.DUMMYFUNCTION("IFERROR(sum(filter('Основной эфир'!$AC:$AC, 'Основной эфир'!$B:$B=$A4,'Основной эфир'!$C:$C=$B4,'Основной эфир'!$I:$I=$C4)), 0) "),214272.0)</f>
        <v>214272</v>
      </c>
      <c r="F4" s="91">
        <f>IFERROR(__xludf.DUMMYFUNCTION("IFERROR(sum(filter('Основной эфир'!$O:$O, 'Основной эфир'!$B:$B=$A4,'Основной эфир'!$C:$C=$B4,'Основной эфир'!$I:$I=$C4)), 0) "),1339.0)</f>
        <v>1339</v>
      </c>
      <c r="G4" s="91">
        <f>IFERROR(__xludf.DUMMYFUNCTION("IFERROR(sum(filter('Основной эфир'!$Q:$Q, 'Основной эфир'!$B:$B=$A4,'Основной эфир'!$C:$C=$B4,'Основной эфир'!$I:$I=$C4)), 0) "),12.0)</f>
        <v>12</v>
      </c>
      <c r="H4" s="91">
        <f>IFERROR(__xludf.DUMMYFUNCTION("IFERROR(AVERAGE(filter('Основной эфир'!$Y:$Y, 'Основной эфир'!$B:$B=$A4,'Основной эфир'!$C:$C=$B4,'Основной эфир'!$I:$I=$C4)), 0) "),10.0)</f>
        <v>10</v>
      </c>
      <c r="I4" s="91">
        <f>IFERROR(__xludf.DUMMYFUNCTION("IFERROR(AVERAGE(filter('Основной эфир'!$AE:$AE, 'Основной эфир'!$B:$B=$A4,'Основной эфир'!$C:$C=$B4,'Основной эфир'!$I:$I=$C4)), 0) "),11882.302755555556)</f>
        <v>11882.30276</v>
      </c>
      <c r="J4" s="91">
        <f>IFERROR(__xludf.DUMMYFUNCTION("IFERROR(SUM(filter('Основной эфир'!$AL:$AL, 'Основной эфир'!$B:$B=$A4,'Основной эфир'!$C:$C=$B4,'Основной эфир'!$I:$I=$C4)), 0) "),48000.0)</f>
        <v>48000</v>
      </c>
      <c r="K4" s="91" t="str">
        <f>IFERROR(__xludf.DUMMYFUNCTION("IFERROR(REGEXREPLACE(unique(filter('Основной эфир'!$A:$A, 'Основной эфир'!$B:$B=$A4,'Основной эфир'!$C:$C=$B4,'Основной эфир'!$I:$I=$C4)), ""\d+"", """"),"""")"),"U")</f>
        <v>U</v>
      </c>
      <c r="L4" s="91" t="str">
        <f>IFERROR(__xludf.DUMMYFUNCTION("IFERROR(unique(filter('Основной эфир'!$F:$F, 'Основной эфир'!$B:$B=$A4,'Основной эфир'!$C:$C=$B4,'Основной эфир'!$I:$I=$C4)),"""")"),"А")</f>
        <v>А</v>
      </c>
      <c r="M4" s="92" t="str">
        <f t="shared" ref="M4:M1002" si="1">if(C4&lt;&gt;"",if(or(lower(K4)="u",lower(K4)="nn",lower(K4)="kzn"),"миллионник",if(lower(K4)="msc","мск","остальное")),"")</f>
        <v>миллионник</v>
      </c>
      <c r="N4" s="93">
        <f>IFERROR(__xludf.DUMMYFUNCTION("IFERROR(SWITCH(lower(join("" "",L4:M4)),""а миллионник"", 62.5,""б миллионник"", 75,""а мск"", 50, ""б мск"", 62.5, ""a остальное"", 70, ""б остальное"", 80)/100,0)"),0.625)</f>
        <v>0.625</v>
      </c>
      <c r="O4" s="91">
        <f t="shared" ref="O4:O1002" si="2">IFERROR(J4-J4*N4,0)</f>
        <v>18000</v>
      </c>
      <c r="P4" s="91">
        <f>IFERROR(__xludf.DUMMYFUNCTION("IFERROR(sum(filter('Генеральный баннер'!$O:$O, 'Генеральный баннер'!$B:$B=$A4,'Генеральный баннер'!$C:$C=$B4,'Генеральный баннер'!$I:$I=$C4)), 0) "),1339.0)</f>
        <v>1339</v>
      </c>
      <c r="Q4" s="91">
        <f>IFERROR(__xludf.DUMMYFUNCTION("IFERROR(sum(filter('Генеральный баннер'!$Q:$Q, 'Генеральный баннер'!$B:$B=$A4,'Генеральный баннер'!$C:$C=$B4,'Генеральный баннер'!$I:$I=$C4)), 0) "),12.0)</f>
        <v>12</v>
      </c>
      <c r="R4" s="91">
        <f>IFERROR(__xludf.DUMMYFUNCTION("IFERROR(AVERAGE(filter('Генеральный баннер'!$AA:$AA, 'Генеральный баннер'!$B:$B=$A4,'Генеральный баннер'!$C:$C=$B4,'Генеральный баннер'!$I:$I=$C4)), 0) "),23805.478666666666)</f>
        <v>23805.47867</v>
      </c>
      <c r="S4" s="91">
        <f>IFERROR(__xludf.DUMMYFUNCTION("IFERROR(SUM(filter('Генеральный баннер'!$AH:$AH, 'Генеральный баннер'!$B:$B=$A4,'Генеральный баннер'!$C:$C=$B4,'Генеральный баннер'!$I:$I=$C4)), 0) "),96000.0)</f>
        <v>96000</v>
      </c>
      <c r="T4" s="91" t="str">
        <f>IFERROR(__xludf.DUMMYFUNCTION("IFERROR(REGEXREPLACE(unique(filter('Генеральный баннер'!$A:$A, 'Генеральный баннер'!$B:$B=$A4,'Генеральный баннер'!$C:$C=$B4,'Генеральный баннер'!$I:$I=$C4)), ""\d+"", """"),"""")"),"U")</f>
        <v>U</v>
      </c>
      <c r="U4" s="91" t="str">
        <f>IFERROR(__xludf.DUMMYFUNCTION("IFERROR(unique(filter('Генеральный баннер'!$F:$F, 'Генеральный баннер'!$B:$B=$A4,'Генеральный баннер'!$C:$C=$B4,'Генеральный баннер'!$I:$I=$C4)),"""")"),"А")</f>
        <v>А</v>
      </c>
      <c r="V4" s="92" t="str">
        <f t="shared" ref="V4:V1002" si="3">if(L4&lt;&gt;"",if(or(lower(T4)="u",lower(T4)="nn",lower(T4)="kzn"),"миллионник",if(lower(T4)="msc","мск","остальное")),"")</f>
        <v>миллионник</v>
      </c>
      <c r="W4" s="93">
        <f>IFERROR(__xludf.DUMMYFUNCTION("IFERROR(SWITCH(lower(join("" "",U4:V4)),""а миллионник"", 62.5,""б миллионник"", 75,""а мск"", 50, ""б мск"", 62.5, ""a остальное"", 70, ""б остальное"", 80)/100,0)"),0.625)</f>
        <v>0.625</v>
      </c>
      <c r="X4" s="91">
        <f t="shared" ref="X4:X1002" si="4">IFERROR(S4-S4*W4,0)</f>
        <v>36000</v>
      </c>
    </row>
    <row r="5">
      <c r="A5" s="90" t="s">
        <v>17</v>
      </c>
      <c r="B5" s="90" t="s">
        <v>19</v>
      </c>
      <c r="C5" s="90" t="s">
        <v>105</v>
      </c>
      <c r="D5" s="91">
        <f>IFERROR(__xludf.DUMMYFUNCTION("IFERROR(sum(filter('Основной эфир'!$AA:$AA, 'Основной эфир'!$B:$B=$A5,'Основной эфир'!$C:$C=$B5,'Основной эфир'!$I:$I=$C5)), 0) "),576.0)</f>
        <v>576</v>
      </c>
      <c r="E5" s="91">
        <f>IFERROR(__xludf.DUMMYFUNCTION("IFERROR(sum(filter('Основной эфир'!$AC:$AC, 'Основной эфир'!$B:$B=$A5,'Основной эфир'!$C:$C=$B5,'Основной эфир'!$I:$I=$C5)), 0) "),53568.0)</f>
        <v>53568</v>
      </c>
      <c r="F5" s="91">
        <f>IFERROR(__xludf.DUMMYFUNCTION("IFERROR(sum(filter('Основной эфир'!$O:$O, 'Основной эфир'!$B:$B=$A5,'Основной эфир'!$C:$C=$B5,'Основной эфир'!$I:$I=$C5)), 0) "),301.0)</f>
        <v>301</v>
      </c>
      <c r="G5" s="91">
        <f>IFERROR(__xludf.DUMMYFUNCTION("IFERROR(sum(filter('Основной эфир'!$Q:$Q, 'Основной эфир'!$B:$B=$A5,'Основной эфир'!$C:$C=$B5,'Основной эфир'!$I:$I=$C5)), 0) "),3.0)</f>
        <v>3</v>
      </c>
      <c r="H5" s="91">
        <f>IFERROR(__xludf.DUMMYFUNCTION("IFERROR(AVERAGE(filter('Основной эфир'!$Y:$Y, 'Основной эфир'!$B:$B=$A5,'Основной эфир'!$C:$C=$B5,'Основной эфир'!$I:$I=$C5)), 0) "),10.0)</f>
        <v>10</v>
      </c>
      <c r="I5" s="91">
        <f>IFERROR(__xludf.DUMMYFUNCTION("IFERROR(AVERAGE(filter('Основной эфир'!$AE:$AE, 'Основной эфир'!$B:$B=$A5,'Основной эфир'!$C:$C=$B5,'Основной эфир'!$I:$I=$C5)), 0) "),19473.174933333332)</f>
        <v>19473.17493</v>
      </c>
      <c r="J5" s="91">
        <f>IFERROR(__xludf.DUMMYFUNCTION("IFERROR(SUM(filter('Основной эфир'!$AL:$AL, 'Основной эфир'!$B:$B=$A5,'Основной эфир'!$C:$C=$B5,'Основной эфир'!$I:$I=$C5)), 0) "),11999.999999999998)</f>
        <v>12000</v>
      </c>
      <c r="K5" s="91" t="str">
        <f>IFERROR(__xludf.DUMMYFUNCTION("IFERROR(REGEXREPLACE(unique(filter('Основной эфир'!$A:$A, 'Основной эфир'!$B:$B=$A5,'Основной эфир'!$C:$C=$B5,'Основной эфир'!$I:$I=$C5)), ""\d+"", """"),"""")"),"U")</f>
        <v>U</v>
      </c>
      <c r="L5" s="91" t="str">
        <f>IFERROR(__xludf.DUMMYFUNCTION("IFERROR(unique(filter('Основной эфир'!$F:$F, 'Основной эфир'!$B:$B=$A5,'Основной эфир'!$C:$C=$B5,'Основной эфир'!$I:$I=$C5)),"""")"),"Б")</f>
        <v>Б</v>
      </c>
      <c r="M5" s="92" t="str">
        <f t="shared" si="1"/>
        <v>миллионник</v>
      </c>
      <c r="N5" s="93">
        <f>IFERROR(__xludf.DUMMYFUNCTION("IFERROR(SWITCH(lower(join("" "",L5:M5)),""а миллионник"", 62.5,""б миллионник"", 75,""а мск"", 50, ""б мск"", 62.5, ""a остальное"", 70, ""б остальное"", 80)/100,0)"),0.75)</f>
        <v>0.75</v>
      </c>
      <c r="O5" s="91">
        <f t="shared" si="2"/>
        <v>3000</v>
      </c>
      <c r="P5" s="91">
        <f>IFERROR(__xludf.DUMMYFUNCTION("IFERROR(sum(filter('Генеральный баннер'!$O:$O, 'Генеральный баннер'!$B:$B=$A5,'Генеральный баннер'!$C:$C=$B5,'Генеральный баннер'!$I:$I=$C5)), 0) "),301.0)</f>
        <v>301</v>
      </c>
      <c r="Q5" s="91">
        <f>IFERROR(__xludf.DUMMYFUNCTION("IFERROR(sum(filter('Генеральный баннер'!$Q:$Q, 'Генеральный баннер'!$B:$B=$A5,'Генеральный баннер'!$C:$C=$B5,'Генеральный баннер'!$I:$I=$C5)), 0) "),3.0)</f>
        <v>3</v>
      </c>
      <c r="R5" s="91">
        <f>IFERROR(__xludf.DUMMYFUNCTION("IFERROR(AVERAGE(filter('Генеральный баннер'!$AA:$AA, 'Генеральный баннер'!$B:$B=$A5,'Генеральный баннер'!$C:$C=$B5,'Генеральный баннер'!$I:$I=$C5)), 0) "),33964.84)</f>
        <v>33964.84</v>
      </c>
      <c r="S5" s="91">
        <f>IFERROR(__xludf.DUMMYFUNCTION("IFERROR(SUM(filter('Генеральный баннер'!$AH:$AH, 'Генеральный баннер'!$B:$B=$A5,'Генеральный баннер'!$C:$C=$B5,'Генеральный баннер'!$I:$I=$C5)), 0) "),23999.999999999996)</f>
        <v>24000</v>
      </c>
      <c r="T5" s="91" t="str">
        <f>IFERROR(__xludf.DUMMYFUNCTION("IFERROR(REGEXREPLACE(unique(filter('Генеральный баннер'!$A:$A, 'Генеральный баннер'!$B:$B=$A5,'Генеральный баннер'!$C:$C=$B5,'Генеральный баннер'!$I:$I=$C5)), ""\d+"", """"),"""")"),"U")</f>
        <v>U</v>
      </c>
      <c r="U5" s="91" t="str">
        <f>IFERROR(__xludf.DUMMYFUNCTION("IFERROR(unique(filter('Генеральный баннер'!$F:$F, 'Генеральный баннер'!$B:$B=$A5,'Генеральный баннер'!$C:$C=$B5,'Генеральный баннер'!$I:$I=$C5)),"""")"),"Б")</f>
        <v>Б</v>
      </c>
      <c r="V5" s="92" t="str">
        <f t="shared" si="3"/>
        <v>миллионник</v>
      </c>
      <c r="W5" s="93">
        <f>IFERROR(__xludf.DUMMYFUNCTION("IFERROR(SWITCH(lower(join("" "",U5:V5)),""а миллионник"", 62.5,""б миллионник"", 75,""а мск"", 50, ""б мск"", 62.5, ""a остальное"", 70, ""б остальное"", 80)/100,0)"),0.75)</f>
        <v>0.75</v>
      </c>
      <c r="X5" s="91">
        <f t="shared" si="4"/>
        <v>6000</v>
      </c>
    </row>
    <row r="6">
      <c r="A6" s="90" t="s">
        <v>239</v>
      </c>
      <c r="B6" s="90" t="s">
        <v>329</v>
      </c>
      <c r="C6" s="90" t="s">
        <v>1586</v>
      </c>
      <c r="D6" s="91">
        <f>IFERROR(__xludf.DUMMYFUNCTION("IFERROR(sum(filter('Основной эфир'!$AA:$AA, 'Основной эфир'!$B:$B=$A6,'Основной эфир'!$C:$C=$B6,'Основной эфир'!$I:$I=$C6)), 0) "),2304.0)</f>
        <v>2304</v>
      </c>
      <c r="E6" s="91">
        <f>IFERROR(__xludf.DUMMYFUNCTION("IFERROR(sum(filter('Основной эфир'!$AC:$AC, 'Основной эфир'!$B:$B=$A6,'Основной эфир'!$C:$C=$B6,'Основной эфир'!$I:$I=$C6)), 0) "),124992.0)</f>
        <v>124992</v>
      </c>
      <c r="F6" s="91">
        <f>IFERROR(__xludf.DUMMYFUNCTION("IFERROR(sum(filter('Основной эфир'!$O:$O, 'Основной эфир'!$B:$B=$A6,'Основной эфир'!$C:$C=$B6,'Основной эфир'!$I:$I=$C6)), 0) "),778.0)</f>
        <v>778</v>
      </c>
      <c r="G6" s="91">
        <f>IFERROR(__xludf.DUMMYFUNCTION("IFERROR(sum(filter('Основной эфир'!$Q:$Q, 'Основной эфир'!$B:$B=$A6,'Основной эфир'!$C:$C=$B6,'Основной эфир'!$I:$I=$C6)), 0) "),7.0)</f>
        <v>7</v>
      </c>
      <c r="H6" s="91">
        <f>IFERROR(__xludf.DUMMYFUNCTION("IFERROR(AVERAGE(filter('Основной эфир'!$Y:$Y, 'Основной эфир'!$B:$B=$A6,'Основной эфир'!$C:$C=$B6,'Основной эфир'!$I:$I=$C6)), 0) "),10.0)</f>
        <v>10</v>
      </c>
      <c r="I6" s="91">
        <f>IFERROR(__xludf.DUMMYFUNCTION("IFERROR(AVERAGE(filter('Основной эфир'!$AE:$AE, 'Основной эфир'!$B:$B=$A6,'Основной эфир'!$C:$C=$B6,'Основной эфир'!$I:$I=$C6)), 0) "),2977.0953333333327)</f>
        <v>2977.095333</v>
      </c>
      <c r="J6" s="91">
        <f>IFERROR(__xludf.DUMMYFUNCTION("IFERROR(SUM(filter('Основной эфир'!$AL:$AL, 'Основной эфир'!$B:$B=$A6,'Основной эфир'!$C:$C=$B6,'Основной эфир'!$I:$I=$C6)), 0) "),28000.0)</f>
        <v>28000</v>
      </c>
      <c r="K6" s="91" t="str">
        <f>IFERROR(__xludf.DUMMYFUNCTION("IFERROR(REGEXREPLACE(unique(filter('Основной эфир'!$A:$A, 'Основной эфир'!$B:$B=$A6,'Основной эфир'!$C:$C=$B6,'Основной эфир'!$I:$I=$C6)), ""\d+"", """"),"""")"),"MSC")</f>
        <v>MSC</v>
      </c>
      <c r="L6" s="91" t="str">
        <f>IFERROR(__xludf.DUMMYFUNCTION("IFERROR(unique(filter('Основной эфир'!$F:$F, 'Основной эфир'!$B:$B=$A6,'Основной эфир'!$C:$C=$B6,'Основной эфир'!$I:$I=$C6)),"""")"),"А")</f>
        <v>А</v>
      </c>
      <c r="M6" s="92" t="str">
        <f t="shared" si="1"/>
        <v>мск</v>
      </c>
      <c r="N6" s="93">
        <f>IFERROR(__xludf.DUMMYFUNCTION("IFERROR(SWITCH(lower(join("" "",L6:M6)),""а миллионник"", 62.5,""б миллионник"", 75,""а мск"", 50, ""б мск"", 62.5, ""a остальное"", 70, ""б остальное"", 80)/100,0)"),0.5)</f>
        <v>0.5</v>
      </c>
      <c r="O6" s="91">
        <f t="shared" si="2"/>
        <v>14000</v>
      </c>
      <c r="P6" s="91">
        <f>IFERROR(__xludf.DUMMYFUNCTION("IFERROR(sum(filter('Генеральный баннер'!$O:$O, 'Генеральный баннер'!$B:$B=$A6,'Генеральный баннер'!$C:$C=$B6,'Генеральный баннер'!$I:$I=$C6)), 0) "),778.0)</f>
        <v>778</v>
      </c>
      <c r="Q6" s="91">
        <f>IFERROR(__xludf.DUMMYFUNCTION("IFERROR(sum(filter('Генеральный баннер'!$Q:$Q, 'Генеральный баннер'!$B:$B=$A6,'Генеральный баннер'!$C:$C=$B6,'Генеральный баннер'!$I:$I=$C6)), 0) "),7.0)</f>
        <v>7</v>
      </c>
      <c r="R6" s="91">
        <f>IFERROR(__xludf.DUMMYFUNCTION("IFERROR(AVERAGE(filter('Генеральный баннер'!$AA:$AA, 'Генеральный баннер'!$B:$B=$A6,'Генеральный баннер'!$C:$C=$B6,'Генеральный баннер'!$I:$I=$C6)), 0) "),7442.738333333333)</f>
        <v>7442.738333</v>
      </c>
      <c r="S6" s="91">
        <f>IFERROR(__xludf.DUMMYFUNCTION("IFERROR(SUM(filter('Генеральный баннер'!$AH:$AH, 'Генеральный баннер'!$B:$B=$A6,'Генеральный баннер'!$C:$C=$B6,'Генеральный баннер'!$I:$I=$C6)), 0) "),56000.0)</f>
        <v>56000</v>
      </c>
      <c r="T6" s="91" t="str">
        <f>IFERROR(__xludf.DUMMYFUNCTION("IFERROR(REGEXREPLACE(unique(filter('Генеральный баннер'!$A:$A, 'Генеральный баннер'!$B:$B=$A6,'Генеральный баннер'!$C:$C=$B6,'Генеральный баннер'!$I:$I=$C6)), ""\d+"", """"),"""")"),"MSC")</f>
        <v>MSC</v>
      </c>
      <c r="U6" s="91" t="str">
        <f>IFERROR(__xludf.DUMMYFUNCTION("IFERROR(unique(filter('Генеральный баннер'!$F:$F, 'Генеральный баннер'!$B:$B=$A6,'Генеральный баннер'!$C:$C=$B6,'Генеральный баннер'!$I:$I=$C6)),"""")"),"А")</f>
        <v>А</v>
      </c>
      <c r="V6" s="92" t="str">
        <f t="shared" si="3"/>
        <v>мск</v>
      </c>
      <c r="W6" s="93">
        <f>IFERROR(__xludf.DUMMYFUNCTION("IFERROR(SWITCH(lower(join("" "",U6:V6)),""а миллионник"", 62.5,""б миллионник"", 75,""а мск"", 50, ""б мск"", 62.5, ""a остальное"", 70, ""б остальное"", 80)/100,0)"),0.5)</f>
        <v>0.5</v>
      </c>
      <c r="X6" s="91">
        <f t="shared" si="4"/>
        <v>28000</v>
      </c>
    </row>
    <row r="7">
      <c r="A7" s="90" t="s">
        <v>193</v>
      </c>
      <c r="B7" s="90" t="s">
        <v>216</v>
      </c>
      <c r="C7" s="90" t="s">
        <v>1615</v>
      </c>
      <c r="D7" s="91">
        <f>IFERROR(__xludf.DUMMYFUNCTION("IFERROR(sum(filter('Основной эфир'!$AA:$AA, 'Основной эфир'!$B:$B=$A7,'Основной эфир'!$C:$C=$B7,'Основной эфир'!$I:$I=$C7)), 0) "),4032.0)</f>
        <v>4032</v>
      </c>
      <c r="E7" s="91">
        <f>IFERROR(__xludf.DUMMYFUNCTION("IFERROR(sum(filter('Основной эфир'!$AC:$AC, 'Основной эфир'!$B:$B=$A7,'Основной эфир'!$C:$C=$B7,'Основной эфир'!$I:$I=$C7)), 0) "),214272.0)</f>
        <v>214272</v>
      </c>
      <c r="F7" s="91">
        <f>IFERROR(__xludf.DUMMYFUNCTION("IFERROR(sum(filter('Основной эфир'!$O:$O, 'Основной эфир'!$B:$B=$A7,'Основной эфир'!$C:$C=$B7,'Основной эфир'!$I:$I=$C7)), 0) "),1069.0)</f>
        <v>1069</v>
      </c>
      <c r="G7" s="91">
        <f>IFERROR(__xludf.DUMMYFUNCTION("IFERROR(sum(filter('Основной эфир'!$Q:$Q, 'Основной эфир'!$B:$B=$A7,'Основной эфир'!$C:$C=$B7,'Основной эфир'!$I:$I=$C7)), 0) "),12.0)</f>
        <v>12</v>
      </c>
      <c r="H7" s="91">
        <f>IFERROR(__xludf.DUMMYFUNCTION("IFERROR(AVERAGE(filter('Основной эфир'!$Y:$Y, 'Основной эфир'!$B:$B=$A7,'Основной эфир'!$C:$C=$B7,'Основной эфир'!$I:$I=$C7)), 0) "),10.0)</f>
        <v>10</v>
      </c>
      <c r="I7" s="91">
        <f>IFERROR(__xludf.DUMMYFUNCTION("IFERROR(AVERAGE(filter('Основной эфир'!$AE:$AE, 'Основной эфир'!$B:$B=$A7,'Основной эфир'!$C:$C=$B7,'Основной эфир'!$I:$I=$C7)), 0) "),3446.4560000000006)</f>
        <v>3446.456</v>
      </c>
      <c r="J7" s="91">
        <f>IFERROR(__xludf.DUMMYFUNCTION("IFERROR(SUM(filter('Основной эфир'!$AL:$AL, 'Основной эфир'!$B:$B=$A7,'Основной эфир'!$C:$C=$B7,'Основной эфир'!$I:$I=$C7)), 0) "),48000.0)</f>
        <v>48000</v>
      </c>
      <c r="K7" s="91" t="str">
        <f>IFERROR(__xludf.DUMMYFUNCTION("IFERROR(REGEXREPLACE(unique(filter('Основной эфир'!$A:$A, 'Основной эфир'!$B:$B=$A7,'Основной эфир'!$C:$C=$B7,'Основной эфир'!$I:$I=$C7)), ""\d+"", """"),"""")"),"KZN")</f>
        <v>KZN</v>
      </c>
      <c r="L7" s="91" t="str">
        <f>IFERROR(__xludf.DUMMYFUNCTION("IFERROR(unique(filter('Основной эфир'!$F:$F, 'Основной эфир'!$B:$B=$A7,'Основной эфир'!$C:$C=$B7,'Основной эфир'!$I:$I=$C7)),"""")"),"Б")</f>
        <v>Б</v>
      </c>
      <c r="M7" s="92" t="str">
        <f t="shared" si="1"/>
        <v>миллионник</v>
      </c>
      <c r="N7" s="93">
        <f>IFERROR(__xludf.DUMMYFUNCTION("IFERROR(SWITCH(lower(join("" "",L7:M7)),""а миллионник"", 62.5,""б миллионник"", 75,""а мск"", 50, ""б мск"", 62.5, ""a остальное"", 70, ""б остальное"", 80)/100,0)"),0.75)</f>
        <v>0.75</v>
      </c>
      <c r="O7" s="91">
        <f t="shared" si="2"/>
        <v>12000</v>
      </c>
      <c r="P7" s="91">
        <f>IFERROR(__xludf.DUMMYFUNCTION("IFERROR(sum(filter('Генеральный баннер'!$O:$O, 'Генеральный баннер'!$B:$B=$A7,'Генеральный баннер'!$C:$C=$B7,'Генеральный баннер'!$I:$I=$C7)), 0) "),1069.0)</f>
        <v>1069</v>
      </c>
      <c r="Q7" s="91">
        <f>IFERROR(__xludf.DUMMYFUNCTION("IFERROR(sum(filter('Генеральный баннер'!$Q:$Q, 'Генеральный баннер'!$B:$B=$A7,'Генеральный баннер'!$C:$C=$B7,'Генеральный баннер'!$I:$I=$C7)), 0) "),12.0)</f>
        <v>12</v>
      </c>
      <c r="R7" s="91">
        <f>IFERROR(__xludf.DUMMYFUNCTION("IFERROR(AVERAGE(filter('Генеральный баннер'!$AA:$AA, 'Генеральный баннер'!$B:$B=$A7,'Генеральный баннер'!$C:$C=$B7,'Генеральный баннер'!$I:$I=$C7)), 0) "),8616.14)</f>
        <v>8616.14</v>
      </c>
      <c r="S7" s="91">
        <f>IFERROR(__xludf.DUMMYFUNCTION("IFERROR(SUM(filter('Генеральный баннер'!$AH:$AH, 'Генеральный баннер'!$B:$B=$A7,'Генеральный баннер'!$C:$C=$B7,'Генеральный баннер'!$I:$I=$C7)), 0) "),96000.0)</f>
        <v>96000</v>
      </c>
      <c r="T7" s="91" t="str">
        <f>IFERROR(__xludf.DUMMYFUNCTION("IFERROR(REGEXREPLACE(unique(filter('Генеральный баннер'!$A:$A, 'Генеральный баннер'!$B:$B=$A7,'Генеральный баннер'!$C:$C=$B7,'Генеральный баннер'!$I:$I=$C7)), ""\d+"", """"),"""")"),"KZN")</f>
        <v>KZN</v>
      </c>
      <c r="U7" s="91" t="str">
        <f>IFERROR(__xludf.DUMMYFUNCTION("IFERROR(unique(filter('Генеральный баннер'!$F:$F, 'Генеральный баннер'!$B:$B=$A7,'Генеральный баннер'!$C:$C=$B7,'Генеральный баннер'!$I:$I=$C7)),"""")"),"Б")</f>
        <v>Б</v>
      </c>
      <c r="V7" s="92" t="str">
        <f t="shared" si="3"/>
        <v>миллионник</v>
      </c>
      <c r="W7" s="93">
        <f>IFERROR(__xludf.DUMMYFUNCTION("IFERROR(SWITCH(lower(join("" "",U7:V7)),""а миллионник"", 62.5,""б миллионник"", 75,""а мск"", 50, ""б мск"", 62.5, ""a остальное"", 70, ""б остальное"", 80)/100,0)"),0.75)</f>
        <v>0.75</v>
      </c>
      <c r="X7" s="91">
        <f t="shared" si="4"/>
        <v>24000</v>
      </c>
    </row>
    <row r="8">
      <c r="A8" s="95"/>
      <c r="B8" s="90"/>
      <c r="C8" s="90"/>
      <c r="D8" s="91">
        <f>IFERROR(__xludf.DUMMYFUNCTION("IFERROR(sum(filter('Основной эфир'!$AA:$AA, 'Основной эфир'!$B:$B=$A8,'Основной эфир'!$C:$C=$B8,'Основной эфир'!$I:$I=$C8)), 0) "),0.0)</f>
        <v>0</v>
      </c>
      <c r="E8" s="91">
        <f>IFERROR(__xludf.DUMMYFUNCTION("IFERROR(sum(filter('Основной эфир'!$AC:$AC, 'Основной эфир'!$B:$B=$A8,'Основной эфир'!$C:$C=$B8,'Основной эфир'!$I:$I=$C8)), 0) "),0.0)</f>
        <v>0</v>
      </c>
      <c r="F8" s="91">
        <f>IFERROR(__xludf.DUMMYFUNCTION("IFERROR(sum(filter('Основной эфир'!$O:$O, 'Основной эфир'!$B:$B=$A8,'Основной эфир'!$C:$C=$B8,'Основной эфир'!$I:$I=$C8)), 0) "),0.0)</f>
        <v>0</v>
      </c>
      <c r="G8" s="91">
        <f>IFERROR(__xludf.DUMMYFUNCTION("IFERROR(sum(filter('Основной эфир'!$Q:$Q, 'Основной эфир'!$B:$B=$A8,'Основной эфир'!$C:$C=$B8,'Основной эфир'!$I:$I=$C8)), 0) "),0.0)</f>
        <v>0</v>
      </c>
      <c r="H8" s="91">
        <f>IFERROR(__xludf.DUMMYFUNCTION("IFERROR(AVERAGE(filter('Основной эфир'!$Y:$Y, 'Основной эфир'!$B:$B=$A8,'Основной эфир'!$C:$C=$B8,'Основной эфир'!$I:$I=$C8)), 0) "),0.0)</f>
        <v>0</v>
      </c>
      <c r="I8" s="91">
        <f>IFERROR(__xludf.DUMMYFUNCTION("IFERROR(AVERAGE(filter('Основной эфир'!$AE:$AE, 'Основной эфир'!$B:$B=$A8,'Основной эфир'!$C:$C=$B8,'Основной эфир'!$I:$I=$C8)), 0) "),0.0)</f>
        <v>0</v>
      </c>
      <c r="J8" s="91">
        <f>IFERROR(__xludf.DUMMYFUNCTION("IFERROR(SUM(filter('Основной эфир'!$AL:$AL, 'Основной эфир'!$B:$B=$A8,'Основной эфир'!$C:$C=$B8,'Основной эфир'!$I:$I=$C8)), 0) "),0.0)</f>
        <v>0</v>
      </c>
      <c r="K8" s="91" t="str">
        <f>IFERROR(__xludf.DUMMYFUNCTION("IFERROR(REGEXREPLACE(unique(filter('Основной эфир'!$A:$A, 'Основной эфир'!$B:$B=$A8,'Основной эфир'!$C:$C=$B8,'Основной эфир'!$I:$I=$C8)), ""\d+"", """"),"""")"),"")</f>
        <v/>
      </c>
      <c r="L8" s="91" t="str">
        <f>IFERROR(__xludf.DUMMYFUNCTION("IFERROR(unique(filter('Основной эфир'!$F:$F, 'Основной эфир'!$B:$B=$A8,'Основной эфир'!$C:$C=$B8,'Основной эфир'!$I:$I=$C8)),"""")"),"")</f>
        <v/>
      </c>
      <c r="M8" s="92" t="str">
        <f t="shared" si="1"/>
        <v/>
      </c>
      <c r="N8" s="93">
        <f>IFERROR(__xludf.DUMMYFUNCTION("IFERROR(SWITCH(lower(join("" "",L8:M8)),""а миллионник"", 62.5,""б миллионник"", 75,""а мск"", 50, ""б мск"", 62.5, ""a остальное"", 70, ""б остальное"", 80)/100,0)"),0.0)</f>
        <v>0</v>
      </c>
      <c r="O8" s="91">
        <f t="shared" si="2"/>
        <v>0</v>
      </c>
      <c r="P8" s="91">
        <f>IFERROR(__xludf.DUMMYFUNCTION("IFERROR(sum(filter('Генеральный баннер'!$O:$O, 'Генеральный баннер'!$B:$B=$A8,'Генеральный баннер'!$C:$C=$B8,'Генеральный баннер'!$I:$I=$C8)), 0) "),0.0)</f>
        <v>0</v>
      </c>
      <c r="Q8" s="91">
        <f>IFERROR(__xludf.DUMMYFUNCTION("IFERROR(sum(filter('Генеральный баннер'!$Q:$Q, 'Генеральный баннер'!$B:$B=$A8,'Генеральный баннер'!$C:$C=$B8,'Генеральный баннер'!$I:$I=$C8)), 0) "),0.0)</f>
        <v>0</v>
      </c>
      <c r="R8" s="91">
        <f>IFERROR(__xludf.DUMMYFUNCTION("IFERROR(AVERAGE(filter('Генеральный баннер'!$AA:$AA, 'Генеральный баннер'!$B:$B=$A8,'Генеральный баннер'!$C:$C=$B8,'Генеральный баннер'!$I:$I=$C8)), 0) "),0.0)</f>
        <v>0</v>
      </c>
      <c r="S8" s="91">
        <f>IFERROR(__xludf.DUMMYFUNCTION("IFERROR(SUM(filter('Генеральный баннер'!$AH:$AH, 'Генеральный баннер'!$B:$B=$A8,'Генеральный баннер'!$C:$C=$B8,'Генеральный баннер'!$I:$I=$C8)), 0) "),0.0)</f>
        <v>0</v>
      </c>
      <c r="T8" s="91" t="str">
        <f>IFERROR(__xludf.DUMMYFUNCTION("IFERROR(REGEXREPLACE(unique(filter('Генеральный баннер'!$A:$A, 'Генеральный баннер'!$B:$B=$A8,'Генеральный баннер'!$C:$C=$B8,'Генеральный баннер'!$I:$I=$C8)), ""\d+"", """"),"""")"),"")</f>
        <v/>
      </c>
      <c r="U8" s="91" t="str">
        <f>IFERROR(__xludf.DUMMYFUNCTION("IFERROR(unique(filter('Генеральный баннер'!$F:$F, 'Генеральный баннер'!$B:$B=$A8,'Генеральный баннер'!$C:$C=$B8,'Генеральный баннер'!$I:$I=$C8)),"""")"),"")</f>
        <v/>
      </c>
      <c r="V8" s="92" t="str">
        <f t="shared" si="3"/>
        <v/>
      </c>
      <c r="W8" s="93">
        <f>IFERROR(__xludf.DUMMYFUNCTION("IFERROR(SWITCH(lower(join("" "",U8:V8)),""а миллионник"", 62.5,""б миллионник"", 75,""а мск"", 50, ""б мск"", 62.5, ""a остальное"", 70, ""б остальное"", 80)/100,0)"),0.0)</f>
        <v>0</v>
      </c>
      <c r="X8" s="91">
        <f t="shared" si="4"/>
        <v>0</v>
      </c>
    </row>
    <row r="9">
      <c r="A9" s="95"/>
      <c r="B9" s="90"/>
      <c r="C9" s="90"/>
      <c r="D9" s="91">
        <f>IFERROR(__xludf.DUMMYFUNCTION("IFERROR(sum(filter('Основной эфир'!$AA:$AA, 'Основной эфир'!$B:$B=$A9,'Основной эфир'!$C:$C=$B9,'Основной эфир'!$I:$I=$C9)), 0) "),0.0)</f>
        <v>0</v>
      </c>
      <c r="E9" s="91">
        <f>IFERROR(__xludf.DUMMYFUNCTION("IFERROR(sum(filter('Основной эфир'!$AC:$AC, 'Основной эфир'!$B:$B=$A9,'Основной эфир'!$C:$C=$B9,'Основной эфир'!$I:$I=$C9)), 0) "),0.0)</f>
        <v>0</v>
      </c>
      <c r="F9" s="91">
        <f>IFERROR(__xludf.DUMMYFUNCTION("IFERROR(sum(filter('Основной эфир'!$O:$O, 'Основной эфир'!$B:$B=$A9,'Основной эфир'!$C:$C=$B9,'Основной эфир'!$I:$I=$C9)), 0) "),0.0)</f>
        <v>0</v>
      </c>
      <c r="G9" s="91">
        <f>IFERROR(__xludf.DUMMYFUNCTION("IFERROR(sum(filter('Основной эфир'!$Q:$Q, 'Основной эфир'!$B:$B=$A9,'Основной эфир'!$C:$C=$B9,'Основной эфир'!$I:$I=$C9)), 0) "),0.0)</f>
        <v>0</v>
      </c>
      <c r="H9" s="91">
        <f>IFERROR(__xludf.DUMMYFUNCTION("IFERROR(AVERAGE(filter('Основной эфир'!$Y:$Y, 'Основной эфир'!$B:$B=$A9,'Основной эфир'!$C:$C=$B9,'Основной эфир'!$I:$I=$C9)), 0) "),0.0)</f>
        <v>0</v>
      </c>
      <c r="I9" s="91">
        <f>IFERROR(__xludf.DUMMYFUNCTION("IFERROR(AVERAGE(filter('Основной эфир'!$AE:$AE, 'Основной эфир'!$B:$B=$A9,'Основной эфир'!$C:$C=$B9,'Основной эфир'!$I:$I=$C9)), 0) "),0.0)</f>
        <v>0</v>
      </c>
      <c r="J9" s="91">
        <f>IFERROR(__xludf.DUMMYFUNCTION("IFERROR(SUM(filter('Основной эфир'!$AL:$AL, 'Основной эфир'!$B:$B=$A9,'Основной эфир'!$C:$C=$B9,'Основной эфир'!$I:$I=$C9)), 0) "),0.0)</f>
        <v>0</v>
      </c>
      <c r="K9" s="91" t="str">
        <f>IFERROR(__xludf.DUMMYFUNCTION("IFERROR(REGEXREPLACE(unique(filter('Основной эфир'!$A:$A, 'Основной эфир'!$B:$B=$A9,'Основной эфир'!$C:$C=$B9,'Основной эфир'!$I:$I=$C9)), ""\d+"", """"),"""")"),"")</f>
        <v/>
      </c>
      <c r="L9" s="91" t="str">
        <f>IFERROR(__xludf.DUMMYFUNCTION("IFERROR(unique(filter('Основной эфир'!$F:$F, 'Основной эфир'!$B:$B=$A9,'Основной эфир'!$C:$C=$B9,'Основной эфир'!$I:$I=$C9)),"""")"),"")</f>
        <v/>
      </c>
      <c r="M9" s="92" t="str">
        <f t="shared" si="1"/>
        <v/>
      </c>
      <c r="N9" s="93">
        <f>IFERROR(__xludf.DUMMYFUNCTION("IFERROR(SWITCH(lower(join("" "",L9:M9)),""а миллионник"", 62.5,""б миллионник"", 75,""а мск"", 50, ""б мск"", 62.5, ""a остальное"", 70, ""б остальное"", 80)/100,0)"),0.0)</f>
        <v>0</v>
      </c>
      <c r="O9" s="91">
        <f t="shared" si="2"/>
        <v>0</v>
      </c>
      <c r="P9" s="91">
        <f>IFERROR(__xludf.DUMMYFUNCTION("IFERROR(sum(filter('Генеральный баннер'!$O:$O, 'Генеральный баннер'!$B:$B=$A9,'Генеральный баннер'!$C:$C=$B9,'Генеральный баннер'!$I:$I=$C9)), 0) "),0.0)</f>
        <v>0</v>
      </c>
      <c r="Q9" s="91">
        <f>IFERROR(__xludf.DUMMYFUNCTION("IFERROR(sum(filter('Генеральный баннер'!$Q:$Q, 'Генеральный баннер'!$B:$B=$A9,'Генеральный баннер'!$C:$C=$B9,'Генеральный баннер'!$I:$I=$C9)), 0) "),0.0)</f>
        <v>0</v>
      </c>
      <c r="R9" s="91">
        <f>IFERROR(__xludf.DUMMYFUNCTION("IFERROR(AVERAGE(filter('Генеральный баннер'!$AA:$AA, 'Генеральный баннер'!$B:$B=$A9,'Генеральный баннер'!$C:$C=$B9,'Генеральный баннер'!$I:$I=$C9)), 0) "),0.0)</f>
        <v>0</v>
      </c>
      <c r="S9" s="91">
        <f>IFERROR(__xludf.DUMMYFUNCTION("IFERROR(SUM(filter('Генеральный баннер'!$AH:$AH, 'Генеральный баннер'!$B:$B=$A9,'Генеральный баннер'!$C:$C=$B9,'Генеральный баннер'!$I:$I=$C9)), 0) "),0.0)</f>
        <v>0</v>
      </c>
      <c r="T9" s="91" t="str">
        <f>IFERROR(__xludf.DUMMYFUNCTION("IFERROR(REGEXREPLACE(unique(filter('Генеральный баннер'!$A:$A, 'Генеральный баннер'!$B:$B=$A9,'Генеральный баннер'!$C:$C=$B9,'Генеральный баннер'!$I:$I=$C9)), ""\d+"", """"),"""")"),"")</f>
        <v/>
      </c>
      <c r="U9" s="91" t="str">
        <f>IFERROR(__xludf.DUMMYFUNCTION("IFERROR(unique(filter('Генеральный баннер'!$F:$F, 'Генеральный баннер'!$B:$B=$A9,'Генеральный баннер'!$C:$C=$B9,'Генеральный баннер'!$I:$I=$C9)),"""")"),"")</f>
        <v/>
      </c>
      <c r="V9" s="92" t="str">
        <f t="shared" si="3"/>
        <v/>
      </c>
      <c r="W9" s="93">
        <f>IFERROR(__xludf.DUMMYFUNCTION("IFERROR(SWITCH(lower(join("" "",U9:V9)),""а миллионник"", 62.5,""б миллионник"", 75,""а мск"", 50, ""б мск"", 62.5, ""a остальное"", 70, ""б остальное"", 80)/100,0)"),0.0)</f>
        <v>0</v>
      </c>
      <c r="X9" s="91">
        <f t="shared" si="4"/>
        <v>0</v>
      </c>
    </row>
    <row r="10">
      <c r="A10" s="95"/>
      <c r="B10" s="90"/>
      <c r="C10" s="90"/>
      <c r="D10" s="91">
        <f>IFERROR(__xludf.DUMMYFUNCTION("IFERROR(sum(filter('Основной эфир'!$AA:$AA, 'Основной эфир'!$B:$B=$A10,'Основной эфир'!$C:$C=$B10,'Основной эфир'!$I:$I=$C10)), 0) "),0.0)</f>
        <v>0</v>
      </c>
      <c r="E10" s="91">
        <f>IFERROR(__xludf.DUMMYFUNCTION("IFERROR(sum(filter('Основной эфир'!$AC:$AC, 'Основной эфир'!$B:$B=$A10,'Основной эфир'!$C:$C=$B10,'Основной эфир'!$I:$I=$C10)), 0) "),0.0)</f>
        <v>0</v>
      </c>
      <c r="F10" s="91">
        <f>IFERROR(__xludf.DUMMYFUNCTION("IFERROR(sum(filter('Основной эфир'!$O:$O, 'Основной эфир'!$B:$B=$A10,'Основной эфир'!$C:$C=$B10,'Основной эфир'!$I:$I=$C10)), 0) "),0.0)</f>
        <v>0</v>
      </c>
      <c r="G10" s="91">
        <f>IFERROR(__xludf.DUMMYFUNCTION("IFERROR(sum(filter('Основной эфир'!$Q:$Q, 'Основной эфир'!$B:$B=$A10,'Основной эфир'!$C:$C=$B10,'Основной эфир'!$I:$I=$C10)), 0) "),0.0)</f>
        <v>0</v>
      </c>
      <c r="H10" s="91">
        <f>IFERROR(__xludf.DUMMYFUNCTION("IFERROR(AVERAGE(filter('Основной эфир'!$Y:$Y, 'Основной эфир'!$B:$B=$A10,'Основной эфир'!$C:$C=$B10,'Основной эфир'!$I:$I=$C10)), 0) "),0.0)</f>
        <v>0</v>
      </c>
      <c r="I10" s="91">
        <f>IFERROR(__xludf.DUMMYFUNCTION("IFERROR(AVERAGE(filter('Основной эфир'!$AE:$AE, 'Основной эфир'!$B:$B=$A10,'Основной эфир'!$C:$C=$B10,'Основной эфир'!$I:$I=$C10)), 0) "),0.0)</f>
        <v>0</v>
      </c>
      <c r="J10" s="91">
        <f>IFERROR(__xludf.DUMMYFUNCTION("IFERROR(SUM(filter('Основной эфир'!$AL:$AL, 'Основной эфир'!$B:$B=$A10,'Основной эфир'!$C:$C=$B10,'Основной эфир'!$I:$I=$C10)), 0) "),0.0)</f>
        <v>0</v>
      </c>
      <c r="K10" s="91" t="str">
        <f>IFERROR(__xludf.DUMMYFUNCTION("IFERROR(REGEXREPLACE(unique(filter('Основной эфир'!$A:$A, 'Основной эфир'!$B:$B=$A10,'Основной эфир'!$C:$C=$B10,'Основной эфир'!$I:$I=$C10)), ""\d+"", """"),"""")"),"")</f>
        <v/>
      </c>
      <c r="L10" s="91" t="str">
        <f>IFERROR(__xludf.DUMMYFUNCTION("IFERROR(unique(filter('Основной эфир'!$F:$F, 'Основной эфир'!$B:$B=$A10,'Основной эфир'!$C:$C=$B10,'Основной эфир'!$I:$I=$C10)),"""")"),"")</f>
        <v/>
      </c>
      <c r="M10" s="92" t="str">
        <f t="shared" si="1"/>
        <v/>
      </c>
      <c r="N10" s="93">
        <f>IFERROR(__xludf.DUMMYFUNCTION("IFERROR(SWITCH(lower(join("" "",L10:M10)),""а миллионник"", 62.5,""б миллионник"", 75,""а мск"", 50, ""б мск"", 62.5, ""a остальное"", 70, ""б остальное"", 80)/100,0)"),0.0)</f>
        <v>0</v>
      </c>
      <c r="O10" s="91">
        <f t="shared" si="2"/>
        <v>0</v>
      </c>
      <c r="P10" s="91">
        <f>IFERROR(__xludf.DUMMYFUNCTION("IFERROR(sum(filter('Генеральный баннер'!$O:$O, 'Генеральный баннер'!$B:$B=$A10,'Генеральный баннер'!$C:$C=$B10,'Генеральный баннер'!$I:$I=$C10)), 0) "),0.0)</f>
        <v>0</v>
      </c>
      <c r="Q10" s="91">
        <f>IFERROR(__xludf.DUMMYFUNCTION("IFERROR(sum(filter('Генеральный баннер'!$Q:$Q, 'Генеральный баннер'!$B:$B=$A10,'Генеральный баннер'!$C:$C=$B10,'Генеральный баннер'!$I:$I=$C10)), 0) "),0.0)</f>
        <v>0</v>
      </c>
      <c r="R10" s="91">
        <f>IFERROR(__xludf.DUMMYFUNCTION("IFERROR(AVERAGE(filter('Генеральный баннер'!$AA:$AA, 'Генеральный баннер'!$B:$B=$A10,'Генеральный баннер'!$C:$C=$B10,'Генеральный баннер'!$I:$I=$C10)), 0) "),0.0)</f>
        <v>0</v>
      </c>
      <c r="S10" s="91">
        <f>IFERROR(__xludf.DUMMYFUNCTION("IFERROR(SUM(filter('Генеральный баннер'!$AH:$AH, 'Генеральный баннер'!$B:$B=$A10,'Генеральный баннер'!$C:$C=$B10,'Генеральный баннер'!$I:$I=$C10)), 0) "),0.0)</f>
        <v>0</v>
      </c>
      <c r="T10" s="91" t="str">
        <f>IFERROR(__xludf.DUMMYFUNCTION("IFERROR(REGEXREPLACE(unique(filter('Генеральный баннер'!$A:$A, 'Генеральный баннер'!$B:$B=$A10,'Генеральный баннер'!$C:$C=$B10,'Генеральный баннер'!$I:$I=$C10)), ""\d+"", """"),"""")"),"")</f>
        <v/>
      </c>
      <c r="U10" s="91" t="str">
        <f>IFERROR(__xludf.DUMMYFUNCTION("IFERROR(unique(filter('Генеральный баннер'!$F:$F, 'Генеральный баннер'!$B:$B=$A10,'Генеральный баннер'!$C:$C=$B10,'Генеральный баннер'!$I:$I=$C10)),"""")"),"")</f>
        <v/>
      </c>
      <c r="V10" s="92" t="str">
        <f t="shared" si="3"/>
        <v/>
      </c>
      <c r="W10" s="93">
        <f>IFERROR(__xludf.DUMMYFUNCTION("IFERROR(SWITCH(lower(join("" "",U10:V10)),""а миллионник"", 62.5,""б миллионник"", 75,""а мск"", 50, ""б мск"", 62.5, ""a остальное"", 70, ""б остальное"", 80)/100,0)"),0.0)</f>
        <v>0</v>
      </c>
      <c r="X10" s="91">
        <f t="shared" si="4"/>
        <v>0</v>
      </c>
    </row>
    <row r="11">
      <c r="A11" s="95"/>
      <c r="B11" s="90"/>
      <c r="C11" s="90"/>
      <c r="D11" s="91">
        <f>IFERROR(__xludf.DUMMYFUNCTION("IFERROR(sum(filter('Основной эфир'!$AA:$AA, 'Основной эфир'!$B:$B=$A11,'Основной эфир'!$C:$C=$B11,'Основной эфир'!$I:$I=$C11)), 0) "),0.0)</f>
        <v>0</v>
      </c>
      <c r="E11" s="91">
        <f>IFERROR(__xludf.DUMMYFUNCTION("IFERROR(sum(filter('Основной эфир'!$AC:$AC, 'Основной эфир'!$B:$B=$A11,'Основной эфир'!$C:$C=$B11,'Основной эфир'!$I:$I=$C11)), 0) "),0.0)</f>
        <v>0</v>
      </c>
      <c r="F11" s="91">
        <f>IFERROR(__xludf.DUMMYFUNCTION("IFERROR(sum(filter('Основной эфир'!$O:$O, 'Основной эфир'!$B:$B=$A11,'Основной эфир'!$C:$C=$B11,'Основной эфир'!$I:$I=$C11)), 0) "),0.0)</f>
        <v>0</v>
      </c>
      <c r="G11" s="91">
        <f>IFERROR(__xludf.DUMMYFUNCTION("IFERROR(sum(filter('Основной эфир'!$Q:$Q, 'Основной эфир'!$B:$B=$A11,'Основной эфир'!$C:$C=$B11,'Основной эфир'!$I:$I=$C11)), 0) "),0.0)</f>
        <v>0</v>
      </c>
      <c r="H11" s="91">
        <f>IFERROR(__xludf.DUMMYFUNCTION("IFERROR(AVERAGE(filter('Основной эфир'!$Y:$Y, 'Основной эфир'!$B:$B=$A11,'Основной эфир'!$C:$C=$B11,'Основной эфир'!$I:$I=$C11)), 0) "),0.0)</f>
        <v>0</v>
      </c>
      <c r="I11" s="91">
        <f>IFERROR(__xludf.DUMMYFUNCTION("IFERROR(AVERAGE(filter('Основной эфир'!$AE:$AE, 'Основной эфир'!$B:$B=$A11,'Основной эфир'!$C:$C=$B11,'Основной эфир'!$I:$I=$C11)), 0) "),0.0)</f>
        <v>0</v>
      </c>
      <c r="J11" s="91">
        <f>IFERROR(__xludf.DUMMYFUNCTION("IFERROR(SUM(filter('Основной эфир'!$AL:$AL, 'Основной эфир'!$B:$B=$A11,'Основной эфир'!$C:$C=$B11,'Основной эфир'!$I:$I=$C11)), 0) "),0.0)</f>
        <v>0</v>
      </c>
      <c r="K11" s="91" t="str">
        <f>IFERROR(__xludf.DUMMYFUNCTION("IFERROR(REGEXREPLACE(unique(filter('Основной эфир'!$A:$A, 'Основной эфир'!$B:$B=$A11,'Основной эфир'!$C:$C=$B11,'Основной эфир'!$I:$I=$C11)), ""\d+"", """"),"""")"),"")</f>
        <v/>
      </c>
      <c r="L11" s="91" t="str">
        <f>IFERROR(__xludf.DUMMYFUNCTION("IFERROR(unique(filter('Основной эфир'!$F:$F, 'Основной эфир'!$B:$B=$A11,'Основной эфир'!$C:$C=$B11,'Основной эфир'!$I:$I=$C11)),"""")"),"")</f>
        <v/>
      </c>
      <c r="M11" s="92" t="str">
        <f t="shared" si="1"/>
        <v/>
      </c>
      <c r="N11" s="93">
        <f>IFERROR(__xludf.DUMMYFUNCTION("IFERROR(SWITCH(lower(join("" "",L11:M11)),""а миллионник"", 62.5,""б миллионник"", 75,""а мск"", 50, ""б мск"", 62.5, ""a остальное"", 70, ""б остальное"", 80)/100,0)"),0.0)</f>
        <v>0</v>
      </c>
      <c r="O11" s="91">
        <f t="shared" si="2"/>
        <v>0</v>
      </c>
      <c r="P11" s="91">
        <f>IFERROR(__xludf.DUMMYFUNCTION("IFERROR(sum(filter('Генеральный баннер'!$O:$O, 'Генеральный баннер'!$B:$B=$A11,'Генеральный баннер'!$C:$C=$B11,'Генеральный баннер'!$I:$I=$C11)), 0) "),0.0)</f>
        <v>0</v>
      </c>
      <c r="Q11" s="91">
        <f>IFERROR(__xludf.DUMMYFUNCTION("IFERROR(sum(filter('Генеральный баннер'!$Q:$Q, 'Генеральный баннер'!$B:$B=$A11,'Генеральный баннер'!$C:$C=$B11,'Генеральный баннер'!$I:$I=$C11)), 0) "),0.0)</f>
        <v>0</v>
      </c>
      <c r="R11" s="91">
        <f>IFERROR(__xludf.DUMMYFUNCTION("IFERROR(AVERAGE(filter('Генеральный баннер'!$AA:$AA, 'Генеральный баннер'!$B:$B=$A11,'Генеральный баннер'!$C:$C=$B11,'Генеральный баннер'!$I:$I=$C11)), 0) "),0.0)</f>
        <v>0</v>
      </c>
      <c r="S11" s="91">
        <f>IFERROR(__xludf.DUMMYFUNCTION("IFERROR(SUM(filter('Генеральный баннер'!$AH:$AH, 'Генеральный баннер'!$B:$B=$A11,'Генеральный баннер'!$C:$C=$B11,'Генеральный баннер'!$I:$I=$C11)), 0) "),0.0)</f>
        <v>0</v>
      </c>
      <c r="T11" s="91" t="str">
        <f>IFERROR(__xludf.DUMMYFUNCTION("IFERROR(REGEXREPLACE(unique(filter('Генеральный баннер'!$A:$A, 'Генеральный баннер'!$B:$B=$A11,'Генеральный баннер'!$C:$C=$B11,'Генеральный баннер'!$I:$I=$C11)), ""\d+"", """"),"""")"),"")</f>
        <v/>
      </c>
      <c r="U11" s="91" t="str">
        <f>IFERROR(__xludf.DUMMYFUNCTION("IFERROR(unique(filter('Генеральный баннер'!$F:$F, 'Генеральный баннер'!$B:$B=$A11,'Генеральный баннер'!$C:$C=$B11,'Генеральный баннер'!$I:$I=$C11)),"""")"),"")</f>
        <v/>
      </c>
      <c r="V11" s="92" t="str">
        <f t="shared" si="3"/>
        <v/>
      </c>
      <c r="W11" s="93">
        <f>IFERROR(__xludf.DUMMYFUNCTION("IFERROR(SWITCH(lower(join("" "",U11:V11)),""а миллионник"", 62.5,""б миллионник"", 75,""а мск"", 50, ""б мск"", 62.5, ""a остальное"", 70, ""б остальное"", 80)/100,0)"),0.0)</f>
        <v>0</v>
      </c>
      <c r="X11" s="91">
        <f t="shared" si="4"/>
        <v>0</v>
      </c>
    </row>
    <row r="12">
      <c r="A12" s="95"/>
      <c r="B12" s="90"/>
      <c r="C12" s="90"/>
      <c r="D12" s="91">
        <f>IFERROR(__xludf.DUMMYFUNCTION("IFERROR(sum(filter('Основной эфир'!$AA:$AA, 'Основной эфир'!$B:$B=$A12,'Основной эфир'!$C:$C=$B12,'Основной эфир'!$I:$I=$C12)), 0) "),0.0)</f>
        <v>0</v>
      </c>
      <c r="E12" s="91">
        <f>IFERROR(__xludf.DUMMYFUNCTION("IFERROR(sum(filter('Основной эфир'!$AC:$AC, 'Основной эфир'!$B:$B=$A12,'Основной эфир'!$C:$C=$B12,'Основной эфир'!$I:$I=$C12)), 0) "),0.0)</f>
        <v>0</v>
      </c>
      <c r="F12" s="91">
        <f>IFERROR(__xludf.DUMMYFUNCTION("IFERROR(sum(filter('Основной эфир'!$O:$O, 'Основной эфир'!$B:$B=$A12,'Основной эфир'!$C:$C=$B12,'Основной эфир'!$I:$I=$C12)), 0) "),0.0)</f>
        <v>0</v>
      </c>
      <c r="G12" s="91">
        <f>IFERROR(__xludf.DUMMYFUNCTION("IFERROR(sum(filter('Основной эфир'!$Q:$Q, 'Основной эфир'!$B:$B=$A12,'Основной эфир'!$C:$C=$B12,'Основной эфир'!$I:$I=$C12)), 0) "),0.0)</f>
        <v>0</v>
      </c>
      <c r="H12" s="91">
        <f>IFERROR(__xludf.DUMMYFUNCTION("IFERROR(AVERAGE(filter('Основной эфир'!$Y:$Y, 'Основной эфир'!$B:$B=$A12,'Основной эфир'!$C:$C=$B12,'Основной эфир'!$I:$I=$C12)), 0) "),0.0)</f>
        <v>0</v>
      </c>
      <c r="I12" s="91">
        <f>IFERROR(__xludf.DUMMYFUNCTION("IFERROR(AVERAGE(filter('Основной эфир'!$AE:$AE, 'Основной эфир'!$B:$B=$A12,'Основной эфир'!$C:$C=$B12,'Основной эфир'!$I:$I=$C12)), 0) "),0.0)</f>
        <v>0</v>
      </c>
      <c r="J12" s="91">
        <f>IFERROR(__xludf.DUMMYFUNCTION("IFERROR(SUM(filter('Основной эфир'!$AL:$AL, 'Основной эфир'!$B:$B=$A12,'Основной эфир'!$C:$C=$B12,'Основной эфир'!$I:$I=$C12)), 0) "),0.0)</f>
        <v>0</v>
      </c>
      <c r="K12" s="91" t="str">
        <f>IFERROR(__xludf.DUMMYFUNCTION("IFERROR(REGEXREPLACE(unique(filter('Основной эфир'!$A:$A, 'Основной эфир'!$B:$B=$A12,'Основной эфир'!$C:$C=$B12,'Основной эфир'!$I:$I=$C12)), ""\d+"", """"),"""")"),"")</f>
        <v/>
      </c>
      <c r="L12" s="91" t="str">
        <f>IFERROR(__xludf.DUMMYFUNCTION("IFERROR(unique(filter('Основной эфир'!$F:$F, 'Основной эфир'!$B:$B=$A12,'Основной эфир'!$C:$C=$B12,'Основной эфир'!$I:$I=$C12)),"""")"),"")</f>
        <v/>
      </c>
      <c r="M12" s="92" t="str">
        <f t="shared" si="1"/>
        <v/>
      </c>
      <c r="N12" s="93">
        <f>IFERROR(__xludf.DUMMYFUNCTION("IFERROR(SWITCH(lower(join("" "",L12:M12)),""а миллионник"", 62.5,""б миллионник"", 75,""а мск"", 50, ""б мск"", 62.5, ""a остальное"", 70, ""б остальное"", 80)/100,0)"),0.0)</f>
        <v>0</v>
      </c>
      <c r="O12" s="91">
        <f t="shared" si="2"/>
        <v>0</v>
      </c>
      <c r="P12" s="91">
        <f>IFERROR(__xludf.DUMMYFUNCTION("IFERROR(sum(filter('Генеральный баннер'!$O:$O, 'Генеральный баннер'!$B:$B=$A12,'Генеральный баннер'!$C:$C=$B12,'Генеральный баннер'!$I:$I=$C12)), 0) "),0.0)</f>
        <v>0</v>
      </c>
      <c r="Q12" s="91">
        <f>IFERROR(__xludf.DUMMYFUNCTION("IFERROR(sum(filter('Генеральный баннер'!$Q:$Q, 'Генеральный баннер'!$B:$B=$A12,'Генеральный баннер'!$C:$C=$B12,'Генеральный баннер'!$I:$I=$C12)), 0) "),0.0)</f>
        <v>0</v>
      </c>
      <c r="R12" s="91">
        <f>IFERROR(__xludf.DUMMYFUNCTION("IFERROR(AVERAGE(filter('Генеральный баннер'!$AA:$AA, 'Генеральный баннер'!$B:$B=$A12,'Генеральный баннер'!$C:$C=$B12,'Генеральный баннер'!$I:$I=$C12)), 0) "),0.0)</f>
        <v>0</v>
      </c>
      <c r="S12" s="91">
        <f>IFERROR(__xludf.DUMMYFUNCTION("IFERROR(SUM(filter('Генеральный баннер'!$AH:$AH, 'Генеральный баннер'!$B:$B=$A12,'Генеральный баннер'!$C:$C=$B12,'Генеральный баннер'!$I:$I=$C12)), 0) "),0.0)</f>
        <v>0</v>
      </c>
      <c r="T12" s="91" t="str">
        <f>IFERROR(__xludf.DUMMYFUNCTION("IFERROR(REGEXREPLACE(unique(filter('Генеральный баннер'!$A:$A, 'Генеральный баннер'!$B:$B=$A12,'Генеральный баннер'!$C:$C=$B12,'Генеральный баннер'!$I:$I=$C12)), ""\d+"", """"),"""")"),"")</f>
        <v/>
      </c>
      <c r="U12" s="91" t="str">
        <f>IFERROR(__xludf.DUMMYFUNCTION("IFERROR(unique(filter('Генеральный баннер'!$F:$F, 'Генеральный баннер'!$B:$B=$A12,'Генеральный баннер'!$C:$C=$B12,'Генеральный баннер'!$I:$I=$C12)),"""")"),"")</f>
        <v/>
      </c>
      <c r="V12" s="92" t="str">
        <f t="shared" si="3"/>
        <v/>
      </c>
      <c r="W12" s="93">
        <f>IFERROR(__xludf.DUMMYFUNCTION("IFERROR(SWITCH(lower(join("" "",U12:V12)),""а миллионник"", 62.5,""б миллионник"", 75,""а мск"", 50, ""б мск"", 62.5, ""a остальное"", 70, ""б остальное"", 80)/100,0)"),0.0)</f>
        <v>0</v>
      </c>
      <c r="X12" s="91">
        <f t="shared" si="4"/>
        <v>0</v>
      </c>
    </row>
    <row r="13">
      <c r="A13" s="95"/>
      <c r="B13" s="90"/>
      <c r="C13" s="90"/>
      <c r="D13" s="91">
        <f>IFERROR(__xludf.DUMMYFUNCTION("IFERROR(sum(filter('Основной эфир'!$AA:$AA, 'Основной эфир'!$B:$B=$A13,'Основной эфир'!$C:$C=$B13,'Основной эфир'!$I:$I=$C13)), 0) "),0.0)</f>
        <v>0</v>
      </c>
      <c r="E13" s="91">
        <f>IFERROR(__xludf.DUMMYFUNCTION("IFERROR(sum(filter('Основной эфир'!$AC:$AC, 'Основной эфир'!$B:$B=$A13,'Основной эфир'!$C:$C=$B13,'Основной эфир'!$I:$I=$C13)), 0) "),0.0)</f>
        <v>0</v>
      </c>
      <c r="F13" s="91">
        <f>IFERROR(__xludf.DUMMYFUNCTION("IFERROR(sum(filter('Основной эфир'!$O:$O, 'Основной эфир'!$B:$B=$A13,'Основной эфир'!$C:$C=$B13,'Основной эфир'!$I:$I=$C13)), 0) "),0.0)</f>
        <v>0</v>
      </c>
      <c r="G13" s="91">
        <f>IFERROR(__xludf.DUMMYFUNCTION("IFERROR(sum(filter('Основной эфир'!$Q:$Q, 'Основной эфир'!$B:$B=$A13,'Основной эфир'!$C:$C=$B13,'Основной эфир'!$I:$I=$C13)), 0) "),0.0)</f>
        <v>0</v>
      </c>
      <c r="H13" s="91">
        <f>IFERROR(__xludf.DUMMYFUNCTION("IFERROR(AVERAGE(filter('Основной эфир'!$Y:$Y, 'Основной эфир'!$B:$B=$A13,'Основной эфир'!$C:$C=$B13,'Основной эфир'!$I:$I=$C13)), 0) "),0.0)</f>
        <v>0</v>
      </c>
      <c r="I13" s="91">
        <f>IFERROR(__xludf.DUMMYFUNCTION("IFERROR(AVERAGE(filter('Основной эфир'!$AE:$AE, 'Основной эфир'!$B:$B=$A13,'Основной эфир'!$C:$C=$B13,'Основной эфир'!$I:$I=$C13)), 0) "),0.0)</f>
        <v>0</v>
      </c>
      <c r="J13" s="91">
        <f>IFERROR(__xludf.DUMMYFUNCTION("IFERROR(SUM(filter('Основной эфир'!$AL:$AL, 'Основной эфир'!$B:$B=$A13,'Основной эфир'!$C:$C=$B13,'Основной эфир'!$I:$I=$C13)), 0) "),0.0)</f>
        <v>0</v>
      </c>
      <c r="K13" s="91" t="str">
        <f>IFERROR(__xludf.DUMMYFUNCTION("IFERROR(REGEXREPLACE(unique(filter('Основной эфир'!$A:$A, 'Основной эфир'!$B:$B=$A13,'Основной эфир'!$C:$C=$B13,'Основной эфир'!$I:$I=$C13)), ""\d+"", """"),"""")"),"")</f>
        <v/>
      </c>
      <c r="L13" s="91" t="str">
        <f>IFERROR(__xludf.DUMMYFUNCTION("IFERROR(unique(filter('Основной эфир'!$F:$F, 'Основной эфир'!$B:$B=$A13,'Основной эфир'!$C:$C=$B13,'Основной эфир'!$I:$I=$C13)),"""")"),"")</f>
        <v/>
      </c>
      <c r="M13" s="92" t="str">
        <f t="shared" si="1"/>
        <v/>
      </c>
      <c r="N13" s="93">
        <f>IFERROR(__xludf.DUMMYFUNCTION("IFERROR(SWITCH(lower(join("" "",L13:M13)),""а миллионник"", 62.5,""б миллионник"", 75,""а мск"", 50, ""б мск"", 62.5, ""a остальное"", 70, ""б остальное"", 80)/100,0)"),0.0)</f>
        <v>0</v>
      </c>
      <c r="O13" s="91">
        <f t="shared" si="2"/>
        <v>0</v>
      </c>
      <c r="P13" s="91">
        <f>IFERROR(__xludf.DUMMYFUNCTION("IFERROR(sum(filter('Генеральный баннер'!$O:$O, 'Генеральный баннер'!$B:$B=$A13,'Генеральный баннер'!$C:$C=$B13,'Генеральный баннер'!$I:$I=$C13)), 0) "),0.0)</f>
        <v>0</v>
      </c>
      <c r="Q13" s="91">
        <f>IFERROR(__xludf.DUMMYFUNCTION("IFERROR(sum(filter('Генеральный баннер'!$Q:$Q, 'Генеральный баннер'!$B:$B=$A13,'Генеральный баннер'!$C:$C=$B13,'Генеральный баннер'!$I:$I=$C13)), 0) "),0.0)</f>
        <v>0</v>
      </c>
      <c r="R13" s="91">
        <f>IFERROR(__xludf.DUMMYFUNCTION("IFERROR(AVERAGE(filter('Генеральный баннер'!$AA:$AA, 'Генеральный баннер'!$B:$B=$A13,'Генеральный баннер'!$C:$C=$B13,'Генеральный баннер'!$I:$I=$C13)), 0) "),0.0)</f>
        <v>0</v>
      </c>
      <c r="S13" s="91">
        <f>IFERROR(__xludf.DUMMYFUNCTION("IFERROR(SUM(filter('Генеральный баннер'!$AH:$AH, 'Генеральный баннер'!$B:$B=$A13,'Генеральный баннер'!$C:$C=$B13,'Генеральный баннер'!$I:$I=$C13)), 0) "),0.0)</f>
        <v>0</v>
      </c>
      <c r="T13" s="91" t="str">
        <f>IFERROR(__xludf.DUMMYFUNCTION("IFERROR(REGEXREPLACE(unique(filter('Генеральный баннер'!$A:$A, 'Генеральный баннер'!$B:$B=$A13,'Генеральный баннер'!$C:$C=$B13,'Генеральный баннер'!$I:$I=$C13)), ""\d+"", """"),"""")"),"")</f>
        <v/>
      </c>
      <c r="U13" s="91" t="str">
        <f>IFERROR(__xludf.DUMMYFUNCTION("IFERROR(unique(filter('Генеральный баннер'!$F:$F, 'Генеральный баннер'!$B:$B=$A13,'Генеральный баннер'!$C:$C=$B13,'Генеральный баннер'!$I:$I=$C13)),"""")"),"")</f>
        <v/>
      </c>
      <c r="V13" s="92" t="str">
        <f t="shared" si="3"/>
        <v/>
      </c>
      <c r="W13" s="93">
        <f>IFERROR(__xludf.DUMMYFUNCTION("IFERROR(SWITCH(lower(join("" "",U13:V13)),""а миллионник"", 62.5,""б миллионник"", 75,""а мск"", 50, ""б мск"", 62.5, ""a остальное"", 70, ""б остальное"", 80)/100,0)"),0.0)</f>
        <v>0</v>
      </c>
      <c r="X13" s="91">
        <f t="shared" si="4"/>
        <v>0</v>
      </c>
    </row>
    <row r="14">
      <c r="A14" s="95"/>
      <c r="B14" s="90"/>
      <c r="C14" s="90"/>
      <c r="D14" s="91">
        <f>IFERROR(__xludf.DUMMYFUNCTION("IFERROR(sum(filter('Основной эфир'!$AA:$AA, 'Основной эфир'!$B:$B=$A14,'Основной эфир'!$C:$C=$B14,'Основной эфир'!$I:$I=$C14)), 0) "),0.0)</f>
        <v>0</v>
      </c>
      <c r="E14" s="91">
        <f>IFERROR(__xludf.DUMMYFUNCTION("IFERROR(sum(filter('Основной эфир'!$AC:$AC, 'Основной эфир'!$B:$B=$A14,'Основной эфир'!$C:$C=$B14,'Основной эфир'!$I:$I=$C14)), 0) "),0.0)</f>
        <v>0</v>
      </c>
      <c r="F14" s="91">
        <f>IFERROR(__xludf.DUMMYFUNCTION("IFERROR(sum(filter('Основной эфир'!$O:$O, 'Основной эфир'!$B:$B=$A14,'Основной эфир'!$C:$C=$B14,'Основной эфир'!$I:$I=$C14)), 0) "),0.0)</f>
        <v>0</v>
      </c>
      <c r="G14" s="91">
        <f>IFERROR(__xludf.DUMMYFUNCTION("IFERROR(sum(filter('Основной эфир'!$Q:$Q, 'Основной эфир'!$B:$B=$A14,'Основной эфир'!$C:$C=$B14,'Основной эфир'!$I:$I=$C14)), 0) "),0.0)</f>
        <v>0</v>
      </c>
      <c r="H14" s="91">
        <f>IFERROR(__xludf.DUMMYFUNCTION("IFERROR(AVERAGE(filter('Основной эфир'!$Y:$Y, 'Основной эфир'!$B:$B=$A14,'Основной эфир'!$C:$C=$B14,'Основной эфир'!$I:$I=$C14)), 0) "),0.0)</f>
        <v>0</v>
      </c>
      <c r="I14" s="91">
        <f>IFERROR(__xludf.DUMMYFUNCTION("IFERROR(AVERAGE(filter('Основной эфир'!$AE:$AE, 'Основной эфир'!$B:$B=$A14,'Основной эфир'!$C:$C=$B14,'Основной эфир'!$I:$I=$C14)), 0) "),0.0)</f>
        <v>0</v>
      </c>
      <c r="J14" s="91">
        <f>IFERROR(__xludf.DUMMYFUNCTION("IFERROR(SUM(filter('Основной эфир'!$AL:$AL, 'Основной эфир'!$B:$B=$A14,'Основной эфир'!$C:$C=$B14,'Основной эфир'!$I:$I=$C14)), 0) "),0.0)</f>
        <v>0</v>
      </c>
      <c r="K14" s="91" t="str">
        <f>IFERROR(__xludf.DUMMYFUNCTION("IFERROR(REGEXREPLACE(unique(filter('Основной эфир'!$A:$A, 'Основной эфир'!$B:$B=$A14,'Основной эфир'!$C:$C=$B14,'Основной эфир'!$I:$I=$C14)), ""\d+"", """"),"""")"),"")</f>
        <v/>
      </c>
      <c r="L14" s="91" t="str">
        <f>IFERROR(__xludf.DUMMYFUNCTION("IFERROR(unique(filter('Основной эфир'!$F:$F, 'Основной эфир'!$B:$B=$A14,'Основной эфир'!$C:$C=$B14,'Основной эфир'!$I:$I=$C14)),"""")"),"")</f>
        <v/>
      </c>
      <c r="M14" s="92" t="str">
        <f t="shared" si="1"/>
        <v/>
      </c>
      <c r="N14" s="93">
        <f>IFERROR(__xludf.DUMMYFUNCTION("IFERROR(SWITCH(lower(join("" "",L14:M14)),""а миллионник"", 62.5,""б миллионник"", 75,""а мск"", 50, ""б мск"", 62.5, ""a остальное"", 70, ""б остальное"", 80)/100,0)"),0.0)</f>
        <v>0</v>
      </c>
      <c r="O14" s="91">
        <f t="shared" si="2"/>
        <v>0</v>
      </c>
      <c r="P14" s="91">
        <f>IFERROR(__xludf.DUMMYFUNCTION("IFERROR(sum(filter('Генеральный баннер'!$O:$O, 'Генеральный баннер'!$B:$B=$A14,'Генеральный баннер'!$C:$C=$B14,'Генеральный баннер'!$I:$I=$C14)), 0) "),0.0)</f>
        <v>0</v>
      </c>
      <c r="Q14" s="91">
        <f>IFERROR(__xludf.DUMMYFUNCTION("IFERROR(sum(filter('Генеральный баннер'!$Q:$Q, 'Генеральный баннер'!$B:$B=$A14,'Генеральный баннер'!$C:$C=$B14,'Генеральный баннер'!$I:$I=$C14)), 0) "),0.0)</f>
        <v>0</v>
      </c>
      <c r="R14" s="91">
        <f>IFERROR(__xludf.DUMMYFUNCTION("IFERROR(AVERAGE(filter('Генеральный баннер'!$AA:$AA, 'Генеральный баннер'!$B:$B=$A14,'Генеральный баннер'!$C:$C=$B14,'Генеральный баннер'!$I:$I=$C14)), 0) "),0.0)</f>
        <v>0</v>
      </c>
      <c r="S14" s="91">
        <f>IFERROR(__xludf.DUMMYFUNCTION("IFERROR(SUM(filter('Генеральный баннер'!$AH:$AH, 'Генеральный баннер'!$B:$B=$A14,'Генеральный баннер'!$C:$C=$B14,'Генеральный баннер'!$I:$I=$C14)), 0) "),0.0)</f>
        <v>0</v>
      </c>
      <c r="T14" s="91" t="str">
        <f>IFERROR(__xludf.DUMMYFUNCTION("IFERROR(REGEXREPLACE(unique(filter('Генеральный баннер'!$A:$A, 'Генеральный баннер'!$B:$B=$A14,'Генеральный баннер'!$C:$C=$B14,'Генеральный баннер'!$I:$I=$C14)), ""\d+"", """"),"""")"),"")</f>
        <v/>
      </c>
      <c r="U14" s="91" t="str">
        <f>IFERROR(__xludf.DUMMYFUNCTION("IFERROR(unique(filter('Генеральный баннер'!$F:$F, 'Генеральный баннер'!$B:$B=$A14,'Генеральный баннер'!$C:$C=$B14,'Генеральный баннер'!$I:$I=$C14)),"""")"),"")</f>
        <v/>
      </c>
      <c r="V14" s="92" t="str">
        <f t="shared" si="3"/>
        <v/>
      </c>
      <c r="W14" s="93">
        <f>IFERROR(__xludf.DUMMYFUNCTION("IFERROR(SWITCH(lower(join("" "",U14:V14)),""а миллионник"", 62.5,""б миллионник"", 75,""а мск"", 50, ""б мск"", 62.5, ""a остальное"", 70, ""б остальное"", 80)/100,0)"),0.0)</f>
        <v>0</v>
      </c>
      <c r="X14" s="91">
        <f t="shared" si="4"/>
        <v>0</v>
      </c>
    </row>
    <row r="15">
      <c r="A15" s="95"/>
      <c r="B15" s="90"/>
      <c r="C15" s="90"/>
      <c r="D15" s="91">
        <f>IFERROR(__xludf.DUMMYFUNCTION("IFERROR(sum(filter('Основной эфир'!$AA:$AA, 'Основной эфир'!$B:$B=$A15,'Основной эфир'!$C:$C=$B15,'Основной эфир'!$I:$I=$C15)), 0) "),0.0)</f>
        <v>0</v>
      </c>
      <c r="E15" s="91">
        <f>IFERROR(__xludf.DUMMYFUNCTION("IFERROR(sum(filter('Основной эфир'!$AC:$AC, 'Основной эфир'!$B:$B=$A15,'Основной эфир'!$C:$C=$B15,'Основной эфир'!$I:$I=$C15)), 0) "),0.0)</f>
        <v>0</v>
      </c>
      <c r="F15" s="91">
        <f>IFERROR(__xludf.DUMMYFUNCTION("IFERROR(sum(filter('Основной эфир'!$O:$O, 'Основной эфир'!$B:$B=$A15,'Основной эфир'!$C:$C=$B15,'Основной эфир'!$I:$I=$C15)), 0) "),0.0)</f>
        <v>0</v>
      </c>
      <c r="G15" s="91">
        <f>IFERROR(__xludf.DUMMYFUNCTION("IFERROR(sum(filter('Основной эфир'!$Q:$Q, 'Основной эфир'!$B:$B=$A15,'Основной эфир'!$C:$C=$B15,'Основной эфир'!$I:$I=$C15)), 0) "),0.0)</f>
        <v>0</v>
      </c>
      <c r="H15" s="91">
        <f>IFERROR(__xludf.DUMMYFUNCTION("IFERROR(AVERAGE(filter('Основной эфир'!$Y:$Y, 'Основной эфир'!$B:$B=$A15,'Основной эфир'!$C:$C=$B15,'Основной эфир'!$I:$I=$C15)), 0) "),0.0)</f>
        <v>0</v>
      </c>
      <c r="I15" s="91">
        <f>IFERROR(__xludf.DUMMYFUNCTION("IFERROR(AVERAGE(filter('Основной эфир'!$AE:$AE, 'Основной эфир'!$B:$B=$A15,'Основной эфир'!$C:$C=$B15,'Основной эфир'!$I:$I=$C15)), 0) "),0.0)</f>
        <v>0</v>
      </c>
      <c r="J15" s="91">
        <f>IFERROR(__xludf.DUMMYFUNCTION("IFERROR(SUM(filter('Основной эфир'!$AL:$AL, 'Основной эфир'!$B:$B=$A15,'Основной эфир'!$C:$C=$B15,'Основной эфир'!$I:$I=$C15)), 0) "),0.0)</f>
        <v>0</v>
      </c>
      <c r="K15" s="91" t="str">
        <f>IFERROR(__xludf.DUMMYFUNCTION("IFERROR(REGEXREPLACE(unique(filter('Основной эфир'!$A:$A, 'Основной эфир'!$B:$B=$A15,'Основной эфир'!$C:$C=$B15,'Основной эфир'!$I:$I=$C15)), ""\d+"", """"),"""")"),"")</f>
        <v/>
      </c>
      <c r="L15" s="91" t="str">
        <f>IFERROR(__xludf.DUMMYFUNCTION("IFERROR(unique(filter('Основной эфир'!$F:$F, 'Основной эфир'!$B:$B=$A15,'Основной эфир'!$C:$C=$B15,'Основной эфир'!$I:$I=$C15)),"""")"),"")</f>
        <v/>
      </c>
      <c r="M15" s="92" t="str">
        <f t="shared" si="1"/>
        <v/>
      </c>
      <c r="N15" s="93">
        <f>IFERROR(__xludf.DUMMYFUNCTION("IFERROR(SWITCH(lower(join("" "",L15:M15)),""а миллионник"", 62.5,""б миллионник"", 75,""а мск"", 50, ""б мск"", 62.5, ""a остальное"", 70, ""б остальное"", 80)/100,0)"),0.0)</f>
        <v>0</v>
      </c>
      <c r="O15" s="91">
        <f t="shared" si="2"/>
        <v>0</v>
      </c>
      <c r="P15" s="91">
        <f>IFERROR(__xludf.DUMMYFUNCTION("IFERROR(sum(filter('Генеральный баннер'!$O:$O, 'Генеральный баннер'!$B:$B=$A15,'Генеральный баннер'!$C:$C=$B15,'Генеральный баннер'!$I:$I=$C15)), 0) "),0.0)</f>
        <v>0</v>
      </c>
      <c r="Q15" s="91">
        <f>IFERROR(__xludf.DUMMYFUNCTION("IFERROR(sum(filter('Генеральный баннер'!$Q:$Q, 'Генеральный баннер'!$B:$B=$A15,'Генеральный баннер'!$C:$C=$B15,'Генеральный баннер'!$I:$I=$C15)), 0) "),0.0)</f>
        <v>0</v>
      </c>
      <c r="R15" s="91">
        <f>IFERROR(__xludf.DUMMYFUNCTION("IFERROR(AVERAGE(filter('Генеральный баннер'!$AA:$AA, 'Генеральный баннер'!$B:$B=$A15,'Генеральный баннер'!$C:$C=$B15,'Генеральный баннер'!$I:$I=$C15)), 0) "),0.0)</f>
        <v>0</v>
      </c>
      <c r="S15" s="91">
        <f>IFERROR(__xludf.DUMMYFUNCTION("IFERROR(SUM(filter('Генеральный баннер'!$AH:$AH, 'Генеральный баннер'!$B:$B=$A15,'Генеральный баннер'!$C:$C=$B15,'Генеральный баннер'!$I:$I=$C15)), 0) "),0.0)</f>
        <v>0</v>
      </c>
      <c r="T15" s="91" t="str">
        <f>IFERROR(__xludf.DUMMYFUNCTION("IFERROR(REGEXREPLACE(unique(filter('Генеральный баннер'!$A:$A, 'Генеральный баннер'!$B:$B=$A15,'Генеральный баннер'!$C:$C=$B15,'Генеральный баннер'!$I:$I=$C15)), ""\d+"", """"),"""")"),"")</f>
        <v/>
      </c>
      <c r="U15" s="91" t="str">
        <f>IFERROR(__xludf.DUMMYFUNCTION("IFERROR(unique(filter('Генеральный баннер'!$F:$F, 'Генеральный баннер'!$B:$B=$A15,'Генеральный баннер'!$C:$C=$B15,'Генеральный баннер'!$I:$I=$C15)),"""")"),"")</f>
        <v/>
      </c>
      <c r="V15" s="92" t="str">
        <f t="shared" si="3"/>
        <v/>
      </c>
      <c r="W15" s="93">
        <f>IFERROR(__xludf.DUMMYFUNCTION("IFERROR(SWITCH(lower(join("" "",U15:V15)),""а миллионник"", 62.5,""б миллионник"", 75,""а мск"", 50, ""б мск"", 62.5, ""a остальное"", 70, ""б остальное"", 80)/100,0)"),0.0)</f>
        <v>0</v>
      </c>
      <c r="X15" s="91">
        <f t="shared" si="4"/>
        <v>0</v>
      </c>
    </row>
    <row r="16">
      <c r="A16" s="95"/>
      <c r="B16" s="90"/>
      <c r="C16" s="90"/>
      <c r="D16" s="91">
        <f>IFERROR(__xludf.DUMMYFUNCTION("IFERROR(sum(filter('Основной эфир'!$AA:$AA, 'Основной эфир'!$B:$B=$A16,'Основной эфир'!$C:$C=$B16,'Основной эфир'!$I:$I=$C16)), 0) "),0.0)</f>
        <v>0</v>
      </c>
      <c r="E16" s="91">
        <f>IFERROR(__xludf.DUMMYFUNCTION("IFERROR(sum(filter('Основной эфир'!$AC:$AC, 'Основной эфир'!$B:$B=$A16,'Основной эфир'!$C:$C=$B16,'Основной эфир'!$I:$I=$C16)), 0) "),0.0)</f>
        <v>0</v>
      </c>
      <c r="F16" s="91">
        <f>IFERROR(__xludf.DUMMYFUNCTION("IFERROR(sum(filter('Основной эфир'!$O:$O, 'Основной эфир'!$B:$B=$A16,'Основной эфир'!$C:$C=$B16,'Основной эфир'!$I:$I=$C16)), 0) "),0.0)</f>
        <v>0</v>
      </c>
      <c r="G16" s="91">
        <f>IFERROR(__xludf.DUMMYFUNCTION("IFERROR(sum(filter('Основной эфир'!$Q:$Q, 'Основной эфир'!$B:$B=$A16,'Основной эфир'!$C:$C=$B16,'Основной эфир'!$I:$I=$C16)), 0) "),0.0)</f>
        <v>0</v>
      </c>
      <c r="H16" s="91">
        <f>IFERROR(__xludf.DUMMYFUNCTION("IFERROR(AVERAGE(filter('Основной эфир'!$Y:$Y, 'Основной эфир'!$B:$B=$A16,'Основной эфир'!$C:$C=$B16,'Основной эфир'!$I:$I=$C16)), 0) "),0.0)</f>
        <v>0</v>
      </c>
      <c r="I16" s="91">
        <f>IFERROR(__xludf.DUMMYFUNCTION("IFERROR(AVERAGE(filter('Основной эфир'!$AE:$AE, 'Основной эфир'!$B:$B=$A16,'Основной эфир'!$C:$C=$B16,'Основной эфир'!$I:$I=$C16)), 0) "),0.0)</f>
        <v>0</v>
      </c>
      <c r="J16" s="91">
        <f>IFERROR(__xludf.DUMMYFUNCTION("IFERROR(SUM(filter('Основной эфир'!$AL:$AL, 'Основной эфир'!$B:$B=$A16,'Основной эфир'!$C:$C=$B16,'Основной эфир'!$I:$I=$C16)), 0) "),0.0)</f>
        <v>0</v>
      </c>
      <c r="K16" s="91" t="str">
        <f>IFERROR(__xludf.DUMMYFUNCTION("IFERROR(REGEXREPLACE(unique(filter('Основной эфир'!$A:$A, 'Основной эфир'!$B:$B=$A16,'Основной эфир'!$C:$C=$B16,'Основной эфир'!$I:$I=$C16)), ""\d+"", """"),"""")"),"")</f>
        <v/>
      </c>
      <c r="L16" s="91" t="str">
        <f>IFERROR(__xludf.DUMMYFUNCTION("IFERROR(unique(filter('Основной эфир'!$F:$F, 'Основной эфир'!$B:$B=$A16,'Основной эфир'!$C:$C=$B16,'Основной эфир'!$I:$I=$C16)),"""")"),"")</f>
        <v/>
      </c>
      <c r="M16" s="92" t="str">
        <f t="shared" si="1"/>
        <v/>
      </c>
      <c r="N16" s="93">
        <f>IFERROR(__xludf.DUMMYFUNCTION("IFERROR(SWITCH(lower(join("" "",L16:M16)),""а миллионник"", 62.5,""б миллионник"", 75,""а мск"", 50, ""б мск"", 62.5, ""a остальное"", 70, ""б остальное"", 80)/100,0)"),0.0)</f>
        <v>0</v>
      </c>
      <c r="O16" s="91">
        <f t="shared" si="2"/>
        <v>0</v>
      </c>
      <c r="P16" s="91">
        <f>IFERROR(__xludf.DUMMYFUNCTION("IFERROR(sum(filter('Генеральный баннер'!$O:$O, 'Генеральный баннер'!$B:$B=$A16,'Генеральный баннер'!$C:$C=$B16,'Генеральный баннер'!$I:$I=$C16)), 0) "),0.0)</f>
        <v>0</v>
      </c>
      <c r="Q16" s="91">
        <f>IFERROR(__xludf.DUMMYFUNCTION("IFERROR(sum(filter('Генеральный баннер'!$Q:$Q, 'Генеральный баннер'!$B:$B=$A16,'Генеральный баннер'!$C:$C=$B16,'Генеральный баннер'!$I:$I=$C16)), 0) "),0.0)</f>
        <v>0</v>
      </c>
      <c r="R16" s="91">
        <f>IFERROR(__xludf.DUMMYFUNCTION("IFERROR(AVERAGE(filter('Генеральный баннер'!$AA:$AA, 'Генеральный баннер'!$B:$B=$A16,'Генеральный баннер'!$C:$C=$B16,'Генеральный баннер'!$I:$I=$C16)), 0) "),0.0)</f>
        <v>0</v>
      </c>
      <c r="S16" s="91">
        <f>IFERROR(__xludf.DUMMYFUNCTION("IFERROR(SUM(filter('Генеральный баннер'!$AH:$AH, 'Генеральный баннер'!$B:$B=$A16,'Генеральный баннер'!$C:$C=$B16,'Генеральный баннер'!$I:$I=$C16)), 0) "),0.0)</f>
        <v>0</v>
      </c>
      <c r="T16" s="91" t="str">
        <f>IFERROR(__xludf.DUMMYFUNCTION("IFERROR(REGEXREPLACE(unique(filter('Генеральный баннер'!$A:$A, 'Генеральный баннер'!$B:$B=$A16,'Генеральный баннер'!$C:$C=$B16,'Генеральный баннер'!$I:$I=$C16)), ""\d+"", """"),"""")"),"")</f>
        <v/>
      </c>
      <c r="U16" s="91" t="str">
        <f>IFERROR(__xludf.DUMMYFUNCTION("IFERROR(unique(filter('Генеральный баннер'!$F:$F, 'Генеральный баннер'!$B:$B=$A16,'Генеральный баннер'!$C:$C=$B16,'Генеральный баннер'!$I:$I=$C16)),"""")"),"")</f>
        <v/>
      </c>
      <c r="V16" s="92" t="str">
        <f t="shared" si="3"/>
        <v/>
      </c>
      <c r="W16" s="93">
        <f>IFERROR(__xludf.DUMMYFUNCTION("IFERROR(SWITCH(lower(join("" "",U16:V16)),""а миллионник"", 62.5,""б миллионник"", 75,""а мск"", 50, ""б мск"", 62.5, ""a остальное"", 70, ""б остальное"", 80)/100,0)"),0.0)</f>
        <v>0</v>
      </c>
      <c r="X16" s="91">
        <f t="shared" si="4"/>
        <v>0</v>
      </c>
    </row>
    <row r="17">
      <c r="A17" s="90"/>
      <c r="B17" s="90"/>
      <c r="C17" s="90"/>
      <c r="D17" s="91">
        <f>IFERROR(__xludf.DUMMYFUNCTION("IFERROR(sum(filter('Основной эфир'!$AA:$AA, 'Основной эфир'!$B:$B=$A17,'Основной эфир'!$C:$C=$B17,'Основной эфир'!$I:$I=$C17)), 0) "),0.0)</f>
        <v>0</v>
      </c>
      <c r="E17" s="91">
        <f>IFERROR(__xludf.DUMMYFUNCTION("IFERROR(sum(filter('Основной эфир'!$AC:$AC, 'Основной эфир'!$B:$B=$A17,'Основной эфир'!$C:$C=$B17,'Основной эфир'!$I:$I=$C17)), 0) "),0.0)</f>
        <v>0</v>
      </c>
      <c r="F17" s="91">
        <f>IFERROR(__xludf.DUMMYFUNCTION("IFERROR(sum(filter('Основной эфир'!$O:$O, 'Основной эфир'!$B:$B=$A17,'Основной эфир'!$C:$C=$B17,'Основной эфир'!$I:$I=$C17)), 0) "),0.0)</f>
        <v>0</v>
      </c>
      <c r="G17" s="91">
        <f>IFERROR(__xludf.DUMMYFUNCTION("IFERROR(sum(filter('Основной эфир'!$Q:$Q, 'Основной эфир'!$B:$B=$A17,'Основной эфир'!$C:$C=$B17,'Основной эфир'!$I:$I=$C17)), 0) "),0.0)</f>
        <v>0</v>
      </c>
      <c r="H17" s="91">
        <f>IFERROR(__xludf.DUMMYFUNCTION("IFERROR(AVERAGE(filter('Основной эфир'!$Y:$Y, 'Основной эфир'!$B:$B=$A17,'Основной эфир'!$C:$C=$B17,'Основной эфир'!$I:$I=$C17)), 0) "),0.0)</f>
        <v>0</v>
      </c>
      <c r="I17" s="91">
        <f>IFERROR(__xludf.DUMMYFUNCTION("IFERROR(AVERAGE(filter('Основной эфир'!$AE:$AE, 'Основной эфир'!$B:$B=$A17,'Основной эфир'!$C:$C=$B17,'Основной эфир'!$I:$I=$C17)), 0) "),0.0)</f>
        <v>0</v>
      </c>
      <c r="J17" s="91">
        <f>IFERROR(__xludf.DUMMYFUNCTION("IFERROR(SUM(filter('Основной эфир'!$AL:$AL, 'Основной эфир'!$B:$B=$A17,'Основной эфир'!$C:$C=$B17,'Основной эфир'!$I:$I=$C17)), 0) "),0.0)</f>
        <v>0</v>
      </c>
      <c r="K17" s="91" t="str">
        <f>IFERROR(__xludf.DUMMYFUNCTION("IFERROR(REGEXREPLACE(unique(filter('Основной эфир'!$A:$A, 'Основной эфир'!$B:$B=$A17,'Основной эфир'!$C:$C=$B17,'Основной эфир'!$I:$I=$C17)), ""\d+"", """"),"""")"),"")</f>
        <v/>
      </c>
      <c r="L17" s="91" t="str">
        <f>IFERROR(__xludf.DUMMYFUNCTION("IFERROR(unique(filter('Основной эфир'!$F:$F, 'Основной эфир'!$B:$B=$A17,'Основной эфир'!$C:$C=$B17,'Основной эфир'!$I:$I=$C17)),"""")"),"")</f>
        <v/>
      </c>
      <c r="M17" s="92" t="str">
        <f t="shared" si="1"/>
        <v/>
      </c>
      <c r="N17" s="93">
        <f>IFERROR(__xludf.DUMMYFUNCTION("IFERROR(SWITCH(lower(join("" "",L17:M17)),""а миллионник"", 62.5,""б миллионник"", 75,""а мск"", 50, ""б мск"", 62.5, ""a остальное"", 70, ""б остальное"", 80)/100,0)"),0.0)</f>
        <v>0</v>
      </c>
      <c r="O17" s="91">
        <f t="shared" si="2"/>
        <v>0</v>
      </c>
      <c r="P17" s="91">
        <f>IFERROR(__xludf.DUMMYFUNCTION("IFERROR(sum(filter('Генеральный баннер'!$O:$O, 'Генеральный баннер'!$B:$B=$A17,'Генеральный баннер'!$C:$C=$B17,'Генеральный баннер'!$I:$I=$C17)), 0) "),0.0)</f>
        <v>0</v>
      </c>
      <c r="Q17" s="91">
        <f>IFERROR(__xludf.DUMMYFUNCTION("IFERROR(sum(filter('Генеральный баннер'!$Q:$Q, 'Генеральный баннер'!$B:$B=$A17,'Генеральный баннер'!$C:$C=$B17,'Генеральный баннер'!$I:$I=$C17)), 0) "),0.0)</f>
        <v>0</v>
      </c>
      <c r="R17" s="91">
        <f>IFERROR(__xludf.DUMMYFUNCTION("IFERROR(AVERAGE(filter('Генеральный баннер'!$AA:$AA, 'Генеральный баннер'!$B:$B=$A17,'Генеральный баннер'!$C:$C=$B17,'Генеральный баннер'!$I:$I=$C17)), 0) "),0.0)</f>
        <v>0</v>
      </c>
      <c r="S17" s="91">
        <f>IFERROR(__xludf.DUMMYFUNCTION("IFERROR(SUM(filter('Генеральный баннер'!$AH:$AH, 'Генеральный баннер'!$B:$B=$A17,'Генеральный баннер'!$C:$C=$B17,'Генеральный баннер'!$I:$I=$C17)), 0) "),0.0)</f>
        <v>0</v>
      </c>
      <c r="T17" s="91" t="str">
        <f>IFERROR(__xludf.DUMMYFUNCTION("IFERROR(REGEXREPLACE(unique(filter('Генеральный баннер'!$A:$A, 'Генеральный баннер'!$B:$B=$A17,'Генеральный баннер'!$C:$C=$B17,'Генеральный баннер'!$I:$I=$C17)), ""\d+"", """"),"""")"),"")</f>
        <v/>
      </c>
      <c r="U17" s="91" t="str">
        <f>IFERROR(__xludf.DUMMYFUNCTION("IFERROR(unique(filter('Генеральный баннер'!$F:$F, 'Генеральный баннер'!$B:$B=$A17,'Генеральный баннер'!$C:$C=$B17,'Генеральный баннер'!$I:$I=$C17)),"""")"),"")</f>
        <v/>
      </c>
      <c r="V17" s="92" t="str">
        <f t="shared" si="3"/>
        <v/>
      </c>
      <c r="W17" s="93">
        <f>IFERROR(__xludf.DUMMYFUNCTION("IFERROR(SWITCH(lower(join("" "",U17:V17)),""а миллионник"", 62.5,""б миллионник"", 75,""а мск"", 50, ""б мск"", 62.5, ""a остальное"", 70, ""б остальное"", 80)/100,0)"),0.0)</f>
        <v>0</v>
      </c>
      <c r="X17" s="91">
        <f t="shared" si="4"/>
        <v>0</v>
      </c>
    </row>
    <row r="18">
      <c r="A18" s="90"/>
      <c r="B18" s="90"/>
      <c r="C18" s="90"/>
      <c r="D18" s="91">
        <f>IFERROR(__xludf.DUMMYFUNCTION("IFERROR(sum(filter('Основной эфир'!$AA:$AA, 'Основной эфир'!$B:$B=$A18,'Основной эфир'!$C:$C=$B18,'Основной эфир'!$I:$I=$C18)), 0) "),0.0)</f>
        <v>0</v>
      </c>
      <c r="E18" s="91">
        <f>IFERROR(__xludf.DUMMYFUNCTION("IFERROR(sum(filter('Основной эфир'!$AC:$AC, 'Основной эфир'!$B:$B=$A18,'Основной эфир'!$C:$C=$B18,'Основной эфир'!$I:$I=$C18)), 0) "),0.0)</f>
        <v>0</v>
      </c>
      <c r="F18" s="91">
        <f>IFERROR(__xludf.DUMMYFUNCTION("IFERROR(sum(filter('Основной эфир'!$O:$O, 'Основной эфир'!$B:$B=$A18,'Основной эфир'!$C:$C=$B18,'Основной эфир'!$I:$I=$C18)), 0) "),0.0)</f>
        <v>0</v>
      </c>
      <c r="G18" s="91">
        <f>IFERROR(__xludf.DUMMYFUNCTION("IFERROR(sum(filter('Основной эфир'!$Q:$Q, 'Основной эфир'!$B:$B=$A18,'Основной эфир'!$C:$C=$B18,'Основной эфир'!$I:$I=$C18)), 0) "),0.0)</f>
        <v>0</v>
      </c>
      <c r="H18" s="91">
        <f>IFERROR(__xludf.DUMMYFUNCTION("IFERROR(AVERAGE(filter('Основной эфир'!$Y:$Y, 'Основной эфир'!$B:$B=$A18,'Основной эфир'!$C:$C=$B18,'Основной эфир'!$I:$I=$C18)), 0) "),0.0)</f>
        <v>0</v>
      </c>
      <c r="I18" s="91">
        <f>IFERROR(__xludf.DUMMYFUNCTION("IFERROR(AVERAGE(filter('Основной эфир'!$AE:$AE, 'Основной эфир'!$B:$B=$A18,'Основной эфир'!$C:$C=$B18,'Основной эфир'!$I:$I=$C18)), 0) "),0.0)</f>
        <v>0</v>
      </c>
      <c r="J18" s="91">
        <f>IFERROR(__xludf.DUMMYFUNCTION("IFERROR(SUM(filter('Основной эфир'!$AL:$AL, 'Основной эфир'!$B:$B=$A18,'Основной эфир'!$C:$C=$B18,'Основной эфир'!$I:$I=$C18)), 0) "),0.0)</f>
        <v>0</v>
      </c>
      <c r="K18" s="91" t="str">
        <f>IFERROR(__xludf.DUMMYFUNCTION("IFERROR(REGEXREPLACE(unique(filter('Основной эфир'!$A:$A, 'Основной эфир'!$B:$B=$A18,'Основной эфир'!$C:$C=$B18,'Основной эфир'!$I:$I=$C18)), ""\d+"", """"),"""")"),"")</f>
        <v/>
      </c>
      <c r="L18" s="91" t="str">
        <f>IFERROR(__xludf.DUMMYFUNCTION("IFERROR(unique(filter('Основной эфир'!$F:$F, 'Основной эфир'!$B:$B=$A18,'Основной эфир'!$C:$C=$B18,'Основной эфир'!$I:$I=$C18)),"""")"),"")</f>
        <v/>
      </c>
      <c r="M18" s="92" t="str">
        <f t="shared" si="1"/>
        <v/>
      </c>
      <c r="N18" s="93">
        <f>IFERROR(__xludf.DUMMYFUNCTION("IFERROR(SWITCH(lower(join("" "",L18:M18)),""а миллионник"", 62.5,""б миллионник"", 75,""а мск"", 50, ""б мск"", 62.5, ""a остальное"", 70, ""б остальное"", 80)/100,0)"),0.0)</f>
        <v>0</v>
      </c>
      <c r="O18" s="91">
        <f t="shared" si="2"/>
        <v>0</v>
      </c>
      <c r="P18" s="91">
        <f>IFERROR(__xludf.DUMMYFUNCTION("IFERROR(sum(filter('Генеральный баннер'!$O:$O, 'Генеральный баннер'!$B:$B=$A18,'Генеральный баннер'!$C:$C=$B18,'Генеральный баннер'!$I:$I=$C18)), 0) "),0.0)</f>
        <v>0</v>
      </c>
      <c r="Q18" s="91">
        <f>IFERROR(__xludf.DUMMYFUNCTION("IFERROR(sum(filter('Генеральный баннер'!$Q:$Q, 'Генеральный баннер'!$B:$B=$A18,'Генеральный баннер'!$C:$C=$B18,'Генеральный баннер'!$I:$I=$C18)), 0) "),0.0)</f>
        <v>0</v>
      </c>
      <c r="R18" s="91">
        <f>IFERROR(__xludf.DUMMYFUNCTION("IFERROR(AVERAGE(filter('Генеральный баннер'!$AA:$AA, 'Генеральный баннер'!$B:$B=$A18,'Генеральный баннер'!$C:$C=$B18,'Генеральный баннер'!$I:$I=$C18)), 0) "),0.0)</f>
        <v>0</v>
      </c>
      <c r="S18" s="91">
        <f>IFERROR(__xludf.DUMMYFUNCTION("IFERROR(SUM(filter('Генеральный баннер'!$AH:$AH, 'Генеральный баннер'!$B:$B=$A18,'Генеральный баннер'!$C:$C=$B18,'Генеральный баннер'!$I:$I=$C18)), 0) "),0.0)</f>
        <v>0</v>
      </c>
      <c r="T18" s="91" t="str">
        <f>IFERROR(__xludf.DUMMYFUNCTION("IFERROR(REGEXREPLACE(unique(filter('Генеральный баннер'!$A:$A, 'Генеральный баннер'!$B:$B=$A18,'Генеральный баннер'!$C:$C=$B18,'Генеральный баннер'!$I:$I=$C18)), ""\d+"", """"),"""")"),"")</f>
        <v/>
      </c>
      <c r="U18" s="91" t="str">
        <f>IFERROR(__xludf.DUMMYFUNCTION("IFERROR(unique(filter('Генеральный баннер'!$F:$F, 'Генеральный баннер'!$B:$B=$A18,'Генеральный баннер'!$C:$C=$B18,'Генеральный баннер'!$I:$I=$C18)),"""")"),"")</f>
        <v/>
      </c>
      <c r="V18" s="92" t="str">
        <f t="shared" si="3"/>
        <v/>
      </c>
      <c r="W18" s="93">
        <f>IFERROR(__xludf.DUMMYFUNCTION("IFERROR(SWITCH(lower(join("" "",U18:V18)),""а миллионник"", 62.5,""б миллионник"", 75,""а мск"", 50, ""б мск"", 62.5, ""a остальное"", 70, ""б остальное"", 80)/100,0)"),0.0)</f>
        <v>0</v>
      </c>
      <c r="X18" s="91">
        <f t="shared" si="4"/>
        <v>0</v>
      </c>
    </row>
    <row r="19">
      <c r="A19" s="90"/>
      <c r="B19" s="90"/>
      <c r="C19" s="90"/>
      <c r="D19" s="91">
        <f>IFERROR(__xludf.DUMMYFUNCTION("IFERROR(sum(filter('Основной эфир'!$AA:$AA, 'Основной эфир'!$B:$B=$A19,'Основной эфир'!$C:$C=$B19,'Основной эфир'!$I:$I=$C19)), 0) "),0.0)</f>
        <v>0</v>
      </c>
      <c r="E19" s="91">
        <f>IFERROR(__xludf.DUMMYFUNCTION("IFERROR(sum(filter('Основной эфир'!$AC:$AC, 'Основной эфир'!$B:$B=$A19,'Основной эфир'!$C:$C=$B19,'Основной эфир'!$I:$I=$C19)), 0) "),0.0)</f>
        <v>0</v>
      </c>
      <c r="F19" s="91">
        <f>IFERROR(__xludf.DUMMYFUNCTION("IFERROR(sum(filter('Основной эфир'!$O:$O, 'Основной эфир'!$B:$B=$A19,'Основной эфир'!$C:$C=$B19,'Основной эфир'!$I:$I=$C19)), 0) "),0.0)</f>
        <v>0</v>
      </c>
      <c r="G19" s="91">
        <f>IFERROR(__xludf.DUMMYFUNCTION("IFERROR(sum(filter('Основной эфир'!$Q:$Q, 'Основной эфир'!$B:$B=$A19,'Основной эфир'!$C:$C=$B19,'Основной эфир'!$I:$I=$C19)), 0) "),0.0)</f>
        <v>0</v>
      </c>
      <c r="H19" s="91">
        <f>IFERROR(__xludf.DUMMYFUNCTION("IFERROR(AVERAGE(filter('Основной эфир'!$Y:$Y, 'Основной эфир'!$B:$B=$A19,'Основной эфир'!$C:$C=$B19,'Основной эфир'!$I:$I=$C19)), 0) "),0.0)</f>
        <v>0</v>
      </c>
      <c r="I19" s="91">
        <f>IFERROR(__xludf.DUMMYFUNCTION("IFERROR(AVERAGE(filter('Основной эфир'!$AE:$AE, 'Основной эфир'!$B:$B=$A19,'Основной эфир'!$C:$C=$B19,'Основной эфир'!$I:$I=$C19)), 0) "),0.0)</f>
        <v>0</v>
      </c>
      <c r="J19" s="91">
        <f>IFERROR(__xludf.DUMMYFUNCTION("IFERROR(SUM(filter('Основной эфир'!$AL:$AL, 'Основной эфир'!$B:$B=$A19,'Основной эфир'!$C:$C=$B19,'Основной эфир'!$I:$I=$C19)), 0) "),0.0)</f>
        <v>0</v>
      </c>
      <c r="K19" s="91" t="str">
        <f>IFERROR(__xludf.DUMMYFUNCTION("IFERROR(REGEXREPLACE(unique(filter('Основной эфир'!$A:$A, 'Основной эфир'!$B:$B=$A19,'Основной эфир'!$C:$C=$B19,'Основной эфир'!$I:$I=$C19)), ""\d+"", """"),"""")"),"")</f>
        <v/>
      </c>
      <c r="L19" s="91" t="str">
        <f>IFERROR(__xludf.DUMMYFUNCTION("IFERROR(unique(filter('Основной эфир'!$F:$F, 'Основной эфир'!$B:$B=$A19,'Основной эфир'!$C:$C=$B19,'Основной эфир'!$I:$I=$C19)),"""")"),"")</f>
        <v/>
      </c>
      <c r="M19" s="92" t="str">
        <f t="shared" si="1"/>
        <v/>
      </c>
      <c r="N19" s="93">
        <f>IFERROR(__xludf.DUMMYFUNCTION("IFERROR(SWITCH(lower(join("" "",L19:M19)),""а миллионник"", 62.5,""б миллионник"", 75,""а мск"", 50, ""б мск"", 62.5, ""a остальное"", 70, ""б остальное"", 80)/100,0)"),0.0)</f>
        <v>0</v>
      </c>
      <c r="O19" s="91">
        <f t="shared" si="2"/>
        <v>0</v>
      </c>
      <c r="P19" s="91">
        <f>IFERROR(__xludf.DUMMYFUNCTION("IFERROR(sum(filter('Генеральный баннер'!$O:$O, 'Генеральный баннер'!$B:$B=$A19,'Генеральный баннер'!$C:$C=$B19,'Генеральный баннер'!$I:$I=$C19)), 0) "),0.0)</f>
        <v>0</v>
      </c>
      <c r="Q19" s="91">
        <f>IFERROR(__xludf.DUMMYFUNCTION("IFERROR(sum(filter('Генеральный баннер'!$Q:$Q, 'Генеральный баннер'!$B:$B=$A19,'Генеральный баннер'!$C:$C=$B19,'Генеральный баннер'!$I:$I=$C19)), 0) "),0.0)</f>
        <v>0</v>
      </c>
      <c r="R19" s="91">
        <f>IFERROR(__xludf.DUMMYFUNCTION("IFERROR(AVERAGE(filter('Генеральный баннер'!$AA:$AA, 'Генеральный баннер'!$B:$B=$A19,'Генеральный баннер'!$C:$C=$B19,'Генеральный баннер'!$I:$I=$C19)), 0) "),0.0)</f>
        <v>0</v>
      </c>
      <c r="S19" s="91">
        <f>IFERROR(__xludf.DUMMYFUNCTION("IFERROR(SUM(filter('Генеральный баннер'!$AH:$AH, 'Генеральный баннер'!$B:$B=$A19,'Генеральный баннер'!$C:$C=$B19,'Генеральный баннер'!$I:$I=$C19)), 0) "),0.0)</f>
        <v>0</v>
      </c>
      <c r="T19" s="91" t="str">
        <f>IFERROR(__xludf.DUMMYFUNCTION("IFERROR(REGEXREPLACE(unique(filter('Генеральный баннер'!$A:$A, 'Генеральный баннер'!$B:$B=$A19,'Генеральный баннер'!$C:$C=$B19,'Генеральный баннер'!$I:$I=$C19)), ""\d+"", """"),"""")"),"")</f>
        <v/>
      </c>
      <c r="U19" s="91" t="str">
        <f>IFERROR(__xludf.DUMMYFUNCTION("IFERROR(unique(filter('Генеральный баннер'!$F:$F, 'Генеральный баннер'!$B:$B=$A19,'Генеральный баннер'!$C:$C=$B19,'Генеральный баннер'!$I:$I=$C19)),"""")"),"")</f>
        <v/>
      </c>
      <c r="V19" s="92" t="str">
        <f t="shared" si="3"/>
        <v/>
      </c>
      <c r="W19" s="93">
        <f>IFERROR(__xludf.DUMMYFUNCTION("IFERROR(SWITCH(lower(join("" "",U19:V19)),""а миллионник"", 62.5,""б миллионник"", 75,""а мск"", 50, ""б мск"", 62.5, ""a остальное"", 70, ""б остальное"", 80)/100,0)"),0.0)</f>
        <v>0</v>
      </c>
      <c r="X19" s="91">
        <f t="shared" si="4"/>
        <v>0</v>
      </c>
    </row>
    <row r="20">
      <c r="A20" s="90"/>
      <c r="B20" s="90"/>
      <c r="C20" s="90"/>
      <c r="D20" s="91">
        <f>IFERROR(__xludf.DUMMYFUNCTION("IFERROR(sum(filter('Основной эфир'!$AA:$AA, 'Основной эфир'!$B:$B=$A20,'Основной эфир'!$C:$C=$B20,'Основной эфир'!$I:$I=$C20)), 0) "),0.0)</f>
        <v>0</v>
      </c>
      <c r="E20" s="91">
        <f>IFERROR(__xludf.DUMMYFUNCTION("IFERROR(sum(filter('Основной эфир'!$AC:$AC, 'Основной эфир'!$B:$B=$A20,'Основной эфир'!$C:$C=$B20,'Основной эфир'!$I:$I=$C20)), 0) "),0.0)</f>
        <v>0</v>
      </c>
      <c r="F20" s="91">
        <f>IFERROR(__xludf.DUMMYFUNCTION("IFERROR(sum(filter('Основной эфир'!$O:$O, 'Основной эфир'!$B:$B=$A20,'Основной эфир'!$C:$C=$B20,'Основной эфир'!$I:$I=$C20)), 0) "),0.0)</f>
        <v>0</v>
      </c>
      <c r="G20" s="91">
        <f>IFERROR(__xludf.DUMMYFUNCTION("IFERROR(sum(filter('Основной эфир'!$Q:$Q, 'Основной эфир'!$B:$B=$A20,'Основной эфир'!$C:$C=$B20,'Основной эфир'!$I:$I=$C20)), 0) "),0.0)</f>
        <v>0</v>
      </c>
      <c r="H20" s="91">
        <f>IFERROR(__xludf.DUMMYFUNCTION("IFERROR(AVERAGE(filter('Основной эфир'!$Y:$Y, 'Основной эфир'!$B:$B=$A20,'Основной эфир'!$C:$C=$B20,'Основной эфир'!$I:$I=$C20)), 0) "),0.0)</f>
        <v>0</v>
      </c>
      <c r="I20" s="91">
        <f>IFERROR(__xludf.DUMMYFUNCTION("IFERROR(AVERAGE(filter('Основной эфир'!$AE:$AE, 'Основной эфир'!$B:$B=$A20,'Основной эфир'!$C:$C=$B20,'Основной эфир'!$I:$I=$C20)), 0) "),0.0)</f>
        <v>0</v>
      </c>
      <c r="J20" s="91">
        <f>IFERROR(__xludf.DUMMYFUNCTION("IFERROR(SUM(filter('Основной эфир'!$AL:$AL, 'Основной эфир'!$B:$B=$A20,'Основной эфир'!$C:$C=$B20,'Основной эфир'!$I:$I=$C20)), 0) "),0.0)</f>
        <v>0</v>
      </c>
      <c r="K20" s="91" t="str">
        <f>IFERROR(__xludf.DUMMYFUNCTION("IFERROR(REGEXREPLACE(unique(filter('Основной эфир'!$A:$A, 'Основной эфир'!$B:$B=$A20,'Основной эфир'!$C:$C=$B20,'Основной эфир'!$I:$I=$C20)), ""\d+"", """"),"""")"),"")</f>
        <v/>
      </c>
      <c r="L20" s="91" t="str">
        <f>IFERROR(__xludf.DUMMYFUNCTION("IFERROR(unique(filter('Основной эфир'!$F:$F, 'Основной эфир'!$B:$B=$A20,'Основной эфир'!$C:$C=$B20,'Основной эфир'!$I:$I=$C20)),"""")"),"")</f>
        <v/>
      </c>
      <c r="M20" s="92" t="str">
        <f t="shared" si="1"/>
        <v/>
      </c>
      <c r="N20" s="93">
        <f>IFERROR(__xludf.DUMMYFUNCTION("IFERROR(SWITCH(lower(join("" "",L20:M20)),""а миллионник"", 62.5,""б миллионник"", 75,""а мск"", 50, ""б мск"", 62.5, ""a остальное"", 70, ""б остальное"", 80)/100,0)"),0.0)</f>
        <v>0</v>
      </c>
      <c r="O20" s="91">
        <f t="shared" si="2"/>
        <v>0</v>
      </c>
      <c r="P20" s="91">
        <f>IFERROR(__xludf.DUMMYFUNCTION("IFERROR(sum(filter('Генеральный баннер'!$O:$O, 'Генеральный баннер'!$B:$B=$A20,'Генеральный баннер'!$C:$C=$B20,'Генеральный баннер'!$I:$I=$C20)), 0) "),0.0)</f>
        <v>0</v>
      </c>
      <c r="Q20" s="91">
        <f>IFERROR(__xludf.DUMMYFUNCTION("IFERROR(sum(filter('Генеральный баннер'!$Q:$Q, 'Генеральный баннер'!$B:$B=$A20,'Генеральный баннер'!$C:$C=$B20,'Генеральный баннер'!$I:$I=$C20)), 0) "),0.0)</f>
        <v>0</v>
      </c>
      <c r="R20" s="91">
        <f>IFERROR(__xludf.DUMMYFUNCTION("IFERROR(AVERAGE(filter('Генеральный баннер'!$AA:$AA, 'Генеральный баннер'!$B:$B=$A20,'Генеральный баннер'!$C:$C=$B20,'Генеральный баннер'!$I:$I=$C20)), 0) "),0.0)</f>
        <v>0</v>
      </c>
      <c r="S20" s="91">
        <f>IFERROR(__xludf.DUMMYFUNCTION("IFERROR(SUM(filter('Генеральный баннер'!$AH:$AH, 'Генеральный баннер'!$B:$B=$A20,'Генеральный баннер'!$C:$C=$B20,'Генеральный баннер'!$I:$I=$C20)), 0) "),0.0)</f>
        <v>0</v>
      </c>
      <c r="T20" s="91" t="str">
        <f>IFERROR(__xludf.DUMMYFUNCTION("IFERROR(REGEXREPLACE(unique(filter('Генеральный баннер'!$A:$A, 'Генеральный баннер'!$B:$B=$A20,'Генеральный баннер'!$C:$C=$B20,'Генеральный баннер'!$I:$I=$C20)), ""\d+"", """"),"""")"),"")</f>
        <v/>
      </c>
      <c r="U20" s="91" t="str">
        <f>IFERROR(__xludf.DUMMYFUNCTION("IFERROR(unique(filter('Генеральный баннер'!$F:$F, 'Генеральный баннер'!$B:$B=$A20,'Генеральный баннер'!$C:$C=$B20,'Генеральный баннер'!$I:$I=$C20)),"""")"),"")</f>
        <v/>
      </c>
      <c r="V20" s="92" t="str">
        <f t="shared" si="3"/>
        <v/>
      </c>
      <c r="W20" s="93">
        <f>IFERROR(__xludf.DUMMYFUNCTION("IFERROR(SWITCH(lower(join("" "",U20:V20)),""а миллионник"", 62.5,""б миллионник"", 75,""а мск"", 50, ""б мск"", 62.5, ""a остальное"", 70, ""б остальное"", 80)/100,0)"),0.0)</f>
        <v>0</v>
      </c>
      <c r="X20" s="91">
        <f t="shared" si="4"/>
        <v>0</v>
      </c>
    </row>
    <row r="21">
      <c r="A21" s="90"/>
      <c r="B21" s="90"/>
      <c r="C21" s="90"/>
      <c r="D21" s="91">
        <f>IFERROR(__xludf.DUMMYFUNCTION("IFERROR(sum(filter('Основной эфир'!$AA:$AA, 'Основной эфир'!$B:$B=$A21,'Основной эфир'!$C:$C=$B21,'Основной эфир'!$I:$I=$C21)), 0) "),0.0)</f>
        <v>0</v>
      </c>
      <c r="E21" s="91">
        <f>IFERROR(__xludf.DUMMYFUNCTION("IFERROR(sum(filter('Основной эфир'!$AC:$AC, 'Основной эфир'!$B:$B=$A21,'Основной эфир'!$C:$C=$B21,'Основной эфир'!$I:$I=$C21)), 0) "),0.0)</f>
        <v>0</v>
      </c>
      <c r="F21" s="91">
        <f>IFERROR(__xludf.DUMMYFUNCTION("IFERROR(sum(filter('Основной эфир'!$O:$O, 'Основной эфир'!$B:$B=$A21,'Основной эфир'!$C:$C=$B21,'Основной эфир'!$I:$I=$C21)), 0) "),0.0)</f>
        <v>0</v>
      </c>
      <c r="G21" s="91">
        <f>IFERROR(__xludf.DUMMYFUNCTION("IFERROR(sum(filter('Основной эфир'!$Q:$Q, 'Основной эфир'!$B:$B=$A21,'Основной эфир'!$C:$C=$B21,'Основной эфир'!$I:$I=$C21)), 0) "),0.0)</f>
        <v>0</v>
      </c>
      <c r="H21" s="91">
        <f>IFERROR(__xludf.DUMMYFUNCTION("IFERROR(AVERAGE(filter('Основной эфир'!$Y:$Y, 'Основной эфир'!$B:$B=$A21,'Основной эфир'!$C:$C=$B21,'Основной эфир'!$I:$I=$C21)), 0) "),0.0)</f>
        <v>0</v>
      </c>
      <c r="I21" s="91">
        <f>IFERROR(__xludf.DUMMYFUNCTION("IFERROR(AVERAGE(filter('Основной эфир'!$AE:$AE, 'Основной эфир'!$B:$B=$A21,'Основной эфир'!$C:$C=$B21,'Основной эфир'!$I:$I=$C21)), 0) "),0.0)</f>
        <v>0</v>
      </c>
      <c r="J21" s="91">
        <f>IFERROR(__xludf.DUMMYFUNCTION("IFERROR(SUM(filter('Основной эфир'!$AL:$AL, 'Основной эфир'!$B:$B=$A21,'Основной эфир'!$C:$C=$B21,'Основной эфир'!$I:$I=$C21)), 0) "),0.0)</f>
        <v>0</v>
      </c>
      <c r="K21" s="91" t="str">
        <f>IFERROR(__xludf.DUMMYFUNCTION("IFERROR(REGEXREPLACE(unique(filter('Основной эфир'!$A:$A, 'Основной эфир'!$B:$B=$A21,'Основной эфир'!$C:$C=$B21,'Основной эфир'!$I:$I=$C21)), ""\d+"", """"),"""")"),"")</f>
        <v/>
      </c>
      <c r="L21" s="91" t="str">
        <f>IFERROR(__xludf.DUMMYFUNCTION("IFERROR(unique(filter('Основной эфир'!$F:$F, 'Основной эфир'!$B:$B=$A21,'Основной эфир'!$C:$C=$B21,'Основной эфир'!$I:$I=$C21)),"""")"),"")</f>
        <v/>
      </c>
      <c r="M21" s="92" t="str">
        <f t="shared" si="1"/>
        <v/>
      </c>
      <c r="N21" s="93">
        <f>IFERROR(__xludf.DUMMYFUNCTION("IFERROR(SWITCH(lower(join("" "",L21:M21)),""а миллионник"", 62.5,""б миллионник"", 75,""а мск"", 50, ""б мск"", 62.5, ""a остальное"", 70, ""б остальное"", 80)/100,0)"),0.0)</f>
        <v>0</v>
      </c>
      <c r="O21" s="91">
        <f t="shared" si="2"/>
        <v>0</v>
      </c>
      <c r="P21" s="91">
        <f>IFERROR(__xludf.DUMMYFUNCTION("IFERROR(sum(filter('Генеральный баннер'!$O:$O, 'Генеральный баннер'!$B:$B=$A21,'Генеральный баннер'!$C:$C=$B21,'Генеральный баннер'!$I:$I=$C21)), 0) "),0.0)</f>
        <v>0</v>
      </c>
      <c r="Q21" s="91">
        <f>IFERROR(__xludf.DUMMYFUNCTION("IFERROR(sum(filter('Генеральный баннер'!$Q:$Q, 'Генеральный баннер'!$B:$B=$A21,'Генеральный баннер'!$C:$C=$B21,'Генеральный баннер'!$I:$I=$C21)), 0) "),0.0)</f>
        <v>0</v>
      </c>
      <c r="R21" s="91">
        <f>IFERROR(__xludf.DUMMYFUNCTION("IFERROR(AVERAGE(filter('Генеральный баннер'!$AA:$AA, 'Генеральный баннер'!$B:$B=$A21,'Генеральный баннер'!$C:$C=$B21,'Генеральный баннер'!$I:$I=$C21)), 0) "),0.0)</f>
        <v>0</v>
      </c>
      <c r="S21" s="91">
        <f>IFERROR(__xludf.DUMMYFUNCTION("IFERROR(SUM(filter('Генеральный баннер'!$AH:$AH, 'Генеральный баннер'!$B:$B=$A21,'Генеральный баннер'!$C:$C=$B21,'Генеральный баннер'!$I:$I=$C21)), 0) "),0.0)</f>
        <v>0</v>
      </c>
      <c r="T21" s="91" t="str">
        <f>IFERROR(__xludf.DUMMYFUNCTION("IFERROR(REGEXREPLACE(unique(filter('Генеральный баннер'!$A:$A, 'Генеральный баннер'!$B:$B=$A21,'Генеральный баннер'!$C:$C=$B21,'Генеральный баннер'!$I:$I=$C21)), ""\d+"", """"),"""")"),"")</f>
        <v/>
      </c>
      <c r="U21" s="91" t="str">
        <f>IFERROR(__xludf.DUMMYFUNCTION("IFERROR(unique(filter('Генеральный баннер'!$F:$F, 'Генеральный баннер'!$B:$B=$A21,'Генеральный баннер'!$C:$C=$B21,'Генеральный баннер'!$I:$I=$C21)),"""")"),"")</f>
        <v/>
      </c>
      <c r="V21" s="92" t="str">
        <f t="shared" si="3"/>
        <v/>
      </c>
      <c r="W21" s="93">
        <f>IFERROR(__xludf.DUMMYFUNCTION("IFERROR(SWITCH(lower(join("" "",U21:V21)),""а миллионник"", 62.5,""б миллионник"", 75,""а мск"", 50, ""б мск"", 62.5, ""a остальное"", 70, ""б остальное"", 80)/100,0)"),0.0)</f>
        <v>0</v>
      </c>
      <c r="X21" s="91">
        <f t="shared" si="4"/>
        <v>0</v>
      </c>
    </row>
    <row r="22">
      <c r="A22" s="90"/>
      <c r="B22" s="90"/>
      <c r="C22" s="90"/>
      <c r="D22" s="91">
        <f>IFERROR(__xludf.DUMMYFUNCTION("IFERROR(sum(filter('Основной эфир'!$AA:$AA, 'Основной эфир'!$B:$B=$A22,'Основной эфир'!$C:$C=$B22,'Основной эфир'!$I:$I=$C22)), 0) "),0.0)</f>
        <v>0</v>
      </c>
      <c r="E22" s="91">
        <f>IFERROR(__xludf.DUMMYFUNCTION("IFERROR(sum(filter('Основной эфир'!$AC:$AC, 'Основной эфир'!$B:$B=$A22,'Основной эфир'!$C:$C=$B22,'Основной эфир'!$I:$I=$C22)), 0) "),0.0)</f>
        <v>0</v>
      </c>
      <c r="F22" s="91">
        <f>IFERROR(__xludf.DUMMYFUNCTION("IFERROR(sum(filter('Основной эфир'!$O:$O, 'Основной эфир'!$B:$B=$A22,'Основной эфир'!$C:$C=$B22,'Основной эфир'!$I:$I=$C22)), 0) "),0.0)</f>
        <v>0</v>
      </c>
      <c r="G22" s="91">
        <f>IFERROR(__xludf.DUMMYFUNCTION("IFERROR(sum(filter('Основной эфир'!$Q:$Q, 'Основной эфир'!$B:$B=$A22,'Основной эфир'!$C:$C=$B22,'Основной эфир'!$I:$I=$C22)), 0) "),0.0)</f>
        <v>0</v>
      </c>
      <c r="H22" s="91">
        <f>IFERROR(__xludf.DUMMYFUNCTION("IFERROR(AVERAGE(filter('Основной эфир'!$Y:$Y, 'Основной эфир'!$B:$B=$A22,'Основной эфир'!$C:$C=$B22,'Основной эфир'!$I:$I=$C22)), 0) "),0.0)</f>
        <v>0</v>
      </c>
      <c r="I22" s="91">
        <f>IFERROR(__xludf.DUMMYFUNCTION("IFERROR(AVERAGE(filter('Основной эфир'!$AE:$AE, 'Основной эфир'!$B:$B=$A22,'Основной эфир'!$C:$C=$B22,'Основной эфир'!$I:$I=$C22)), 0) "),0.0)</f>
        <v>0</v>
      </c>
      <c r="J22" s="91">
        <f>IFERROR(__xludf.DUMMYFUNCTION("IFERROR(SUM(filter('Основной эфир'!$AL:$AL, 'Основной эфир'!$B:$B=$A22,'Основной эфир'!$C:$C=$B22,'Основной эфир'!$I:$I=$C22)), 0) "),0.0)</f>
        <v>0</v>
      </c>
      <c r="K22" s="91" t="str">
        <f>IFERROR(__xludf.DUMMYFUNCTION("IFERROR(REGEXREPLACE(unique(filter('Основной эфир'!$A:$A, 'Основной эфир'!$B:$B=$A22,'Основной эфир'!$C:$C=$B22,'Основной эфир'!$I:$I=$C22)), ""\d+"", """"),"""")"),"")</f>
        <v/>
      </c>
      <c r="L22" s="91" t="str">
        <f>IFERROR(__xludf.DUMMYFUNCTION("IFERROR(unique(filter('Основной эфир'!$F:$F, 'Основной эфир'!$B:$B=$A22,'Основной эфир'!$C:$C=$B22,'Основной эфир'!$I:$I=$C22)),"""")"),"")</f>
        <v/>
      </c>
      <c r="M22" s="92" t="str">
        <f t="shared" si="1"/>
        <v/>
      </c>
      <c r="N22" s="93">
        <f>IFERROR(__xludf.DUMMYFUNCTION("IFERROR(SWITCH(lower(join("" "",L22:M22)),""а миллионник"", 62.5,""б миллионник"", 75,""а мск"", 50, ""б мск"", 62.5, ""a остальное"", 70, ""б остальное"", 80)/100,0)"),0.0)</f>
        <v>0</v>
      </c>
      <c r="O22" s="91">
        <f t="shared" si="2"/>
        <v>0</v>
      </c>
      <c r="P22" s="91">
        <f>IFERROR(__xludf.DUMMYFUNCTION("IFERROR(sum(filter('Генеральный баннер'!$O:$O, 'Генеральный баннер'!$B:$B=$A22,'Генеральный баннер'!$C:$C=$B22,'Генеральный баннер'!$I:$I=$C22)), 0) "),0.0)</f>
        <v>0</v>
      </c>
      <c r="Q22" s="91">
        <f>IFERROR(__xludf.DUMMYFUNCTION("IFERROR(sum(filter('Генеральный баннер'!$Q:$Q, 'Генеральный баннер'!$B:$B=$A22,'Генеральный баннер'!$C:$C=$B22,'Генеральный баннер'!$I:$I=$C22)), 0) "),0.0)</f>
        <v>0</v>
      </c>
      <c r="R22" s="91">
        <f>IFERROR(__xludf.DUMMYFUNCTION("IFERROR(AVERAGE(filter('Генеральный баннер'!$AA:$AA, 'Генеральный баннер'!$B:$B=$A22,'Генеральный баннер'!$C:$C=$B22,'Генеральный баннер'!$I:$I=$C22)), 0) "),0.0)</f>
        <v>0</v>
      </c>
      <c r="S22" s="91">
        <f>IFERROR(__xludf.DUMMYFUNCTION("IFERROR(SUM(filter('Генеральный баннер'!$AH:$AH, 'Генеральный баннер'!$B:$B=$A22,'Генеральный баннер'!$C:$C=$B22,'Генеральный баннер'!$I:$I=$C22)), 0) "),0.0)</f>
        <v>0</v>
      </c>
      <c r="T22" s="91" t="str">
        <f>IFERROR(__xludf.DUMMYFUNCTION("IFERROR(REGEXREPLACE(unique(filter('Генеральный баннер'!$A:$A, 'Генеральный баннер'!$B:$B=$A22,'Генеральный баннер'!$C:$C=$B22,'Генеральный баннер'!$I:$I=$C22)), ""\d+"", """"),"""")"),"")</f>
        <v/>
      </c>
      <c r="U22" s="91" t="str">
        <f>IFERROR(__xludf.DUMMYFUNCTION("IFERROR(unique(filter('Генеральный баннер'!$F:$F, 'Генеральный баннер'!$B:$B=$A22,'Генеральный баннер'!$C:$C=$B22,'Генеральный баннер'!$I:$I=$C22)),"""")"),"")</f>
        <v/>
      </c>
      <c r="V22" s="92" t="str">
        <f t="shared" si="3"/>
        <v/>
      </c>
      <c r="W22" s="93">
        <f>IFERROR(__xludf.DUMMYFUNCTION("IFERROR(SWITCH(lower(join("" "",U22:V22)),""а миллионник"", 62.5,""б миллионник"", 75,""а мск"", 50, ""б мск"", 62.5, ""a остальное"", 70, ""б остальное"", 80)/100,0)"),0.0)</f>
        <v>0</v>
      </c>
      <c r="X22" s="91">
        <f t="shared" si="4"/>
        <v>0</v>
      </c>
    </row>
    <row r="23">
      <c r="A23" s="90"/>
      <c r="B23" s="90"/>
      <c r="C23" s="90"/>
      <c r="D23" s="91">
        <f>IFERROR(__xludf.DUMMYFUNCTION("IFERROR(sum(filter('Основной эфир'!$AA:$AA, 'Основной эфир'!$B:$B=$A23,'Основной эфир'!$C:$C=$B23,'Основной эфир'!$I:$I=$C23)), 0) "),0.0)</f>
        <v>0</v>
      </c>
      <c r="E23" s="91">
        <f>IFERROR(__xludf.DUMMYFUNCTION("IFERROR(sum(filter('Основной эфир'!$AC:$AC, 'Основной эфир'!$B:$B=$A23,'Основной эфир'!$C:$C=$B23,'Основной эфир'!$I:$I=$C23)), 0) "),0.0)</f>
        <v>0</v>
      </c>
      <c r="F23" s="91">
        <f>IFERROR(__xludf.DUMMYFUNCTION("IFERROR(sum(filter('Основной эфир'!$O:$O, 'Основной эфир'!$B:$B=$A23,'Основной эфир'!$C:$C=$B23,'Основной эфир'!$I:$I=$C23)), 0) "),0.0)</f>
        <v>0</v>
      </c>
      <c r="G23" s="91">
        <f>IFERROR(__xludf.DUMMYFUNCTION("IFERROR(sum(filter('Основной эфир'!$Q:$Q, 'Основной эфир'!$B:$B=$A23,'Основной эфир'!$C:$C=$B23,'Основной эфир'!$I:$I=$C23)), 0) "),0.0)</f>
        <v>0</v>
      </c>
      <c r="H23" s="91">
        <f>IFERROR(__xludf.DUMMYFUNCTION("IFERROR(AVERAGE(filter('Основной эфир'!$Y:$Y, 'Основной эфир'!$B:$B=$A23,'Основной эфир'!$C:$C=$B23,'Основной эфир'!$I:$I=$C23)), 0) "),0.0)</f>
        <v>0</v>
      </c>
      <c r="I23" s="91">
        <f>IFERROR(__xludf.DUMMYFUNCTION("IFERROR(AVERAGE(filter('Основной эфир'!$AE:$AE, 'Основной эфир'!$B:$B=$A23,'Основной эфир'!$C:$C=$B23,'Основной эфир'!$I:$I=$C23)), 0) "),0.0)</f>
        <v>0</v>
      </c>
      <c r="J23" s="91">
        <f>IFERROR(__xludf.DUMMYFUNCTION("IFERROR(SUM(filter('Основной эфир'!$AL:$AL, 'Основной эфир'!$B:$B=$A23,'Основной эфир'!$C:$C=$B23,'Основной эфир'!$I:$I=$C23)), 0) "),0.0)</f>
        <v>0</v>
      </c>
      <c r="K23" s="91" t="str">
        <f>IFERROR(__xludf.DUMMYFUNCTION("IFERROR(REGEXREPLACE(unique(filter('Основной эфир'!$A:$A, 'Основной эфир'!$B:$B=$A23,'Основной эфир'!$C:$C=$B23,'Основной эфир'!$I:$I=$C23)), ""\d+"", """"),"""")"),"")</f>
        <v/>
      </c>
      <c r="L23" s="91" t="str">
        <f>IFERROR(__xludf.DUMMYFUNCTION("IFERROR(unique(filter('Основной эфир'!$F:$F, 'Основной эфир'!$B:$B=$A23,'Основной эфир'!$C:$C=$B23,'Основной эфир'!$I:$I=$C23)),"""")"),"")</f>
        <v/>
      </c>
      <c r="M23" s="92" t="str">
        <f t="shared" si="1"/>
        <v/>
      </c>
      <c r="N23" s="93">
        <f>IFERROR(__xludf.DUMMYFUNCTION("IFERROR(SWITCH(lower(join("" "",L23:M23)),""а миллионник"", 62.5,""б миллионник"", 75,""а мск"", 50, ""б мск"", 62.5, ""a остальное"", 70, ""б остальное"", 80)/100,0)"),0.0)</f>
        <v>0</v>
      </c>
      <c r="O23" s="91">
        <f t="shared" si="2"/>
        <v>0</v>
      </c>
      <c r="P23" s="91">
        <f>IFERROR(__xludf.DUMMYFUNCTION("IFERROR(sum(filter('Генеральный баннер'!$O:$O, 'Генеральный баннер'!$B:$B=$A23,'Генеральный баннер'!$C:$C=$B23,'Генеральный баннер'!$I:$I=$C23)), 0) "),0.0)</f>
        <v>0</v>
      </c>
      <c r="Q23" s="91">
        <f>IFERROR(__xludf.DUMMYFUNCTION("IFERROR(sum(filter('Генеральный баннер'!$Q:$Q, 'Генеральный баннер'!$B:$B=$A23,'Генеральный баннер'!$C:$C=$B23,'Генеральный баннер'!$I:$I=$C23)), 0) "),0.0)</f>
        <v>0</v>
      </c>
      <c r="R23" s="91">
        <f>IFERROR(__xludf.DUMMYFUNCTION("IFERROR(AVERAGE(filter('Генеральный баннер'!$AA:$AA, 'Генеральный баннер'!$B:$B=$A23,'Генеральный баннер'!$C:$C=$B23,'Генеральный баннер'!$I:$I=$C23)), 0) "),0.0)</f>
        <v>0</v>
      </c>
      <c r="S23" s="91">
        <f>IFERROR(__xludf.DUMMYFUNCTION("IFERROR(SUM(filter('Генеральный баннер'!$AH:$AH, 'Генеральный баннер'!$B:$B=$A23,'Генеральный баннер'!$C:$C=$B23,'Генеральный баннер'!$I:$I=$C23)), 0) "),0.0)</f>
        <v>0</v>
      </c>
      <c r="T23" s="91" t="str">
        <f>IFERROR(__xludf.DUMMYFUNCTION("IFERROR(REGEXREPLACE(unique(filter('Генеральный баннер'!$A:$A, 'Генеральный баннер'!$B:$B=$A23,'Генеральный баннер'!$C:$C=$B23,'Генеральный баннер'!$I:$I=$C23)), ""\d+"", """"),"""")"),"")</f>
        <v/>
      </c>
      <c r="U23" s="91" t="str">
        <f>IFERROR(__xludf.DUMMYFUNCTION("IFERROR(unique(filter('Генеральный баннер'!$F:$F, 'Генеральный баннер'!$B:$B=$A23,'Генеральный баннер'!$C:$C=$B23,'Генеральный баннер'!$I:$I=$C23)),"""")"),"")</f>
        <v/>
      </c>
      <c r="V23" s="92" t="str">
        <f t="shared" si="3"/>
        <v/>
      </c>
      <c r="W23" s="93">
        <f>IFERROR(__xludf.DUMMYFUNCTION("IFERROR(SWITCH(lower(join("" "",U23:V23)),""а миллионник"", 62.5,""б миллионник"", 75,""а мск"", 50, ""б мск"", 62.5, ""a остальное"", 70, ""б остальное"", 80)/100,0)"),0.0)</f>
        <v>0</v>
      </c>
      <c r="X23" s="91">
        <f t="shared" si="4"/>
        <v>0</v>
      </c>
    </row>
    <row r="24">
      <c r="A24" s="90"/>
      <c r="B24" s="90"/>
      <c r="C24" s="90"/>
      <c r="D24" s="91">
        <f>IFERROR(__xludf.DUMMYFUNCTION("IFERROR(sum(filter('Основной эфир'!$AA:$AA, 'Основной эфир'!$B:$B=$A24,'Основной эфир'!$C:$C=$B24,'Основной эфир'!$I:$I=$C24)), 0) "),0.0)</f>
        <v>0</v>
      </c>
      <c r="E24" s="91">
        <f>IFERROR(__xludf.DUMMYFUNCTION("IFERROR(sum(filter('Основной эфир'!$AC:$AC, 'Основной эфир'!$B:$B=$A24,'Основной эфир'!$C:$C=$B24,'Основной эфир'!$I:$I=$C24)), 0) "),0.0)</f>
        <v>0</v>
      </c>
      <c r="F24" s="91">
        <f>IFERROR(__xludf.DUMMYFUNCTION("IFERROR(sum(filter('Основной эфир'!$O:$O, 'Основной эфир'!$B:$B=$A24,'Основной эфир'!$C:$C=$B24,'Основной эфир'!$I:$I=$C24)), 0) "),0.0)</f>
        <v>0</v>
      </c>
      <c r="G24" s="91">
        <f>IFERROR(__xludf.DUMMYFUNCTION("IFERROR(sum(filter('Основной эфир'!$Q:$Q, 'Основной эфир'!$B:$B=$A24,'Основной эфир'!$C:$C=$B24,'Основной эфир'!$I:$I=$C24)), 0) "),0.0)</f>
        <v>0</v>
      </c>
      <c r="H24" s="91">
        <f>IFERROR(__xludf.DUMMYFUNCTION("IFERROR(AVERAGE(filter('Основной эфир'!$Y:$Y, 'Основной эфир'!$B:$B=$A24,'Основной эфир'!$C:$C=$B24,'Основной эфир'!$I:$I=$C24)), 0) "),0.0)</f>
        <v>0</v>
      </c>
      <c r="I24" s="91">
        <f>IFERROR(__xludf.DUMMYFUNCTION("IFERROR(AVERAGE(filter('Основной эфир'!$AE:$AE, 'Основной эфир'!$B:$B=$A24,'Основной эфир'!$C:$C=$B24,'Основной эфир'!$I:$I=$C24)), 0) "),0.0)</f>
        <v>0</v>
      </c>
      <c r="J24" s="91">
        <f>IFERROR(__xludf.DUMMYFUNCTION("IFERROR(SUM(filter('Основной эфир'!$AL:$AL, 'Основной эфир'!$B:$B=$A24,'Основной эфир'!$C:$C=$B24,'Основной эфир'!$I:$I=$C24)), 0) "),0.0)</f>
        <v>0</v>
      </c>
      <c r="K24" s="91" t="str">
        <f>IFERROR(__xludf.DUMMYFUNCTION("IFERROR(REGEXREPLACE(unique(filter('Основной эфир'!$A:$A, 'Основной эфир'!$B:$B=$A24,'Основной эфир'!$C:$C=$B24,'Основной эфир'!$I:$I=$C24)), ""\d+"", """"),"""")"),"")</f>
        <v/>
      </c>
      <c r="L24" s="91" t="str">
        <f>IFERROR(__xludf.DUMMYFUNCTION("IFERROR(unique(filter('Основной эфир'!$F:$F, 'Основной эфир'!$B:$B=$A24,'Основной эфир'!$C:$C=$B24,'Основной эфир'!$I:$I=$C24)),"""")"),"")</f>
        <v/>
      </c>
      <c r="M24" s="92" t="str">
        <f t="shared" si="1"/>
        <v/>
      </c>
      <c r="N24" s="93">
        <f>IFERROR(__xludf.DUMMYFUNCTION("IFERROR(SWITCH(lower(join("" "",L24:M24)),""а миллионник"", 62.5,""б миллионник"", 75,""а мск"", 50, ""б мск"", 62.5, ""a остальное"", 70, ""б остальное"", 80)/100,0)"),0.0)</f>
        <v>0</v>
      </c>
      <c r="O24" s="91">
        <f t="shared" si="2"/>
        <v>0</v>
      </c>
      <c r="P24" s="91">
        <f>IFERROR(__xludf.DUMMYFUNCTION("IFERROR(sum(filter('Генеральный баннер'!$O:$O, 'Генеральный баннер'!$B:$B=$A24,'Генеральный баннер'!$C:$C=$B24,'Генеральный баннер'!$I:$I=$C24)), 0) "),0.0)</f>
        <v>0</v>
      </c>
      <c r="Q24" s="91">
        <f>IFERROR(__xludf.DUMMYFUNCTION("IFERROR(sum(filter('Генеральный баннер'!$Q:$Q, 'Генеральный баннер'!$B:$B=$A24,'Генеральный баннер'!$C:$C=$B24,'Генеральный баннер'!$I:$I=$C24)), 0) "),0.0)</f>
        <v>0</v>
      </c>
      <c r="R24" s="91">
        <f>IFERROR(__xludf.DUMMYFUNCTION("IFERROR(AVERAGE(filter('Генеральный баннер'!$AA:$AA, 'Генеральный баннер'!$B:$B=$A24,'Генеральный баннер'!$C:$C=$B24,'Генеральный баннер'!$I:$I=$C24)), 0) "),0.0)</f>
        <v>0</v>
      </c>
      <c r="S24" s="91">
        <f>IFERROR(__xludf.DUMMYFUNCTION("IFERROR(SUM(filter('Генеральный баннер'!$AH:$AH, 'Генеральный баннер'!$B:$B=$A24,'Генеральный баннер'!$C:$C=$B24,'Генеральный баннер'!$I:$I=$C24)), 0) "),0.0)</f>
        <v>0</v>
      </c>
      <c r="T24" s="91" t="str">
        <f>IFERROR(__xludf.DUMMYFUNCTION("IFERROR(REGEXREPLACE(unique(filter('Генеральный баннер'!$A:$A, 'Генеральный баннер'!$B:$B=$A24,'Генеральный баннер'!$C:$C=$B24,'Генеральный баннер'!$I:$I=$C24)), ""\d+"", """"),"""")"),"")</f>
        <v/>
      </c>
      <c r="U24" s="91" t="str">
        <f>IFERROR(__xludf.DUMMYFUNCTION("IFERROR(unique(filter('Генеральный баннер'!$F:$F, 'Генеральный баннер'!$B:$B=$A24,'Генеральный баннер'!$C:$C=$B24,'Генеральный баннер'!$I:$I=$C24)),"""")"),"")</f>
        <v/>
      </c>
      <c r="V24" s="92" t="str">
        <f t="shared" si="3"/>
        <v/>
      </c>
      <c r="W24" s="93">
        <f>IFERROR(__xludf.DUMMYFUNCTION("IFERROR(SWITCH(lower(join("" "",U24:V24)),""а миллионник"", 62.5,""б миллионник"", 75,""а мск"", 50, ""б мск"", 62.5, ""a остальное"", 70, ""б остальное"", 80)/100,0)"),0.0)</f>
        <v>0</v>
      </c>
      <c r="X24" s="91">
        <f t="shared" si="4"/>
        <v>0</v>
      </c>
    </row>
    <row r="25">
      <c r="A25" s="90"/>
      <c r="B25" s="90"/>
      <c r="C25" s="90"/>
      <c r="D25" s="91">
        <f>IFERROR(__xludf.DUMMYFUNCTION("IFERROR(sum(filter('Основной эфир'!$AA:$AA, 'Основной эфир'!$B:$B=$A25,'Основной эфир'!$C:$C=$B25,'Основной эфир'!$I:$I=$C25)), 0) "),0.0)</f>
        <v>0</v>
      </c>
      <c r="E25" s="91">
        <f>IFERROR(__xludf.DUMMYFUNCTION("IFERROR(sum(filter('Основной эфир'!$AC:$AC, 'Основной эфир'!$B:$B=$A25,'Основной эфир'!$C:$C=$B25,'Основной эфир'!$I:$I=$C25)), 0) "),0.0)</f>
        <v>0</v>
      </c>
      <c r="F25" s="91">
        <f>IFERROR(__xludf.DUMMYFUNCTION("IFERROR(sum(filter('Основной эфир'!$O:$O, 'Основной эфир'!$B:$B=$A25,'Основной эфир'!$C:$C=$B25,'Основной эфир'!$I:$I=$C25)), 0) "),0.0)</f>
        <v>0</v>
      </c>
      <c r="G25" s="91">
        <f>IFERROR(__xludf.DUMMYFUNCTION("IFERROR(sum(filter('Основной эфир'!$Q:$Q, 'Основной эфир'!$B:$B=$A25,'Основной эфир'!$C:$C=$B25,'Основной эфир'!$I:$I=$C25)), 0) "),0.0)</f>
        <v>0</v>
      </c>
      <c r="H25" s="91">
        <f>IFERROR(__xludf.DUMMYFUNCTION("IFERROR(AVERAGE(filter('Основной эфир'!$Y:$Y, 'Основной эфир'!$B:$B=$A25,'Основной эфир'!$C:$C=$B25,'Основной эфир'!$I:$I=$C25)), 0) "),0.0)</f>
        <v>0</v>
      </c>
      <c r="I25" s="91">
        <f>IFERROR(__xludf.DUMMYFUNCTION("IFERROR(AVERAGE(filter('Основной эфир'!$AE:$AE, 'Основной эфир'!$B:$B=$A25,'Основной эфир'!$C:$C=$B25,'Основной эфир'!$I:$I=$C25)), 0) "),0.0)</f>
        <v>0</v>
      </c>
      <c r="J25" s="91">
        <f>IFERROR(__xludf.DUMMYFUNCTION("IFERROR(SUM(filter('Основной эфир'!$AL:$AL, 'Основной эфир'!$B:$B=$A25,'Основной эфир'!$C:$C=$B25,'Основной эфир'!$I:$I=$C25)), 0) "),0.0)</f>
        <v>0</v>
      </c>
      <c r="K25" s="91" t="str">
        <f>IFERROR(__xludf.DUMMYFUNCTION("IFERROR(REGEXREPLACE(unique(filter('Основной эфир'!$A:$A, 'Основной эфир'!$B:$B=$A25,'Основной эфир'!$C:$C=$B25,'Основной эфир'!$I:$I=$C25)), ""\d+"", """"),"""")"),"")</f>
        <v/>
      </c>
      <c r="L25" s="91" t="str">
        <f>IFERROR(__xludf.DUMMYFUNCTION("IFERROR(unique(filter('Основной эфир'!$F:$F, 'Основной эфир'!$B:$B=$A25,'Основной эфир'!$C:$C=$B25,'Основной эфир'!$I:$I=$C25)),"""")"),"")</f>
        <v/>
      </c>
      <c r="M25" s="92" t="str">
        <f t="shared" si="1"/>
        <v/>
      </c>
      <c r="N25" s="93">
        <f>IFERROR(__xludf.DUMMYFUNCTION("IFERROR(SWITCH(lower(join("" "",L25:M25)),""а миллионник"", 62.5,""б миллионник"", 75,""а мск"", 50, ""б мск"", 62.5, ""a остальное"", 70, ""б остальное"", 80)/100,0)"),0.0)</f>
        <v>0</v>
      </c>
      <c r="O25" s="91">
        <f t="shared" si="2"/>
        <v>0</v>
      </c>
      <c r="P25" s="91">
        <f>IFERROR(__xludf.DUMMYFUNCTION("IFERROR(sum(filter('Генеральный баннер'!$O:$O, 'Генеральный баннер'!$B:$B=$A25,'Генеральный баннер'!$C:$C=$B25,'Генеральный баннер'!$I:$I=$C25)), 0) "),0.0)</f>
        <v>0</v>
      </c>
      <c r="Q25" s="91">
        <f>IFERROR(__xludf.DUMMYFUNCTION("IFERROR(sum(filter('Генеральный баннер'!$Q:$Q, 'Генеральный баннер'!$B:$B=$A25,'Генеральный баннер'!$C:$C=$B25,'Генеральный баннер'!$I:$I=$C25)), 0) "),0.0)</f>
        <v>0</v>
      </c>
      <c r="R25" s="91">
        <f>IFERROR(__xludf.DUMMYFUNCTION("IFERROR(AVERAGE(filter('Генеральный баннер'!$AA:$AA, 'Генеральный баннер'!$B:$B=$A25,'Генеральный баннер'!$C:$C=$B25,'Генеральный баннер'!$I:$I=$C25)), 0) "),0.0)</f>
        <v>0</v>
      </c>
      <c r="S25" s="91">
        <f>IFERROR(__xludf.DUMMYFUNCTION("IFERROR(SUM(filter('Генеральный баннер'!$AH:$AH, 'Генеральный баннер'!$B:$B=$A25,'Генеральный баннер'!$C:$C=$B25,'Генеральный баннер'!$I:$I=$C25)), 0) "),0.0)</f>
        <v>0</v>
      </c>
      <c r="T25" s="91" t="str">
        <f>IFERROR(__xludf.DUMMYFUNCTION("IFERROR(REGEXREPLACE(unique(filter('Генеральный баннер'!$A:$A, 'Генеральный баннер'!$B:$B=$A25,'Генеральный баннер'!$C:$C=$B25,'Генеральный баннер'!$I:$I=$C25)), ""\d+"", """"),"""")"),"")</f>
        <v/>
      </c>
      <c r="U25" s="91" t="str">
        <f>IFERROR(__xludf.DUMMYFUNCTION("IFERROR(unique(filter('Генеральный баннер'!$F:$F, 'Генеральный баннер'!$B:$B=$A25,'Генеральный баннер'!$C:$C=$B25,'Генеральный баннер'!$I:$I=$C25)),"""")"),"")</f>
        <v/>
      </c>
      <c r="V25" s="92" t="str">
        <f t="shared" si="3"/>
        <v/>
      </c>
      <c r="W25" s="93">
        <f>IFERROR(__xludf.DUMMYFUNCTION("IFERROR(SWITCH(lower(join("" "",U25:V25)),""а миллионник"", 62.5,""б миллионник"", 75,""а мск"", 50, ""б мск"", 62.5, ""a остальное"", 70, ""б остальное"", 80)/100,0)"),0.0)</f>
        <v>0</v>
      </c>
      <c r="X25" s="91">
        <f t="shared" si="4"/>
        <v>0</v>
      </c>
    </row>
    <row r="26">
      <c r="A26" s="90"/>
      <c r="B26" s="90"/>
      <c r="C26" s="90"/>
      <c r="D26" s="91">
        <f>IFERROR(__xludf.DUMMYFUNCTION("IFERROR(sum(filter('Основной эфир'!$AA:$AA, 'Основной эфир'!$B:$B=$A26,'Основной эфир'!$C:$C=$B26,'Основной эфир'!$I:$I=$C26)), 0) "),0.0)</f>
        <v>0</v>
      </c>
      <c r="E26" s="91">
        <f>IFERROR(__xludf.DUMMYFUNCTION("IFERROR(sum(filter('Основной эфир'!$AC:$AC, 'Основной эфир'!$B:$B=$A26,'Основной эфир'!$C:$C=$B26,'Основной эфир'!$I:$I=$C26)), 0) "),0.0)</f>
        <v>0</v>
      </c>
      <c r="F26" s="91">
        <f>IFERROR(__xludf.DUMMYFUNCTION("IFERROR(sum(filter('Основной эфир'!$O:$O, 'Основной эфир'!$B:$B=$A26,'Основной эфир'!$C:$C=$B26,'Основной эфир'!$I:$I=$C26)), 0) "),0.0)</f>
        <v>0</v>
      </c>
      <c r="G26" s="91">
        <f>IFERROR(__xludf.DUMMYFUNCTION("IFERROR(sum(filter('Основной эфир'!$Q:$Q, 'Основной эфир'!$B:$B=$A26,'Основной эфир'!$C:$C=$B26,'Основной эфир'!$I:$I=$C26)), 0) "),0.0)</f>
        <v>0</v>
      </c>
      <c r="H26" s="91">
        <f>IFERROR(__xludf.DUMMYFUNCTION("IFERROR(AVERAGE(filter('Основной эфир'!$Y:$Y, 'Основной эфир'!$B:$B=$A26,'Основной эфир'!$C:$C=$B26,'Основной эфир'!$I:$I=$C26)), 0) "),0.0)</f>
        <v>0</v>
      </c>
      <c r="I26" s="91">
        <f>IFERROR(__xludf.DUMMYFUNCTION("IFERROR(AVERAGE(filter('Основной эфир'!$AE:$AE, 'Основной эфир'!$B:$B=$A26,'Основной эфир'!$C:$C=$B26,'Основной эфир'!$I:$I=$C26)), 0) "),0.0)</f>
        <v>0</v>
      </c>
      <c r="J26" s="91">
        <f>IFERROR(__xludf.DUMMYFUNCTION("IFERROR(SUM(filter('Основной эфир'!$AL:$AL, 'Основной эфир'!$B:$B=$A26,'Основной эфир'!$C:$C=$B26,'Основной эфир'!$I:$I=$C26)), 0) "),0.0)</f>
        <v>0</v>
      </c>
      <c r="K26" s="91" t="str">
        <f>IFERROR(__xludf.DUMMYFUNCTION("IFERROR(REGEXREPLACE(unique(filter('Основной эфир'!$A:$A, 'Основной эфир'!$B:$B=$A26,'Основной эфир'!$C:$C=$B26,'Основной эфир'!$I:$I=$C26)), ""\d+"", """"),"""")"),"")</f>
        <v/>
      </c>
      <c r="L26" s="91" t="str">
        <f>IFERROR(__xludf.DUMMYFUNCTION("IFERROR(unique(filter('Основной эфир'!$F:$F, 'Основной эфир'!$B:$B=$A26,'Основной эфир'!$C:$C=$B26,'Основной эфир'!$I:$I=$C26)),"""")"),"")</f>
        <v/>
      </c>
      <c r="M26" s="92" t="str">
        <f t="shared" si="1"/>
        <v/>
      </c>
      <c r="N26" s="93">
        <f>IFERROR(__xludf.DUMMYFUNCTION("IFERROR(SWITCH(lower(join("" "",L26:M26)),""а миллионник"", 62.5,""б миллионник"", 75,""а мск"", 50, ""б мск"", 62.5, ""a остальное"", 70, ""б остальное"", 80)/100,0)"),0.0)</f>
        <v>0</v>
      </c>
      <c r="O26" s="91">
        <f t="shared" si="2"/>
        <v>0</v>
      </c>
      <c r="P26" s="91">
        <f>IFERROR(__xludf.DUMMYFUNCTION("IFERROR(sum(filter('Генеральный баннер'!$O:$O, 'Генеральный баннер'!$B:$B=$A26,'Генеральный баннер'!$C:$C=$B26,'Генеральный баннер'!$I:$I=$C26)), 0) "),0.0)</f>
        <v>0</v>
      </c>
      <c r="Q26" s="91">
        <f>IFERROR(__xludf.DUMMYFUNCTION("IFERROR(sum(filter('Генеральный баннер'!$Q:$Q, 'Генеральный баннер'!$B:$B=$A26,'Генеральный баннер'!$C:$C=$B26,'Генеральный баннер'!$I:$I=$C26)), 0) "),0.0)</f>
        <v>0</v>
      </c>
      <c r="R26" s="91">
        <f>IFERROR(__xludf.DUMMYFUNCTION("IFERROR(AVERAGE(filter('Генеральный баннер'!$AA:$AA, 'Генеральный баннер'!$B:$B=$A26,'Генеральный баннер'!$C:$C=$B26,'Генеральный баннер'!$I:$I=$C26)), 0) "),0.0)</f>
        <v>0</v>
      </c>
      <c r="S26" s="91">
        <f>IFERROR(__xludf.DUMMYFUNCTION("IFERROR(SUM(filter('Генеральный баннер'!$AH:$AH, 'Генеральный баннер'!$B:$B=$A26,'Генеральный баннер'!$C:$C=$B26,'Генеральный баннер'!$I:$I=$C26)), 0) "),0.0)</f>
        <v>0</v>
      </c>
      <c r="T26" s="91" t="str">
        <f>IFERROR(__xludf.DUMMYFUNCTION("IFERROR(REGEXREPLACE(unique(filter('Генеральный баннер'!$A:$A, 'Генеральный баннер'!$B:$B=$A26,'Генеральный баннер'!$C:$C=$B26,'Генеральный баннер'!$I:$I=$C26)), ""\d+"", """"),"""")"),"")</f>
        <v/>
      </c>
      <c r="U26" s="91" t="str">
        <f>IFERROR(__xludf.DUMMYFUNCTION("IFERROR(unique(filter('Генеральный баннер'!$F:$F, 'Генеральный баннер'!$B:$B=$A26,'Генеральный баннер'!$C:$C=$B26,'Генеральный баннер'!$I:$I=$C26)),"""")"),"")</f>
        <v/>
      </c>
      <c r="V26" s="92" t="str">
        <f t="shared" si="3"/>
        <v/>
      </c>
      <c r="W26" s="93">
        <f>IFERROR(__xludf.DUMMYFUNCTION("IFERROR(SWITCH(lower(join("" "",U26:V26)),""а миллионник"", 62.5,""б миллионник"", 75,""а мск"", 50, ""б мск"", 62.5, ""a остальное"", 70, ""б остальное"", 80)/100,0)"),0.0)</f>
        <v>0</v>
      </c>
      <c r="X26" s="91">
        <f t="shared" si="4"/>
        <v>0</v>
      </c>
    </row>
    <row r="27">
      <c r="A27" s="90"/>
      <c r="B27" s="90"/>
      <c r="C27" s="90"/>
      <c r="D27" s="91">
        <f>IFERROR(__xludf.DUMMYFUNCTION("IFERROR(sum(filter('Основной эфир'!$AA:$AA, 'Основной эфир'!$B:$B=$A27,'Основной эфир'!$C:$C=$B27,'Основной эфир'!$I:$I=$C27)), 0) "),0.0)</f>
        <v>0</v>
      </c>
      <c r="E27" s="91">
        <f>IFERROR(__xludf.DUMMYFUNCTION("IFERROR(sum(filter('Основной эфир'!$AC:$AC, 'Основной эфир'!$B:$B=$A27,'Основной эфир'!$C:$C=$B27,'Основной эфир'!$I:$I=$C27)), 0) "),0.0)</f>
        <v>0</v>
      </c>
      <c r="F27" s="91">
        <f>IFERROR(__xludf.DUMMYFUNCTION("IFERROR(sum(filter('Основной эфир'!$O:$O, 'Основной эфир'!$B:$B=$A27,'Основной эфир'!$C:$C=$B27,'Основной эфир'!$I:$I=$C27)), 0) "),0.0)</f>
        <v>0</v>
      </c>
      <c r="G27" s="91">
        <f>IFERROR(__xludf.DUMMYFUNCTION("IFERROR(sum(filter('Основной эфир'!$Q:$Q, 'Основной эфир'!$B:$B=$A27,'Основной эфир'!$C:$C=$B27,'Основной эфир'!$I:$I=$C27)), 0) "),0.0)</f>
        <v>0</v>
      </c>
      <c r="H27" s="91">
        <f>IFERROR(__xludf.DUMMYFUNCTION("IFERROR(AVERAGE(filter('Основной эфир'!$Y:$Y, 'Основной эфир'!$B:$B=$A27,'Основной эфир'!$C:$C=$B27,'Основной эфир'!$I:$I=$C27)), 0) "),0.0)</f>
        <v>0</v>
      </c>
      <c r="I27" s="91">
        <f>IFERROR(__xludf.DUMMYFUNCTION("IFERROR(AVERAGE(filter('Основной эфир'!$AE:$AE, 'Основной эфир'!$B:$B=$A27,'Основной эфир'!$C:$C=$B27,'Основной эфир'!$I:$I=$C27)), 0) "),0.0)</f>
        <v>0</v>
      </c>
      <c r="J27" s="91">
        <f>IFERROR(__xludf.DUMMYFUNCTION("IFERROR(SUM(filter('Основной эфир'!$AL:$AL, 'Основной эфир'!$B:$B=$A27,'Основной эфир'!$C:$C=$B27,'Основной эфир'!$I:$I=$C27)), 0) "),0.0)</f>
        <v>0</v>
      </c>
      <c r="K27" s="91" t="str">
        <f>IFERROR(__xludf.DUMMYFUNCTION("IFERROR(REGEXREPLACE(unique(filter('Основной эфир'!$A:$A, 'Основной эфир'!$B:$B=$A27,'Основной эфир'!$C:$C=$B27,'Основной эфир'!$I:$I=$C27)), ""\d+"", """"),"""")"),"")</f>
        <v/>
      </c>
      <c r="L27" s="91" t="str">
        <f>IFERROR(__xludf.DUMMYFUNCTION("IFERROR(unique(filter('Основной эфир'!$F:$F, 'Основной эфир'!$B:$B=$A27,'Основной эфир'!$C:$C=$B27,'Основной эфир'!$I:$I=$C27)),"""")"),"")</f>
        <v/>
      </c>
      <c r="M27" s="92" t="str">
        <f t="shared" si="1"/>
        <v/>
      </c>
      <c r="N27" s="93">
        <f>IFERROR(__xludf.DUMMYFUNCTION("IFERROR(SWITCH(lower(join("" "",L27:M27)),""а миллионник"", 62.5,""б миллионник"", 75,""а мск"", 50, ""б мск"", 62.5, ""a остальное"", 70, ""б остальное"", 80)/100,0)"),0.0)</f>
        <v>0</v>
      </c>
      <c r="O27" s="91">
        <f t="shared" si="2"/>
        <v>0</v>
      </c>
      <c r="P27" s="91">
        <f>IFERROR(__xludf.DUMMYFUNCTION("IFERROR(sum(filter('Генеральный баннер'!$O:$O, 'Генеральный баннер'!$B:$B=$A27,'Генеральный баннер'!$C:$C=$B27,'Генеральный баннер'!$I:$I=$C27)), 0) "),0.0)</f>
        <v>0</v>
      </c>
      <c r="Q27" s="91">
        <f>IFERROR(__xludf.DUMMYFUNCTION("IFERROR(sum(filter('Генеральный баннер'!$Q:$Q, 'Генеральный баннер'!$B:$B=$A27,'Генеральный баннер'!$C:$C=$B27,'Генеральный баннер'!$I:$I=$C27)), 0) "),0.0)</f>
        <v>0</v>
      </c>
      <c r="R27" s="91">
        <f>IFERROR(__xludf.DUMMYFUNCTION("IFERROR(AVERAGE(filter('Генеральный баннер'!$AA:$AA, 'Генеральный баннер'!$B:$B=$A27,'Генеральный баннер'!$C:$C=$B27,'Генеральный баннер'!$I:$I=$C27)), 0) "),0.0)</f>
        <v>0</v>
      </c>
      <c r="S27" s="91">
        <f>IFERROR(__xludf.DUMMYFUNCTION("IFERROR(SUM(filter('Генеральный баннер'!$AH:$AH, 'Генеральный баннер'!$B:$B=$A27,'Генеральный баннер'!$C:$C=$B27,'Генеральный баннер'!$I:$I=$C27)), 0) "),0.0)</f>
        <v>0</v>
      </c>
      <c r="T27" s="91" t="str">
        <f>IFERROR(__xludf.DUMMYFUNCTION("IFERROR(REGEXREPLACE(unique(filter('Генеральный баннер'!$A:$A, 'Генеральный баннер'!$B:$B=$A27,'Генеральный баннер'!$C:$C=$B27,'Генеральный баннер'!$I:$I=$C27)), ""\d+"", """"),"""")"),"")</f>
        <v/>
      </c>
      <c r="U27" s="91" t="str">
        <f>IFERROR(__xludf.DUMMYFUNCTION("IFERROR(unique(filter('Генеральный баннер'!$F:$F, 'Генеральный баннер'!$B:$B=$A27,'Генеральный баннер'!$C:$C=$B27,'Генеральный баннер'!$I:$I=$C27)),"""")"),"")</f>
        <v/>
      </c>
      <c r="V27" s="92" t="str">
        <f t="shared" si="3"/>
        <v/>
      </c>
      <c r="W27" s="93">
        <f>IFERROR(__xludf.DUMMYFUNCTION("IFERROR(SWITCH(lower(join("" "",U27:V27)),""а миллионник"", 62.5,""б миллионник"", 75,""а мск"", 50, ""б мск"", 62.5, ""a остальное"", 70, ""б остальное"", 80)/100,0)"),0.0)</f>
        <v>0</v>
      </c>
      <c r="X27" s="91">
        <f t="shared" si="4"/>
        <v>0</v>
      </c>
    </row>
    <row r="28">
      <c r="A28" s="90"/>
      <c r="B28" s="90"/>
      <c r="C28" s="90"/>
      <c r="D28" s="91">
        <f>IFERROR(__xludf.DUMMYFUNCTION("IFERROR(sum(filter('Основной эфир'!$AA:$AA, 'Основной эфир'!$B:$B=$A28,'Основной эфир'!$C:$C=$B28,'Основной эфир'!$I:$I=$C28)), 0) "),0.0)</f>
        <v>0</v>
      </c>
      <c r="E28" s="91">
        <f>IFERROR(__xludf.DUMMYFUNCTION("IFERROR(sum(filter('Основной эфир'!$AC:$AC, 'Основной эфир'!$B:$B=$A28,'Основной эфир'!$C:$C=$B28,'Основной эфир'!$I:$I=$C28)), 0) "),0.0)</f>
        <v>0</v>
      </c>
      <c r="F28" s="91">
        <f>IFERROR(__xludf.DUMMYFUNCTION("IFERROR(sum(filter('Основной эфир'!$O:$O, 'Основной эфир'!$B:$B=$A28,'Основной эфир'!$C:$C=$B28,'Основной эфир'!$I:$I=$C28)), 0) "),0.0)</f>
        <v>0</v>
      </c>
      <c r="G28" s="91">
        <f>IFERROR(__xludf.DUMMYFUNCTION("IFERROR(sum(filter('Основной эфир'!$Q:$Q, 'Основной эфир'!$B:$B=$A28,'Основной эфир'!$C:$C=$B28,'Основной эфир'!$I:$I=$C28)), 0) "),0.0)</f>
        <v>0</v>
      </c>
      <c r="H28" s="91">
        <f>IFERROR(__xludf.DUMMYFUNCTION("IFERROR(AVERAGE(filter('Основной эфир'!$Y:$Y, 'Основной эфир'!$B:$B=$A28,'Основной эфир'!$C:$C=$B28,'Основной эфир'!$I:$I=$C28)), 0) "),0.0)</f>
        <v>0</v>
      </c>
      <c r="I28" s="91">
        <f>IFERROR(__xludf.DUMMYFUNCTION("IFERROR(AVERAGE(filter('Основной эфир'!$AE:$AE, 'Основной эфир'!$B:$B=$A28,'Основной эфир'!$C:$C=$B28,'Основной эфир'!$I:$I=$C28)), 0) "),0.0)</f>
        <v>0</v>
      </c>
      <c r="J28" s="91">
        <f>IFERROR(__xludf.DUMMYFUNCTION("IFERROR(SUM(filter('Основной эфир'!$AL:$AL, 'Основной эфир'!$B:$B=$A28,'Основной эфир'!$C:$C=$B28,'Основной эфир'!$I:$I=$C28)), 0) "),0.0)</f>
        <v>0</v>
      </c>
      <c r="K28" s="91" t="str">
        <f>IFERROR(__xludf.DUMMYFUNCTION("IFERROR(REGEXREPLACE(unique(filter('Основной эфир'!$A:$A, 'Основной эфир'!$B:$B=$A28,'Основной эфир'!$C:$C=$B28,'Основной эфир'!$I:$I=$C28)), ""\d+"", """"),"""")"),"")</f>
        <v/>
      </c>
      <c r="L28" s="91" t="str">
        <f>IFERROR(__xludf.DUMMYFUNCTION("IFERROR(unique(filter('Основной эфир'!$F:$F, 'Основной эфир'!$B:$B=$A28,'Основной эфир'!$C:$C=$B28,'Основной эфир'!$I:$I=$C28)),"""")"),"")</f>
        <v/>
      </c>
      <c r="M28" s="92" t="str">
        <f t="shared" si="1"/>
        <v/>
      </c>
      <c r="N28" s="93">
        <f>IFERROR(__xludf.DUMMYFUNCTION("IFERROR(SWITCH(lower(join("" "",L28:M28)),""а миллионник"", 62.5,""б миллионник"", 75,""а мск"", 50, ""б мск"", 62.5, ""a остальное"", 70, ""б остальное"", 80)/100,0)"),0.0)</f>
        <v>0</v>
      </c>
      <c r="O28" s="91">
        <f t="shared" si="2"/>
        <v>0</v>
      </c>
      <c r="P28" s="91">
        <f>IFERROR(__xludf.DUMMYFUNCTION("IFERROR(sum(filter('Генеральный баннер'!$O:$O, 'Генеральный баннер'!$B:$B=$A28,'Генеральный баннер'!$C:$C=$B28,'Генеральный баннер'!$I:$I=$C28)), 0) "),0.0)</f>
        <v>0</v>
      </c>
      <c r="Q28" s="91">
        <f>IFERROR(__xludf.DUMMYFUNCTION("IFERROR(sum(filter('Генеральный баннер'!$Q:$Q, 'Генеральный баннер'!$B:$B=$A28,'Генеральный баннер'!$C:$C=$B28,'Генеральный баннер'!$I:$I=$C28)), 0) "),0.0)</f>
        <v>0</v>
      </c>
      <c r="R28" s="91">
        <f>IFERROR(__xludf.DUMMYFUNCTION("IFERROR(AVERAGE(filter('Генеральный баннер'!$AA:$AA, 'Генеральный баннер'!$B:$B=$A28,'Генеральный баннер'!$C:$C=$B28,'Генеральный баннер'!$I:$I=$C28)), 0) "),0.0)</f>
        <v>0</v>
      </c>
      <c r="S28" s="91">
        <f>IFERROR(__xludf.DUMMYFUNCTION("IFERROR(SUM(filter('Генеральный баннер'!$AH:$AH, 'Генеральный баннер'!$B:$B=$A28,'Генеральный баннер'!$C:$C=$B28,'Генеральный баннер'!$I:$I=$C28)), 0) "),0.0)</f>
        <v>0</v>
      </c>
      <c r="T28" s="91" t="str">
        <f>IFERROR(__xludf.DUMMYFUNCTION("IFERROR(REGEXREPLACE(unique(filter('Генеральный баннер'!$A:$A, 'Генеральный баннер'!$B:$B=$A28,'Генеральный баннер'!$C:$C=$B28,'Генеральный баннер'!$I:$I=$C28)), ""\d+"", """"),"""")"),"")</f>
        <v/>
      </c>
      <c r="U28" s="91" t="str">
        <f>IFERROR(__xludf.DUMMYFUNCTION("IFERROR(unique(filter('Генеральный баннер'!$F:$F, 'Генеральный баннер'!$B:$B=$A28,'Генеральный баннер'!$C:$C=$B28,'Генеральный баннер'!$I:$I=$C28)),"""")"),"")</f>
        <v/>
      </c>
      <c r="V28" s="92" t="str">
        <f t="shared" si="3"/>
        <v/>
      </c>
      <c r="W28" s="93">
        <f>IFERROR(__xludf.DUMMYFUNCTION("IFERROR(SWITCH(lower(join("" "",U28:V28)),""а миллионник"", 62.5,""б миллионник"", 75,""а мск"", 50, ""б мск"", 62.5, ""a остальное"", 70, ""б остальное"", 80)/100,0)"),0.0)</f>
        <v>0</v>
      </c>
      <c r="X28" s="91">
        <f t="shared" si="4"/>
        <v>0</v>
      </c>
    </row>
    <row r="29">
      <c r="A29" s="90"/>
      <c r="B29" s="90"/>
      <c r="C29" s="90"/>
      <c r="D29" s="91">
        <f>IFERROR(__xludf.DUMMYFUNCTION("IFERROR(sum(filter('Основной эфир'!$AA:$AA, 'Основной эфир'!$B:$B=$A29,'Основной эфир'!$C:$C=$B29,'Основной эфир'!$I:$I=$C29)), 0) "),0.0)</f>
        <v>0</v>
      </c>
      <c r="E29" s="91">
        <f>IFERROR(__xludf.DUMMYFUNCTION("IFERROR(sum(filter('Основной эфир'!$AC:$AC, 'Основной эфир'!$B:$B=$A29,'Основной эфир'!$C:$C=$B29,'Основной эфир'!$I:$I=$C29)), 0) "),0.0)</f>
        <v>0</v>
      </c>
      <c r="F29" s="91">
        <f>IFERROR(__xludf.DUMMYFUNCTION("IFERROR(sum(filter('Основной эфир'!$O:$O, 'Основной эфир'!$B:$B=$A29,'Основной эфир'!$C:$C=$B29,'Основной эфир'!$I:$I=$C29)), 0) "),0.0)</f>
        <v>0</v>
      </c>
      <c r="G29" s="91">
        <f>IFERROR(__xludf.DUMMYFUNCTION("IFERROR(sum(filter('Основной эфир'!$Q:$Q, 'Основной эфир'!$B:$B=$A29,'Основной эфир'!$C:$C=$B29,'Основной эфир'!$I:$I=$C29)), 0) "),0.0)</f>
        <v>0</v>
      </c>
      <c r="H29" s="91">
        <f>IFERROR(__xludf.DUMMYFUNCTION("IFERROR(AVERAGE(filter('Основной эфир'!$Y:$Y, 'Основной эфир'!$B:$B=$A29,'Основной эфир'!$C:$C=$B29,'Основной эфир'!$I:$I=$C29)), 0) "),0.0)</f>
        <v>0</v>
      </c>
      <c r="I29" s="91">
        <f>IFERROR(__xludf.DUMMYFUNCTION("IFERROR(AVERAGE(filter('Основной эфир'!$AE:$AE, 'Основной эфир'!$B:$B=$A29,'Основной эфир'!$C:$C=$B29,'Основной эфир'!$I:$I=$C29)), 0) "),0.0)</f>
        <v>0</v>
      </c>
      <c r="J29" s="91">
        <f>IFERROR(__xludf.DUMMYFUNCTION("IFERROR(SUM(filter('Основной эфир'!$AL:$AL, 'Основной эфир'!$B:$B=$A29,'Основной эфир'!$C:$C=$B29,'Основной эфир'!$I:$I=$C29)), 0) "),0.0)</f>
        <v>0</v>
      </c>
      <c r="K29" s="91" t="str">
        <f>IFERROR(__xludf.DUMMYFUNCTION("IFERROR(REGEXREPLACE(unique(filter('Основной эфир'!$A:$A, 'Основной эфир'!$B:$B=$A29,'Основной эфир'!$C:$C=$B29,'Основной эфир'!$I:$I=$C29)), ""\d+"", """"),"""")"),"")</f>
        <v/>
      </c>
      <c r="L29" s="91" t="str">
        <f>IFERROR(__xludf.DUMMYFUNCTION("IFERROR(unique(filter('Основной эфир'!$F:$F, 'Основной эфир'!$B:$B=$A29,'Основной эфир'!$C:$C=$B29,'Основной эфир'!$I:$I=$C29)),"""")"),"")</f>
        <v/>
      </c>
      <c r="M29" s="92" t="str">
        <f t="shared" si="1"/>
        <v/>
      </c>
      <c r="N29" s="93">
        <f>IFERROR(__xludf.DUMMYFUNCTION("IFERROR(SWITCH(lower(join("" "",L29:M29)),""а миллионник"", 62.5,""б миллионник"", 75,""а мск"", 50, ""б мск"", 62.5, ""a остальное"", 70, ""б остальное"", 80)/100,0)"),0.0)</f>
        <v>0</v>
      </c>
      <c r="O29" s="91">
        <f t="shared" si="2"/>
        <v>0</v>
      </c>
      <c r="P29" s="91">
        <f>IFERROR(__xludf.DUMMYFUNCTION("IFERROR(sum(filter('Генеральный баннер'!$O:$O, 'Генеральный баннер'!$B:$B=$A29,'Генеральный баннер'!$C:$C=$B29,'Генеральный баннер'!$I:$I=$C29)), 0) "),0.0)</f>
        <v>0</v>
      </c>
      <c r="Q29" s="91">
        <f>IFERROR(__xludf.DUMMYFUNCTION("IFERROR(sum(filter('Генеральный баннер'!$Q:$Q, 'Генеральный баннер'!$B:$B=$A29,'Генеральный баннер'!$C:$C=$B29,'Генеральный баннер'!$I:$I=$C29)), 0) "),0.0)</f>
        <v>0</v>
      </c>
      <c r="R29" s="91">
        <f>IFERROR(__xludf.DUMMYFUNCTION("IFERROR(AVERAGE(filter('Генеральный баннер'!$AA:$AA, 'Генеральный баннер'!$B:$B=$A29,'Генеральный баннер'!$C:$C=$B29,'Генеральный баннер'!$I:$I=$C29)), 0) "),0.0)</f>
        <v>0</v>
      </c>
      <c r="S29" s="91">
        <f>IFERROR(__xludf.DUMMYFUNCTION("IFERROR(SUM(filter('Генеральный баннер'!$AH:$AH, 'Генеральный баннер'!$B:$B=$A29,'Генеральный баннер'!$C:$C=$B29,'Генеральный баннер'!$I:$I=$C29)), 0) "),0.0)</f>
        <v>0</v>
      </c>
      <c r="T29" s="91" t="str">
        <f>IFERROR(__xludf.DUMMYFUNCTION("IFERROR(REGEXREPLACE(unique(filter('Генеральный баннер'!$A:$A, 'Генеральный баннер'!$B:$B=$A29,'Генеральный баннер'!$C:$C=$B29,'Генеральный баннер'!$I:$I=$C29)), ""\d+"", """"),"""")"),"")</f>
        <v/>
      </c>
      <c r="U29" s="91" t="str">
        <f>IFERROR(__xludf.DUMMYFUNCTION("IFERROR(unique(filter('Генеральный баннер'!$F:$F, 'Генеральный баннер'!$B:$B=$A29,'Генеральный баннер'!$C:$C=$B29,'Генеральный баннер'!$I:$I=$C29)),"""")"),"")</f>
        <v/>
      </c>
      <c r="V29" s="92" t="str">
        <f t="shared" si="3"/>
        <v/>
      </c>
      <c r="W29" s="93">
        <f>IFERROR(__xludf.DUMMYFUNCTION("IFERROR(SWITCH(lower(join("" "",U29:V29)),""а миллионник"", 62.5,""б миллионник"", 75,""а мск"", 50, ""б мск"", 62.5, ""a остальное"", 70, ""б остальное"", 80)/100,0)"),0.0)</f>
        <v>0</v>
      </c>
      <c r="X29" s="91">
        <f t="shared" si="4"/>
        <v>0</v>
      </c>
    </row>
    <row r="30">
      <c r="A30" s="90"/>
      <c r="B30" s="90"/>
      <c r="C30" s="90"/>
      <c r="D30" s="91">
        <f>IFERROR(__xludf.DUMMYFUNCTION("IFERROR(sum(filter('Основной эфир'!$AA:$AA, 'Основной эфир'!$B:$B=$A30,'Основной эфир'!$C:$C=$B30,'Основной эфир'!$I:$I=$C30)), 0) "),0.0)</f>
        <v>0</v>
      </c>
      <c r="E30" s="91">
        <f>IFERROR(__xludf.DUMMYFUNCTION("IFERROR(sum(filter('Основной эфир'!$AC:$AC, 'Основной эфир'!$B:$B=$A30,'Основной эфир'!$C:$C=$B30,'Основной эфир'!$I:$I=$C30)), 0) "),0.0)</f>
        <v>0</v>
      </c>
      <c r="F30" s="91">
        <f>IFERROR(__xludf.DUMMYFUNCTION("IFERROR(sum(filter('Основной эфир'!$O:$O, 'Основной эфир'!$B:$B=$A30,'Основной эфир'!$C:$C=$B30,'Основной эфир'!$I:$I=$C30)), 0) "),0.0)</f>
        <v>0</v>
      </c>
      <c r="G30" s="91">
        <f>IFERROR(__xludf.DUMMYFUNCTION("IFERROR(sum(filter('Основной эфир'!$Q:$Q, 'Основной эфир'!$B:$B=$A30,'Основной эфир'!$C:$C=$B30,'Основной эфир'!$I:$I=$C30)), 0) "),0.0)</f>
        <v>0</v>
      </c>
      <c r="H30" s="91">
        <f>IFERROR(__xludf.DUMMYFUNCTION("IFERROR(AVERAGE(filter('Основной эфир'!$Y:$Y, 'Основной эфир'!$B:$B=$A30,'Основной эфир'!$C:$C=$B30,'Основной эфир'!$I:$I=$C30)), 0) "),0.0)</f>
        <v>0</v>
      </c>
      <c r="I30" s="91">
        <f>IFERROR(__xludf.DUMMYFUNCTION("IFERROR(AVERAGE(filter('Основной эфир'!$AE:$AE, 'Основной эфир'!$B:$B=$A30,'Основной эфир'!$C:$C=$B30,'Основной эфир'!$I:$I=$C30)), 0) "),0.0)</f>
        <v>0</v>
      </c>
      <c r="J30" s="91">
        <f>IFERROR(__xludf.DUMMYFUNCTION("IFERROR(SUM(filter('Основной эфир'!$AL:$AL, 'Основной эфир'!$B:$B=$A30,'Основной эфир'!$C:$C=$B30,'Основной эфир'!$I:$I=$C30)), 0) "),0.0)</f>
        <v>0</v>
      </c>
      <c r="K30" s="91" t="str">
        <f>IFERROR(__xludf.DUMMYFUNCTION("IFERROR(REGEXREPLACE(unique(filter('Основной эфир'!$A:$A, 'Основной эфир'!$B:$B=$A30,'Основной эфир'!$C:$C=$B30,'Основной эфир'!$I:$I=$C30)), ""\d+"", """"),"""")"),"")</f>
        <v/>
      </c>
      <c r="L30" s="91" t="str">
        <f>IFERROR(__xludf.DUMMYFUNCTION("IFERROR(unique(filter('Основной эфир'!$F:$F, 'Основной эфир'!$B:$B=$A30,'Основной эфир'!$C:$C=$B30,'Основной эфир'!$I:$I=$C30)),"""")"),"")</f>
        <v/>
      </c>
      <c r="M30" s="92" t="str">
        <f t="shared" si="1"/>
        <v/>
      </c>
      <c r="N30" s="93">
        <f>IFERROR(__xludf.DUMMYFUNCTION("IFERROR(SWITCH(lower(join("" "",L30:M30)),""а миллионник"", 62.5,""б миллионник"", 75,""а мск"", 50, ""б мск"", 62.5, ""a остальное"", 70, ""б остальное"", 80)/100,0)"),0.0)</f>
        <v>0</v>
      </c>
      <c r="O30" s="91">
        <f t="shared" si="2"/>
        <v>0</v>
      </c>
      <c r="P30" s="91">
        <f>IFERROR(__xludf.DUMMYFUNCTION("IFERROR(sum(filter('Генеральный баннер'!$O:$O, 'Генеральный баннер'!$B:$B=$A30,'Генеральный баннер'!$C:$C=$B30,'Генеральный баннер'!$I:$I=$C30)), 0) "),0.0)</f>
        <v>0</v>
      </c>
      <c r="Q30" s="91">
        <f>IFERROR(__xludf.DUMMYFUNCTION("IFERROR(sum(filter('Генеральный баннер'!$Q:$Q, 'Генеральный баннер'!$B:$B=$A30,'Генеральный баннер'!$C:$C=$B30,'Генеральный баннер'!$I:$I=$C30)), 0) "),0.0)</f>
        <v>0</v>
      </c>
      <c r="R30" s="91">
        <f>IFERROR(__xludf.DUMMYFUNCTION("IFERROR(AVERAGE(filter('Генеральный баннер'!$AA:$AA, 'Генеральный баннер'!$B:$B=$A30,'Генеральный баннер'!$C:$C=$B30,'Генеральный баннер'!$I:$I=$C30)), 0) "),0.0)</f>
        <v>0</v>
      </c>
      <c r="S30" s="91">
        <f>IFERROR(__xludf.DUMMYFUNCTION("IFERROR(SUM(filter('Генеральный баннер'!$AH:$AH, 'Генеральный баннер'!$B:$B=$A30,'Генеральный баннер'!$C:$C=$B30,'Генеральный баннер'!$I:$I=$C30)), 0) "),0.0)</f>
        <v>0</v>
      </c>
      <c r="T30" s="91" t="str">
        <f>IFERROR(__xludf.DUMMYFUNCTION("IFERROR(REGEXREPLACE(unique(filter('Генеральный баннер'!$A:$A, 'Генеральный баннер'!$B:$B=$A30,'Генеральный баннер'!$C:$C=$B30,'Генеральный баннер'!$I:$I=$C30)), ""\d+"", """"),"""")"),"")</f>
        <v/>
      </c>
      <c r="U30" s="91" t="str">
        <f>IFERROR(__xludf.DUMMYFUNCTION("IFERROR(unique(filter('Генеральный баннер'!$F:$F, 'Генеральный баннер'!$B:$B=$A30,'Генеральный баннер'!$C:$C=$B30,'Генеральный баннер'!$I:$I=$C30)),"""")"),"")</f>
        <v/>
      </c>
      <c r="V30" s="92" t="str">
        <f t="shared" si="3"/>
        <v/>
      </c>
      <c r="W30" s="93">
        <f>IFERROR(__xludf.DUMMYFUNCTION("IFERROR(SWITCH(lower(join("" "",U30:V30)),""а миллионник"", 62.5,""б миллионник"", 75,""а мск"", 50, ""б мск"", 62.5, ""a остальное"", 70, ""б остальное"", 80)/100,0)"),0.0)</f>
        <v>0</v>
      </c>
      <c r="X30" s="91">
        <f t="shared" si="4"/>
        <v>0</v>
      </c>
    </row>
    <row r="31">
      <c r="A31" s="90"/>
      <c r="B31" s="90"/>
      <c r="C31" s="90"/>
      <c r="D31" s="91">
        <f>IFERROR(__xludf.DUMMYFUNCTION("IFERROR(sum(filter('Основной эфир'!$AA:$AA, 'Основной эфир'!$B:$B=$A31,'Основной эфир'!$C:$C=$B31,'Основной эфир'!$I:$I=$C31)), 0) "),0.0)</f>
        <v>0</v>
      </c>
      <c r="E31" s="91">
        <f>IFERROR(__xludf.DUMMYFUNCTION("IFERROR(sum(filter('Основной эфир'!$AC:$AC, 'Основной эфир'!$B:$B=$A31,'Основной эфир'!$C:$C=$B31,'Основной эфир'!$I:$I=$C31)), 0) "),0.0)</f>
        <v>0</v>
      </c>
      <c r="F31" s="91">
        <f>IFERROR(__xludf.DUMMYFUNCTION("IFERROR(sum(filter('Основной эфир'!$O:$O, 'Основной эфир'!$B:$B=$A31,'Основной эфир'!$C:$C=$B31,'Основной эфир'!$I:$I=$C31)), 0) "),0.0)</f>
        <v>0</v>
      </c>
      <c r="G31" s="91">
        <f>IFERROR(__xludf.DUMMYFUNCTION("IFERROR(sum(filter('Основной эфир'!$Q:$Q, 'Основной эфир'!$B:$B=$A31,'Основной эфир'!$C:$C=$B31,'Основной эфир'!$I:$I=$C31)), 0) "),0.0)</f>
        <v>0</v>
      </c>
      <c r="H31" s="91">
        <f>IFERROR(__xludf.DUMMYFUNCTION("IFERROR(AVERAGE(filter('Основной эфир'!$Y:$Y, 'Основной эфир'!$B:$B=$A31,'Основной эфир'!$C:$C=$B31,'Основной эфир'!$I:$I=$C31)), 0) "),0.0)</f>
        <v>0</v>
      </c>
      <c r="I31" s="91">
        <f>IFERROR(__xludf.DUMMYFUNCTION("IFERROR(AVERAGE(filter('Основной эфир'!$AE:$AE, 'Основной эфир'!$B:$B=$A31,'Основной эфир'!$C:$C=$B31,'Основной эфир'!$I:$I=$C31)), 0) "),0.0)</f>
        <v>0</v>
      </c>
      <c r="J31" s="91">
        <f>IFERROR(__xludf.DUMMYFUNCTION("IFERROR(SUM(filter('Основной эфир'!$AL:$AL, 'Основной эфир'!$B:$B=$A31,'Основной эфир'!$C:$C=$B31,'Основной эфир'!$I:$I=$C31)), 0) "),0.0)</f>
        <v>0</v>
      </c>
      <c r="K31" s="91" t="str">
        <f>IFERROR(__xludf.DUMMYFUNCTION("IFERROR(REGEXREPLACE(unique(filter('Основной эфир'!$A:$A, 'Основной эфир'!$B:$B=$A31,'Основной эфир'!$C:$C=$B31,'Основной эфир'!$I:$I=$C31)), ""\d+"", """"),"""")"),"")</f>
        <v/>
      </c>
      <c r="L31" s="91" t="str">
        <f>IFERROR(__xludf.DUMMYFUNCTION("IFERROR(unique(filter('Основной эфир'!$F:$F, 'Основной эфир'!$B:$B=$A31,'Основной эфир'!$C:$C=$B31,'Основной эфир'!$I:$I=$C31)),"""")"),"")</f>
        <v/>
      </c>
      <c r="M31" s="92" t="str">
        <f t="shared" si="1"/>
        <v/>
      </c>
      <c r="N31" s="93">
        <f>IFERROR(__xludf.DUMMYFUNCTION("IFERROR(SWITCH(lower(join("" "",L31:M31)),""а миллионник"", 62.5,""б миллионник"", 75,""а мск"", 50, ""б мск"", 62.5, ""a остальное"", 70, ""б остальное"", 80)/100,0)"),0.0)</f>
        <v>0</v>
      </c>
      <c r="O31" s="91">
        <f t="shared" si="2"/>
        <v>0</v>
      </c>
      <c r="P31" s="91">
        <f>IFERROR(__xludf.DUMMYFUNCTION("IFERROR(sum(filter('Генеральный баннер'!$O:$O, 'Генеральный баннер'!$B:$B=$A31,'Генеральный баннер'!$C:$C=$B31,'Генеральный баннер'!$I:$I=$C31)), 0) "),0.0)</f>
        <v>0</v>
      </c>
      <c r="Q31" s="91">
        <f>IFERROR(__xludf.DUMMYFUNCTION("IFERROR(sum(filter('Генеральный баннер'!$Q:$Q, 'Генеральный баннер'!$B:$B=$A31,'Генеральный баннер'!$C:$C=$B31,'Генеральный баннер'!$I:$I=$C31)), 0) "),0.0)</f>
        <v>0</v>
      </c>
      <c r="R31" s="91">
        <f>IFERROR(__xludf.DUMMYFUNCTION("IFERROR(AVERAGE(filter('Генеральный баннер'!$AA:$AA, 'Генеральный баннер'!$B:$B=$A31,'Генеральный баннер'!$C:$C=$B31,'Генеральный баннер'!$I:$I=$C31)), 0) "),0.0)</f>
        <v>0</v>
      </c>
      <c r="S31" s="91">
        <f>IFERROR(__xludf.DUMMYFUNCTION("IFERROR(SUM(filter('Генеральный баннер'!$AH:$AH, 'Генеральный баннер'!$B:$B=$A31,'Генеральный баннер'!$C:$C=$B31,'Генеральный баннер'!$I:$I=$C31)), 0) "),0.0)</f>
        <v>0</v>
      </c>
      <c r="T31" s="91" t="str">
        <f>IFERROR(__xludf.DUMMYFUNCTION("IFERROR(REGEXREPLACE(unique(filter('Генеральный баннер'!$A:$A, 'Генеральный баннер'!$B:$B=$A31,'Генеральный баннер'!$C:$C=$B31,'Генеральный баннер'!$I:$I=$C31)), ""\d+"", """"),"""")"),"")</f>
        <v/>
      </c>
      <c r="U31" s="91" t="str">
        <f>IFERROR(__xludf.DUMMYFUNCTION("IFERROR(unique(filter('Генеральный баннер'!$F:$F, 'Генеральный баннер'!$B:$B=$A31,'Генеральный баннер'!$C:$C=$B31,'Генеральный баннер'!$I:$I=$C31)),"""")"),"")</f>
        <v/>
      </c>
      <c r="V31" s="92" t="str">
        <f t="shared" si="3"/>
        <v/>
      </c>
      <c r="W31" s="93">
        <f>IFERROR(__xludf.DUMMYFUNCTION("IFERROR(SWITCH(lower(join("" "",U31:V31)),""а миллионник"", 62.5,""б миллионник"", 75,""а мск"", 50, ""б мск"", 62.5, ""a остальное"", 70, ""б остальное"", 80)/100,0)"),0.0)</f>
        <v>0</v>
      </c>
      <c r="X31" s="91">
        <f t="shared" si="4"/>
        <v>0</v>
      </c>
    </row>
    <row r="32">
      <c r="A32" s="90"/>
      <c r="B32" s="90"/>
      <c r="C32" s="90"/>
      <c r="D32" s="91">
        <f>IFERROR(__xludf.DUMMYFUNCTION("IFERROR(sum(filter('Основной эфир'!$AA:$AA, 'Основной эфир'!$B:$B=$A32,'Основной эфир'!$C:$C=$B32,'Основной эфир'!$I:$I=$C32)), 0) "),0.0)</f>
        <v>0</v>
      </c>
      <c r="E32" s="91">
        <f>IFERROR(__xludf.DUMMYFUNCTION("IFERROR(sum(filter('Основной эфир'!$AC:$AC, 'Основной эфир'!$B:$B=$A32,'Основной эфир'!$C:$C=$B32,'Основной эфир'!$I:$I=$C32)), 0) "),0.0)</f>
        <v>0</v>
      </c>
      <c r="F32" s="91">
        <f>IFERROR(__xludf.DUMMYFUNCTION("IFERROR(sum(filter('Основной эфир'!$O:$O, 'Основной эфир'!$B:$B=$A32,'Основной эфир'!$C:$C=$B32,'Основной эфир'!$I:$I=$C32)), 0) "),0.0)</f>
        <v>0</v>
      </c>
      <c r="G32" s="91">
        <f>IFERROR(__xludf.DUMMYFUNCTION("IFERROR(sum(filter('Основной эфир'!$Q:$Q, 'Основной эфир'!$B:$B=$A32,'Основной эфир'!$C:$C=$B32,'Основной эфир'!$I:$I=$C32)), 0) "),0.0)</f>
        <v>0</v>
      </c>
      <c r="H32" s="91">
        <f>IFERROR(__xludf.DUMMYFUNCTION("IFERROR(AVERAGE(filter('Основной эфир'!$Y:$Y, 'Основной эфир'!$B:$B=$A32,'Основной эфир'!$C:$C=$B32,'Основной эфир'!$I:$I=$C32)), 0) "),0.0)</f>
        <v>0</v>
      </c>
      <c r="I32" s="91">
        <f>IFERROR(__xludf.DUMMYFUNCTION("IFERROR(AVERAGE(filter('Основной эфир'!$AE:$AE, 'Основной эфир'!$B:$B=$A32,'Основной эфир'!$C:$C=$B32,'Основной эфир'!$I:$I=$C32)), 0) "),0.0)</f>
        <v>0</v>
      </c>
      <c r="J32" s="91">
        <f>IFERROR(__xludf.DUMMYFUNCTION("IFERROR(SUM(filter('Основной эфир'!$AL:$AL, 'Основной эфир'!$B:$B=$A32,'Основной эфир'!$C:$C=$B32,'Основной эфир'!$I:$I=$C32)), 0) "),0.0)</f>
        <v>0</v>
      </c>
      <c r="K32" s="91" t="str">
        <f>IFERROR(__xludf.DUMMYFUNCTION("IFERROR(REGEXREPLACE(unique(filter('Основной эфир'!$A:$A, 'Основной эфир'!$B:$B=$A32,'Основной эфир'!$C:$C=$B32,'Основной эфир'!$I:$I=$C32)), ""\d+"", """"),"""")"),"")</f>
        <v/>
      </c>
      <c r="L32" s="91" t="str">
        <f>IFERROR(__xludf.DUMMYFUNCTION("IFERROR(unique(filter('Основной эфир'!$F:$F, 'Основной эфир'!$B:$B=$A32,'Основной эфир'!$C:$C=$B32,'Основной эфир'!$I:$I=$C32)),"""")"),"")</f>
        <v/>
      </c>
      <c r="M32" s="92" t="str">
        <f t="shared" si="1"/>
        <v/>
      </c>
      <c r="N32" s="93">
        <f>IFERROR(__xludf.DUMMYFUNCTION("IFERROR(SWITCH(lower(join("" "",L32:M32)),""а миллионник"", 62.5,""б миллионник"", 75,""а мск"", 50, ""б мск"", 62.5, ""a остальное"", 70, ""б остальное"", 80)/100,0)"),0.0)</f>
        <v>0</v>
      </c>
      <c r="O32" s="91">
        <f t="shared" si="2"/>
        <v>0</v>
      </c>
      <c r="P32" s="91">
        <f>IFERROR(__xludf.DUMMYFUNCTION("IFERROR(sum(filter('Генеральный баннер'!$O:$O, 'Генеральный баннер'!$B:$B=$A32,'Генеральный баннер'!$C:$C=$B32,'Генеральный баннер'!$I:$I=$C32)), 0) "),0.0)</f>
        <v>0</v>
      </c>
      <c r="Q32" s="91">
        <f>IFERROR(__xludf.DUMMYFUNCTION("IFERROR(sum(filter('Генеральный баннер'!$Q:$Q, 'Генеральный баннер'!$B:$B=$A32,'Генеральный баннер'!$C:$C=$B32,'Генеральный баннер'!$I:$I=$C32)), 0) "),0.0)</f>
        <v>0</v>
      </c>
      <c r="R32" s="91">
        <f>IFERROR(__xludf.DUMMYFUNCTION("IFERROR(AVERAGE(filter('Генеральный баннер'!$AA:$AA, 'Генеральный баннер'!$B:$B=$A32,'Генеральный баннер'!$C:$C=$B32,'Генеральный баннер'!$I:$I=$C32)), 0) "),0.0)</f>
        <v>0</v>
      </c>
      <c r="S32" s="91">
        <f>IFERROR(__xludf.DUMMYFUNCTION("IFERROR(SUM(filter('Генеральный баннер'!$AH:$AH, 'Генеральный баннер'!$B:$B=$A32,'Генеральный баннер'!$C:$C=$B32,'Генеральный баннер'!$I:$I=$C32)), 0) "),0.0)</f>
        <v>0</v>
      </c>
      <c r="T32" s="91" t="str">
        <f>IFERROR(__xludf.DUMMYFUNCTION("IFERROR(REGEXREPLACE(unique(filter('Генеральный баннер'!$A:$A, 'Генеральный баннер'!$B:$B=$A32,'Генеральный баннер'!$C:$C=$B32,'Генеральный баннер'!$I:$I=$C32)), ""\d+"", """"),"""")"),"")</f>
        <v/>
      </c>
      <c r="U32" s="91" t="str">
        <f>IFERROR(__xludf.DUMMYFUNCTION("IFERROR(unique(filter('Генеральный баннер'!$F:$F, 'Генеральный баннер'!$B:$B=$A32,'Генеральный баннер'!$C:$C=$B32,'Генеральный баннер'!$I:$I=$C32)),"""")"),"")</f>
        <v/>
      </c>
      <c r="V32" s="92" t="str">
        <f t="shared" si="3"/>
        <v/>
      </c>
      <c r="W32" s="93">
        <f>IFERROR(__xludf.DUMMYFUNCTION("IFERROR(SWITCH(lower(join("" "",U32:V32)),""а миллионник"", 62.5,""б миллионник"", 75,""а мск"", 50, ""б мск"", 62.5, ""a остальное"", 70, ""б остальное"", 80)/100,0)"),0.0)</f>
        <v>0</v>
      </c>
      <c r="X32" s="91">
        <f t="shared" si="4"/>
        <v>0</v>
      </c>
    </row>
    <row r="33">
      <c r="A33" s="90"/>
      <c r="B33" s="90"/>
      <c r="C33" s="90"/>
      <c r="D33" s="91">
        <f>IFERROR(__xludf.DUMMYFUNCTION("IFERROR(sum(filter('Основной эфир'!$AA:$AA, 'Основной эфир'!$B:$B=$A33,'Основной эфир'!$C:$C=$B33,'Основной эфир'!$I:$I=$C33)), 0) "),0.0)</f>
        <v>0</v>
      </c>
      <c r="E33" s="91">
        <f>IFERROR(__xludf.DUMMYFUNCTION("IFERROR(sum(filter('Основной эфир'!$AC:$AC, 'Основной эфир'!$B:$B=$A33,'Основной эфир'!$C:$C=$B33,'Основной эфир'!$I:$I=$C33)), 0) "),0.0)</f>
        <v>0</v>
      </c>
      <c r="F33" s="91">
        <f>IFERROR(__xludf.DUMMYFUNCTION("IFERROR(sum(filter('Основной эфир'!$O:$O, 'Основной эфир'!$B:$B=$A33,'Основной эфир'!$C:$C=$B33,'Основной эфир'!$I:$I=$C33)), 0) "),0.0)</f>
        <v>0</v>
      </c>
      <c r="G33" s="91">
        <f>IFERROR(__xludf.DUMMYFUNCTION("IFERROR(sum(filter('Основной эфир'!$Q:$Q, 'Основной эфир'!$B:$B=$A33,'Основной эфир'!$C:$C=$B33,'Основной эфир'!$I:$I=$C33)), 0) "),0.0)</f>
        <v>0</v>
      </c>
      <c r="H33" s="91">
        <f>IFERROR(__xludf.DUMMYFUNCTION("IFERROR(AVERAGE(filter('Основной эфир'!$Y:$Y, 'Основной эфир'!$B:$B=$A33,'Основной эфир'!$C:$C=$B33,'Основной эфир'!$I:$I=$C33)), 0) "),0.0)</f>
        <v>0</v>
      </c>
      <c r="I33" s="91">
        <f>IFERROR(__xludf.DUMMYFUNCTION("IFERROR(AVERAGE(filter('Основной эфир'!$AE:$AE, 'Основной эфир'!$B:$B=$A33,'Основной эфир'!$C:$C=$B33,'Основной эфир'!$I:$I=$C33)), 0) "),0.0)</f>
        <v>0</v>
      </c>
      <c r="J33" s="91">
        <f>IFERROR(__xludf.DUMMYFUNCTION("IFERROR(SUM(filter('Основной эфир'!$AL:$AL, 'Основной эфир'!$B:$B=$A33,'Основной эфир'!$C:$C=$B33,'Основной эфир'!$I:$I=$C33)), 0) "),0.0)</f>
        <v>0</v>
      </c>
      <c r="K33" s="91" t="str">
        <f>IFERROR(__xludf.DUMMYFUNCTION("IFERROR(REGEXREPLACE(unique(filter('Основной эфир'!$A:$A, 'Основной эфир'!$B:$B=$A33,'Основной эфир'!$C:$C=$B33,'Основной эфир'!$I:$I=$C33)), ""\d+"", """"),"""")"),"")</f>
        <v/>
      </c>
      <c r="L33" s="91" t="str">
        <f>IFERROR(__xludf.DUMMYFUNCTION("IFERROR(unique(filter('Основной эфир'!$F:$F, 'Основной эфир'!$B:$B=$A33,'Основной эфир'!$C:$C=$B33,'Основной эфир'!$I:$I=$C33)),"""")"),"")</f>
        <v/>
      </c>
      <c r="M33" s="92" t="str">
        <f t="shared" si="1"/>
        <v/>
      </c>
      <c r="N33" s="93">
        <f>IFERROR(__xludf.DUMMYFUNCTION("IFERROR(SWITCH(lower(join("" "",L33:M33)),""а миллионник"", 62.5,""б миллионник"", 75,""а мск"", 50, ""б мск"", 62.5, ""a остальное"", 70, ""б остальное"", 80)/100,0)"),0.0)</f>
        <v>0</v>
      </c>
      <c r="O33" s="91">
        <f t="shared" si="2"/>
        <v>0</v>
      </c>
      <c r="P33" s="91">
        <f>IFERROR(__xludf.DUMMYFUNCTION("IFERROR(sum(filter('Генеральный баннер'!$O:$O, 'Генеральный баннер'!$B:$B=$A33,'Генеральный баннер'!$C:$C=$B33,'Генеральный баннер'!$I:$I=$C33)), 0) "),0.0)</f>
        <v>0</v>
      </c>
      <c r="Q33" s="91">
        <f>IFERROR(__xludf.DUMMYFUNCTION("IFERROR(sum(filter('Генеральный баннер'!$Q:$Q, 'Генеральный баннер'!$B:$B=$A33,'Генеральный баннер'!$C:$C=$B33,'Генеральный баннер'!$I:$I=$C33)), 0) "),0.0)</f>
        <v>0</v>
      </c>
      <c r="R33" s="91">
        <f>IFERROR(__xludf.DUMMYFUNCTION("IFERROR(AVERAGE(filter('Генеральный баннер'!$AA:$AA, 'Генеральный баннер'!$B:$B=$A33,'Генеральный баннер'!$C:$C=$B33,'Генеральный баннер'!$I:$I=$C33)), 0) "),0.0)</f>
        <v>0</v>
      </c>
      <c r="S33" s="91">
        <f>IFERROR(__xludf.DUMMYFUNCTION("IFERROR(SUM(filter('Генеральный баннер'!$AH:$AH, 'Генеральный баннер'!$B:$B=$A33,'Генеральный баннер'!$C:$C=$B33,'Генеральный баннер'!$I:$I=$C33)), 0) "),0.0)</f>
        <v>0</v>
      </c>
      <c r="T33" s="91" t="str">
        <f>IFERROR(__xludf.DUMMYFUNCTION("IFERROR(REGEXREPLACE(unique(filter('Генеральный баннер'!$A:$A, 'Генеральный баннер'!$B:$B=$A33,'Генеральный баннер'!$C:$C=$B33,'Генеральный баннер'!$I:$I=$C33)), ""\d+"", """"),"""")"),"")</f>
        <v/>
      </c>
      <c r="U33" s="91" t="str">
        <f>IFERROR(__xludf.DUMMYFUNCTION("IFERROR(unique(filter('Генеральный баннер'!$F:$F, 'Генеральный баннер'!$B:$B=$A33,'Генеральный баннер'!$C:$C=$B33,'Генеральный баннер'!$I:$I=$C33)),"""")"),"")</f>
        <v/>
      </c>
      <c r="V33" s="92" t="str">
        <f t="shared" si="3"/>
        <v/>
      </c>
      <c r="W33" s="93">
        <f>IFERROR(__xludf.DUMMYFUNCTION("IFERROR(SWITCH(lower(join("" "",U33:V33)),""а миллионник"", 62.5,""б миллионник"", 75,""а мск"", 50, ""б мск"", 62.5, ""a остальное"", 70, ""б остальное"", 80)/100,0)"),0.0)</f>
        <v>0</v>
      </c>
      <c r="X33" s="91">
        <f t="shared" si="4"/>
        <v>0</v>
      </c>
    </row>
    <row r="34">
      <c r="A34" s="90"/>
      <c r="B34" s="90"/>
      <c r="C34" s="90"/>
      <c r="D34" s="91">
        <f>IFERROR(__xludf.DUMMYFUNCTION("IFERROR(sum(filter('Основной эфир'!$AA:$AA, 'Основной эфир'!$B:$B=$A34,'Основной эфир'!$C:$C=$B34,'Основной эфир'!$I:$I=$C34)), 0) "),0.0)</f>
        <v>0</v>
      </c>
      <c r="E34" s="91">
        <f>IFERROR(__xludf.DUMMYFUNCTION("IFERROR(sum(filter('Основной эфир'!$AC:$AC, 'Основной эфир'!$B:$B=$A34,'Основной эфир'!$C:$C=$B34,'Основной эфир'!$I:$I=$C34)), 0) "),0.0)</f>
        <v>0</v>
      </c>
      <c r="F34" s="91">
        <f>IFERROR(__xludf.DUMMYFUNCTION("IFERROR(sum(filter('Основной эфир'!$O:$O, 'Основной эфир'!$B:$B=$A34,'Основной эфир'!$C:$C=$B34,'Основной эфир'!$I:$I=$C34)), 0) "),0.0)</f>
        <v>0</v>
      </c>
      <c r="G34" s="91">
        <f>IFERROR(__xludf.DUMMYFUNCTION("IFERROR(sum(filter('Основной эфир'!$Q:$Q, 'Основной эфир'!$B:$B=$A34,'Основной эфир'!$C:$C=$B34,'Основной эфир'!$I:$I=$C34)), 0) "),0.0)</f>
        <v>0</v>
      </c>
      <c r="H34" s="91">
        <f>IFERROR(__xludf.DUMMYFUNCTION("IFERROR(AVERAGE(filter('Основной эфир'!$Y:$Y, 'Основной эфир'!$B:$B=$A34,'Основной эфир'!$C:$C=$B34,'Основной эфир'!$I:$I=$C34)), 0) "),0.0)</f>
        <v>0</v>
      </c>
      <c r="I34" s="91">
        <f>IFERROR(__xludf.DUMMYFUNCTION("IFERROR(AVERAGE(filter('Основной эфир'!$AE:$AE, 'Основной эфир'!$B:$B=$A34,'Основной эфир'!$C:$C=$B34,'Основной эфир'!$I:$I=$C34)), 0) "),0.0)</f>
        <v>0</v>
      </c>
      <c r="J34" s="91">
        <f>IFERROR(__xludf.DUMMYFUNCTION("IFERROR(SUM(filter('Основной эфир'!$AL:$AL, 'Основной эфир'!$B:$B=$A34,'Основной эфир'!$C:$C=$B34,'Основной эфир'!$I:$I=$C34)), 0) "),0.0)</f>
        <v>0</v>
      </c>
      <c r="K34" s="91" t="str">
        <f>IFERROR(__xludf.DUMMYFUNCTION("IFERROR(REGEXREPLACE(unique(filter('Основной эфир'!$A:$A, 'Основной эфир'!$B:$B=$A34,'Основной эфир'!$C:$C=$B34,'Основной эфир'!$I:$I=$C34)), ""\d+"", """"),"""")"),"")</f>
        <v/>
      </c>
      <c r="L34" s="91" t="str">
        <f>IFERROR(__xludf.DUMMYFUNCTION("IFERROR(unique(filter('Основной эфир'!$F:$F, 'Основной эфир'!$B:$B=$A34,'Основной эфир'!$C:$C=$B34,'Основной эфир'!$I:$I=$C34)),"""")"),"")</f>
        <v/>
      </c>
      <c r="M34" s="92" t="str">
        <f t="shared" si="1"/>
        <v/>
      </c>
      <c r="N34" s="93">
        <f>IFERROR(__xludf.DUMMYFUNCTION("IFERROR(SWITCH(lower(join("" "",L34:M34)),""а миллионник"", 62.5,""б миллионник"", 75,""а мск"", 50, ""б мск"", 62.5, ""a остальное"", 70, ""б остальное"", 80)/100,0)"),0.0)</f>
        <v>0</v>
      </c>
      <c r="O34" s="91">
        <f t="shared" si="2"/>
        <v>0</v>
      </c>
      <c r="P34" s="91">
        <f>IFERROR(__xludf.DUMMYFUNCTION("IFERROR(sum(filter('Генеральный баннер'!$O:$O, 'Генеральный баннер'!$B:$B=$A34,'Генеральный баннер'!$C:$C=$B34,'Генеральный баннер'!$I:$I=$C34)), 0) "),0.0)</f>
        <v>0</v>
      </c>
      <c r="Q34" s="91">
        <f>IFERROR(__xludf.DUMMYFUNCTION("IFERROR(sum(filter('Генеральный баннер'!$Q:$Q, 'Генеральный баннер'!$B:$B=$A34,'Генеральный баннер'!$C:$C=$B34,'Генеральный баннер'!$I:$I=$C34)), 0) "),0.0)</f>
        <v>0</v>
      </c>
      <c r="R34" s="91">
        <f>IFERROR(__xludf.DUMMYFUNCTION("IFERROR(AVERAGE(filter('Генеральный баннер'!$AA:$AA, 'Генеральный баннер'!$B:$B=$A34,'Генеральный баннер'!$C:$C=$B34,'Генеральный баннер'!$I:$I=$C34)), 0) "),0.0)</f>
        <v>0</v>
      </c>
      <c r="S34" s="91">
        <f>IFERROR(__xludf.DUMMYFUNCTION("IFERROR(SUM(filter('Генеральный баннер'!$AH:$AH, 'Генеральный баннер'!$B:$B=$A34,'Генеральный баннер'!$C:$C=$B34,'Генеральный баннер'!$I:$I=$C34)), 0) "),0.0)</f>
        <v>0</v>
      </c>
      <c r="T34" s="91" t="str">
        <f>IFERROR(__xludf.DUMMYFUNCTION("IFERROR(REGEXREPLACE(unique(filter('Генеральный баннер'!$A:$A, 'Генеральный баннер'!$B:$B=$A34,'Генеральный баннер'!$C:$C=$B34,'Генеральный баннер'!$I:$I=$C34)), ""\d+"", """"),"""")"),"")</f>
        <v/>
      </c>
      <c r="U34" s="91" t="str">
        <f>IFERROR(__xludf.DUMMYFUNCTION("IFERROR(unique(filter('Генеральный баннер'!$F:$F, 'Генеральный баннер'!$B:$B=$A34,'Генеральный баннер'!$C:$C=$B34,'Генеральный баннер'!$I:$I=$C34)),"""")"),"")</f>
        <v/>
      </c>
      <c r="V34" s="92" t="str">
        <f t="shared" si="3"/>
        <v/>
      </c>
      <c r="W34" s="93">
        <f>IFERROR(__xludf.DUMMYFUNCTION("IFERROR(SWITCH(lower(join("" "",U34:V34)),""а миллионник"", 62.5,""б миллионник"", 75,""а мск"", 50, ""б мск"", 62.5, ""a остальное"", 70, ""б остальное"", 80)/100,0)"),0.0)</f>
        <v>0</v>
      </c>
      <c r="X34" s="91">
        <f t="shared" si="4"/>
        <v>0</v>
      </c>
    </row>
    <row r="35">
      <c r="A35" s="90"/>
      <c r="B35" s="90"/>
      <c r="C35" s="90"/>
      <c r="D35" s="91">
        <f>IFERROR(__xludf.DUMMYFUNCTION("IFERROR(sum(filter('Основной эфир'!$AA:$AA, 'Основной эфир'!$B:$B=$A35,'Основной эфир'!$C:$C=$B35,'Основной эфир'!$I:$I=$C35)), 0) "),0.0)</f>
        <v>0</v>
      </c>
      <c r="E35" s="91">
        <f>IFERROR(__xludf.DUMMYFUNCTION("IFERROR(sum(filter('Основной эфир'!$AC:$AC, 'Основной эфир'!$B:$B=$A35,'Основной эфир'!$C:$C=$B35,'Основной эфир'!$I:$I=$C35)), 0) "),0.0)</f>
        <v>0</v>
      </c>
      <c r="F35" s="91">
        <f>IFERROR(__xludf.DUMMYFUNCTION("IFERROR(sum(filter('Основной эфир'!$O:$O, 'Основной эфир'!$B:$B=$A35,'Основной эфир'!$C:$C=$B35,'Основной эфир'!$I:$I=$C35)), 0) "),0.0)</f>
        <v>0</v>
      </c>
      <c r="G35" s="91">
        <f>IFERROR(__xludf.DUMMYFUNCTION("IFERROR(sum(filter('Основной эфир'!$Q:$Q, 'Основной эфир'!$B:$B=$A35,'Основной эфир'!$C:$C=$B35,'Основной эфир'!$I:$I=$C35)), 0) "),0.0)</f>
        <v>0</v>
      </c>
      <c r="H35" s="91">
        <f>IFERROR(__xludf.DUMMYFUNCTION("IFERROR(AVERAGE(filter('Основной эфир'!$Y:$Y, 'Основной эфир'!$B:$B=$A35,'Основной эфир'!$C:$C=$B35,'Основной эфир'!$I:$I=$C35)), 0) "),0.0)</f>
        <v>0</v>
      </c>
      <c r="I35" s="91">
        <f>IFERROR(__xludf.DUMMYFUNCTION("IFERROR(AVERAGE(filter('Основной эфир'!$AE:$AE, 'Основной эфир'!$B:$B=$A35,'Основной эфир'!$C:$C=$B35,'Основной эфир'!$I:$I=$C35)), 0) "),0.0)</f>
        <v>0</v>
      </c>
      <c r="J35" s="91">
        <f>IFERROR(__xludf.DUMMYFUNCTION("IFERROR(SUM(filter('Основной эфир'!$AL:$AL, 'Основной эфир'!$B:$B=$A35,'Основной эфир'!$C:$C=$B35,'Основной эфир'!$I:$I=$C35)), 0) "),0.0)</f>
        <v>0</v>
      </c>
      <c r="K35" s="91" t="str">
        <f>IFERROR(__xludf.DUMMYFUNCTION("IFERROR(REGEXREPLACE(unique(filter('Основной эфир'!$A:$A, 'Основной эфир'!$B:$B=$A35,'Основной эфир'!$C:$C=$B35,'Основной эфир'!$I:$I=$C35)), ""\d+"", """"),"""")"),"")</f>
        <v/>
      </c>
      <c r="L35" s="91" t="str">
        <f>IFERROR(__xludf.DUMMYFUNCTION("IFERROR(unique(filter('Основной эфир'!$F:$F, 'Основной эфир'!$B:$B=$A35,'Основной эфир'!$C:$C=$B35,'Основной эфир'!$I:$I=$C35)),"""")"),"")</f>
        <v/>
      </c>
      <c r="M35" s="92" t="str">
        <f t="shared" si="1"/>
        <v/>
      </c>
      <c r="N35" s="93">
        <f>IFERROR(__xludf.DUMMYFUNCTION("IFERROR(SWITCH(lower(join("" "",L35:M35)),""а миллионник"", 62.5,""б миллионник"", 75,""а мск"", 50, ""б мск"", 62.5, ""a остальное"", 70, ""б остальное"", 80)/100,0)"),0.0)</f>
        <v>0</v>
      </c>
      <c r="O35" s="91">
        <f t="shared" si="2"/>
        <v>0</v>
      </c>
      <c r="P35" s="91">
        <f>IFERROR(__xludf.DUMMYFUNCTION("IFERROR(sum(filter('Генеральный баннер'!$O:$O, 'Генеральный баннер'!$B:$B=$A35,'Генеральный баннер'!$C:$C=$B35,'Генеральный баннер'!$I:$I=$C35)), 0) "),0.0)</f>
        <v>0</v>
      </c>
      <c r="Q35" s="91">
        <f>IFERROR(__xludf.DUMMYFUNCTION("IFERROR(sum(filter('Генеральный баннер'!$Q:$Q, 'Генеральный баннер'!$B:$B=$A35,'Генеральный баннер'!$C:$C=$B35,'Генеральный баннер'!$I:$I=$C35)), 0) "),0.0)</f>
        <v>0</v>
      </c>
      <c r="R35" s="91">
        <f>IFERROR(__xludf.DUMMYFUNCTION("IFERROR(AVERAGE(filter('Генеральный баннер'!$AA:$AA, 'Генеральный баннер'!$B:$B=$A35,'Генеральный баннер'!$C:$C=$B35,'Генеральный баннер'!$I:$I=$C35)), 0) "),0.0)</f>
        <v>0</v>
      </c>
      <c r="S35" s="91">
        <f>IFERROR(__xludf.DUMMYFUNCTION("IFERROR(SUM(filter('Генеральный баннер'!$AH:$AH, 'Генеральный баннер'!$B:$B=$A35,'Генеральный баннер'!$C:$C=$B35,'Генеральный баннер'!$I:$I=$C35)), 0) "),0.0)</f>
        <v>0</v>
      </c>
      <c r="T35" s="91" t="str">
        <f>IFERROR(__xludf.DUMMYFUNCTION("IFERROR(REGEXREPLACE(unique(filter('Генеральный баннер'!$A:$A, 'Генеральный баннер'!$B:$B=$A35,'Генеральный баннер'!$C:$C=$B35,'Генеральный баннер'!$I:$I=$C35)), ""\d+"", """"),"""")"),"")</f>
        <v/>
      </c>
      <c r="U35" s="91" t="str">
        <f>IFERROR(__xludf.DUMMYFUNCTION("IFERROR(unique(filter('Генеральный баннер'!$F:$F, 'Генеральный баннер'!$B:$B=$A35,'Генеральный баннер'!$C:$C=$B35,'Генеральный баннер'!$I:$I=$C35)),"""")"),"")</f>
        <v/>
      </c>
      <c r="V35" s="92" t="str">
        <f t="shared" si="3"/>
        <v/>
      </c>
      <c r="W35" s="93">
        <f>IFERROR(__xludf.DUMMYFUNCTION("IFERROR(SWITCH(lower(join("" "",U35:V35)),""а миллионник"", 62.5,""б миллионник"", 75,""а мск"", 50, ""б мск"", 62.5, ""a остальное"", 70, ""б остальное"", 80)/100,0)"),0.0)</f>
        <v>0</v>
      </c>
      <c r="X35" s="91">
        <f t="shared" si="4"/>
        <v>0</v>
      </c>
    </row>
    <row r="36">
      <c r="A36" s="90"/>
      <c r="B36" s="90"/>
      <c r="C36" s="90"/>
      <c r="D36" s="91">
        <f>IFERROR(__xludf.DUMMYFUNCTION("IFERROR(sum(filter('Основной эфир'!$AA:$AA, 'Основной эфир'!$B:$B=$A36,'Основной эфир'!$C:$C=$B36,'Основной эфир'!$I:$I=$C36)), 0) "),0.0)</f>
        <v>0</v>
      </c>
      <c r="E36" s="91">
        <f>IFERROR(__xludf.DUMMYFUNCTION("IFERROR(sum(filter('Основной эфир'!$AC:$AC, 'Основной эфир'!$B:$B=$A36,'Основной эфир'!$C:$C=$B36,'Основной эфир'!$I:$I=$C36)), 0) "),0.0)</f>
        <v>0</v>
      </c>
      <c r="F36" s="91">
        <f>IFERROR(__xludf.DUMMYFUNCTION("IFERROR(sum(filter('Основной эфир'!$O:$O, 'Основной эфир'!$B:$B=$A36,'Основной эфир'!$C:$C=$B36,'Основной эфир'!$I:$I=$C36)), 0) "),0.0)</f>
        <v>0</v>
      </c>
      <c r="G36" s="91">
        <f>IFERROR(__xludf.DUMMYFUNCTION("IFERROR(sum(filter('Основной эфир'!$Q:$Q, 'Основной эфир'!$B:$B=$A36,'Основной эфир'!$C:$C=$B36,'Основной эфир'!$I:$I=$C36)), 0) "),0.0)</f>
        <v>0</v>
      </c>
      <c r="H36" s="91">
        <f>IFERROR(__xludf.DUMMYFUNCTION("IFERROR(AVERAGE(filter('Основной эфир'!$Y:$Y, 'Основной эфир'!$B:$B=$A36,'Основной эфир'!$C:$C=$B36,'Основной эфир'!$I:$I=$C36)), 0) "),0.0)</f>
        <v>0</v>
      </c>
      <c r="I36" s="91">
        <f>IFERROR(__xludf.DUMMYFUNCTION("IFERROR(AVERAGE(filter('Основной эфир'!$AE:$AE, 'Основной эфир'!$B:$B=$A36,'Основной эфир'!$C:$C=$B36,'Основной эфир'!$I:$I=$C36)), 0) "),0.0)</f>
        <v>0</v>
      </c>
      <c r="J36" s="91">
        <f>IFERROR(__xludf.DUMMYFUNCTION("IFERROR(SUM(filter('Основной эфир'!$AL:$AL, 'Основной эфир'!$B:$B=$A36,'Основной эфир'!$C:$C=$B36,'Основной эфир'!$I:$I=$C36)), 0) "),0.0)</f>
        <v>0</v>
      </c>
      <c r="K36" s="91" t="str">
        <f>IFERROR(__xludf.DUMMYFUNCTION("IFERROR(REGEXREPLACE(unique(filter('Основной эфир'!$A:$A, 'Основной эфир'!$B:$B=$A36,'Основной эфир'!$C:$C=$B36,'Основной эфир'!$I:$I=$C36)), ""\d+"", """"),"""")"),"")</f>
        <v/>
      </c>
      <c r="L36" s="91" t="str">
        <f>IFERROR(__xludf.DUMMYFUNCTION("IFERROR(unique(filter('Основной эфир'!$F:$F, 'Основной эфир'!$B:$B=$A36,'Основной эфир'!$C:$C=$B36,'Основной эфир'!$I:$I=$C36)),"""")"),"")</f>
        <v/>
      </c>
      <c r="M36" s="92" t="str">
        <f t="shared" si="1"/>
        <v/>
      </c>
      <c r="N36" s="93">
        <f>IFERROR(__xludf.DUMMYFUNCTION("IFERROR(SWITCH(lower(join("" "",L36:M36)),""а миллионник"", 62.5,""б миллионник"", 75,""а мск"", 50, ""б мск"", 62.5, ""a остальное"", 70, ""б остальное"", 80)/100,0)"),0.0)</f>
        <v>0</v>
      </c>
      <c r="O36" s="91">
        <f t="shared" si="2"/>
        <v>0</v>
      </c>
      <c r="P36" s="91">
        <f>IFERROR(__xludf.DUMMYFUNCTION("IFERROR(sum(filter('Генеральный баннер'!$O:$O, 'Генеральный баннер'!$B:$B=$A36,'Генеральный баннер'!$C:$C=$B36,'Генеральный баннер'!$I:$I=$C36)), 0) "),0.0)</f>
        <v>0</v>
      </c>
      <c r="Q36" s="91">
        <f>IFERROR(__xludf.DUMMYFUNCTION("IFERROR(sum(filter('Генеральный баннер'!$Q:$Q, 'Генеральный баннер'!$B:$B=$A36,'Генеральный баннер'!$C:$C=$B36,'Генеральный баннер'!$I:$I=$C36)), 0) "),0.0)</f>
        <v>0</v>
      </c>
      <c r="R36" s="91">
        <f>IFERROR(__xludf.DUMMYFUNCTION("IFERROR(AVERAGE(filter('Генеральный баннер'!$AA:$AA, 'Генеральный баннер'!$B:$B=$A36,'Генеральный баннер'!$C:$C=$B36,'Генеральный баннер'!$I:$I=$C36)), 0) "),0.0)</f>
        <v>0</v>
      </c>
      <c r="S36" s="91">
        <f>IFERROR(__xludf.DUMMYFUNCTION("IFERROR(SUM(filter('Генеральный баннер'!$AH:$AH, 'Генеральный баннер'!$B:$B=$A36,'Генеральный баннер'!$C:$C=$B36,'Генеральный баннер'!$I:$I=$C36)), 0) "),0.0)</f>
        <v>0</v>
      </c>
      <c r="T36" s="91" t="str">
        <f>IFERROR(__xludf.DUMMYFUNCTION("IFERROR(REGEXREPLACE(unique(filter('Генеральный баннер'!$A:$A, 'Генеральный баннер'!$B:$B=$A36,'Генеральный баннер'!$C:$C=$B36,'Генеральный баннер'!$I:$I=$C36)), ""\d+"", """"),"""")"),"")</f>
        <v/>
      </c>
      <c r="U36" s="91" t="str">
        <f>IFERROR(__xludf.DUMMYFUNCTION("IFERROR(unique(filter('Генеральный баннер'!$F:$F, 'Генеральный баннер'!$B:$B=$A36,'Генеральный баннер'!$C:$C=$B36,'Генеральный баннер'!$I:$I=$C36)),"""")"),"")</f>
        <v/>
      </c>
      <c r="V36" s="92" t="str">
        <f t="shared" si="3"/>
        <v/>
      </c>
      <c r="W36" s="93">
        <f>IFERROR(__xludf.DUMMYFUNCTION("IFERROR(SWITCH(lower(join("" "",U36:V36)),""а миллионник"", 62.5,""б миллионник"", 75,""а мск"", 50, ""б мск"", 62.5, ""a остальное"", 70, ""б остальное"", 80)/100,0)"),0.0)</f>
        <v>0</v>
      </c>
      <c r="X36" s="91">
        <f t="shared" si="4"/>
        <v>0</v>
      </c>
    </row>
    <row r="37">
      <c r="A37" s="90"/>
      <c r="B37" s="90"/>
      <c r="C37" s="90"/>
      <c r="D37" s="91">
        <f>IFERROR(__xludf.DUMMYFUNCTION("IFERROR(sum(filter('Основной эфир'!$AA:$AA, 'Основной эфир'!$B:$B=$A37,'Основной эфир'!$C:$C=$B37,'Основной эфир'!$I:$I=$C37)), 0) "),0.0)</f>
        <v>0</v>
      </c>
      <c r="E37" s="91">
        <f>IFERROR(__xludf.DUMMYFUNCTION("IFERROR(sum(filter('Основной эфир'!$AC:$AC, 'Основной эфир'!$B:$B=$A37,'Основной эфир'!$C:$C=$B37,'Основной эфир'!$I:$I=$C37)), 0) "),0.0)</f>
        <v>0</v>
      </c>
      <c r="F37" s="91">
        <f>IFERROR(__xludf.DUMMYFUNCTION("IFERROR(sum(filter('Основной эфир'!$O:$O, 'Основной эфир'!$B:$B=$A37,'Основной эфир'!$C:$C=$B37,'Основной эфир'!$I:$I=$C37)), 0) "),0.0)</f>
        <v>0</v>
      </c>
      <c r="G37" s="91">
        <f>IFERROR(__xludf.DUMMYFUNCTION("IFERROR(sum(filter('Основной эфир'!$Q:$Q, 'Основной эфир'!$B:$B=$A37,'Основной эфир'!$C:$C=$B37,'Основной эфир'!$I:$I=$C37)), 0) "),0.0)</f>
        <v>0</v>
      </c>
      <c r="H37" s="91">
        <f>IFERROR(__xludf.DUMMYFUNCTION("IFERROR(AVERAGE(filter('Основной эфир'!$Y:$Y, 'Основной эфир'!$B:$B=$A37,'Основной эфир'!$C:$C=$B37,'Основной эфир'!$I:$I=$C37)), 0) "),0.0)</f>
        <v>0</v>
      </c>
      <c r="I37" s="91">
        <f>IFERROR(__xludf.DUMMYFUNCTION("IFERROR(AVERAGE(filter('Основной эфир'!$AE:$AE, 'Основной эфир'!$B:$B=$A37,'Основной эфир'!$C:$C=$B37,'Основной эфир'!$I:$I=$C37)), 0) "),0.0)</f>
        <v>0</v>
      </c>
      <c r="J37" s="91">
        <f>IFERROR(__xludf.DUMMYFUNCTION("IFERROR(SUM(filter('Основной эфир'!$AL:$AL, 'Основной эфир'!$B:$B=$A37,'Основной эфир'!$C:$C=$B37,'Основной эфир'!$I:$I=$C37)), 0) "),0.0)</f>
        <v>0</v>
      </c>
      <c r="K37" s="91" t="str">
        <f>IFERROR(__xludf.DUMMYFUNCTION("IFERROR(REGEXREPLACE(unique(filter('Основной эфир'!$A:$A, 'Основной эфир'!$B:$B=$A37,'Основной эфир'!$C:$C=$B37,'Основной эфир'!$I:$I=$C37)), ""\d+"", """"),"""")"),"")</f>
        <v/>
      </c>
      <c r="L37" s="91" t="str">
        <f>IFERROR(__xludf.DUMMYFUNCTION("IFERROR(unique(filter('Основной эфир'!$F:$F, 'Основной эфир'!$B:$B=$A37,'Основной эфир'!$C:$C=$B37,'Основной эфир'!$I:$I=$C37)),"""")"),"")</f>
        <v/>
      </c>
      <c r="M37" s="92" t="str">
        <f t="shared" si="1"/>
        <v/>
      </c>
      <c r="N37" s="93">
        <f>IFERROR(__xludf.DUMMYFUNCTION("IFERROR(SWITCH(lower(join("" "",L37:M37)),""а миллионник"", 62.5,""б миллионник"", 75,""а мск"", 50, ""б мск"", 62.5, ""a остальное"", 70, ""б остальное"", 80)/100,0)"),0.0)</f>
        <v>0</v>
      </c>
      <c r="O37" s="91">
        <f t="shared" si="2"/>
        <v>0</v>
      </c>
      <c r="P37" s="91">
        <f>IFERROR(__xludf.DUMMYFUNCTION("IFERROR(sum(filter('Генеральный баннер'!$O:$O, 'Генеральный баннер'!$B:$B=$A37,'Генеральный баннер'!$C:$C=$B37,'Генеральный баннер'!$I:$I=$C37)), 0) "),0.0)</f>
        <v>0</v>
      </c>
      <c r="Q37" s="91">
        <f>IFERROR(__xludf.DUMMYFUNCTION("IFERROR(sum(filter('Генеральный баннер'!$Q:$Q, 'Генеральный баннер'!$B:$B=$A37,'Генеральный баннер'!$C:$C=$B37,'Генеральный баннер'!$I:$I=$C37)), 0) "),0.0)</f>
        <v>0</v>
      </c>
      <c r="R37" s="91">
        <f>IFERROR(__xludf.DUMMYFUNCTION("IFERROR(AVERAGE(filter('Генеральный баннер'!$AA:$AA, 'Генеральный баннер'!$B:$B=$A37,'Генеральный баннер'!$C:$C=$B37,'Генеральный баннер'!$I:$I=$C37)), 0) "),0.0)</f>
        <v>0</v>
      </c>
      <c r="S37" s="91">
        <f>IFERROR(__xludf.DUMMYFUNCTION("IFERROR(SUM(filter('Генеральный баннер'!$AH:$AH, 'Генеральный баннер'!$B:$B=$A37,'Генеральный баннер'!$C:$C=$B37,'Генеральный баннер'!$I:$I=$C37)), 0) "),0.0)</f>
        <v>0</v>
      </c>
      <c r="T37" s="91" t="str">
        <f>IFERROR(__xludf.DUMMYFUNCTION("IFERROR(REGEXREPLACE(unique(filter('Генеральный баннер'!$A:$A, 'Генеральный баннер'!$B:$B=$A37,'Генеральный баннер'!$C:$C=$B37,'Генеральный баннер'!$I:$I=$C37)), ""\d+"", """"),"""")"),"")</f>
        <v/>
      </c>
      <c r="U37" s="91" t="str">
        <f>IFERROR(__xludf.DUMMYFUNCTION("IFERROR(unique(filter('Генеральный баннер'!$F:$F, 'Генеральный баннер'!$B:$B=$A37,'Генеральный баннер'!$C:$C=$B37,'Генеральный баннер'!$I:$I=$C37)),"""")"),"")</f>
        <v/>
      </c>
      <c r="V37" s="92" t="str">
        <f t="shared" si="3"/>
        <v/>
      </c>
      <c r="W37" s="93">
        <f>IFERROR(__xludf.DUMMYFUNCTION("IFERROR(SWITCH(lower(join("" "",U37:V37)),""а миллионник"", 62.5,""б миллионник"", 75,""а мск"", 50, ""б мск"", 62.5, ""a остальное"", 70, ""б остальное"", 80)/100,0)"),0.0)</f>
        <v>0</v>
      </c>
      <c r="X37" s="91">
        <f t="shared" si="4"/>
        <v>0</v>
      </c>
    </row>
    <row r="38">
      <c r="A38" s="90"/>
      <c r="B38" s="90"/>
      <c r="C38" s="90"/>
      <c r="D38" s="91">
        <f>IFERROR(__xludf.DUMMYFUNCTION("IFERROR(sum(filter('Основной эфир'!$AA:$AA, 'Основной эфир'!$B:$B=$A38,'Основной эфир'!$C:$C=$B38,'Основной эфир'!$I:$I=$C38)), 0) "),0.0)</f>
        <v>0</v>
      </c>
      <c r="E38" s="91">
        <f>IFERROR(__xludf.DUMMYFUNCTION("IFERROR(sum(filter('Основной эфир'!$AC:$AC, 'Основной эфир'!$B:$B=$A38,'Основной эфир'!$C:$C=$B38,'Основной эфир'!$I:$I=$C38)), 0) "),0.0)</f>
        <v>0</v>
      </c>
      <c r="F38" s="91">
        <f>IFERROR(__xludf.DUMMYFUNCTION("IFERROR(sum(filter('Основной эфир'!$O:$O, 'Основной эфир'!$B:$B=$A38,'Основной эфир'!$C:$C=$B38,'Основной эфир'!$I:$I=$C38)), 0) "),0.0)</f>
        <v>0</v>
      </c>
      <c r="G38" s="91">
        <f>IFERROR(__xludf.DUMMYFUNCTION("IFERROR(sum(filter('Основной эфир'!$Q:$Q, 'Основной эфир'!$B:$B=$A38,'Основной эфир'!$C:$C=$B38,'Основной эфир'!$I:$I=$C38)), 0) "),0.0)</f>
        <v>0</v>
      </c>
      <c r="H38" s="91">
        <f>IFERROR(__xludf.DUMMYFUNCTION("IFERROR(AVERAGE(filter('Основной эфир'!$Y:$Y, 'Основной эфир'!$B:$B=$A38,'Основной эфир'!$C:$C=$B38,'Основной эфир'!$I:$I=$C38)), 0) "),0.0)</f>
        <v>0</v>
      </c>
      <c r="I38" s="91">
        <f>IFERROR(__xludf.DUMMYFUNCTION("IFERROR(AVERAGE(filter('Основной эфир'!$AE:$AE, 'Основной эфир'!$B:$B=$A38,'Основной эфир'!$C:$C=$B38,'Основной эфир'!$I:$I=$C38)), 0) "),0.0)</f>
        <v>0</v>
      </c>
      <c r="J38" s="91">
        <f>IFERROR(__xludf.DUMMYFUNCTION("IFERROR(SUM(filter('Основной эфир'!$AL:$AL, 'Основной эфир'!$B:$B=$A38,'Основной эфир'!$C:$C=$B38,'Основной эфир'!$I:$I=$C38)), 0) "),0.0)</f>
        <v>0</v>
      </c>
      <c r="K38" s="91" t="str">
        <f>IFERROR(__xludf.DUMMYFUNCTION("IFERROR(REGEXREPLACE(unique(filter('Основной эфир'!$A:$A, 'Основной эфир'!$B:$B=$A38,'Основной эфир'!$C:$C=$B38,'Основной эфир'!$I:$I=$C38)), ""\d+"", """"),"""")"),"")</f>
        <v/>
      </c>
      <c r="L38" s="91" t="str">
        <f>IFERROR(__xludf.DUMMYFUNCTION("IFERROR(unique(filter('Основной эфир'!$F:$F, 'Основной эфир'!$B:$B=$A38,'Основной эфир'!$C:$C=$B38,'Основной эфир'!$I:$I=$C38)),"""")"),"")</f>
        <v/>
      </c>
      <c r="M38" s="92" t="str">
        <f t="shared" si="1"/>
        <v/>
      </c>
      <c r="N38" s="93">
        <f>IFERROR(__xludf.DUMMYFUNCTION("IFERROR(SWITCH(lower(join("" "",L38:M38)),""а миллионник"", 62.5,""б миллионник"", 75,""а мск"", 50, ""б мск"", 62.5, ""a остальное"", 70, ""б остальное"", 80)/100,0)"),0.0)</f>
        <v>0</v>
      </c>
      <c r="O38" s="91">
        <f t="shared" si="2"/>
        <v>0</v>
      </c>
      <c r="P38" s="91">
        <f>IFERROR(__xludf.DUMMYFUNCTION("IFERROR(sum(filter('Генеральный баннер'!$O:$O, 'Генеральный баннер'!$B:$B=$A38,'Генеральный баннер'!$C:$C=$B38,'Генеральный баннер'!$I:$I=$C38)), 0) "),0.0)</f>
        <v>0</v>
      </c>
      <c r="Q38" s="91">
        <f>IFERROR(__xludf.DUMMYFUNCTION("IFERROR(sum(filter('Генеральный баннер'!$Q:$Q, 'Генеральный баннер'!$B:$B=$A38,'Генеральный баннер'!$C:$C=$B38,'Генеральный баннер'!$I:$I=$C38)), 0) "),0.0)</f>
        <v>0</v>
      </c>
      <c r="R38" s="91">
        <f>IFERROR(__xludf.DUMMYFUNCTION("IFERROR(AVERAGE(filter('Генеральный баннер'!$AA:$AA, 'Генеральный баннер'!$B:$B=$A38,'Генеральный баннер'!$C:$C=$B38,'Генеральный баннер'!$I:$I=$C38)), 0) "),0.0)</f>
        <v>0</v>
      </c>
      <c r="S38" s="91">
        <f>IFERROR(__xludf.DUMMYFUNCTION("IFERROR(SUM(filter('Генеральный баннер'!$AH:$AH, 'Генеральный баннер'!$B:$B=$A38,'Генеральный баннер'!$C:$C=$B38,'Генеральный баннер'!$I:$I=$C38)), 0) "),0.0)</f>
        <v>0</v>
      </c>
      <c r="T38" s="91" t="str">
        <f>IFERROR(__xludf.DUMMYFUNCTION("IFERROR(REGEXREPLACE(unique(filter('Генеральный баннер'!$A:$A, 'Генеральный баннер'!$B:$B=$A38,'Генеральный баннер'!$C:$C=$B38,'Генеральный баннер'!$I:$I=$C38)), ""\d+"", """"),"""")"),"")</f>
        <v/>
      </c>
      <c r="U38" s="91" t="str">
        <f>IFERROR(__xludf.DUMMYFUNCTION("IFERROR(unique(filter('Генеральный баннер'!$F:$F, 'Генеральный баннер'!$B:$B=$A38,'Генеральный баннер'!$C:$C=$B38,'Генеральный баннер'!$I:$I=$C38)),"""")"),"")</f>
        <v/>
      </c>
      <c r="V38" s="92" t="str">
        <f t="shared" si="3"/>
        <v/>
      </c>
      <c r="W38" s="93">
        <f>IFERROR(__xludf.DUMMYFUNCTION("IFERROR(SWITCH(lower(join("" "",U38:V38)),""а миллионник"", 62.5,""б миллионник"", 75,""а мск"", 50, ""б мск"", 62.5, ""a остальное"", 70, ""б остальное"", 80)/100,0)"),0.0)</f>
        <v>0</v>
      </c>
      <c r="X38" s="91">
        <f t="shared" si="4"/>
        <v>0</v>
      </c>
    </row>
    <row r="39">
      <c r="A39" s="90"/>
      <c r="B39" s="90"/>
      <c r="C39" s="90"/>
      <c r="D39" s="91">
        <f>IFERROR(__xludf.DUMMYFUNCTION("IFERROR(sum(filter('Основной эфир'!$AA:$AA, 'Основной эфир'!$B:$B=$A39,'Основной эфир'!$C:$C=$B39,'Основной эфир'!$I:$I=$C39)), 0) "),0.0)</f>
        <v>0</v>
      </c>
      <c r="E39" s="91">
        <f>IFERROR(__xludf.DUMMYFUNCTION("IFERROR(sum(filter('Основной эфир'!$AC:$AC, 'Основной эфир'!$B:$B=$A39,'Основной эфир'!$C:$C=$B39,'Основной эфир'!$I:$I=$C39)), 0) "),0.0)</f>
        <v>0</v>
      </c>
      <c r="F39" s="91">
        <f>IFERROR(__xludf.DUMMYFUNCTION("IFERROR(sum(filter('Основной эфир'!$O:$O, 'Основной эфир'!$B:$B=$A39,'Основной эфир'!$C:$C=$B39,'Основной эфир'!$I:$I=$C39)), 0) "),0.0)</f>
        <v>0</v>
      </c>
      <c r="G39" s="91">
        <f>IFERROR(__xludf.DUMMYFUNCTION("IFERROR(sum(filter('Основной эфир'!$Q:$Q, 'Основной эфир'!$B:$B=$A39,'Основной эфир'!$C:$C=$B39,'Основной эфир'!$I:$I=$C39)), 0) "),0.0)</f>
        <v>0</v>
      </c>
      <c r="H39" s="91">
        <f>IFERROR(__xludf.DUMMYFUNCTION("IFERROR(AVERAGE(filter('Основной эфир'!$Y:$Y, 'Основной эфир'!$B:$B=$A39,'Основной эфир'!$C:$C=$B39,'Основной эфир'!$I:$I=$C39)), 0) "),0.0)</f>
        <v>0</v>
      </c>
      <c r="I39" s="91">
        <f>IFERROR(__xludf.DUMMYFUNCTION("IFERROR(AVERAGE(filter('Основной эфир'!$AE:$AE, 'Основной эфир'!$B:$B=$A39,'Основной эфир'!$C:$C=$B39,'Основной эфир'!$I:$I=$C39)), 0) "),0.0)</f>
        <v>0</v>
      </c>
      <c r="J39" s="91">
        <f>IFERROR(__xludf.DUMMYFUNCTION("IFERROR(SUM(filter('Основной эфир'!$AL:$AL, 'Основной эфир'!$B:$B=$A39,'Основной эфир'!$C:$C=$B39,'Основной эфир'!$I:$I=$C39)), 0) "),0.0)</f>
        <v>0</v>
      </c>
      <c r="K39" s="91" t="str">
        <f>IFERROR(__xludf.DUMMYFUNCTION("IFERROR(REGEXREPLACE(unique(filter('Основной эфир'!$A:$A, 'Основной эфир'!$B:$B=$A39,'Основной эфир'!$C:$C=$B39,'Основной эфир'!$I:$I=$C39)), ""\d+"", """"),"""")"),"")</f>
        <v/>
      </c>
      <c r="L39" s="91" t="str">
        <f>IFERROR(__xludf.DUMMYFUNCTION("IFERROR(unique(filter('Основной эфир'!$F:$F, 'Основной эфир'!$B:$B=$A39,'Основной эфир'!$C:$C=$B39,'Основной эфир'!$I:$I=$C39)),"""")"),"")</f>
        <v/>
      </c>
      <c r="M39" s="92" t="str">
        <f t="shared" si="1"/>
        <v/>
      </c>
      <c r="N39" s="93">
        <f>IFERROR(__xludf.DUMMYFUNCTION("IFERROR(SWITCH(lower(join("" "",L39:M39)),""а миллионник"", 62.5,""б миллионник"", 75,""а мск"", 50, ""б мск"", 62.5, ""a остальное"", 70, ""б остальное"", 80)/100,0)"),0.0)</f>
        <v>0</v>
      </c>
      <c r="O39" s="91">
        <f t="shared" si="2"/>
        <v>0</v>
      </c>
      <c r="P39" s="91">
        <f>IFERROR(__xludf.DUMMYFUNCTION("IFERROR(sum(filter('Генеральный баннер'!$O:$O, 'Генеральный баннер'!$B:$B=$A39,'Генеральный баннер'!$C:$C=$B39,'Генеральный баннер'!$I:$I=$C39)), 0) "),0.0)</f>
        <v>0</v>
      </c>
      <c r="Q39" s="91">
        <f>IFERROR(__xludf.DUMMYFUNCTION("IFERROR(sum(filter('Генеральный баннер'!$Q:$Q, 'Генеральный баннер'!$B:$B=$A39,'Генеральный баннер'!$C:$C=$B39,'Генеральный баннер'!$I:$I=$C39)), 0) "),0.0)</f>
        <v>0</v>
      </c>
      <c r="R39" s="91">
        <f>IFERROR(__xludf.DUMMYFUNCTION("IFERROR(AVERAGE(filter('Генеральный баннер'!$AA:$AA, 'Генеральный баннер'!$B:$B=$A39,'Генеральный баннер'!$C:$C=$B39,'Генеральный баннер'!$I:$I=$C39)), 0) "),0.0)</f>
        <v>0</v>
      </c>
      <c r="S39" s="91">
        <f>IFERROR(__xludf.DUMMYFUNCTION("IFERROR(SUM(filter('Генеральный баннер'!$AH:$AH, 'Генеральный баннер'!$B:$B=$A39,'Генеральный баннер'!$C:$C=$B39,'Генеральный баннер'!$I:$I=$C39)), 0) "),0.0)</f>
        <v>0</v>
      </c>
      <c r="T39" s="91" t="str">
        <f>IFERROR(__xludf.DUMMYFUNCTION("IFERROR(REGEXREPLACE(unique(filter('Генеральный баннер'!$A:$A, 'Генеральный баннер'!$B:$B=$A39,'Генеральный баннер'!$C:$C=$B39,'Генеральный баннер'!$I:$I=$C39)), ""\d+"", """"),"""")"),"")</f>
        <v/>
      </c>
      <c r="U39" s="91" t="str">
        <f>IFERROR(__xludf.DUMMYFUNCTION("IFERROR(unique(filter('Генеральный баннер'!$F:$F, 'Генеральный баннер'!$B:$B=$A39,'Генеральный баннер'!$C:$C=$B39,'Генеральный баннер'!$I:$I=$C39)),"""")"),"")</f>
        <v/>
      </c>
      <c r="V39" s="92" t="str">
        <f t="shared" si="3"/>
        <v/>
      </c>
      <c r="W39" s="93">
        <f>IFERROR(__xludf.DUMMYFUNCTION("IFERROR(SWITCH(lower(join("" "",U39:V39)),""а миллионник"", 62.5,""б миллионник"", 75,""а мск"", 50, ""б мск"", 62.5, ""a остальное"", 70, ""б остальное"", 80)/100,0)"),0.0)</f>
        <v>0</v>
      </c>
      <c r="X39" s="91">
        <f t="shared" si="4"/>
        <v>0</v>
      </c>
    </row>
    <row r="40">
      <c r="A40" s="90"/>
      <c r="B40" s="90"/>
      <c r="C40" s="90"/>
      <c r="D40" s="91">
        <f>IFERROR(__xludf.DUMMYFUNCTION("IFERROR(sum(filter('Основной эфир'!$AA:$AA, 'Основной эфир'!$B:$B=$A40,'Основной эфир'!$C:$C=$B40,'Основной эфир'!$I:$I=$C40)), 0) "),0.0)</f>
        <v>0</v>
      </c>
      <c r="E40" s="91">
        <f>IFERROR(__xludf.DUMMYFUNCTION("IFERROR(sum(filter('Основной эфир'!$AC:$AC, 'Основной эфир'!$B:$B=$A40,'Основной эфир'!$C:$C=$B40,'Основной эфир'!$I:$I=$C40)), 0) "),0.0)</f>
        <v>0</v>
      </c>
      <c r="F40" s="91">
        <f>IFERROR(__xludf.DUMMYFUNCTION("IFERROR(sum(filter('Основной эфир'!$O:$O, 'Основной эфир'!$B:$B=$A40,'Основной эфир'!$C:$C=$B40,'Основной эфир'!$I:$I=$C40)), 0) "),0.0)</f>
        <v>0</v>
      </c>
      <c r="G40" s="91">
        <f>IFERROR(__xludf.DUMMYFUNCTION("IFERROR(sum(filter('Основной эфир'!$Q:$Q, 'Основной эфир'!$B:$B=$A40,'Основной эфир'!$C:$C=$B40,'Основной эфир'!$I:$I=$C40)), 0) "),0.0)</f>
        <v>0</v>
      </c>
      <c r="H40" s="91">
        <f>IFERROR(__xludf.DUMMYFUNCTION("IFERROR(AVERAGE(filter('Основной эфир'!$Y:$Y, 'Основной эфир'!$B:$B=$A40,'Основной эфир'!$C:$C=$B40,'Основной эфир'!$I:$I=$C40)), 0) "),0.0)</f>
        <v>0</v>
      </c>
      <c r="I40" s="91">
        <f>IFERROR(__xludf.DUMMYFUNCTION("IFERROR(AVERAGE(filter('Основной эфир'!$AE:$AE, 'Основной эфир'!$B:$B=$A40,'Основной эфир'!$C:$C=$B40,'Основной эфир'!$I:$I=$C40)), 0) "),0.0)</f>
        <v>0</v>
      </c>
      <c r="J40" s="91">
        <f>IFERROR(__xludf.DUMMYFUNCTION("IFERROR(SUM(filter('Основной эфир'!$AL:$AL, 'Основной эфир'!$B:$B=$A40,'Основной эфир'!$C:$C=$B40,'Основной эфир'!$I:$I=$C40)), 0) "),0.0)</f>
        <v>0</v>
      </c>
      <c r="K40" s="91" t="str">
        <f>IFERROR(__xludf.DUMMYFUNCTION("IFERROR(REGEXREPLACE(unique(filter('Основной эфир'!$A:$A, 'Основной эфир'!$B:$B=$A40,'Основной эфир'!$C:$C=$B40,'Основной эфир'!$I:$I=$C40)), ""\d+"", """"),"""")"),"")</f>
        <v/>
      </c>
      <c r="L40" s="91" t="str">
        <f>IFERROR(__xludf.DUMMYFUNCTION("IFERROR(unique(filter('Основной эфир'!$F:$F, 'Основной эфир'!$B:$B=$A40,'Основной эфир'!$C:$C=$B40,'Основной эфир'!$I:$I=$C40)),"""")"),"")</f>
        <v/>
      </c>
      <c r="M40" s="92" t="str">
        <f t="shared" si="1"/>
        <v/>
      </c>
      <c r="N40" s="93">
        <f>IFERROR(__xludf.DUMMYFUNCTION("IFERROR(SWITCH(lower(join("" "",L40:M40)),""а миллионник"", 62.5,""б миллионник"", 75,""а мск"", 50, ""б мск"", 62.5, ""a остальное"", 70, ""б остальное"", 80)/100,0)"),0.0)</f>
        <v>0</v>
      </c>
      <c r="O40" s="91">
        <f t="shared" si="2"/>
        <v>0</v>
      </c>
      <c r="P40" s="91">
        <f>IFERROR(__xludf.DUMMYFUNCTION("IFERROR(sum(filter('Генеральный баннер'!$O:$O, 'Генеральный баннер'!$B:$B=$A40,'Генеральный баннер'!$C:$C=$B40,'Генеральный баннер'!$I:$I=$C40)), 0) "),0.0)</f>
        <v>0</v>
      </c>
      <c r="Q40" s="91">
        <f>IFERROR(__xludf.DUMMYFUNCTION("IFERROR(sum(filter('Генеральный баннер'!$Q:$Q, 'Генеральный баннер'!$B:$B=$A40,'Генеральный баннер'!$C:$C=$B40,'Генеральный баннер'!$I:$I=$C40)), 0) "),0.0)</f>
        <v>0</v>
      </c>
      <c r="R40" s="91">
        <f>IFERROR(__xludf.DUMMYFUNCTION("IFERROR(AVERAGE(filter('Генеральный баннер'!$AA:$AA, 'Генеральный баннер'!$B:$B=$A40,'Генеральный баннер'!$C:$C=$B40,'Генеральный баннер'!$I:$I=$C40)), 0) "),0.0)</f>
        <v>0</v>
      </c>
      <c r="S40" s="91">
        <f>IFERROR(__xludf.DUMMYFUNCTION("IFERROR(SUM(filter('Генеральный баннер'!$AH:$AH, 'Генеральный баннер'!$B:$B=$A40,'Генеральный баннер'!$C:$C=$B40,'Генеральный баннер'!$I:$I=$C40)), 0) "),0.0)</f>
        <v>0</v>
      </c>
      <c r="T40" s="91" t="str">
        <f>IFERROR(__xludf.DUMMYFUNCTION("IFERROR(REGEXREPLACE(unique(filter('Генеральный баннер'!$A:$A, 'Генеральный баннер'!$B:$B=$A40,'Генеральный баннер'!$C:$C=$B40,'Генеральный баннер'!$I:$I=$C40)), ""\d+"", """"),"""")"),"")</f>
        <v/>
      </c>
      <c r="U40" s="91" t="str">
        <f>IFERROR(__xludf.DUMMYFUNCTION("IFERROR(unique(filter('Генеральный баннер'!$F:$F, 'Генеральный баннер'!$B:$B=$A40,'Генеральный баннер'!$C:$C=$B40,'Генеральный баннер'!$I:$I=$C40)),"""")"),"")</f>
        <v/>
      </c>
      <c r="V40" s="92" t="str">
        <f t="shared" si="3"/>
        <v/>
      </c>
      <c r="W40" s="93">
        <f>IFERROR(__xludf.DUMMYFUNCTION("IFERROR(SWITCH(lower(join("" "",U40:V40)),""а миллионник"", 62.5,""б миллионник"", 75,""а мск"", 50, ""б мск"", 62.5, ""a остальное"", 70, ""б остальное"", 80)/100,0)"),0.0)</f>
        <v>0</v>
      </c>
      <c r="X40" s="91">
        <f t="shared" si="4"/>
        <v>0</v>
      </c>
    </row>
    <row r="41">
      <c r="A41" s="90"/>
      <c r="B41" s="90"/>
      <c r="C41" s="90"/>
      <c r="D41" s="91">
        <f>IFERROR(__xludf.DUMMYFUNCTION("IFERROR(sum(filter('Основной эфир'!$AA:$AA, 'Основной эфир'!$B:$B=$A41,'Основной эфир'!$C:$C=$B41,'Основной эфир'!$I:$I=$C41)), 0) "),0.0)</f>
        <v>0</v>
      </c>
      <c r="E41" s="91">
        <f>IFERROR(__xludf.DUMMYFUNCTION("IFERROR(sum(filter('Основной эфир'!$AC:$AC, 'Основной эфир'!$B:$B=$A41,'Основной эфир'!$C:$C=$B41,'Основной эфир'!$I:$I=$C41)), 0) "),0.0)</f>
        <v>0</v>
      </c>
      <c r="F41" s="91">
        <f>IFERROR(__xludf.DUMMYFUNCTION("IFERROR(sum(filter('Основной эфир'!$O:$O, 'Основной эфир'!$B:$B=$A41,'Основной эфир'!$C:$C=$B41,'Основной эфир'!$I:$I=$C41)), 0) "),0.0)</f>
        <v>0</v>
      </c>
      <c r="G41" s="91">
        <f>IFERROR(__xludf.DUMMYFUNCTION("IFERROR(sum(filter('Основной эфир'!$Q:$Q, 'Основной эфир'!$B:$B=$A41,'Основной эфир'!$C:$C=$B41,'Основной эфир'!$I:$I=$C41)), 0) "),0.0)</f>
        <v>0</v>
      </c>
      <c r="H41" s="91">
        <f>IFERROR(__xludf.DUMMYFUNCTION("IFERROR(AVERAGE(filter('Основной эфир'!$Y:$Y, 'Основной эфир'!$B:$B=$A41,'Основной эфир'!$C:$C=$B41,'Основной эфир'!$I:$I=$C41)), 0) "),0.0)</f>
        <v>0</v>
      </c>
      <c r="I41" s="91">
        <f>IFERROR(__xludf.DUMMYFUNCTION("IFERROR(AVERAGE(filter('Основной эфир'!$AE:$AE, 'Основной эфир'!$B:$B=$A41,'Основной эфир'!$C:$C=$B41,'Основной эфир'!$I:$I=$C41)), 0) "),0.0)</f>
        <v>0</v>
      </c>
      <c r="J41" s="91">
        <f>IFERROR(__xludf.DUMMYFUNCTION("IFERROR(SUM(filter('Основной эфир'!$AL:$AL, 'Основной эфир'!$B:$B=$A41,'Основной эфир'!$C:$C=$B41,'Основной эфир'!$I:$I=$C41)), 0) "),0.0)</f>
        <v>0</v>
      </c>
      <c r="K41" s="91" t="str">
        <f>IFERROR(__xludf.DUMMYFUNCTION("IFERROR(REGEXREPLACE(unique(filter('Основной эфир'!$A:$A, 'Основной эфир'!$B:$B=$A41,'Основной эфир'!$C:$C=$B41,'Основной эфир'!$I:$I=$C41)), ""\d+"", """"),"""")"),"")</f>
        <v/>
      </c>
      <c r="L41" s="91" t="str">
        <f>IFERROR(__xludf.DUMMYFUNCTION("IFERROR(unique(filter('Основной эфир'!$F:$F, 'Основной эфир'!$B:$B=$A41,'Основной эфир'!$C:$C=$B41,'Основной эфир'!$I:$I=$C41)),"""")"),"")</f>
        <v/>
      </c>
      <c r="M41" s="92" t="str">
        <f t="shared" si="1"/>
        <v/>
      </c>
      <c r="N41" s="93">
        <f>IFERROR(__xludf.DUMMYFUNCTION("IFERROR(SWITCH(lower(join("" "",L41:M41)),""а миллионник"", 62.5,""б миллионник"", 75,""а мск"", 50, ""б мск"", 62.5, ""a остальное"", 70, ""б остальное"", 80)/100,0)"),0.0)</f>
        <v>0</v>
      </c>
      <c r="O41" s="91">
        <f t="shared" si="2"/>
        <v>0</v>
      </c>
      <c r="P41" s="91">
        <f>IFERROR(__xludf.DUMMYFUNCTION("IFERROR(sum(filter('Генеральный баннер'!$O:$O, 'Генеральный баннер'!$B:$B=$A41,'Генеральный баннер'!$C:$C=$B41,'Генеральный баннер'!$I:$I=$C41)), 0) "),0.0)</f>
        <v>0</v>
      </c>
      <c r="Q41" s="91">
        <f>IFERROR(__xludf.DUMMYFUNCTION("IFERROR(sum(filter('Генеральный баннер'!$Q:$Q, 'Генеральный баннер'!$B:$B=$A41,'Генеральный баннер'!$C:$C=$B41,'Генеральный баннер'!$I:$I=$C41)), 0) "),0.0)</f>
        <v>0</v>
      </c>
      <c r="R41" s="91">
        <f>IFERROR(__xludf.DUMMYFUNCTION("IFERROR(AVERAGE(filter('Генеральный баннер'!$AA:$AA, 'Генеральный баннер'!$B:$B=$A41,'Генеральный баннер'!$C:$C=$B41,'Генеральный баннер'!$I:$I=$C41)), 0) "),0.0)</f>
        <v>0</v>
      </c>
      <c r="S41" s="91">
        <f>IFERROR(__xludf.DUMMYFUNCTION("IFERROR(SUM(filter('Генеральный баннер'!$AH:$AH, 'Генеральный баннер'!$B:$B=$A41,'Генеральный баннер'!$C:$C=$B41,'Генеральный баннер'!$I:$I=$C41)), 0) "),0.0)</f>
        <v>0</v>
      </c>
      <c r="T41" s="91" t="str">
        <f>IFERROR(__xludf.DUMMYFUNCTION("IFERROR(REGEXREPLACE(unique(filter('Генеральный баннер'!$A:$A, 'Генеральный баннер'!$B:$B=$A41,'Генеральный баннер'!$C:$C=$B41,'Генеральный баннер'!$I:$I=$C41)), ""\d+"", """"),"""")"),"")</f>
        <v/>
      </c>
      <c r="U41" s="91" t="str">
        <f>IFERROR(__xludf.DUMMYFUNCTION("IFERROR(unique(filter('Генеральный баннер'!$F:$F, 'Генеральный баннер'!$B:$B=$A41,'Генеральный баннер'!$C:$C=$B41,'Генеральный баннер'!$I:$I=$C41)),"""")"),"")</f>
        <v/>
      </c>
      <c r="V41" s="92" t="str">
        <f t="shared" si="3"/>
        <v/>
      </c>
      <c r="W41" s="93">
        <f>IFERROR(__xludf.DUMMYFUNCTION("IFERROR(SWITCH(lower(join("" "",U41:V41)),""а миллионник"", 62.5,""б миллионник"", 75,""а мск"", 50, ""б мск"", 62.5, ""a остальное"", 70, ""б остальное"", 80)/100,0)"),0.0)</f>
        <v>0</v>
      </c>
      <c r="X41" s="91">
        <f t="shared" si="4"/>
        <v>0</v>
      </c>
    </row>
    <row r="42">
      <c r="A42" s="90"/>
      <c r="B42" s="90"/>
      <c r="C42" s="90"/>
      <c r="D42" s="91">
        <f>IFERROR(__xludf.DUMMYFUNCTION("IFERROR(sum(filter('Основной эфир'!$AA:$AA, 'Основной эфир'!$B:$B=$A42,'Основной эфир'!$C:$C=$B42,'Основной эфир'!$I:$I=$C42)), 0) "),0.0)</f>
        <v>0</v>
      </c>
      <c r="E42" s="91">
        <f>IFERROR(__xludf.DUMMYFUNCTION("IFERROR(sum(filter('Основной эфир'!$AC:$AC, 'Основной эфир'!$B:$B=$A42,'Основной эфир'!$C:$C=$B42,'Основной эфир'!$I:$I=$C42)), 0) "),0.0)</f>
        <v>0</v>
      </c>
      <c r="F42" s="91">
        <f>IFERROR(__xludf.DUMMYFUNCTION("IFERROR(sum(filter('Основной эфир'!$O:$O, 'Основной эфир'!$B:$B=$A42,'Основной эфир'!$C:$C=$B42,'Основной эфир'!$I:$I=$C42)), 0) "),0.0)</f>
        <v>0</v>
      </c>
      <c r="G42" s="91">
        <f>IFERROR(__xludf.DUMMYFUNCTION("IFERROR(sum(filter('Основной эфир'!$Q:$Q, 'Основной эфир'!$B:$B=$A42,'Основной эфир'!$C:$C=$B42,'Основной эфир'!$I:$I=$C42)), 0) "),0.0)</f>
        <v>0</v>
      </c>
      <c r="H42" s="91">
        <f>IFERROR(__xludf.DUMMYFUNCTION("IFERROR(AVERAGE(filter('Основной эфир'!$Y:$Y, 'Основной эфир'!$B:$B=$A42,'Основной эфир'!$C:$C=$B42,'Основной эфир'!$I:$I=$C42)), 0) "),0.0)</f>
        <v>0</v>
      </c>
      <c r="I42" s="91">
        <f>IFERROR(__xludf.DUMMYFUNCTION("IFERROR(AVERAGE(filter('Основной эфир'!$AE:$AE, 'Основной эфир'!$B:$B=$A42,'Основной эфир'!$C:$C=$B42,'Основной эфир'!$I:$I=$C42)), 0) "),0.0)</f>
        <v>0</v>
      </c>
      <c r="J42" s="91">
        <f>IFERROR(__xludf.DUMMYFUNCTION("IFERROR(SUM(filter('Основной эфир'!$AL:$AL, 'Основной эфир'!$B:$B=$A42,'Основной эфир'!$C:$C=$B42,'Основной эфир'!$I:$I=$C42)), 0) "),0.0)</f>
        <v>0</v>
      </c>
      <c r="K42" s="91" t="str">
        <f>IFERROR(__xludf.DUMMYFUNCTION("IFERROR(REGEXREPLACE(unique(filter('Основной эфир'!$A:$A, 'Основной эфир'!$B:$B=$A42,'Основной эфир'!$C:$C=$B42,'Основной эфир'!$I:$I=$C42)), ""\d+"", """"),"""")"),"")</f>
        <v/>
      </c>
      <c r="L42" s="91" t="str">
        <f>IFERROR(__xludf.DUMMYFUNCTION("IFERROR(unique(filter('Основной эфир'!$F:$F, 'Основной эфир'!$B:$B=$A42,'Основной эфир'!$C:$C=$B42,'Основной эфир'!$I:$I=$C42)),"""")"),"")</f>
        <v/>
      </c>
      <c r="M42" s="92" t="str">
        <f t="shared" si="1"/>
        <v/>
      </c>
      <c r="N42" s="93">
        <f>IFERROR(__xludf.DUMMYFUNCTION("IFERROR(SWITCH(lower(join("" "",L42:M42)),""а миллионник"", 62.5,""б миллионник"", 75,""а мск"", 50, ""б мск"", 62.5, ""a остальное"", 70, ""б остальное"", 80)/100,0)"),0.0)</f>
        <v>0</v>
      </c>
      <c r="O42" s="91">
        <f t="shared" si="2"/>
        <v>0</v>
      </c>
      <c r="P42" s="91">
        <f>IFERROR(__xludf.DUMMYFUNCTION("IFERROR(sum(filter('Генеральный баннер'!$O:$O, 'Генеральный баннер'!$B:$B=$A42,'Генеральный баннер'!$C:$C=$B42,'Генеральный баннер'!$I:$I=$C42)), 0) "),0.0)</f>
        <v>0</v>
      </c>
      <c r="Q42" s="91">
        <f>IFERROR(__xludf.DUMMYFUNCTION("IFERROR(sum(filter('Генеральный баннер'!$Q:$Q, 'Генеральный баннер'!$B:$B=$A42,'Генеральный баннер'!$C:$C=$B42,'Генеральный баннер'!$I:$I=$C42)), 0) "),0.0)</f>
        <v>0</v>
      </c>
      <c r="R42" s="91">
        <f>IFERROR(__xludf.DUMMYFUNCTION("IFERROR(AVERAGE(filter('Генеральный баннер'!$AA:$AA, 'Генеральный баннер'!$B:$B=$A42,'Генеральный баннер'!$C:$C=$B42,'Генеральный баннер'!$I:$I=$C42)), 0) "),0.0)</f>
        <v>0</v>
      </c>
      <c r="S42" s="91">
        <f>IFERROR(__xludf.DUMMYFUNCTION("IFERROR(SUM(filter('Генеральный баннер'!$AH:$AH, 'Генеральный баннер'!$B:$B=$A42,'Генеральный баннер'!$C:$C=$B42,'Генеральный баннер'!$I:$I=$C42)), 0) "),0.0)</f>
        <v>0</v>
      </c>
      <c r="T42" s="91" t="str">
        <f>IFERROR(__xludf.DUMMYFUNCTION("IFERROR(REGEXREPLACE(unique(filter('Генеральный баннер'!$A:$A, 'Генеральный баннер'!$B:$B=$A42,'Генеральный баннер'!$C:$C=$B42,'Генеральный баннер'!$I:$I=$C42)), ""\d+"", """"),"""")"),"")</f>
        <v/>
      </c>
      <c r="U42" s="91" t="str">
        <f>IFERROR(__xludf.DUMMYFUNCTION("IFERROR(unique(filter('Генеральный баннер'!$F:$F, 'Генеральный баннер'!$B:$B=$A42,'Генеральный баннер'!$C:$C=$B42,'Генеральный баннер'!$I:$I=$C42)),"""")"),"")</f>
        <v/>
      </c>
      <c r="V42" s="92" t="str">
        <f t="shared" si="3"/>
        <v/>
      </c>
      <c r="W42" s="93">
        <f>IFERROR(__xludf.DUMMYFUNCTION("IFERROR(SWITCH(lower(join("" "",U42:V42)),""а миллионник"", 62.5,""б миллионник"", 75,""а мск"", 50, ""б мск"", 62.5, ""a остальное"", 70, ""б остальное"", 80)/100,0)"),0.0)</f>
        <v>0</v>
      </c>
      <c r="X42" s="91">
        <f t="shared" si="4"/>
        <v>0</v>
      </c>
    </row>
    <row r="43">
      <c r="A43" s="90"/>
      <c r="B43" s="90"/>
      <c r="C43" s="90"/>
      <c r="D43" s="91">
        <f>IFERROR(__xludf.DUMMYFUNCTION("IFERROR(sum(filter('Основной эфир'!$AA:$AA, 'Основной эфир'!$B:$B=$A43,'Основной эфир'!$C:$C=$B43,'Основной эфир'!$I:$I=$C43)), 0) "),0.0)</f>
        <v>0</v>
      </c>
      <c r="E43" s="91">
        <f>IFERROR(__xludf.DUMMYFUNCTION("IFERROR(sum(filter('Основной эфир'!$AC:$AC, 'Основной эфир'!$B:$B=$A43,'Основной эфир'!$C:$C=$B43,'Основной эфир'!$I:$I=$C43)), 0) "),0.0)</f>
        <v>0</v>
      </c>
      <c r="F43" s="91">
        <f>IFERROR(__xludf.DUMMYFUNCTION("IFERROR(sum(filter('Основной эфир'!$O:$O, 'Основной эфир'!$B:$B=$A43,'Основной эфир'!$C:$C=$B43,'Основной эфир'!$I:$I=$C43)), 0) "),0.0)</f>
        <v>0</v>
      </c>
      <c r="G43" s="91">
        <f>IFERROR(__xludf.DUMMYFUNCTION("IFERROR(sum(filter('Основной эфир'!$Q:$Q, 'Основной эфир'!$B:$B=$A43,'Основной эфир'!$C:$C=$B43,'Основной эфир'!$I:$I=$C43)), 0) "),0.0)</f>
        <v>0</v>
      </c>
      <c r="H43" s="91">
        <f>IFERROR(__xludf.DUMMYFUNCTION("IFERROR(AVERAGE(filter('Основной эфир'!$Y:$Y, 'Основной эфир'!$B:$B=$A43,'Основной эфир'!$C:$C=$B43,'Основной эфир'!$I:$I=$C43)), 0) "),0.0)</f>
        <v>0</v>
      </c>
      <c r="I43" s="91">
        <f>IFERROR(__xludf.DUMMYFUNCTION("IFERROR(AVERAGE(filter('Основной эфир'!$AE:$AE, 'Основной эфир'!$B:$B=$A43,'Основной эфир'!$C:$C=$B43,'Основной эфир'!$I:$I=$C43)), 0) "),0.0)</f>
        <v>0</v>
      </c>
      <c r="J43" s="91">
        <f>IFERROR(__xludf.DUMMYFUNCTION("IFERROR(SUM(filter('Основной эфир'!$AL:$AL, 'Основной эфир'!$B:$B=$A43,'Основной эфир'!$C:$C=$B43,'Основной эфир'!$I:$I=$C43)), 0) "),0.0)</f>
        <v>0</v>
      </c>
      <c r="K43" s="91" t="str">
        <f>IFERROR(__xludf.DUMMYFUNCTION("IFERROR(REGEXREPLACE(unique(filter('Основной эфир'!$A:$A, 'Основной эфир'!$B:$B=$A43,'Основной эфир'!$C:$C=$B43,'Основной эфир'!$I:$I=$C43)), ""\d+"", """"),"""")"),"")</f>
        <v/>
      </c>
      <c r="L43" s="91" t="str">
        <f>IFERROR(__xludf.DUMMYFUNCTION("IFERROR(unique(filter('Основной эфир'!$F:$F, 'Основной эфир'!$B:$B=$A43,'Основной эфир'!$C:$C=$B43,'Основной эфир'!$I:$I=$C43)),"""")"),"")</f>
        <v/>
      </c>
      <c r="M43" s="92" t="str">
        <f t="shared" si="1"/>
        <v/>
      </c>
      <c r="N43" s="93">
        <f>IFERROR(__xludf.DUMMYFUNCTION("IFERROR(SWITCH(lower(join("" "",L43:M43)),""а миллионник"", 62.5,""б миллионник"", 75,""а мск"", 50, ""б мск"", 62.5, ""a остальное"", 70, ""б остальное"", 80)/100,0)"),0.0)</f>
        <v>0</v>
      </c>
      <c r="O43" s="91">
        <f t="shared" si="2"/>
        <v>0</v>
      </c>
      <c r="P43" s="91">
        <f>IFERROR(__xludf.DUMMYFUNCTION("IFERROR(sum(filter('Генеральный баннер'!$O:$O, 'Генеральный баннер'!$B:$B=$A43,'Генеральный баннер'!$C:$C=$B43,'Генеральный баннер'!$I:$I=$C43)), 0) "),0.0)</f>
        <v>0</v>
      </c>
      <c r="Q43" s="91">
        <f>IFERROR(__xludf.DUMMYFUNCTION("IFERROR(sum(filter('Генеральный баннер'!$Q:$Q, 'Генеральный баннер'!$B:$B=$A43,'Генеральный баннер'!$C:$C=$B43,'Генеральный баннер'!$I:$I=$C43)), 0) "),0.0)</f>
        <v>0</v>
      </c>
      <c r="R43" s="91">
        <f>IFERROR(__xludf.DUMMYFUNCTION("IFERROR(AVERAGE(filter('Генеральный баннер'!$AA:$AA, 'Генеральный баннер'!$B:$B=$A43,'Генеральный баннер'!$C:$C=$B43,'Генеральный баннер'!$I:$I=$C43)), 0) "),0.0)</f>
        <v>0</v>
      </c>
      <c r="S43" s="91">
        <f>IFERROR(__xludf.DUMMYFUNCTION("IFERROR(SUM(filter('Генеральный баннер'!$AH:$AH, 'Генеральный баннер'!$B:$B=$A43,'Генеральный баннер'!$C:$C=$B43,'Генеральный баннер'!$I:$I=$C43)), 0) "),0.0)</f>
        <v>0</v>
      </c>
      <c r="T43" s="91" t="str">
        <f>IFERROR(__xludf.DUMMYFUNCTION("IFERROR(REGEXREPLACE(unique(filter('Генеральный баннер'!$A:$A, 'Генеральный баннер'!$B:$B=$A43,'Генеральный баннер'!$C:$C=$B43,'Генеральный баннер'!$I:$I=$C43)), ""\d+"", """"),"""")"),"")</f>
        <v/>
      </c>
      <c r="U43" s="91" t="str">
        <f>IFERROR(__xludf.DUMMYFUNCTION("IFERROR(unique(filter('Генеральный баннер'!$F:$F, 'Генеральный баннер'!$B:$B=$A43,'Генеральный баннер'!$C:$C=$B43,'Генеральный баннер'!$I:$I=$C43)),"""")"),"")</f>
        <v/>
      </c>
      <c r="V43" s="92" t="str">
        <f t="shared" si="3"/>
        <v/>
      </c>
      <c r="W43" s="93">
        <f>IFERROR(__xludf.DUMMYFUNCTION("IFERROR(SWITCH(lower(join("" "",U43:V43)),""а миллионник"", 62.5,""б миллионник"", 75,""а мск"", 50, ""б мск"", 62.5, ""a остальное"", 70, ""б остальное"", 80)/100,0)"),0.0)</f>
        <v>0</v>
      </c>
      <c r="X43" s="91">
        <f t="shared" si="4"/>
        <v>0</v>
      </c>
    </row>
    <row r="44">
      <c r="A44" s="90"/>
      <c r="B44" s="90"/>
      <c r="C44" s="90"/>
      <c r="D44" s="91">
        <f>IFERROR(__xludf.DUMMYFUNCTION("IFERROR(sum(filter('Основной эфир'!$AA:$AA, 'Основной эфир'!$B:$B=$A44,'Основной эфир'!$C:$C=$B44,'Основной эфир'!$I:$I=$C44)), 0) "),0.0)</f>
        <v>0</v>
      </c>
      <c r="E44" s="91">
        <f>IFERROR(__xludf.DUMMYFUNCTION("IFERROR(sum(filter('Основной эфир'!$AC:$AC, 'Основной эфир'!$B:$B=$A44,'Основной эфир'!$C:$C=$B44,'Основной эфир'!$I:$I=$C44)), 0) "),0.0)</f>
        <v>0</v>
      </c>
      <c r="F44" s="91">
        <f>IFERROR(__xludf.DUMMYFUNCTION("IFERROR(sum(filter('Основной эфир'!$O:$O, 'Основной эфир'!$B:$B=$A44,'Основной эфир'!$C:$C=$B44,'Основной эфир'!$I:$I=$C44)), 0) "),0.0)</f>
        <v>0</v>
      </c>
      <c r="G44" s="91">
        <f>IFERROR(__xludf.DUMMYFUNCTION("IFERROR(sum(filter('Основной эфир'!$Q:$Q, 'Основной эфир'!$B:$B=$A44,'Основной эфир'!$C:$C=$B44,'Основной эфир'!$I:$I=$C44)), 0) "),0.0)</f>
        <v>0</v>
      </c>
      <c r="H44" s="91">
        <f>IFERROR(__xludf.DUMMYFUNCTION("IFERROR(AVERAGE(filter('Основной эфир'!$Y:$Y, 'Основной эфир'!$B:$B=$A44,'Основной эфир'!$C:$C=$B44,'Основной эфир'!$I:$I=$C44)), 0) "),0.0)</f>
        <v>0</v>
      </c>
      <c r="I44" s="91">
        <f>IFERROR(__xludf.DUMMYFUNCTION("IFERROR(AVERAGE(filter('Основной эфир'!$AE:$AE, 'Основной эфир'!$B:$B=$A44,'Основной эфир'!$C:$C=$B44,'Основной эфир'!$I:$I=$C44)), 0) "),0.0)</f>
        <v>0</v>
      </c>
      <c r="J44" s="91">
        <f>IFERROR(__xludf.DUMMYFUNCTION("IFERROR(SUM(filter('Основной эфир'!$AL:$AL, 'Основной эфир'!$B:$B=$A44,'Основной эфир'!$C:$C=$B44,'Основной эфир'!$I:$I=$C44)), 0) "),0.0)</f>
        <v>0</v>
      </c>
      <c r="K44" s="91" t="str">
        <f>IFERROR(__xludf.DUMMYFUNCTION("IFERROR(REGEXREPLACE(unique(filter('Основной эфир'!$A:$A, 'Основной эфир'!$B:$B=$A44,'Основной эфир'!$C:$C=$B44,'Основной эфир'!$I:$I=$C44)), ""\d+"", """"),"""")"),"")</f>
        <v/>
      </c>
      <c r="L44" s="91" t="str">
        <f>IFERROR(__xludf.DUMMYFUNCTION("IFERROR(unique(filter('Основной эфир'!$F:$F, 'Основной эфир'!$B:$B=$A44,'Основной эфир'!$C:$C=$B44,'Основной эфир'!$I:$I=$C44)),"""")"),"")</f>
        <v/>
      </c>
      <c r="M44" s="92" t="str">
        <f t="shared" si="1"/>
        <v/>
      </c>
      <c r="N44" s="93">
        <f>IFERROR(__xludf.DUMMYFUNCTION("IFERROR(SWITCH(lower(join("" "",L44:M44)),""а миллионник"", 62.5,""б миллионник"", 75,""а мск"", 50, ""б мск"", 62.5, ""a остальное"", 70, ""б остальное"", 80)/100,0)"),0.0)</f>
        <v>0</v>
      </c>
      <c r="O44" s="91">
        <f t="shared" si="2"/>
        <v>0</v>
      </c>
      <c r="P44" s="91">
        <f>IFERROR(__xludf.DUMMYFUNCTION("IFERROR(sum(filter('Генеральный баннер'!$O:$O, 'Генеральный баннер'!$B:$B=$A44,'Генеральный баннер'!$C:$C=$B44,'Генеральный баннер'!$I:$I=$C44)), 0) "),0.0)</f>
        <v>0</v>
      </c>
      <c r="Q44" s="91">
        <f>IFERROR(__xludf.DUMMYFUNCTION("IFERROR(sum(filter('Генеральный баннер'!$Q:$Q, 'Генеральный баннер'!$B:$B=$A44,'Генеральный баннер'!$C:$C=$B44,'Генеральный баннер'!$I:$I=$C44)), 0) "),0.0)</f>
        <v>0</v>
      </c>
      <c r="R44" s="91">
        <f>IFERROR(__xludf.DUMMYFUNCTION("IFERROR(AVERAGE(filter('Генеральный баннер'!$AA:$AA, 'Генеральный баннер'!$B:$B=$A44,'Генеральный баннер'!$C:$C=$B44,'Генеральный баннер'!$I:$I=$C44)), 0) "),0.0)</f>
        <v>0</v>
      </c>
      <c r="S44" s="91">
        <f>IFERROR(__xludf.DUMMYFUNCTION("IFERROR(SUM(filter('Генеральный баннер'!$AH:$AH, 'Генеральный баннер'!$B:$B=$A44,'Генеральный баннер'!$C:$C=$B44,'Генеральный баннер'!$I:$I=$C44)), 0) "),0.0)</f>
        <v>0</v>
      </c>
      <c r="T44" s="91" t="str">
        <f>IFERROR(__xludf.DUMMYFUNCTION("IFERROR(REGEXREPLACE(unique(filter('Генеральный баннер'!$A:$A, 'Генеральный баннер'!$B:$B=$A44,'Генеральный баннер'!$C:$C=$B44,'Генеральный баннер'!$I:$I=$C44)), ""\d+"", """"),"""")"),"")</f>
        <v/>
      </c>
      <c r="U44" s="91" t="str">
        <f>IFERROR(__xludf.DUMMYFUNCTION("IFERROR(unique(filter('Генеральный баннер'!$F:$F, 'Генеральный баннер'!$B:$B=$A44,'Генеральный баннер'!$C:$C=$B44,'Генеральный баннер'!$I:$I=$C44)),"""")"),"")</f>
        <v/>
      </c>
      <c r="V44" s="92" t="str">
        <f t="shared" si="3"/>
        <v/>
      </c>
      <c r="W44" s="93">
        <f>IFERROR(__xludf.DUMMYFUNCTION("IFERROR(SWITCH(lower(join("" "",U44:V44)),""а миллионник"", 62.5,""б миллионник"", 75,""а мск"", 50, ""б мск"", 62.5, ""a остальное"", 70, ""б остальное"", 80)/100,0)"),0.0)</f>
        <v>0</v>
      </c>
      <c r="X44" s="91">
        <f t="shared" si="4"/>
        <v>0</v>
      </c>
    </row>
    <row r="45">
      <c r="A45" s="90"/>
      <c r="B45" s="90"/>
      <c r="C45" s="90"/>
      <c r="D45" s="91">
        <f>IFERROR(__xludf.DUMMYFUNCTION("IFERROR(sum(filter('Основной эфир'!$AA:$AA, 'Основной эфир'!$B:$B=$A45,'Основной эфир'!$C:$C=$B45,'Основной эфир'!$I:$I=$C45)), 0) "),0.0)</f>
        <v>0</v>
      </c>
      <c r="E45" s="91">
        <f>IFERROR(__xludf.DUMMYFUNCTION("IFERROR(sum(filter('Основной эфир'!$AC:$AC, 'Основной эфир'!$B:$B=$A45,'Основной эфир'!$C:$C=$B45,'Основной эфир'!$I:$I=$C45)), 0) "),0.0)</f>
        <v>0</v>
      </c>
      <c r="F45" s="91">
        <f>IFERROR(__xludf.DUMMYFUNCTION("IFERROR(sum(filter('Основной эфир'!$O:$O, 'Основной эфир'!$B:$B=$A45,'Основной эфир'!$C:$C=$B45,'Основной эфир'!$I:$I=$C45)), 0) "),0.0)</f>
        <v>0</v>
      </c>
      <c r="G45" s="91">
        <f>IFERROR(__xludf.DUMMYFUNCTION("IFERROR(sum(filter('Основной эфир'!$Q:$Q, 'Основной эфир'!$B:$B=$A45,'Основной эфир'!$C:$C=$B45,'Основной эфир'!$I:$I=$C45)), 0) "),0.0)</f>
        <v>0</v>
      </c>
      <c r="H45" s="91">
        <f>IFERROR(__xludf.DUMMYFUNCTION("IFERROR(AVERAGE(filter('Основной эфир'!$Y:$Y, 'Основной эфир'!$B:$B=$A45,'Основной эфир'!$C:$C=$B45,'Основной эфир'!$I:$I=$C45)), 0) "),0.0)</f>
        <v>0</v>
      </c>
      <c r="I45" s="91">
        <f>IFERROR(__xludf.DUMMYFUNCTION("IFERROR(AVERAGE(filter('Основной эфир'!$AE:$AE, 'Основной эфир'!$B:$B=$A45,'Основной эфир'!$C:$C=$B45,'Основной эфир'!$I:$I=$C45)), 0) "),0.0)</f>
        <v>0</v>
      </c>
      <c r="J45" s="91">
        <f>IFERROR(__xludf.DUMMYFUNCTION("IFERROR(SUM(filter('Основной эфир'!$AL:$AL, 'Основной эфир'!$B:$B=$A45,'Основной эфир'!$C:$C=$B45,'Основной эфир'!$I:$I=$C45)), 0) "),0.0)</f>
        <v>0</v>
      </c>
      <c r="K45" s="91" t="str">
        <f>IFERROR(__xludf.DUMMYFUNCTION("IFERROR(REGEXREPLACE(unique(filter('Основной эфир'!$A:$A, 'Основной эфир'!$B:$B=$A45,'Основной эфир'!$C:$C=$B45,'Основной эфир'!$I:$I=$C45)), ""\d+"", """"),"""")"),"")</f>
        <v/>
      </c>
      <c r="L45" s="91" t="str">
        <f>IFERROR(__xludf.DUMMYFUNCTION("IFERROR(unique(filter('Основной эфир'!$F:$F, 'Основной эфир'!$B:$B=$A45,'Основной эфир'!$C:$C=$B45,'Основной эфир'!$I:$I=$C45)),"""")"),"")</f>
        <v/>
      </c>
      <c r="M45" s="92" t="str">
        <f t="shared" si="1"/>
        <v/>
      </c>
      <c r="N45" s="93">
        <f>IFERROR(__xludf.DUMMYFUNCTION("IFERROR(SWITCH(lower(join("" "",L45:M45)),""а миллионник"", 62.5,""б миллионник"", 75,""а мск"", 50, ""б мск"", 62.5, ""a остальное"", 70, ""б остальное"", 80)/100,0)"),0.0)</f>
        <v>0</v>
      </c>
      <c r="O45" s="91">
        <f t="shared" si="2"/>
        <v>0</v>
      </c>
      <c r="P45" s="91">
        <f>IFERROR(__xludf.DUMMYFUNCTION("IFERROR(sum(filter('Генеральный баннер'!$O:$O, 'Генеральный баннер'!$B:$B=$A45,'Генеральный баннер'!$C:$C=$B45,'Генеральный баннер'!$I:$I=$C45)), 0) "),0.0)</f>
        <v>0</v>
      </c>
      <c r="Q45" s="91">
        <f>IFERROR(__xludf.DUMMYFUNCTION("IFERROR(sum(filter('Генеральный баннер'!$Q:$Q, 'Генеральный баннер'!$B:$B=$A45,'Генеральный баннер'!$C:$C=$B45,'Генеральный баннер'!$I:$I=$C45)), 0) "),0.0)</f>
        <v>0</v>
      </c>
      <c r="R45" s="91">
        <f>IFERROR(__xludf.DUMMYFUNCTION("IFERROR(AVERAGE(filter('Генеральный баннер'!$AA:$AA, 'Генеральный баннер'!$B:$B=$A45,'Генеральный баннер'!$C:$C=$B45,'Генеральный баннер'!$I:$I=$C45)), 0) "),0.0)</f>
        <v>0</v>
      </c>
      <c r="S45" s="91">
        <f>IFERROR(__xludf.DUMMYFUNCTION("IFERROR(SUM(filter('Генеральный баннер'!$AH:$AH, 'Генеральный баннер'!$B:$B=$A45,'Генеральный баннер'!$C:$C=$B45,'Генеральный баннер'!$I:$I=$C45)), 0) "),0.0)</f>
        <v>0</v>
      </c>
      <c r="T45" s="91" t="str">
        <f>IFERROR(__xludf.DUMMYFUNCTION("IFERROR(REGEXREPLACE(unique(filter('Генеральный баннер'!$A:$A, 'Генеральный баннер'!$B:$B=$A45,'Генеральный баннер'!$C:$C=$B45,'Генеральный баннер'!$I:$I=$C45)), ""\d+"", """"),"""")"),"")</f>
        <v/>
      </c>
      <c r="U45" s="91" t="str">
        <f>IFERROR(__xludf.DUMMYFUNCTION("IFERROR(unique(filter('Генеральный баннер'!$F:$F, 'Генеральный баннер'!$B:$B=$A45,'Генеральный баннер'!$C:$C=$B45,'Генеральный баннер'!$I:$I=$C45)),"""")"),"")</f>
        <v/>
      </c>
      <c r="V45" s="92" t="str">
        <f t="shared" si="3"/>
        <v/>
      </c>
      <c r="W45" s="93">
        <f>IFERROR(__xludf.DUMMYFUNCTION("IFERROR(SWITCH(lower(join("" "",U45:V45)),""а миллионник"", 62.5,""б миллионник"", 75,""а мск"", 50, ""б мск"", 62.5, ""a остальное"", 70, ""б остальное"", 80)/100,0)"),0.0)</f>
        <v>0</v>
      </c>
      <c r="X45" s="91">
        <f t="shared" si="4"/>
        <v>0</v>
      </c>
    </row>
    <row r="46">
      <c r="A46" s="90"/>
      <c r="B46" s="90"/>
      <c r="C46" s="90"/>
      <c r="D46" s="91">
        <f>IFERROR(__xludf.DUMMYFUNCTION("IFERROR(sum(filter('Основной эфир'!$AA:$AA, 'Основной эфир'!$B:$B=$A46,'Основной эфир'!$C:$C=$B46,'Основной эфир'!$I:$I=$C46)), 0) "),0.0)</f>
        <v>0</v>
      </c>
      <c r="E46" s="91">
        <f>IFERROR(__xludf.DUMMYFUNCTION("IFERROR(sum(filter('Основной эфир'!$AC:$AC, 'Основной эфир'!$B:$B=$A46,'Основной эфир'!$C:$C=$B46,'Основной эфир'!$I:$I=$C46)), 0) "),0.0)</f>
        <v>0</v>
      </c>
      <c r="F46" s="91">
        <f>IFERROR(__xludf.DUMMYFUNCTION("IFERROR(sum(filter('Основной эфир'!$O:$O, 'Основной эфир'!$B:$B=$A46,'Основной эфир'!$C:$C=$B46,'Основной эфир'!$I:$I=$C46)), 0) "),0.0)</f>
        <v>0</v>
      </c>
      <c r="G46" s="91">
        <f>IFERROR(__xludf.DUMMYFUNCTION("IFERROR(sum(filter('Основной эфир'!$Q:$Q, 'Основной эфир'!$B:$B=$A46,'Основной эфир'!$C:$C=$B46,'Основной эфир'!$I:$I=$C46)), 0) "),0.0)</f>
        <v>0</v>
      </c>
      <c r="H46" s="91">
        <f>IFERROR(__xludf.DUMMYFUNCTION("IFERROR(AVERAGE(filter('Основной эфир'!$Y:$Y, 'Основной эфир'!$B:$B=$A46,'Основной эфир'!$C:$C=$B46,'Основной эфир'!$I:$I=$C46)), 0) "),0.0)</f>
        <v>0</v>
      </c>
      <c r="I46" s="91">
        <f>IFERROR(__xludf.DUMMYFUNCTION("IFERROR(AVERAGE(filter('Основной эфир'!$AE:$AE, 'Основной эфир'!$B:$B=$A46,'Основной эфир'!$C:$C=$B46,'Основной эфир'!$I:$I=$C46)), 0) "),0.0)</f>
        <v>0</v>
      </c>
      <c r="J46" s="91">
        <f>IFERROR(__xludf.DUMMYFUNCTION("IFERROR(SUM(filter('Основной эфир'!$AL:$AL, 'Основной эфир'!$B:$B=$A46,'Основной эфир'!$C:$C=$B46,'Основной эфир'!$I:$I=$C46)), 0) "),0.0)</f>
        <v>0</v>
      </c>
      <c r="K46" s="91" t="str">
        <f>IFERROR(__xludf.DUMMYFUNCTION("IFERROR(REGEXREPLACE(unique(filter('Основной эфир'!$A:$A, 'Основной эфир'!$B:$B=$A46,'Основной эфир'!$C:$C=$B46,'Основной эфир'!$I:$I=$C46)), ""\d+"", """"),"""")"),"")</f>
        <v/>
      </c>
      <c r="L46" s="91" t="str">
        <f>IFERROR(__xludf.DUMMYFUNCTION("IFERROR(unique(filter('Основной эфир'!$F:$F, 'Основной эфир'!$B:$B=$A46,'Основной эфир'!$C:$C=$B46,'Основной эфир'!$I:$I=$C46)),"""")"),"")</f>
        <v/>
      </c>
      <c r="M46" s="92" t="str">
        <f t="shared" si="1"/>
        <v/>
      </c>
      <c r="N46" s="93">
        <f>IFERROR(__xludf.DUMMYFUNCTION("IFERROR(SWITCH(lower(join("" "",L46:M46)),""а миллионник"", 62.5,""б миллионник"", 75,""а мск"", 50, ""б мск"", 62.5, ""a остальное"", 70, ""б остальное"", 80)/100,0)"),0.0)</f>
        <v>0</v>
      </c>
      <c r="O46" s="91">
        <f t="shared" si="2"/>
        <v>0</v>
      </c>
      <c r="P46" s="91">
        <f>IFERROR(__xludf.DUMMYFUNCTION("IFERROR(sum(filter('Генеральный баннер'!$O:$O, 'Генеральный баннер'!$B:$B=$A46,'Генеральный баннер'!$C:$C=$B46,'Генеральный баннер'!$I:$I=$C46)), 0) "),0.0)</f>
        <v>0</v>
      </c>
      <c r="Q46" s="91">
        <f>IFERROR(__xludf.DUMMYFUNCTION("IFERROR(sum(filter('Генеральный баннер'!$Q:$Q, 'Генеральный баннер'!$B:$B=$A46,'Генеральный баннер'!$C:$C=$B46,'Генеральный баннер'!$I:$I=$C46)), 0) "),0.0)</f>
        <v>0</v>
      </c>
      <c r="R46" s="91">
        <f>IFERROR(__xludf.DUMMYFUNCTION("IFERROR(AVERAGE(filter('Генеральный баннер'!$AA:$AA, 'Генеральный баннер'!$B:$B=$A46,'Генеральный баннер'!$C:$C=$B46,'Генеральный баннер'!$I:$I=$C46)), 0) "),0.0)</f>
        <v>0</v>
      </c>
      <c r="S46" s="91">
        <f>IFERROR(__xludf.DUMMYFUNCTION("IFERROR(SUM(filter('Генеральный баннер'!$AH:$AH, 'Генеральный баннер'!$B:$B=$A46,'Генеральный баннер'!$C:$C=$B46,'Генеральный баннер'!$I:$I=$C46)), 0) "),0.0)</f>
        <v>0</v>
      </c>
      <c r="T46" s="91" t="str">
        <f>IFERROR(__xludf.DUMMYFUNCTION("IFERROR(REGEXREPLACE(unique(filter('Генеральный баннер'!$A:$A, 'Генеральный баннер'!$B:$B=$A46,'Генеральный баннер'!$C:$C=$B46,'Генеральный баннер'!$I:$I=$C46)), ""\d+"", """"),"""")"),"")</f>
        <v/>
      </c>
      <c r="U46" s="91" t="str">
        <f>IFERROR(__xludf.DUMMYFUNCTION("IFERROR(unique(filter('Генеральный баннер'!$F:$F, 'Генеральный баннер'!$B:$B=$A46,'Генеральный баннер'!$C:$C=$B46,'Генеральный баннер'!$I:$I=$C46)),"""")"),"")</f>
        <v/>
      </c>
      <c r="V46" s="92" t="str">
        <f t="shared" si="3"/>
        <v/>
      </c>
      <c r="W46" s="93">
        <f>IFERROR(__xludf.DUMMYFUNCTION("IFERROR(SWITCH(lower(join("" "",U46:V46)),""а миллионник"", 62.5,""б миллионник"", 75,""а мск"", 50, ""б мск"", 62.5, ""a остальное"", 70, ""б остальное"", 80)/100,0)"),0.0)</f>
        <v>0</v>
      </c>
      <c r="X46" s="91">
        <f t="shared" si="4"/>
        <v>0</v>
      </c>
    </row>
    <row r="47">
      <c r="A47" s="90"/>
      <c r="B47" s="90"/>
      <c r="C47" s="90"/>
      <c r="D47" s="91">
        <f>IFERROR(__xludf.DUMMYFUNCTION("IFERROR(sum(filter('Основной эфир'!$AA:$AA, 'Основной эфир'!$B:$B=$A47,'Основной эфир'!$C:$C=$B47,'Основной эфир'!$I:$I=$C47)), 0) "),0.0)</f>
        <v>0</v>
      </c>
      <c r="E47" s="91">
        <f>IFERROR(__xludf.DUMMYFUNCTION("IFERROR(sum(filter('Основной эфир'!$AC:$AC, 'Основной эфир'!$B:$B=$A47,'Основной эфир'!$C:$C=$B47,'Основной эфир'!$I:$I=$C47)), 0) "),0.0)</f>
        <v>0</v>
      </c>
      <c r="F47" s="91">
        <f>IFERROR(__xludf.DUMMYFUNCTION("IFERROR(sum(filter('Основной эфир'!$O:$O, 'Основной эфир'!$B:$B=$A47,'Основной эфир'!$C:$C=$B47,'Основной эфир'!$I:$I=$C47)), 0) "),0.0)</f>
        <v>0</v>
      </c>
      <c r="G47" s="91">
        <f>IFERROR(__xludf.DUMMYFUNCTION("IFERROR(sum(filter('Основной эфир'!$Q:$Q, 'Основной эфир'!$B:$B=$A47,'Основной эфир'!$C:$C=$B47,'Основной эфир'!$I:$I=$C47)), 0) "),0.0)</f>
        <v>0</v>
      </c>
      <c r="H47" s="91">
        <f>IFERROR(__xludf.DUMMYFUNCTION("IFERROR(AVERAGE(filter('Основной эфир'!$Y:$Y, 'Основной эфир'!$B:$B=$A47,'Основной эфир'!$C:$C=$B47,'Основной эфир'!$I:$I=$C47)), 0) "),0.0)</f>
        <v>0</v>
      </c>
      <c r="I47" s="91">
        <f>IFERROR(__xludf.DUMMYFUNCTION("IFERROR(AVERAGE(filter('Основной эфир'!$AE:$AE, 'Основной эфир'!$B:$B=$A47,'Основной эфир'!$C:$C=$B47,'Основной эфир'!$I:$I=$C47)), 0) "),0.0)</f>
        <v>0</v>
      </c>
      <c r="J47" s="91">
        <f>IFERROR(__xludf.DUMMYFUNCTION("IFERROR(SUM(filter('Основной эфир'!$AL:$AL, 'Основной эфир'!$B:$B=$A47,'Основной эфир'!$C:$C=$B47,'Основной эфир'!$I:$I=$C47)), 0) "),0.0)</f>
        <v>0</v>
      </c>
      <c r="K47" s="91" t="str">
        <f>IFERROR(__xludf.DUMMYFUNCTION("IFERROR(REGEXREPLACE(unique(filter('Основной эфир'!$A:$A, 'Основной эфир'!$B:$B=$A47,'Основной эфир'!$C:$C=$B47,'Основной эфир'!$I:$I=$C47)), ""\d+"", """"),"""")"),"")</f>
        <v/>
      </c>
      <c r="L47" s="91" t="str">
        <f>IFERROR(__xludf.DUMMYFUNCTION("IFERROR(unique(filter('Основной эфир'!$F:$F, 'Основной эфир'!$B:$B=$A47,'Основной эфир'!$C:$C=$B47,'Основной эфир'!$I:$I=$C47)),"""")"),"")</f>
        <v/>
      </c>
      <c r="M47" s="92" t="str">
        <f t="shared" si="1"/>
        <v/>
      </c>
      <c r="N47" s="93">
        <f>IFERROR(__xludf.DUMMYFUNCTION("IFERROR(SWITCH(lower(join("" "",L47:M47)),""а миллионник"", 62.5,""б миллионник"", 75,""а мск"", 50, ""б мск"", 62.5, ""a остальное"", 70, ""б остальное"", 80)/100,0)"),0.0)</f>
        <v>0</v>
      </c>
      <c r="O47" s="91">
        <f t="shared" si="2"/>
        <v>0</v>
      </c>
      <c r="P47" s="91">
        <f>IFERROR(__xludf.DUMMYFUNCTION("IFERROR(sum(filter('Генеральный баннер'!$O:$O, 'Генеральный баннер'!$B:$B=$A47,'Генеральный баннер'!$C:$C=$B47,'Генеральный баннер'!$I:$I=$C47)), 0) "),0.0)</f>
        <v>0</v>
      </c>
      <c r="Q47" s="91">
        <f>IFERROR(__xludf.DUMMYFUNCTION("IFERROR(sum(filter('Генеральный баннер'!$Q:$Q, 'Генеральный баннер'!$B:$B=$A47,'Генеральный баннер'!$C:$C=$B47,'Генеральный баннер'!$I:$I=$C47)), 0) "),0.0)</f>
        <v>0</v>
      </c>
      <c r="R47" s="91">
        <f>IFERROR(__xludf.DUMMYFUNCTION("IFERROR(AVERAGE(filter('Генеральный баннер'!$AA:$AA, 'Генеральный баннер'!$B:$B=$A47,'Генеральный баннер'!$C:$C=$B47,'Генеральный баннер'!$I:$I=$C47)), 0) "),0.0)</f>
        <v>0</v>
      </c>
      <c r="S47" s="91">
        <f>IFERROR(__xludf.DUMMYFUNCTION("IFERROR(SUM(filter('Генеральный баннер'!$AH:$AH, 'Генеральный баннер'!$B:$B=$A47,'Генеральный баннер'!$C:$C=$B47,'Генеральный баннер'!$I:$I=$C47)), 0) "),0.0)</f>
        <v>0</v>
      </c>
      <c r="T47" s="91" t="str">
        <f>IFERROR(__xludf.DUMMYFUNCTION("IFERROR(REGEXREPLACE(unique(filter('Генеральный баннер'!$A:$A, 'Генеральный баннер'!$B:$B=$A47,'Генеральный баннер'!$C:$C=$B47,'Генеральный баннер'!$I:$I=$C47)), ""\d+"", """"),"""")"),"")</f>
        <v/>
      </c>
      <c r="U47" s="91" t="str">
        <f>IFERROR(__xludf.DUMMYFUNCTION("IFERROR(unique(filter('Генеральный баннер'!$F:$F, 'Генеральный баннер'!$B:$B=$A47,'Генеральный баннер'!$C:$C=$B47,'Генеральный баннер'!$I:$I=$C47)),"""")"),"")</f>
        <v/>
      </c>
      <c r="V47" s="92" t="str">
        <f t="shared" si="3"/>
        <v/>
      </c>
      <c r="W47" s="93">
        <f>IFERROR(__xludf.DUMMYFUNCTION("IFERROR(SWITCH(lower(join("" "",U47:V47)),""а миллионник"", 62.5,""б миллионник"", 75,""а мск"", 50, ""б мск"", 62.5, ""a остальное"", 70, ""б остальное"", 80)/100,0)"),0.0)</f>
        <v>0</v>
      </c>
      <c r="X47" s="91">
        <f t="shared" si="4"/>
        <v>0</v>
      </c>
    </row>
    <row r="48">
      <c r="A48" s="90"/>
      <c r="B48" s="90"/>
      <c r="C48" s="90"/>
      <c r="D48" s="91">
        <f>IFERROR(__xludf.DUMMYFUNCTION("IFERROR(sum(filter('Основной эфир'!$AA:$AA, 'Основной эфир'!$B:$B=$A48,'Основной эфир'!$C:$C=$B48,'Основной эфир'!$I:$I=$C48)), 0) "),0.0)</f>
        <v>0</v>
      </c>
      <c r="E48" s="91">
        <f>IFERROR(__xludf.DUMMYFUNCTION("IFERROR(sum(filter('Основной эфир'!$AC:$AC, 'Основной эфир'!$B:$B=$A48,'Основной эфир'!$C:$C=$B48,'Основной эфир'!$I:$I=$C48)), 0) "),0.0)</f>
        <v>0</v>
      </c>
      <c r="F48" s="91">
        <f>IFERROR(__xludf.DUMMYFUNCTION("IFERROR(sum(filter('Основной эфир'!$O:$O, 'Основной эфир'!$B:$B=$A48,'Основной эфир'!$C:$C=$B48,'Основной эфир'!$I:$I=$C48)), 0) "),0.0)</f>
        <v>0</v>
      </c>
      <c r="G48" s="91">
        <f>IFERROR(__xludf.DUMMYFUNCTION("IFERROR(sum(filter('Основной эфир'!$Q:$Q, 'Основной эфир'!$B:$B=$A48,'Основной эфир'!$C:$C=$B48,'Основной эфир'!$I:$I=$C48)), 0) "),0.0)</f>
        <v>0</v>
      </c>
      <c r="H48" s="91">
        <f>IFERROR(__xludf.DUMMYFUNCTION("IFERROR(AVERAGE(filter('Основной эфир'!$Y:$Y, 'Основной эфир'!$B:$B=$A48,'Основной эфир'!$C:$C=$B48,'Основной эфир'!$I:$I=$C48)), 0) "),0.0)</f>
        <v>0</v>
      </c>
      <c r="I48" s="91">
        <f>IFERROR(__xludf.DUMMYFUNCTION("IFERROR(AVERAGE(filter('Основной эфир'!$AE:$AE, 'Основной эфир'!$B:$B=$A48,'Основной эфир'!$C:$C=$B48,'Основной эфир'!$I:$I=$C48)), 0) "),0.0)</f>
        <v>0</v>
      </c>
      <c r="J48" s="91">
        <f>IFERROR(__xludf.DUMMYFUNCTION("IFERROR(SUM(filter('Основной эфир'!$AL:$AL, 'Основной эфир'!$B:$B=$A48,'Основной эфир'!$C:$C=$B48,'Основной эфир'!$I:$I=$C48)), 0) "),0.0)</f>
        <v>0</v>
      </c>
      <c r="K48" s="91" t="str">
        <f>IFERROR(__xludf.DUMMYFUNCTION("IFERROR(REGEXREPLACE(unique(filter('Основной эфир'!$A:$A, 'Основной эфир'!$B:$B=$A48,'Основной эфир'!$C:$C=$B48,'Основной эфир'!$I:$I=$C48)), ""\d+"", """"),"""")"),"")</f>
        <v/>
      </c>
      <c r="L48" s="91" t="str">
        <f>IFERROR(__xludf.DUMMYFUNCTION("IFERROR(unique(filter('Основной эфир'!$F:$F, 'Основной эфир'!$B:$B=$A48,'Основной эфир'!$C:$C=$B48,'Основной эфир'!$I:$I=$C48)),"""")"),"")</f>
        <v/>
      </c>
      <c r="M48" s="92" t="str">
        <f t="shared" si="1"/>
        <v/>
      </c>
      <c r="N48" s="93">
        <f>IFERROR(__xludf.DUMMYFUNCTION("IFERROR(SWITCH(lower(join("" "",L48:M48)),""а миллионник"", 62.5,""б миллионник"", 75,""а мск"", 50, ""б мск"", 62.5, ""a остальное"", 70, ""б остальное"", 80)/100,0)"),0.0)</f>
        <v>0</v>
      </c>
      <c r="O48" s="91">
        <f t="shared" si="2"/>
        <v>0</v>
      </c>
      <c r="P48" s="91">
        <f>IFERROR(__xludf.DUMMYFUNCTION("IFERROR(sum(filter('Генеральный баннер'!$O:$O, 'Генеральный баннер'!$B:$B=$A48,'Генеральный баннер'!$C:$C=$B48,'Генеральный баннер'!$I:$I=$C48)), 0) "),0.0)</f>
        <v>0</v>
      </c>
      <c r="Q48" s="91">
        <f>IFERROR(__xludf.DUMMYFUNCTION("IFERROR(sum(filter('Генеральный баннер'!$Q:$Q, 'Генеральный баннер'!$B:$B=$A48,'Генеральный баннер'!$C:$C=$B48,'Генеральный баннер'!$I:$I=$C48)), 0) "),0.0)</f>
        <v>0</v>
      </c>
      <c r="R48" s="91">
        <f>IFERROR(__xludf.DUMMYFUNCTION("IFERROR(AVERAGE(filter('Генеральный баннер'!$AA:$AA, 'Генеральный баннер'!$B:$B=$A48,'Генеральный баннер'!$C:$C=$B48,'Генеральный баннер'!$I:$I=$C48)), 0) "),0.0)</f>
        <v>0</v>
      </c>
      <c r="S48" s="91">
        <f>IFERROR(__xludf.DUMMYFUNCTION("IFERROR(SUM(filter('Генеральный баннер'!$AH:$AH, 'Генеральный баннер'!$B:$B=$A48,'Генеральный баннер'!$C:$C=$B48,'Генеральный баннер'!$I:$I=$C48)), 0) "),0.0)</f>
        <v>0</v>
      </c>
      <c r="T48" s="91" t="str">
        <f>IFERROR(__xludf.DUMMYFUNCTION("IFERROR(REGEXREPLACE(unique(filter('Генеральный баннер'!$A:$A, 'Генеральный баннер'!$B:$B=$A48,'Генеральный баннер'!$C:$C=$B48,'Генеральный баннер'!$I:$I=$C48)), ""\d+"", """"),"""")"),"")</f>
        <v/>
      </c>
      <c r="U48" s="91" t="str">
        <f>IFERROR(__xludf.DUMMYFUNCTION("IFERROR(unique(filter('Генеральный баннер'!$F:$F, 'Генеральный баннер'!$B:$B=$A48,'Генеральный баннер'!$C:$C=$B48,'Генеральный баннер'!$I:$I=$C48)),"""")"),"")</f>
        <v/>
      </c>
      <c r="V48" s="92" t="str">
        <f t="shared" si="3"/>
        <v/>
      </c>
      <c r="W48" s="93">
        <f>IFERROR(__xludf.DUMMYFUNCTION("IFERROR(SWITCH(lower(join("" "",U48:V48)),""а миллионник"", 62.5,""б миллионник"", 75,""а мск"", 50, ""б мск"", 62.5, ""a остальное"", 70, ""б остальное"", 80)/100,0)"),0.0)</f>
        <v>0</v>
      </c>
      <c r="X48" s="91">
        <f t="shared" si="4"/>
        <v>0</v>
      </c>
    </row>
    <row r="49">
      <c r="A49" s="90"/>
      <c r="B49" s="90"/>
      <c r="C49" s="90"/>
      <c r="D49" s="91">
        <f>IFERROR(__xludf.DUMMYFUNCTION("IFERROR(sum(filter('Основной эфир'!$AA:$AA, 'Основной эфир'!$B:$B=$A49,'Основной эфир'!$C:$C=$B49,'Основной эфир'!$I:$I=$C49)), 0) "),0.0)</f>
        <v>0</v>
      </c>
      <c r="E49" s="91">
        <f>IFERROR(__xludf.DUMMYFUNCTION("IFERROR(sum(filter('Основной эфир'!$AC:$AC, 'Основной эфир'!$B:$B=$A49,'Основной эфир'!$C:$C=$B49,'Основной эфир'!$I:$I=$C49)), 0) "),0.0)</f>
        <v>0</v>
      </c>
      <c r="F49" s="91">
        <f>IFERROR(__xludf.DUMMYFUNCTION("IFERROR(sum(filter('Основной эфир'!$O:$O, 'Основной эфир'!$B:$B=$A49,'Основной эфир'!$C:$C=$B49,'Основной эфир'!$I:$I=$C49)), 0) "),0.0)</f>
        <v>0</v>
      </c>
      <c r="G49" s="91">
        <f>IFERROR(__xludf.DUMMYFUNCTION("IFERROR(sum(filter('Основной эфир'!$Q:$Q, 'Основной эфир'!$B:$B=$A49,'Основной эфир'!$C:$C=$B49,'Основной эфир'!$I:$I=$C49)), 0) "),0.0)</f>
        <v>0</v>
      </c>
      <c r="H49" s="91">
        <f>IFERROR(__xludf.DUMMYFUNCTION("IFERROR(AVERAGE(filter('Основной эфир'!$Y:$Y, 'Основной эфир'!$B:$B=$A49,'Основной эфир'!$C:$C=$B49,'Основной эфир'!$I:$I=$C49)), 0) "),0.0)</f>
        <v>0</v>
      </c>
      <c r="I49" s="91">
        <f>IFERROR(__xludf.DUMMYFUNCTION("IFERROR(AVERAGE(filter('Основной эфир'!$AE:$AE, 'Основной эфир'!$B:$B=$A49,'Основной эфир'!$C:$C=$B49,'Основной эфир'!$I:$I=$C49)), 0) "),0.0)</f>
        <v>0</v>
      </c>
      <c r="J49" s="91">
        <f>IFERROR(__xludf.DUMMYFUNCTION("IFERROR(SUM(filter('Основной эфир'!$AL:$AL, 'Основной эфир'!$B:$B=$A49,'Основной эфир'!$C:$C=$B49,'Основной эфир'!$I:$I=$C49)), 0) "),0.0)</f>
        <v>0</v>
      </c>
      <c r="K49" s="91" t="str">
        <f>IFERROR(__xludf.DUMMYFUNCTION("IFERROR(REGEXREPLACE(unique(filter('Основной эфир'!$A:$A, 'Основной эфир'!$B:$B=$A49,'Основной эфир'!$C:$C=$B49,'Основной эфир'!$I:$I=$C49)), ""\d+"", """"),"""")"),"")</f>
        <v/>
      </c>
      <c r="L49" s="91" t="str">
        <f>IFERROR(__xludf.DUMMYFUNCTION("IFERROR(unique(filter('Основной эфир'!$F:$F, 'Основной эфир'!$B:$B=$A49,'Основной эфир'!$C:$C=$B49,'Основной эфир'!$I:$I=$C49)),"""")"),"")</f>
        <v/>
      </c>
      <c r="M49" s="92" t="str">
        <f t="shared" si="1"/>
        <v/>
      </c>
      <c r="N49" s="93">
        <f>IFERROR(__xludf.DUMMYFUNCTION("IFERROR(SWITCH(lower(join("" "",L49:M49)),""а миллионник"", 62.5,""б миллионник"", 75,""а мск"", 50, ""б мск"", 62.5, ""a остальное"", 70, ""б остальное"", 80)/100,0)"),0.0)</f>
        <v>0</v>
      </c>
      <c r="O49" s="91">
        <f t="shared" si="2"/>
        <v>0</v>
      </c>
      <c r="P49" s="91">
        <f>IFERROR(__xludf.DUMMYFUNCTION("IFERROR(sum(filter('Генеральный баннер'!$O:$O, 'Генеральный баннер'!$B:$B=$A49,'Генеральный баннер'!$C:$C=$B49,'Генеральный баннер'!$I:$I=$C49)), 0) "),0.0)</f>
        <v>0</v>
      </c>
      <c r="Q49" s="91">
        <f>IFERROR(__xludf.DUMMYFUNCTION("IFERROR(sum(filter('Генеральный баннер'!$Q:$Q, 'Генеральный баннер'!$B:$B=$A49,'Генеральный баннер'!$C:$C=$B49,'Генеральный баннер'!$I:$I=$C49)), 0) "),0.0)</f>
        <v>0</v>
      </c>
      <c r="R49" s="91">
        <f>IFERROR(__xludf.DUMMYFUNCTION("IFERROR(AVERAGE(filter('Генеральный баннер'!$AA:$AA, 'Генеральный баннер'!$B:$B=$A49,'Генеральный баннер'!$C:$C=$B49,'Генеральный баннер'!$I:$I=$C49)), 0) "),0.0)</f>
        <v>0</v>
      </c>
      <c r="S49" s="91">
        <f>IFERROR(__xludf.DUMMYFUNCTION("IFERROR(SUM(filter('Генеральный баннер'!$AH:$AH, 'Генеральный баннер'!$B:$B=$A49,'Генеральный баннер'!$C:$C=$B49,'Генеральный баннер'!$I:$I=$C49)), 0) "),0.0)</f>
        <v>0</v>
      </c>
      <c r="T49" s="91" t="str">
        <f>IFERROR(__xludf.DUMMYFUNCTION("IFERROR(REGEXREPLACE(unique(filter('Генеральный баннер'!$A:$A, 'Генеральный баннер'!$B:$B=$A49,'Генеральный баннер'!$C:$C=$B49,'Генеральный баннер'!$I:$I=$C49)), ""\d+"", """"),"""")"),"")</f>
        <v/>
      </c>
      <c r="U49" s="91" t="str">
        <f>IFERROR(__xludf.DUMMYFUNCTION("IFERROR(unique(filter('Генеральный баннер'!$F:$F, 'Генеральный баннер'!$B:$B=$A49,'Генеральный баннер'!$C:$C=$B49,'Генеральный баннер'!$I:$I=$C49)),"""")"),"")</f>
        <v/>
      </c>
      <c r="V49" s="92" t="str">
        <f t="shared" si="3"/>
        <v/>
      </c>
      <c r="W49" s="93">
        <f>IFERROR(__xludf.DUMMYFUNCTION("IFERROR(SWITCH(lower(join("" "",U49:V49)),""а миллионник"", 62.5,""б миллионник"", 75,""а мск"", 50, ""б мск"", 62.5, ""a остальное"", 70, ""б остальное"", 80)/100,0)"),0.0)</f>
        <v>0</v>
      </c>
      <c r="X49" s="91">
        <f t="shared" si="4"/>
        <v>0</v>
      </c>
    </row>
    <row r="50">
      <c r="A50" s="90"/>
      <c r="B50" s="90"/>
      <c r="C50" s="90"/>
      <c r="D50" s="91">
        <f>IFERROR(__xludf.DUMMYFUNCTION("IFERROR(sum(filter('Основной эфир'!$AA:$AA, 'Основной эфир'!$B:$B=$A50,'Основной эфир'!$C:$C=$B50,'Основной эфир'!$I:$I=$C50)), 0) "),0.0)</f>
        <v>0</v>
      </c>
      <c r="E50" s="91">
        <f>IFERROR(__xludf.DUMMYFUNCTION("IFERROR(sum(filter('Основной эфир'!$AC:$AC, 'Основной эфир'!$B:$B=$A50,'Основной эфир'!$C:$C=$B50,'Основной эфир'!$I:$I=$C50)), 0) "),0.0)</f>
        <v>0</v>
      </c>
      <c r="F50" s="91">
        <f>IFERROR(__xludf.DUMMYFUNCTION("IFERROR(sum(filter('Основной эфир'!$O:$O, 'Основной эфир'!$B:$B=$A50,'Основной эфир'!$C:$C=$B50,'Основной эфир'!$I:$I=$C50)), 0) "),0.0)</f>
        <v>0</v>
      </c>
      <c r="G50" s="91">
        <f>IFERROR(__xludf.DUMMYFUNCTION("IFERROR(sum(filter('Основной эфир'!$Q:$Q, 'Основной эфир'!$B:$B=$A50,'Основной эфир'!$C:$C=$B50,'Основной эфир'!$I:$I=$C50)), 0) "),0.0)</f>
        <v>0</v>
      </c>
      <c r="H50" s="91">
        <f>IFERROR(__xludf.DUMMYFUNCTION("IFERROR(AVERAGE(filter('Основной эфир'!$Y:$Y, 'Основной эфир'!$B:$B=$A50,'Основной эфир'!$C:$C=$B50,'Основной эфир'!$I:$I=$C50)), 0) "),0.0)</f>
        <v>0</v>
      </c>
      <c r="I50" s="91">
        <f>IFERROR(__xludf.DUMMYFUNCTION("IFERROR(AVERAGE(filter('Основной эфир'!$AE:$AE, 'Основной эфир'!$B:$B=$A50,'Основной эфир'!$C:$C=$B50,'Основной эфир'!$I:$I=$C50)), 0) "),0.0)</f>
        <v>0</v>
      </c>
      <c r="J50" s="91">
        <f>IFERROR(__xludf.DUMMYFUNCTION("IFERROR(SUM(filter('Основной эфир'!$AL:$AL, 'Основной эфир'!$B:$B=$A50,'Основной эфир'!$C:$C=$B50,'Основной эфир'!$I:$I=$C50)), 0) "),0.0)</f>
        <v>0</v>
      </c>
      <c r="K50" s="91" t="str">
        <f>IFERROR(__xludf.DUMMYFUNCTION("IFERROR(REGEXREPLACE(unique(filter('Основной эфир'!$A:$A, 'Основной эфир'!$B:$B=$A50,'Основной эфир'!$C:$C=$B50,'Основной эфир'!$I:$I=$C50)), ""\d+"", """"),"""")"),"")</f>
        <v/>
      </c>
      <c r="L50" s="91" t="str">
        <f>IFERROR(__xludf.DUMMYFUNCTION("IFERROR(unique(filter('Основной эфир'!$F:$F, 'Основной эфир'!$B:$B=$A50,'Основной эфир'!$C:$C=$B50,'Основной эфир'!$I:$I=$C50)),"""")"),"")</f>
        <v/>
      </c>
      <c r="M50" s="92" t="str">
        <f t="shared" si="1"/>
        <v/>
      </c>
      <c r="N50" s="93">
        <f>IFERROR(__xludf.DUMMYFUNCTION("IFERROR(SWITCH(lower(join("" "",L50:M50)),""а миллионник"", 62.5,""б миллионник"", 75,""а мск"", 50, ""б мск"", 62.5, ""a остальное"", 70, ""б остальное"", 80)/100,0)"),0.0)</f>
        <v>0</v>
      </c>
      <c r="O50" s="91">
        <f t="shared" si="2"/>
        <v>0</v>
      </c>
      <c r="P50" s="91">
        <f>IFERROR(__xludf.DUMMYFUNCTION("IFERROR(sum(filter('Генеральный баннер'!$O:$O, 'Генеральный баннер'!$B:$B=$A50,'Генеральный баннер'!$C:$C=$B50,'Генеральный баннер'!$I:$I=$C50)), 0) "),0.0)</f>
        <v>0</v>
      </c>
      <c r="Q50" s="91">
        <f>IFERROR(__xludf.DUMMYFUNCTION("IFERROR(sum(filter('Генеральный баннер'!$Q:$Q, 'Генеральный баннер'!$B:$B=$A50,'Генеральный баннер'!$C:$C=$B50,'Генеральный баннер'!$I:$I=$C50)), 0) "),0.0)</f>
        <v>0</v>
      </c>
      <c r="R50" s="91">
        <f>IFERROR(__xludf.DUMMYFUNCTION("IFERROR(AVERAGE(filter('Генеральный баннер'!$AA:$AA, 'Генеральный баннер'!$B:$B=$A50,'Генеральный баннер'!$C:$C=$B50,'Генеральный баннер'!$I:$I=$C50)), 0) "),0.0)</f>
        <v>0</v>
      </c>
      <c r="S50" s="91">
        <f>IFERROR(__xludf.DUMMYFUNCTION("IFERROR(SUM(filter('Генеральный баннер'!$AH:$AH, 'Генеральный баннер'!$B:$B=$A50,'Генеральный баннер'!$C:$C=$B50,'Генеральный баннер'!$I:$I=$C50)), 0) "),0.0)</f>
        <v>0</v>
      </c>
      <c r="T50" s="91" t="str">
        <f>IFERROR(__xludf.DUMMYFUNCTION("IFERROR(REGEXREPLACE(unique(filter('Генеральный баннер'!$A:$A, 'Генеральный баннер'!$B:$B=$A50,'Генеральный баннер'!$C:$C=$B50,'Генеральный баннер'!$I:$I=$C50)), ""\d+"", """"),"""")"),"")</f>
        <v/>
      </c>
      <c r="U50" s="91" t="str">
        <f>IFERROR(__xludf.DUMMYFUNCTION("IFERROR(unique(filter('Генеральный баннер'!$F:$F, 'Генеральный баннер'!$B:$B=$A50,'Генеральный баннер'!$C:$C=$B50,'Генеральный баннер'!$I:$I=$C50)),"""")"),"")</f>
        <v/>
      </c>
      <c r="V50" s="92" t="str">
        <f t="shared" si="3"/>
        <v/>
      </c>
      <c r="W50" s="93">
        <f>IFERROR(__xludf.DUMMYFUNCTION("IFERROR(SWITCH(lower(join("" "",U50:V50)),""а миллионник"", 62.5,""б миллионник"", 75,""а мск"", 50, ""б мск"", 62.5, ""a остальное"", 70, ""б остальное"", 80)/100,0)"),0.0)</f>
        <v>0</v>
      </c>
      <c r="X50" s="91">
        <f t="shared" si="4"/>
        <v>0</v>
      </c>
    </row>
    <row r="51">
      <c r="A51" s="90"/>
      <c r="B51" s="90"/>
      <c r="C51" s="90"/>
      <c r="D51" s="91">
        <f>IFERROR(__xludf.DUMMYFUNCTION("IFERROR(sum(filter('Основной эфир'!$AA:$AA, 'Основной эфир'!$B:$B=$A51,'Основной эфир'!$C:$C=$B51,'Основной эфир'!$I:$I=$C51)), 0) "),0.0)</f>
        <v>0</v>
      </c>
      <c r="E51" s="91">
        <f>IFERROR(__xludf.DUMMYFUNCTION("IFERROR(sum(filter('Основной эфир'!$AC:$AC, 'Основной эфир'!$B:$B=$A51,'Основной эфир'!$C:$C=$B51,'Основной эфир'!$I:$I=$C51)), 0) "),0.0)</f>
        <v>0</v>
      </c>
      <c r="F51" s="91">
        <f>IFERROR(__xludf.DUMMYFUNCTION("IFERROR(sum(filter('Основной эфир'!$O:$O, 'Основной эфир'!$B:$B=$A51,'Основной эфир'!$C:$C=$B51,'Основной эфир'!$I:$I=$C51)), 0) "),0.0)</f>
        <v>0</v>
      </c>
      <c r="G51" s="91">
        <f>IFERROR(__xludf.DUMMYFUNCTION("IFERROR(sum(filter('Основной эфир'!$Q:$Q, 'Основной эфир'!$B:$B=$A51,'Основной эфир'!$C:$C=$B51,'Основной эфир'!$I:$I=$C51)), 0) "),0.0)</f>
        <v>0</v>
      </c>
      <c r="H51" s="91">
        <f>IFERROR(__xludf.DUMMYFUNCTION("IFERROR(AVERAGE(filter('Основной эфир'!$Y:$Y, 'Основной эфир'!$B:$B=$A51,'Основной эфир'!$C:$C=$B51,'Основной эфир'!$I:$I=$C51)), 0) "),0.0)</f>
        <v>0</v>
      </c>
      <c r="I51" s="91">
        <f>IFERROR(__xludf.DUMMYFUNCTION("IFERROR(AVERAGE(filter('Основной эфир'!$AE:$AE, 'Основной эфир'!$B:$B=$A51,'Основной эфир'!$C:$C=$B51,'Основной эфир'!$I:$I=$C51)), 0) "),0.0)</f>
        <v>0</v>
      </c>
      <c r="J51" s="91">
        <f>IFERROR(__xludf.DUMMYFUNCTION("IFERROR(SUM(filter('Основной эфир'!$AL:$AL, 'Основной эфир'!$B:$B=$A51,'Основной эфир'!$C:$C=$B51,'Основной эфир'!$I:$I=$C51)), 0) "),0.0)</f>
        <v>0</v>
      </c>
      <c r="K51" s="91" t="str">
        <f>IFERROR(__xludf.DUMMYFUNCTION("IFERROR(REGEXREPLACE(unique(filter('Основной эфир'!$A:$A, 'Основной эфир'!$B:$B=$A51,'Основной эфир'!$C:$C=$B51,'Основной эфир'!$I:$I=$C51)), ""\d+"", """"),"""")"),"")</f>
        <v/>
      </c>
      <c r="L51" s="91" t="str">
        <f>IFERROR(__xludf.DUMMYFUNCTION("IFERROR(unique(filter('Основной эфир'!$F:$F, 'Основной эфир'!$B:$B=$A51,'Основной эфир'!$C:$C=$B51,'Основной эфир'!$I:$I=$C51)),"""")"),"")</f>
        <v/>
      </c>
      <c r="M51" s="92" t="str">
        <f t="shared" si="1"/>
        <v/>
      </c>
      <c r="N51" s="93">
        <f>IFERROR(__xludf.DUMMYFUNCTION("IFERROR(SWITCH(lower(join("" "",L51:M51)),""а миллионник"", 62.5,""б миллионник"", 75,""а мск"", 50, ""б мск"", 62.5, ""a остальное"", 70, ""б остальное"", 80)/100,0)"),0.0)</f>
        <v>0</v>
      </c>
      <c r="O51" s="91">
        <f t="shared" si="2"/>
        <v>0</v>
      </c>
      <c r="P51" s="91">
        <f>IFERROR(__xludf.DUMMYFUNCTION("IFERROR(sum(filter('Генеральный баннер'!$O:$O, 'Генеральный баннер'!$B:$B=$A51,'Генеральный баннер'!$C:$C=$B51,'Генеральный баннер'!$I:$I=$C51)), 0) "),0.0)</f>
        <v>0</v>
      </c>
      <c r="Q51" s="91">
        <f>IFERROR(__xludf.DUMMYFUNCTION("IFERROR(sum(filter('Генеральный баннер'!$Q:$Q, 'Генеральный баннер'!$B:$B=$A51,'Генеральный баннер'!$C:$C=$B51,'Генеральный баннер'!$I:$I=$C51)), 0) "),0.0)</f>
        <v>0</v>
      </c>
      <c r="R51" s="91">
        <f>IFERROR(__xludf.DUMMYFUNCTION("IFERROR(AVERAGE(filter('Генеральный баннер'!$AA:$AA, 'Генеральный баннер'!$B:$B=$A51,'Генеральный баннер'!$C:$C=$B51,'Генеральный баннер'!$I:$I=$C51)), 0) "),0.0)</f>
        <v>0</v>
      </c>
      <c r="S51" s="91">
        <f>IFERROR(__xludf.DUMMYFUNCTION("IFERROR(SUM(filter('Генеральный баннер'!$AH:$AH, 'Генеральный баннер'!$B:$B=$A51,'Генеральный баннер'!$C:$C=$B51,'Генеральный баннер'!$I:$I=$C51)), 0) "),0.0)</f>
        <v>0</v>
      </c>
      <c r="T51" s="91" t="str">
        <f>IFERROR(__xludf.DUMMYFUNCTION("IFERROR(REGEXREPLACE(unique(filter('Генеральный баннер'!$A:$A, 'Генеральный баннер'!$B:$B=$A51,'Генеральный баннер'!$C:$C=$B51,'Генеральный баннер'!$I:$I=$C51)), ""\d+"", """"),"""")"),"")</f>
        <v/>
      </c>
      <c r="U51" s="91" t="str">
        <f>IFERROR(__xludf.DUMMYFUNCTION("IFERROR(unique(filter('Генеральный баннер'!$F:$F, 'Генеральный баннер'!$B:$B=$A51,'Генеральный баннер'!$C:$C=$B51,'Генеральный баннер'!$I:$I=$C51)),"""")"),"")</f>
        <v/>
      </c>
      <c r="V51" s="92" t="str">
        <f t="shared" si="3"/>
        <v/>
      </c>
      <c r="W51" s="93">
        <f>IFERROR(__xludf.DUMMYFUNCTION("IFERROR(SWITCH(lower(join("" "",U51:V51)),""а миллионник"", 62.5,""б миллионник"", 75,""а мск"", 50, ""б мск"", 62.5, ""a остальное"", 70, ""б остальное"", 80)/100,0)"),0.0)</f>
        <v>0</v>
      </c>
      <c r="X51" s="91">
        <f t="shared" si="4"/>
        <v>0</v>
      </c>
    </row>
    <row r="52">
      <c r="A52" s="90"/>
      <c r="B52" s="90"/>
      <c r="C52" s="90"/>
      <c r="D52" s="91">
        <f>IFERROR(__xludf.DUMMYFUNCTION("IFERROR(sum(filter('Основной эфир'!$AA:$AA, 'Основной эфир'!$B:$B=$A52,'Основной эфир'!$C:$C=$B52,'Основной эфир'!$I:$I=$C52)), 0) "),0.0)</f>
        <v>0</v>
      </c>
      <c r="E52" s="91">
        <f>IFERROR(__xludf.DUMMYFUNCTION("IFERROR(sum(filter('Основной эфир'!$AC:$AC, 'Основной эфир'!$B:$B=$A52,'Основной эфир'!$C:$C=$B52,'Основной эфир'!$I:$I=$C52)), 0) "),0.0)</f>
        <v>0</v>
      </c>
      <c r="F52" s="91">
        <f>IFERROR(__xludf.DUMMYFUNCTION("IFERROR(sum(filter('Основной эфир'!$O:$O, 'Основной эфир'!$B:$B=$A52,'Основной эфир'!$C:$C=$B52,'Основной эфир'!$I:$I=$C52)), 0) "),0.0)</f>
        <v>0</v>
      </c>
      <c r="G52" s="91">
        <f>IFERROR(__xludf.DUMMYFUNCTION("IFERROR(sum(filter('Основной эфир'!$Q:$Q, 'Основной эфир'!$B:$B=$A52,'Основной эфир'!$C:$C=$B52,'Основной эфир'!$I:$I=$C52)), 0) "),0.0)</f>
        <v>0</v>
      </c>
      <c r="H52" s="91">
        <f>IFERROR(__xludf.DUMMYFUNCTION("IFERROR(AVERAGE(filter('Основной эфир'!$Y:$Y, 'Основной эфир'!$B:$B=$A52,'Основной эфир'!$C:$C=$B52,'Основной эфир'!$I:$I=$C52)), 0) "),0.0)</f>
        <v>0</v>
      </c>
      <c r="I52" s="91">
        <f>IFERROR(__xludf.DUMMYFUNCTION("IFERROR(AVERAGE(filter('Основной эфир'!$AE:$AE, 'Основной эфир'!$B:$B=$A52,'Основной эфир'!$C:$C=$B52,'Основной эфир'!$I:$I=$C52)), 0) "),0.0)</f>
        <v>0</v>
      </c>
      <c r="J52" s="91">
        <f>IFERROR(__xludf.DUMMYFUNCTION("IFERROR(SUM(filter('Основной эфир'!$AL:$AL, 'Основной эфир'!$B:$B=$A52,'Основной эфир'!$C:$C=$B52,'Основной эфир'!$I:$I=$C52)), 0) "),0.0)</f>
        <v>0</v>
      </c>
      <c r="K52" s="91" t="str">
        <f>IFERROR(__xludf.DUMMYFUNCTION("IFERROR(REGEXREPLACE(unique(filter('Основной эфир'!$A:$A, 'Основной эфир'!$B:$B=$A52,'Основной эфир'!$C:$C=$B52,'Основной эфир'!$I:$I=$C52)), ""\d+"", """"),"""")"),"")</f>
        <v/>
      </c>
      <c r="L52" s="91" t="str">
        <f>IFERROR(__xludf.DUMMYFUNCTION("IFERROR(unique(filter('Основной эфир'!$F:$F, 'Основной эфир'!$B:$B=$A52,'Основной эфир'!$C:$C=$B52,'Основной эфир'!$I:$I=$C52)),"""")"),"")</f>
        <v/>
      </c>
      <c r="M52" s="92" t="str">
        <f t="shared" si="1"/>
        <v/>
      </c>
      <c r="N52" s="93">
        <f>IFERROR(__xludf.DUMMYFUNCTION("IFERROR(SWITCH(lower(join("" "",L52:M52)),""а миллионник"", 62.5,""б миллионник"", 75,""а мск"", 50, ""б мск"", 62.5, ""a остальное"", 70, ""б остальное"", 80)/100,0)"),0.0)</f>
        <v>0</v>
      </c>
      <c r="O52" s="91">
        <f t="shared" si="2"/>
        <v>0</v>
      </c>
      <c r="P52" s="91">
        <f>IFERROR(__xludf.DUMMYFUNCTION("IFERROR(sum(filter('Генеральный баннер'!$O:$O, 'Генеральный баннер'!$B:$B=$A52,'Генеральный баннер'!$C:$C=$B52,'Генеральный баннер'!$I:$I=$C52)), 0) "),0.0)</f>
        <v>0</v>
      </c>
      <c r="Q52" s="91">
        <f>IFERROR(__xludf.DUMMYFUNCTION("IFERROR(sum(filter('Генеральный баннер'!$Q:$Q, 'Генеральный баннер'!$B:$B=$A52,'Генеральный баннер'!$C:$C=$B52,'Генеральный баннер'!$I:$I=$C52)), 0) "),0.0)</f>
        <v>0</v>
      </c>
      <c r="R52" s="91">
        <f>IFERROR(__xludf.DUMMYFUNCTION("IFERROR(AVERAGE(filter('Генеральный баннер'!$AA:$AA, 'Генеральный баннер'!$B:$B=$A52,'Генеральный баннер'!$C:$C=$B52,'Генеральный баннер'!$I:$I=$C52)), 0) "),0.0)</f>
        <v>0</v>
      </c>
      <c r="S52" s="91">
        <f>IFERROR(__xludf.DUMMYFUNCTION("IFERROR(SUM(filter('Генеральный баннер'!$AH:$AH, 'Генеральный баннер'!$B:$B=$A52,'Генеральный баннер'!$C:$C=$B52,'Генеральный баннер'!$I:$I=$C52)), 0) "),0.0)</f>
        <v>0</v>
      </c>
      <c r="T52" s="91" t="str">
        <f>IFERROR(__xludf.DUMMYFUNCTION("IFERROR(REGEXREPLACE(unique(filter('Генеральный баннер'!$A:$A, 'Генеральный баннер'!$B:$B=$A52,'Генеральный баннер'!$C:$C=$B52,'Генеральный баннер'!$I:$I=$C52)), ""\d+"", """"),"""")"),"")</f>
        <v/>
      </c>
      <c r="U52" s="91" t="str">
        <f>IFERROR(__xludf.DUMMYFUNCTION("IFERROR(unique(filter('Генеральный баннер'!$F:$F, 'Генеральный баннер'!$B:$B=$A52,'Генеральный баннер'!$C:$C=$B52,'Генеральный баннер'!$I:$I=$C52)),"""")"),"")</f>
        <v/>
      </c>
      <c r="V52" s="92" t="str">
        <f t="shared" si="3"/>
        <v/>
      </c>
      <c r="W52" s="93">
        <f>IFERROR(__xludf.DUMMYFUNCTION("IFERROR(SWITCH(lower(join("" "",U52:V52)),""а миллионник"", 62.5,""б миллионник"", 75,""а мск"", 50, ""б мск"", 62.5, ""a остальное"", 70, ""б остальное"", 80)/100,0)"),0.0)</f>
        <v>0</v>
      </c>
      <c r="X52" s="91">
        <f t="shared" si="4"/>
        <v>0</v>
      </c>
    </row>
    <row r="53">
      <c r="A53" s="90"/>
      <c r="B53" s="90"/>
      <c r="C53" s="90"/>
      <c r="D53" s="91">
        <f>IFERROR(__xludf.DUMMYFUNCTION("IFERROR(sum(filter('Основной эфир'!$AA:$AA, 'Основной эфир'!$B:$B=$A53,'Основной эфир'!$C:$C=$B53,'Основной эфир'!$I:$I=$C53)), 0) "),0.0)</f>
        <v>0</v>
      </c>
      <c r="E53" s="91">
        <f>IFERROR(__xludf.DUMMYFUNCTION("IFERROR(sum(filter('Основной эфир'!$AC:$AC, 'Основной эфир'!$B:$B=$A53,'Основной эфир'!$C:$C=$B53,'Основной эфир'!$I:$I=$C53)), 0) "),0.0)</f>
        <v>0</v>
      </c>
      <c r="F53" s="91">
        <f>IFERROR(__xludf.DUMMYFUNCTION("IFERROR(sum(filter('Основной эфир'!$O:$O, 'Основной эфир'!$B:$B=$A53,'Основной эфир'!$C:$C=$B53,'Основной эфир'!$I:$I=$C53)), 0) "),0.0)</f>
        <v>0</v>
      </c>
      <c r="G53" s="91">
        <f>IFERROR(__xludf.DUMMYFUNCTION("IFERROR(sum(filter('Основной эфир'!$Q:$Q, 'Основной эфир'!$B:$B=$A53,'Основной эфир'!$C:$C=$B53,'Основной эфир'!$I:$I=$C53)), 0) "),0.0)</f>
        <v>0</v>
      </c>
      <c r="H53" s="91">
        <f>IFERROR(__xludf.DUMMYFUNCTION("IFERROR(AVERAGE(filter('Основной эфир'!$Y:$Y, 'Основной эфир'!$B:$B=$A53,'Основной эфир'!$C:$C=$B53,'Основной эфир'!$I:$I=$C53)), 0) "),0.0)</f>
        <v>0</v>
      </c>
      <c r="I53" s="91">
        <f>IFERROR(__xludf.DUMMYFUNCTION("IFERROR(AVERAGE(filter('Основной эфир'!$AE:$AE, 'Основной эфир'!$B:$B=$A53,'Основной эфир'!$C:$C=$B53,'Основной эфир'!$I:$I=$C53)), 0) "),0.0)</f>
        <v>0</v>
      </c>
      <c r="J53" s="91">
        <f>IFERROR(__xludf.DUMMYFUNCTION("IFERROR(SUM(filter('Основной эфир'!$AL:$AL, 'Основной эфир'!$B:$B=$A53,'Основной эфир'!$C:$C=$B53,'Основной эфир'!$I:$I=$C53)), 0) "),0.0)</f>
        <v>0</v>
      </c>
      <c r="K53" s="91" t="str">
        <f>IFERROR(__xludf.DUMMYFUNCTION("IFERROR(REGEXREPLACE(unique(filter('Основной эфир'!$A:$A, 'Основной эфир'!$B:$B=$A53,'Основной эфир'!$C:$C=$B53,'Основной эфир'!$I:$I=$C53)), ""\d+"", """"),"""")"),"")</f>
        <v/>
      </c>
      <c r="L53" s="91" t="str">
        <f>IFERROR(__xludf.DUMMYFUNCTION("IFERROR(unique(filter('Основной эфир'!$F:$F, 'Основной эфир'!$B:$B=$A53,'Основной эфир'!$C:$C=$B53,'Основной эфир'!$I:$I=$C53)),"""")"),"")</f>
        <v/>
      </c>
      <c r="M53" s="92" t="str">
        <f t="shared" si="1"/>
        <v/>
      </c>
      <c r="N53" s="93">
        <f>IFERROR(__xludf.DUMMYFUNCTION("IFERROR(SWITCH(lower(join("" "",L53:M53)),""а миллионник"", 62.5,""б миллионник"", 75,""а мск"", 50, ""б мск"", 62.5, ""a остальное"", 70, ""б остальное"", 80)/100,0)"),0.0)</f>
        <v>0</v>
      </c>
      <c r="O53" s="91">
        <f t="shared" si="2"/>
        <v>0</v>
      </c>
      <c r="P53" s="91">
        <f>IFERROR(__xludf.DUMMYFUNCTION("IFERROR(sum(filter('Генеральный баннер'!$O:$O, 'Генеральный баннер'!$B:$B=$A53,'Генеральный баннер'!$C:$C=$B53,'Генеральный баннер'!$I:$I=$C53)), 0) "),0.0)</f>
        <v>0</v>
      </c>
      <c r="Q53" s="91">
        <f>IFERROR(__xludf.DUMMYFUNCTION("IFERROR(sum(filter('Генеральный баннер'!$Q:$Q, 'Генеральный баннер'!$B:$B=$A53,'Генеральный баннер'!$C:$C=$B53,'Генеральный баннер'!$I:$I=$C53)), 0) "),0.0)</f>
        <v>0</v>
      </c>
      <c r="R53" s="91">
        <f>IFERROR(__xludf.DUMMYFUNCTION("IFERROR(AVERAGE(filter('Генеральный баннер'!$AA:$AA, 'Генеральный баннер'!$B:$B=$A53,'Генеральный баннер'!$C:$C=$B53,'Генеральный баннер'!$I:$I=$C53)), 0) "),0.0)</f>
        <v>0</v>
      </c>
      <c r="S53" s="91">
        <f>IFERROR(__xludf.DUMMYFUNCTION("IFERROR(SUM(filter('Генеральный баннер'!$AH:$AH, 'Генеральный баннер'!$B:$B=$A53,'Генеральный баннер'!$C:$C=$B53,'Генеральный баннер'!$I:$I=$C53)), 0) "),0.0)</f>
        <v>0</v>
      </c>
      <c r="T53" s="91" t="str">
        <f>IFERROR(__xludf.DUMMYFUNCTION("IFERROR(REGEXREPLACE(unique(filter('Генеральный баннер'!$A:$A, 'Генеральный баннер'!$B:$B=$A53,'Генеральный баннер'!$C:$C=$B53,'Генеральный баннер'!$I:$I=$C53)), ""\d+"", """"),"""")"),"")</f>
        <v/>
      </c>
      <c r="U53" s="91" t="str">
        <f>IFERROR(__xludf.DUMMYFUNCTION("IFERROR(unique(filter('Генеральный баннер'!$F:$F, 'Генеральный баннер'!$B:$B=$A53,'Генеральный баннер'!$C:$C=$B53,'Генеральный баннер'!$I:$I=$C53)),"""")"),"")</f>
        <v/>
      </c>
      <c r="V53" s="92" t="str">
        <f t="shared" si="3"/>
        <v/>
      </c>
      <c r="W53" s="93">
        <f>IFERROR(__xludf.DUMMYFUNCTION("IFERROR(SWITCH(lower(join("" "",U53:V53)),""а миллионник"", 62.5,""б миллионник"", 75,""а мск"", 50, ""б мск"", 62.5, ""a остальное"", 70, ""б остальное"", 80)/100,0)"),0.0)</f>
        <v>0</v>
      </c>
      <c r="X53" s="91">
        <f t="shared" si="4"/>
        <v>0</v>
      </c>
    </row>
    <row r="54">
      <c r="A54" s="90"/>
      <c r="B54" s="90"/>
      <c r="C54" s="90"/>
      <c r="D54" s="91">
        <f>IFERROR(__xludf.DUMMYFUNCTION("IFERROR(sum(filter('Основной эфир'!$AA:$AA, 'Основной эфир'!$B:$B=$A54,'Основной эфир'!$C:$C=$B54,'Основной эфир'!$I:$I=$C54)), 0) "),0.0)</f>
        <v>0</v>
      </c>
      <c r="E54" s="91">
        <f>IFERROR(__xludf.DUMMYFUNCTION("IFERROR(sum(filter('Основной эфир'!$AC:$AC, 'Основной эфир'!$B:$B=$A54,'Основной эфир'!$C:$C=$B54,'Основной эфир'!$I:$I=$C54)), 0) "),0.0)</f>
        <v>0</v>
      </c>
      <c r="F54" s="91">
        <f>IFERROR(__xludf.DUMMYFUNCTION("IFERROR(sum(filter('Основной эфир'!$O:$O, 'Основной эфир'!$B:$B=$A54,'Основной эфир'!$C:$C=$B54,'Основной эфир'!$I:$I=$C54)), 0) "),0.0)</f>
        <v>0</v>
      </c>
      <c r="G54" s="91">
        <f>IFERROR(__xludf.DUMMYFUNCTION("IFERROR(sum(filter('Основной эфир'!$Q:$Q, 'Основной эфир'!$B:$B=$A54,'Основной эфир'!$C:$C=$B54,'Основной эфир'!$I:$I=$C54)), 0) "),0.0)</f>
        <v>0</v>
      </c>
      <c r="H54" s="91">
        <f>IFERROR(__xludf.DUMMYFUNCTION("IFERROR(AVERAGE(filter('Основной эфир'!$Y:$Y, 'Основной эфир'!$B:$B=$A54,'Основной эфир'!$C:$C=$B54,'Основной эфир'!$I:$I=$C54)), 0) "),0.0)</f>
        <v>0</v>
      </c>
      <c r="I54" s="91">
        <f>IFERROR(__xludf.DUMMYFUNCTION("IFERROR(AVERAGE(filter('Основной эфир'!$AE:$AE, 'Основной эфир'!$B:$B=$A54,'Основной эфир'!$C:$C=$B54,'Основной эфир'!$I:$I=$C54)), 0) "),0.0)</f>
        <v>0</v>
      </c>
      <c r="J54" s="91">
        <f>IFERROR(__xludf.DUMMYFUNCTION("IFERROR(SUM(filter('Основной эфир'!$AL:$AL, 'Основной эфир'!$B:$B=$A54,'Основной эфир'!$C:$C=$B54,'Основной эфир'!$I:$I=$C54)), 0) "),0.0)</f>
        <v>0</v>
      </c>
      <c r="K54" s="91" t="str">
        <f>IFERROR(__xludf.DUMMYFUNCTION("IFERROR(REGEXREPLACE(unique(filter('Основной эфир'!$A:$A, 'Основной эфир'!$B:$B=$A54,'Основной эфир'!$C:$C=$B54,'Основной эфир'!$I:$I=$C54)), ""\d+"", """"),"""")"),"")</f>
        <v/>
      </c>
      <c r="L54" s="91" t="str">
        <f>IFERROR(__xludf.DUMMYFUNCTION("IFERROR(unique(filter('Основной эфир'!$F:$F, 'Основной эфир'!$B:$B=$A54,'Основной эфир'!$C:$C=$B54,'Основной эфир'!$I:$I=$C54)),"""")"),"")</f>
        <v/>
      </c>
      <c r="M54" s="92" t="str">
        <f t="shared" si="1"/>
        <v/>
      </c>
      <c r="N54" s="93">
        <f>IFERROR(__xludf.DUMMYFUNCTION("IFERROR(SWITCH(lower(join("" "",L54:M54)),""а миллионник"", 62.5,""б миллионник"", 75,""а мск"", 50, ""б мск"", 62.5, ""a остальное"", 70, ""б остальное"", 80)/100,0)"),0.0)</f>
        <v>0</v>
      </c>
      <c r="O54" s="91">
        <f t="shared" si="2"/>
        <v>0</v>
      </c>
      <c r="P54" s="91">
        <f>IFERROR(__xludf.DUMMYFUNCTION("IFERROR(sum(filter('Генеральный баннер'!$O:$O, 'Генеральный баннер'!$B:$B=$A54,'Генеральный баннер'!$C:$C=$B54,'Генеральный баннер'!$I:$I=$C54)), 0) "),0.0)</f>
        <v>0</v>
      </c>
      <c r="Q54" s="91">
        <f>IFERROR(__xludf.DUMMYFUNCTION("IFERROR(sum(filter('Генеральный баннер'!$Q:$Q, 'Генеральный баннер'!$B:$B=$A54,'Генеральный баннер'!$C:$C=$B54,'Генеральный баннер'!$I:$I=$C54)), 0) "),0.0)</f>
        <v>0</v>
      </c>
      <c r="R54" s="91">
        <f>IFERROR(__xludf.DUMMYFUNCTION("IFERROR(AVERAGE(filter('Генеральный баннер'!$AA:$AA, 'Генеральный баннер'!$B:$B=$A54,'Генеральный баннер'!$C:$C=$B54,'Генеральный баннер'!$I:$I=$C54)), 0) "),0.0)</f>
        <v>0</v>
      </c>
      <c r="S54" s="91">
        <f>IFERROR(__xludf.DUMMYFUNCTION("IFERROR(SUM(filter('Генеральный баннер'!$AH:$AH, 'Генеральный баннер'!$B:$B=$A54,'Генеральный баннер'!$C:$C=$B54,'Генеральный баннер'!$I:$I=$C54)), 0) "),0.0)</f>
        <v>0</v>
      </c>
      <c r="T54" s="91" t="str">
        <f>IFERROR(__xludf.DUMMYFUNCTION("IFERROR(REGEXREPLACE(unique(filter('Генеральный баннер'!$A:$A, 'Генеральный баннер'!$B:$B=$A54,'Генеральный баннер'!$C:$C=$B54,'Генеральный баннер'!$I:$I=$C54)), ""\d+"", """"),"""")"),"")</f>
        <v/>
      </c>
      <c r="U54" s="91" t="str">
        <f>IFERROR(__xludf.DUMMYFUNCTION("IFERROR(unique(filter('Генеральный баннер'!$F:$F, 'Генеральный баннер'!$B:$B=$A54,'Генеральный баннер'!$C:$C=$B54,'Генеральный баннер'!$I:$I=$C54)),"""")"),"")</f>
        <v/>
      </c>
      <c r="V54" s="92" t="str">
        <f t="shared" si="3"/>
        <v/>
      </c>
      <c r="W54" s="93">
        <f>IFERROR(__xludf.DUMMYFUNCTION("IFERROR(SWITCH(lower(join("" "",U54:V54)),""а миллионник"", 62.5,""б миллионник"", 75,""а мск"", 50, ""б мск"", 62.5, ""a остальное"", 70, ""б остальное"", 80)/100,0)"),0.0)</f>
        <v>0</v>
      </c>
      <c r="X54" s="91">
        <f t="shared" si="4"/>
        <v>0</v>
      </c>
    </row>
    <row r="55">
      <c r="A55" s="90"/>
      <c r="B55" s="90"/>
      <c r="C55" s="90"/>
      <c r="D55" s="91">
        <f>IFERROR(__xludf.DUMMYFUNCTION("IFERROR(sum(filter('Основной эфир'!$AA:$AA, 'Основной эфир'!$B:$B=$A55,'Основной эфир'!$C:$C=$B55,'Основной эфир'!$I:$I=$C55)), 0) "),0.0)</f>
        <v>0</v>
      </c>
      <c r="E55" s="91">
        <f>IFERROR(__xludf.DUMMYFUNCTION("IFERROR(sum(filter('Основной эфир'!$AC:$AC, 'Основной эфир'!$B:$B=$A55,'Основной эфир'!$C:$C=$B55,'Основной эфир'!$I:$I=$C55)), 0) "),0.0)</f>
        <v>0</v>
      </c>
      <c r="F55" s="91">
        <f>IFERROR(__xludf.DUMMYFUNCTION("IFERROR(sum(filter('Основной эфир'!$O:$O, 'Основной эфир'!$B:$B=$A55,'Основной эфир'!$C:$C=$B55,'Основной эфир'!$I:$I=$C55)), 0) "),0.0)</f>
        <v>0</v>
      </c>
      <c r="G55" s="91">
        <f>IFERROR(__xludf.DUMMYFUNCTION("IFERROR(sum(filter('Основной эфир'!$Q:$Q, 'Основной эфир'!$B:$B=$A55,'Основной эфир'!$C:$C=$B55,'Основной эфир'!$I:$I=$C55)), 0) "),0.0)</f>
        <v>0</v>
      </c>
      <c r="H55" s="91">
        <f>IFERROR(__xludf.DUMMYFUNCTION("IFERROR(AVERAGE(filter('Основной эфир'!$Y:$Y, 'Основной эфир'!$B:$B=$A55,'Основной эфир'!$C:$C=$B55,'Основной эфир'!$I:$I=$C55)), 0) "),0.0)</f>
        <v>0</v>
      </c>
      <c r="I55" s="91">
        <f>IFERROR(__xludf.DUMMYFUNCTION("IFERROR(AVERAGE(filter('Основной эфир'!$AE:$AE, 'Основной эфир'!$B:$B=$A55,'Основной эфир'!$C:$C=$B55,'Основной эфир'!$I:$I=$C55)), 0) "),0.0)</f>
        <v>0</v>
      </c>
      <c r="J55" s="91">
        <f>IFERROR(__xludf.DUMMYFUNCTION("IFERROR(SUM(filter('Основной эфир'!$AL:$AL, 'Основной эфир'!$B:$B=$A55,'Основной эфир'!$C:$C=$B55,'Основной эфир'!$I:$I=$C55)), 0) "),0.0)</f>
        <v>0</v>
      </c>
      <c r="K55" s="91" t="str">
        <f>IFERROR(__xludf.DUMMYFUNCTION("IFERROR(REGEXREPLACE(unique(filter('Основной эфир'!$A:$A, 'Основной эфир'!$B:$B=$A55,'Основной эфир'!$C:$C=$B55,'Основной эфир'!$I:$I=$C55)), ""\d+"", """"),"""")"),"")</f>
        <v/>
      </c>
      <c r="L55" s="91" t="str">
        <f>IFERROR(__xludf.DUMMYFUNCTION("IFERROR(unique(filter('Основной эфир'!$F:$F, 'Основной эфир'!$B:$B=$A55,'Основной эфир'!$C:$C=$B55,'Основной эфир'!$I:$I=$C55)),"""")"),"")</f>
        <v/>
      </c>
      <c r="M55" s="92" t="str">
        <f t="shared" si="1"/>
        <v/>
      </c>
      <c r="N55" s="93">
        <f>IFERROR(__xludf.DUMMYFUNCTION("IFERROR(SWITCH(lower(join("" "",L55:M55)),""а миллионник"", 62.5,""б миллионник"", 75,""а мск"", 50, ""б мск"", 62.5, ""a остальное"", 70, ""б остальное"", 80)/100,0)"),0.0)</f>
        <v>0</v>
      </c>
      <c r="O55" s="91">
        <f t="shared" si="2"/>
        <v>0</v>
      </c>
      <c r="P55" s="91">
        <f>IFERROR(__xludf.DUMMYFUNCTION("IFERROR(sum(filter('Генеральный баннер'!$O:$O, 'Генеральный баннер'!$B:$B=$A55,'Генеральный баннер'!$C:$C=$B55,'Генеральный баннер'!$I:$I=$C55)), 0) "),0.0)</f>
        <v>0</v>
      </c>
      <c r="Q55" s="91">
        <f>IFERROR(__xludf.DUMMYFUNCTION("IFERROR(sum(filter('Генеральный баннер'!$Q:$Q, 'Генеральный баннер'!$B:$B=$A55,'Генеральный баннер'!$C:$C=$B55,'Генеральный баннер'!$I:$I=$C55)), 0) "),0.0)</f>
        <v>0</v>
      </c>
      <c r="R55" s="91">
        <f>IFERROR(__xludf.DUMMYFUNCTION("IFERROR(AVERAGE(filter('Генеральный баннер'!$AA:$AA, 'Генеральный баннер'!$B:$B=$A55,'Генеральный баннер'!$C:$C=$B55,'Генеральный баннер'!$I:$I=$C55)), 0) "),0.0)</f>
        <v>0</v>
      </c>
      <c r="S55" s="91">
        <f>IFERROR(__xludf.DUMMYFUNCTION("IFERROR(SUM(filter('Генеральный баннер'!$AH:$AH, 'Генеральный баннер'!$B:$B=$A55,'Генеральный баннер'!$C:$C=$B55,'Генеральный баннер'!$I:$I=$C55)), 0) "),0.0)</f>
        <v>0</v>
      </c>
      <c r="T55" s="91" t="str">
        <f>IFERROR(__xludf.DUMMYFUNCTION("IFERROR(REGEXREPLACE(unique(filter('Генеральный баннер'!$A:$A, 'Генеральный баннер'!$B:$B=$A55,'Генеральный баннер'!$C:$C=$B55,'Генеральный баннер'!$I:$I=$C55)), ""\d+"", """"),"""")"),"")</f>
        <v/>
      </c>
      <c r="U55" s="91" t="str">
        <f>IFERROR(__xludf.DUMMYFUNCTION("IFERROR(unique(filter('Генеральный баннер'!$F:$F, 'Генеральный баннер'!$B:$B=$A55,'Генеральный баннер'!$C:$C=$B55,'Генеральный баннер'!$I:$I=$C55)),"""")"),"")</f>
        <v/>
      </c>
      <c r="V55" s="92" t="str">
        <f t="shared" si="3"/>
        <v/>
      </c>
      <c r="W55" s="93">
        <f>IFERROR(__xludf.DUMMYFUNCTION("IFERROR(SWITCH(lower(join("" "",U55:V55)),""а миллионник"", 62.5,""б миллионник"", 75,""а мск"", 50, ""б мск"", 62.5, ""a остальное"", 70, ""б остальное"", 80)/100,0)"),0.0)</f>
        <v>0</v>
      </c>
      <c r="X55" s="91">
        <f t="shared" si="4"/>
        <v>0</v>
      </c>
    </row>
    <row r="56">
      <c r="A56" s="90"/>
      <c r="B56" s="90"/>
      <c r="C56" s="90"/>
      <c r="D56" s="91">
        <f>IFERROR(__xludf.DUMMYFUNCTION("IFERROR(sum(filter('Основной эфир'!$AA:$AA, 'Основной эфир'!$B:$B=$A56,'Основной эфир'!$C:$C=$B56,'Основной эфир'!$I:$I=$C56)), 0) "),0.0)</f>
        <v>0</v>
      </c>
      <c r="E56" s="91">
        <f>IFERROR(__xludf.DUMMYFUNCTION("IFERROR(sum(filter('Основной эфир'!$AC:$AC, 'Основной эфир'!$B:$B=$A56,'Основной эфир'!$C:$C=$B56,'Основной эфир'!$I:$I=$C56)), 0) "),0.0)</f>
        <v>0</v>
      </c>
      <c r="F56" s="91">
        <f>IFERROR(__xludf.DUMMYFUNCTION("IFERROR(sum(filter('Основной эфир'!$O:$O, 'Основной эфир'!$B:$B=$A56,'Основной эфир'!$C:$C=$B56,'Основной эфир'!$I:$I=$C56)), 0) "),0.0)</f>
        <v>0</v>
      </c>
      <c r="G56" s="91">
        <f>IFERROR(__xludf.DUMMYFUNCTION("IFERROR(sum(filter('Основной эфир'!$Q:$Q, 'Основной эфир'!$B:$B=$A56,'Основной эфир'!$C:$C=$B56,'Основной эфир'!$I:$I=$C56)), 0) "),0.0)</f>
        <v>0</v>
      </c>
      <c r="H56" s="91">
        <f>IFERROR(__xludf.DUMMYFUNCTION("IFERROR(AVERAGE(filter('Основной эфир'!$Y:$Y, 'Основной эфир'!$B:$B=$A56,'Основной эфир'!$C:$C=$B56,'Основной эфир'!$I:$I=$C56)), 0) "),0.0)</f>
        <v>0</v>
      </c>
      <c r="I56" s="91">
        <f>IFERROR(__xludf.DUMMYFUNCTION("IFERROR(AVERAGE(filter('Основной эфир'!$AE:$AE, 'Основной эфир'!$B:$B=$A56,'Основной эфир'!$C:$C=$B56,'Основной эфир'!$I:$I=$C56)), 0) "),0.0)</f>
        <v>0</v>
      </c>
      <c r="J56" s="91">
        <f>IFERROR(__xludf.DUMMYFUNCTION("IFERROR(SUM(filter('Основной эфир'!$AL:$AL, 'Основной эфир'!$B:$B=$A56,'Основной эфир'!$C:$C=$B56,'Основной эфир'!$I:$I=$C56)), 0) "),0.0)</f>
        <v>0</v>
      </c>
      <c r="K56" s="91" t="str">
        <f>IFERROR(__xludf.DUMMYFUNCTION("IFERROR(REGEXREPLACE(unique(filter('Основной эфир'!$A:$A, 'Основной эфир'!$B:$B=$A56,'Основной эфир'!$C:$C=$B56,'Основной эфир'!$I:$I=$C56)), ""\d+"", """"),"""")"),"")</f>
        <v/>
      </c>
      <c r="L56" s="91" t="str">
        <f>IFERROR(__xludf.DUMMYFUNCTION("IFERROR(unique(filter('Основной эфир'!$F:$F, 'Основной эфир'!$B:$B=$A56,'Основной эфир'!$C:$C=$B56,'Основной эфир'!$I:$I=$C56)),"""")"),"")</f>
        <v/>
      </c>
      <c r="M56" s="92" t="str">
        <f t="shared" si="1"/>
        <v/>
      </c>
      <c r="N56" s="93">
        <f>IFERROR(__xludf.DUMMYFUNCTION("IFERROR(SWITCH(lower(join("" "",L56:M56)),""а миллионник"", 62.5,""б миллионник"", 75,""а мск"", 50, ""б мск"", 62.5, ""a остальное"", 70, ""б остальное"", 80)/100,0)"),0.0)</f>
        <v>0</v>
      </c>
      <c r="O56" s="91">
        <f t="shared" si="2"/>
        <v>0</v>
      </c>
      <c r="P56" s="91">
        <f>IFERROR(__xludf.DUMMYFUNCTION("IFERROR(sum(filter('Генеральный баннер'!$O:$O, 'Генеральный баннер'!$B:$B=$A56,'Генеральный баннер'!$C:$C=$B56,'Генеральный баннер'!$I:$I=$C56)), 0) "),0.0)</f>
        <v>0</v>
      </c>
      <c r="Q56" s="91">
        <f>IFERROR(__xludf.DUMMYFUNCTION("IFERROR(sum(filter('Генеральный баннер'!$Q:$Q, 'Генеральный баннер'!$B:$B=$A56,'Генеральный баннер'!$C:$C=$B56,'Генеральный баннер'!$I:$I=$C56)), 0) "),0.0)</f>
        <v>0</v>
      </c>
      <c r="R56" s="91">
        <f>IFERROR(__xludf.DUMMYFUNCTION("IFERROR(AVERAGE(filter('Генеральный баннер'!$AA:$AA, 'Генеральный баннер'!$B:$B=$A56,'Генеральный баннер'!$C:$C=$B56,'Генеральный баннер'!$I:$I=$C56)), 0) "),0.0)</f>
        <v>0</v>
      </c>
      <c r="S56" s="91">
        <f>IFERROR(__xludf.DUMMYFUNCTION("IFERROR(SUM(filter('Генеральный баннер'!$AH:$AH, 'Генеральный баннер'!$B:$B=$A56,'Генеральный баннер'!$C:$C=$B56,'Генеральный баннер'!$I:$I=$C56)), 0) "),0.0)</f>
        <v>0</v>
      </c>
      <c r="T56" s="91" t="str">
        <f>IFERROR(__xludf.DUMMYFUNCTION("IFERROR(REGEXREPLACE(unique(filter('Генеральный баннер'!$A:$A, 'Генеральный баннер'!$B:$B=$A56,'Генеральный баннер'!$C:$C=$B56,'Генеральный баннер'!$I:$I=$C56)), ""\d+"", """"),"""")"),"")</f>
        <v/>
      </c>
      <c r="U56" s="91" t="str">
        <f>IFERROR(__xludf.DUMMYFUNCTION("IFERROR(unique(filter('Генеральный баннер'!$F:$F, 'Генеральный баннер'!$B:$B=$A56,'Генеральный баннер'!$C:$C=$B56,'Генеральный баннер'!$I:$I=$C56)),"""")"),"")</f>
        <v/>
      </c>
      <c r="V56" s="92" t="str">
        <f t="shared" si="3"/>
        <v/>
      </c>
      <c r="W56" s="93">
        <f>IFERROR(__xludf.DUMMYFUNCTION("IFERROR(SWITCH(lower(join("" "",U56:V56)),""а миллионник"", 62.5,""б миллионник"", 75,""а мск"", 50, ""б мск"", 62.5, ""a остальное"", 70, ""б остальное"", 80)/100,0)"),0.0)</f>
        <v>0</v>
      </c>
      <c r="X56" s="91">
        <f t="shared" si="4"/>
        <v>0</v>
      </c>
    </row>
    <row r="57">
      <c r="A57" s="90"/>
      <c r="B57" s="90"/>
      <c r="C57" s="90"/>
      <c r="D57" s="91">
        <f>IFERROR(__xludf.DUMMYFUNCTION("IFERROR(sum(filter('Основной эфир'!$AA:$AA, 'Основной эфир'!$B:$B=$A57,'Основной эфир'!$C:$C=$B57,'Основной эфир'!$I:$I=$C57)), 0) "),0.0)</f>
        <v>0</v>
      </c>
      <c r="E57" s="91">
        <f>IFERROR(__xludf.DUMMYFUNCTION("IFERROR(sum(filter('Основной эфир'!$AC:$AC, 'Основной эфир'!$B:$B=$A57,'Основной эфир'!$C:$C=$B57,'Основной эфир'!$I:$I=$C57)), 0) "),0.0)</f>
        <v>0</v>
      </c>
      <c r="F57" s="91">
        <f>IFERROR(__xludf.DUMMYFUNCTION("IFERROR(sum(filter('Основной эфир'!$O:$O, 'Основной эфир'!$B:$B=$A57,'Основной эфир'!$C:$C=$B57,'Основной эфир'!$I:$I=$C57)), 0) "),0.0)</f>
        <v>0</v>
      </c>
      <c r="G57" s="91">
        <f>IFERROR(__xludf.DUMMYFUNCTION("IFERROR(sum(filter('Основной эфир'!$Q:$Q, 'Основной эфир'!$B:$B=$A57,'Основной эфир'!$C:$C=$B57,'Основной эфир'!$I:$I=$C57)), 0) "),0.0)</f>
        <v>0</v>
      </c>
      <c r="H57" s="91">
        <f>IFERROR(__xludf.DUMMYFUNCTION("IFERROR(AVERAGE(filter('Основной эфир'!$Y:$Y, 'Основной эфир'!$B:$B=$A57,'Основной эфир'!$C:$C=$B57,'Основной эфир'!$I:$I=$C57)), 0) "),0.0)</f>
        <v>0</v>
      </c>
      <c r="I57" s="91">
        <f>IFERROR(__xludf.DUMMYFUNCTION("IFERROR(AVERAGE(filter('Основной эфир'!$AE:$AE, 'Основной эфир'!$B:$B=$A57,'Основной эфир'!$C:$C=$B57,'Основной эфир'!$I:$I=$C57)), 0) "),0.0)</f>
        <v>0</v>
      </c>
      <c r="J57" s="91">
        <f>IFERROR(__xludf.DUMMYFUNCTION("IFERROR(SUM(filter('Основной эфир'!$AL:$AL, 'Основной эфир'!$B:$B=$A57,'Основной эфир'!$C:$C=$B57,'Основной эфир'!$I:$I=$C57)), 0) "),0.0)</f>
        <v>0</v>
      </c>
      <c r="K57" s="91" t="str">
        <f>IFERROR(__xludf.DUMMYFUNCTION("IFERROR(REGEXREPLACE(unique(filter('Основной эфир'!$A:$A, 'Основной эфир'!$B:$B=$A57,'Основной эфир'!$C:$C=$B57,'Основной эфир'!$I:$I=$C57)), ""\d+"", """"),"""")"),"")</f>
        <v/>
      </c>
      <c r="L57" s="91" t="str">
        <f>IFERROR(__xludf.DUMMYFUNCTION("IFERROR(unique(filter('Основной эфир'!$F:$F, 'Основной эфир'!$B:$B=$A57,'Основной эфир'!$C:$C=$B57,'Основной эфир'!$I:$I=$C57)),"""")"),"")</f>
        <v/>
      </c>
      <c r="M57" s="92" t="str">
        <f t="shared" si="1"/>
        <v/>
      </c>
      <c r="N57" s="93">
        <f>IFERROR(__xludf.DUMMYFUNCTION("IFERROR(SWITCH(lower(join("" "",L57:M57)),""а миллионник"", 62.5,""б миллионник"", 75,""а мск"", 50, ""б мск"", 62.5, ""a остальное"", 70, ""б остальное"", 80)/100,0)"),0.0)</f>
        <v>0</v>
      </c>
      <c r="O57" s="91">
        <f t="shared" si="2"/>
        <v>0</v>
      </c>
      <c r="P57" s="91">
        <f>IFERROR(__xludf.DUMMYFUNCTION("IFERROR(sum(filter('Генеральный баннер'!$O:$O, 'Генеральный баннер'!$B:$B=$A57,'Генеральный баннер'!$C:$C=$B57,'Генеральный баннер'!$I:$I=$C57)), 0) "),0.0)</f>
        <v>0</v>
      </c>
      <c r="Q57" s="91">
        <f>IFERROR(__xludf.DUMMYFUNCTION("IFERROR(sum(filter('Генеральный баннер'!$Q:$Q, 'Генеральный баннер'!$B:$B=$A57,'Генеральный баннер'!$C:$C=$B57,'Генеральный баннер'!$I:$I=$C57)), 0) "),0.0)</f>
        <v>0</v>
      </c>
      <c r="R57" s="91">
        <f>IFERROR(__xludf.DUMMYFUNCTION("IFERROR(AVERAGE(filter('Генеральный баннер'!$AA:$AA, 'Генеральный баннер'!$B:$B=$A57,'Генеральный баннер'!$C:$C=$B57,'Генеральный баннер'!$I:$I=$C57)), 0) "),0.0)</f>
        <v>0</v>
      </c>
      <c r="S57" s="91">
        <f>IFERROR(__xludf.DUMMYFUNCTION("IFERROR(SUM(filter('Генеральный баннер'!$AH:$AH, 'Генеральный баннер'!$B:$B=$A57,'Генеральный баннер'!$C:$C=$B57,'Генеральный баннер'!$I:$I=$C57)), 0) "),0.0)</f>
        <v>0</v>
      </c>
      <c r="T57" s="91" t="str">
        <f>IFERROR(__xludf.DUMMYFUNCTION("IFERROR(REGEXREPLACE(unique(filter('Генеральный баннер'!$A:$A, 'Генеральный баннер'!$B:$B=$A57,'Генеральный баннер'!$C:$C=$B57,'Генеральный баннер'!$I:$I=$C57)), ""\d+"", """"),"""")"),"")</f>
        <v/>
      </c>
      <c r="U57" s="91" t="str">
        <f>IFERROR(__xludf.DUMMYFUNCTION("IFERROR(unique(filter('Генеральный баннер'!$F:$F, 'Генеральный баннер'!$B:$B=$A57,'Генеральный баннер'!$C:$C=$B57,'Генеральный баннер'!$I:$I=$C57)),"""")"),"")</f>
        <v/>
      </c>
      <c r="V57" s="92" t="str">
        <f t="shared" si="3"/>
        <v/>
      </c>
      <c r="W57" s="93">
        <f>IFERROR(__xludf.DUMMYFUNCTION("IFERROR(SWITCH(lower(join("" "",U57:V57)),""а миллионник"", 62.5,""б миллионник"", 75,""а мск"", 50, ""б мск"", 62.5, ""a остальное"", 70, ""б остальное"", 80)/100,0)"),0.0)</f>
        <v>0</v>
      </c>
      <c r="X57" s="91">
        <f t="shared" si="4"/>
        <v>0</v>
      </c>
    </row>
    <row r="58">
      <c r="A58" s="90"/>
      <c r="B58" s="90"/>
      <c r="C58" s="90"/>
      <c r="D58" s="91">
        <f>IFERROR(__xludf.DUMMYFUNCTION("IFERROR(sum(filter('Основной эфир'!$AA:$AA, 'Основной эфир'!$B:$B=$A58,'Основной эфир'!$C:$C=$B58,'Основной эфир'!$I:$I=$C58)), 0) "),0.0)</f>
        <v>0</v>
      </c>
      <c r="E58" s="91">
        <f>IFERROR(__xludf.DUMMYFUNCTION("IFERROR(sum(filter('Основной эфир'!$AC:$AC, 'Основной эфир'!$B:$B=$A58,'Основной эфир'!$C:$C=$B58,'Основной эфир'!$I:$I=$C58)), 0) "),0.0)</f>
        <v>0</v>
      </c>
      <c r="F58" s="91">
        <f>IFERROR(__xludf.DUMMYFUNCTION("IFERROR(sum(filter('Основной эфир'!$O:$O, 'Основной эфир'!$B:$B=$A58,'Основной эфир'!$C:$C=$B58,'Основной эфир'!$I:$I=$C58)), 0) "),0.0)</f>
        <v>0</v>
      </c>
      <c r="G58" s="91">
        <f>IFERROR(__xludf.DUMMYFUNCTION("IFERROR(sum(filter('Основной эфир'!$Q:$Q, 'Основной эфир'!$B:$B=$A58,'Основной эфир'!$C:$C=$B58,'Основной эфир'!$I:$I=$C58)), 0) "),0.0)</f>
        <v>0</v>
      </c>
      <c r="H58" s="91">
        <f>IFERROR(__xludf.DUMMYFUNCTION("IFERROR(AVERAGE(filter('Основной эфир'!$Y:$Y, 'Основной эфир'!$B:$B=$A58,'Основной эфир'!$C:$C=$B58,'Основной эфир'!$I:$I=$C58)), 0) "),0.0)</f>
        <v>0</v>
      </c>
      <c r="I58" s="91">
        <f>IFERROR(__xludf.DUMMYFUNCTION("IFERROR(AVERAGE(filter('Основной эфир'!$AE:$AE, 'Основной эфир'!$B:$B=$A58,'Основной эфир'!$C:$C=$B58,'Основной эфир'!$I:$I=$C58)), 0) "),0.0)</f>
        <v>0</v>
      </c>
      <c r="J58" s="91">
        <f>IFERROR(__xludf.DUMMYFUNCTION("IFERROR(SUM(filter('Основной эфир'!$AL:$AL, 'Основной эфир'!$B:$B=$A58,'Основной эфир'!$C:$C=$B58,'Основной эфир'!$I:$I=$C58)), 0) "),0.0)</f>
        <v>0</v>
      </c>
      <c r="K58" s="91" t="str">
        <f>IFERROR(__xludf.DUMMYFUNCTION("IFERROR(REGEXREPLACE(unique(filter('Основной эфир'!$A:$A, 'Основной эфир'!$B:$B=$A58,'Основной эфир'!$C:$C=$B58,'Основной эфир'!$I:$I=$C58)), ""\d+"", """"),"""")"),"")</f>
        <v/>
      </c>
      <c r="L58" s="91" t="str">
        <f>IFERROR(__xludf.DUMMYFUNCTION("IFERROR(unique(filter('Основной эфир'!$F:$F, 'Основной эфир'!$B:$B=$A58,'Основной эфир'!$C:$C=$B58,'Основной эфир'!$I:$I=$C58)),"""")"),"")</f>
        <v/>
      </c>
      <c r="M58" s="92" t="str">
        <f t="shared" si="1"/>
        <v/>
      </c>
      <c r="N58" s="93">
        <f>IFERROR(__xludf.DUMMYFUNCTION("IFERROR(SWITCH(lower(join("" "",L58:M58)),""а миллионник"", 62.5,""б миллионник"", 75,""а мск"", 50, ""б мск"", 62.5, ""a остальное"", 70, ""б остальное"", 80)/100,0)"),0.0)</f>
        <v>0</v>
      </c>
      <c r="O58" s="91">
        <f t="shared" si="2"/>
        <v>0</v>
      </c>
      <c r="P58" s="91">
        <f>IFERROR(__xludf.DUMMYFUNCTION("IFERROR(sum(filter('Генеральный баннер'!$O:$O, 'Генеральный баннер'!$B:$B=$A58,'Генеральный баннер'!$C:$C=$B58,'Генеральный баннер'!$I:$I=$C58)), 0) "),0.0)</f>
        <v>0</v>
      </c>
      <c r="Q58" s="91">
        <f>IFERROR(__xludf.DUMMYFUNCTION("IFERROR(sum(filter('Генеральный баннер'!$Q:$Q, 'Генеральный баннер'!$B:$B=$A58,'Генеральный баннер'!$C:$C=$B58,'Генеральный баннер'!$I:$I=$C58)), 0) "),0.0)</f>
        <v>0</v>
      </c>
      <c r="R58" s="91">
        <f>IFERROR(__xludf.DUMMYFUNCTION("IFERROR(AVERAGE(filter('Генеральный баннер'!$AA:$AA, 'Генеральный баннер'!$B:$B=$A58,'Генеральный баннер'!$C:$C=$B58,'Генеральный баннер'!$I:$I=$C58)), 0) "),0.0)</f>
        <v>0</v>
      </c>
      <c r="S58" s="91">
        <f>IFERROR(__xludf.DUMMYFUNCTION("IFERROR(SUM(filter('Генеральный баннер'!$AH:$AH, 'Генеральный баннер'!$B:$B=$A58,'Генеральный баннер'!$C:$C=$B58,'Генеральный баннер'!$I:$I=$C58)), 0) "),0.0)</f>
        <v>0</v>
      </c>
      <c r="T58" s="91" t="str">
        <f>IFERROR(__xludf.DUMMYFUNCTION("IFERROR(REGEXREPLACE(unique(filter('Генеральный баннер'!$A:$A, 'Генеральный баннер'!$B:$B=$A58,'Генеральный баннер'!$C:$C=$B58,'Генеральный баннер'!$I:$I=$C58)), ""\d+"", """"),"""")"),"")</f>
        <v/>
      </c>
      <c r="U58" s="91" t="str">
        <f>IFERROR(__xludf.DUMMYFUNCTION("IFERROR(unique(filter('Генеральный баннер'!$F:$F, 'Генеральный баннер'!$B:$B=$A58,'Генеральный баннер'!$C:$C=$B58,'Генеральный баннер'!$I:$I=$C58)),"""")"),"")</f>
        <v/>
      </c>
      <c r="V58" s="92" t="str">
        <f t="shared" si="3"/>
        <v/>
      </c>
      <c r="W58" s="93">
        <f>IFERROR(__xludf.DUMMYFUNCTION("IFERROR(SWITCH(lower(join("" "",U58:V58)),""а миллионник"", 62.5,""б миллионник"", 75,""а мск"", 50, ""б мск"", 62.5, ""a остальное"", 70, ""б остальное"", 80)/100,0)"),0.0)</f>
        <v>0</v>
      </c>
      <c r="X58" s="91">
        <f t="shared" si="4"/>
        <v>0</v>
      </c>
    </row>
    <row r="59">
      <c r="A59" s="90"/>
      <c r="B59" s="90"/>
      <c r="C59" s="90"/>
      <c r="D59" s="91">
        <f>IFERROR(__xludf.DUMMYFUNCTION("IFERROR(sum(filter('Основной эфир'!$AA:$AA, 'Основной эфир'!$B:$B=$A59,'Основной эфир'!$C:$C=$B59,'Основной эфир'!$I:$I=$C59)), 0) "),0.0)</f>
        <v>0</v>
      </c>
      <c r="E59" s="91">
        <f>IFERROR(__xludf.DUMMYFUNCTION("IFERROR(sum(filter('Основной эфир'!$AC:$AC, 'Основной эфир'!$B:$B=$A59,'Основной эфир'!$C:$C=$B59,'Основной эфир'!$I:$I=$C59)), 0) "),0.0)</f>
        <v>0</v>
      </c>
      <c r="F59" s="91">
        <f>IFERROR(__xludf.DUMMYFUNCTION("IFERROR(sum(filter('Основной эфир'!$O:$O, 'Основной эфир'!$B:$B=$A59,'Основной эфир'!$C:$C=$B59,'Основной эфир'!$I:$I=$C59)), 0) "),0.0)</f>
        <v>0</v>
      </c>
      <c r="G59" s="91">
        <f>IFERROR(__xludf.DUMMYFUNCTION("IFERROR(sum(filter('Основной эфир'!$Q:$Q, 'Основной эфир'!$B:$B=$A59,'Основной эфир'!$C:$C=$B59,'Основной эфир'!$I:$I=$C59)), 0) "),0.0)</f>
        <v>0</v>
      </c>
      <c r="H59" s="91">
        <f>IFERROR(__xludf.DUMMYFUNCTION("IFERROR(AVERAGE(filter('Основной эфир'!$Y:$Y, 'Основной эфир'!$B:$B=$A59,'Основной эфир'!$C:$C=$B59,'Основной эфир'!$I:$I=$C59)), 0) "),0.0)</f>
        <v>0</v>
      </c>
      <c r="I59" s="91">
        <f>IFERROR(__xludf.DUMMYFUNCTION("IFERROR(AVERAGE(filter('Основной эфир'!$AE:$AE, 'Основной эфир'!$B:$B=$A59,'Основной эфир'!$C:$C=$B59,'Основной эфир'!$I:$I=$C59)), 0) "),0.0)</f>
        <v>0</v>
      </c>
      <c r="J59" s="91">
        <f>IFERROR(__xludf.DUMMYFUNCTION("IFERROR(SUM(filter('Основной эфир'!$AL:$AL, 'Основной эфир'!$B:$B=$A59,'Основной эфир'!$C:$C=$B59,'Основной эфир'!$I:$I=$C59)), 0) "),0.0)</f>
        <v>0</v>
      </c>
      <c r="K59" s="91" t="str">
        <f>IFERROR(__xludf.DUMMYFUNCTION("IFERROR(REGEXREPLACE(unique(filter('Основной эфир'!$A:$A, 'Основной эфир'!$B:$B=$A59,'Основной эфир'!$C:$C=$B59,'Основной эфир'!$I:$I=$C59)), ""\d+"", """"),"""")"),"")</f>
        <v/>
      </c>
      <c r="L59" s="91" t="str">
        <f>IFERROR(__xludf.DUMMYFUNCTION("IFERROR(unique(filter('Основной эфир'!$F:$F, 'Основной эфир'!$B:$B=$A59,'Основной эфир'!$C:$C=$B59,'Основной эфир'!$I:$I=$C59)),"""")"),"")</f>
        <v/>
      </c>
      <c r="M59" s="92" t="str">
        <f t="shared" si="1"/>
        <v/>
      </c>
      <c r="N59" s="93">
        <f>IFERROR(__xludf.DUMMYFUNCTION("IFERROR(SWITCH(lower(join("" "",L59:M59)),""а миллионник"", 62.5,""б миллионник"", 75,""а мск"", 50, ""б мск"", 62.5, ""a остальное"", 70, ""б остальное"", 80)/100,0)"),0.0)</f>
        <v>0</v>
      </c>
      <c r="O59" s="91">
        <f t="shared" si="2"/>
        <v>0</v>
      </c>
      <c r="P59" s="91">
        <f>IFERROR(__xludf.DUMMYFUNCTION("IFERROR(sum(filter('Генеральный баннер'!$O:$O, 'Генеральный баннер'!$B:$B=$A59,'Генеральный баннер'!$C:$C=$B59,'Генеральный баннер'!$I:$I=$C59)), 0) "),0.0)</f>
        <v>0</v>
      </c>
      <c r="Q59" s="91">
        <f>IFERROR(__xludf.DUMMYFUNCTION("IFERROR(sum(filter('Генеральный баннер'!$Q:$Q, 'Генеральный баннер'!$B:$B=$A59,'Генеральный баннер'!$C:$C=$B59,'Генеральный баннер'!$I:$I=$C59)), 0) "),0.0)</f>
        <v>0</v>
      </c>
      <c r="R59" s="91">
        <f>IFERROR(__xludf.DUMMYFUNCTION("IFERROR(AVERAGE(filter('Генеральный баннер'!$AA:$AA, 'Генеральный баннер'!$B:$B=$A59,'Генеральный баннер'!$C:$C=$B59,'Генеральный баннер'!$I:$I=$C59)), 0) "),0.0)</f>
        <v>0</v>
      </c>
      <c r="S59" s="91">
        <f>IFERROR(__xludf.DUMMYFUNCTION("IFERROR(SUM(filter('Генеральный баннер'!$AH:$AH, 'Генеральный баннер'!$B:$B=$A59,'Генеральный баннер'!$C:$C=$B59,'Генеральный баннер'!$I:$I=$C59)), 0) "),0.0)</f>
        <v>0</v>
      </c>
      <c r="T59" s="91" t="str">
        <f>IFERROR(__xludf.DUMMYFUNCTION("IFERROR(REGEXREPLACE(unique(filter('Генеральный баннер'!$A:$A, 'Генеральный баннер'!$B:$B=$A59,'Генеральный баннер'!$C:$C=$B59,'Генеральный баннер'!$I:$I=$C59)), ""\d+"", """"),"""")"),"")</f>
        <v/>
      </c>
      <c r="U59" s="91" t="str">
        <f>IFERROR(__xludf.DUMMYFUNCTION("IFERROR(unique(filter('Генеральный баннер'!$F:$F, 'Генеральный баннер'!$B:$B=$A59,'Генеральный баннер'!$C:$C=$B59,'Генеральный баннер'!$I:$I=$C59)),"""")"),"")</f>
        <v/>
      </c>
      <c r="V59" s="92" t="str">
        <f t="shared" si="3"/>
        <v/>
      </c>
      <c r="W59" s="93">
        <f>IFERROR(__xludf.DUMMYFUNCTION("IFERROR(SWITCH(lower(join("" "",U59:V59)),""а миллионник"", 62.5,""б миллионник"", 75,""а мск"", 50, ""б мск"", 62.5, ""a остальное"", 70, ""б остальное"", 80)/100,0)"),0.0)</f>
        <v>0</v>
      </c>
      <c r="X59" s="91">
        <f t="shared" si="4"/>
        <v>0</v>
      </c>
    </row>
    <row r="60">
      <c r="A60" s="90"/>
      <c r="B60" s="90"/>
      <c r="C60" s="90"/>
      <c r="D60" s="91">
        <f>IFERROR(__xludf.DUMMYFUNCTION("IFERROR(sum(filter('Основной эфир'!$AA:$AA, 'Основной эфир'!$B:$B=$A60,'Основной эфир'!$C:$C=$B60,'Основной эфир'!$I:$I=$C60)), 0) "),0.0)</f>
        <v>0</v>
      </c>
      <c r="E60" s="91">
        <f>IFERROR(__xludf.DUMMYFUNCTION("IFERROR(sum(filter('Основной эфир'!$AC:$AC, 'Основной эфир'!$B:$B=$A60,'Основной эфир'!$C:$C=$B60,'Основной эфир'!$I:$I=$C60)), 0) "),0.0)</f>
        <v>0</v>
      </c>
      <c r="F60" s="91">
        <f>IFERROR(__xludf.DUMMYFUNCTION("IFERROR(sum(filter('Основной эфир'!$O:$O, 'Основной эфир'!$B:$B=$A60,'Основной эфир'!$C:$C=$B60,'Основной эфир'!$I:$I=$C60)), 0) "),0.0)</f>
        <v>0</v>
      </c>
      <c r="G60" s="91">
        <f>IFERROR(__xludf.DUMMYFUNCTION("IFERROR(sum(filter('Основной эфир'!$Q:$Q, 'Основной эфир'!$B:$B=$A60,'Основной эфир'!$C:$C=$B60,'Основной эфир'!$I:$I=$C60)), 0) "),0.0)</f>
        <v>0</v>
      </c>
      <c r="H60" s="91">
        <f>IFERROR(__xludf.DUMMYFUNCTION("IFERROR(AVERAGE(filter('Основной эфир'!$Y:$Y, 'Основной эфир'!$B:$B=$A60,'Основной эфир'!$C:$C=$B60,'Основной эфир'!$I:$I=$C60)), 0) "),0.0)</f>
        <v>0</v>
      </c>
      <c r="I60" s="91">
        <f>IFERROR(__xludf.DUMMYFUNCTION("IFERROR(AVERAGE(filter('Основной эфир'!$AE:$AE, 'Основной эфир'!$B:$B=$A60,'Основной эфир'!$C:$C=$B60,'Основной эфир'!$I:$I=$C60)), 0) "),0.0)</f>
        <v>0</v>
      </c>
      <c r="J60" s="91">
        <f>IFERROR(__xludf.DUMMYFUNCTION("IFERROR(SUM(filter('Основной эфир'!$AL:$AL, 'Основной эфир'!$B:$B=$A60,'Основной эфир'!$C:$C=$B60,'Основной эфир'!$I:$I=$C60)), 0) "),0.0)</f>
        <v>0</v>
      </c>
      <c r="K60" s="91" t="str">
        <f>IFERROR(__xludf.DUMMYFUNCTION("IFERROR(REGEXREPLACE(unique(filter('Основной эфир'!$A:$A, 'Основной эфир'!$B:$B=$A60,'Основной эфир'!$C:$C=$B60,'Основной эфир'!$I:$I=$C60)), ""\d+"", """"),"""")"),"")</f>
        <v/>
      </c>
      <c r="L60" s="91" t="str">
        <f>IFERROR(__xludf.DUMMYFUNCTION("IFERROR(unique(filter('Основной эфир'!$F:$F, 'Основной эфир'!$B:$B=$A60,'Основной эфир'!$C:$C=$B60,'Основной эфир'!$I:$I=$C60)),"""")"),"")</f>
        <v/>
      </c>
      <c r="M60" s="92" t="str">
        <f t="shared" si="1"/>
        <v/>
      </c>
      <c r="N60" s="93">
        <f>IFERROR(__xludf.DUMMYFUNCTION("IFERROR(SWITCH(lower(join("" "",L60:M60)),""а миллионник"", 62.5,""б миллионник"", 75,""а мск"", 50, ""б мск"", 62.5, ""a остальное"", 70, ""б остальное"", 80)/100,0)"),0.0)</f>
        <v>0</v>
      </c>
      <c r="O60" s="91">
        <f t="shared" si="2"/>
        <v>0</v>
      </c>
      <c r="P60" s="91">
        <f>IFERROR(__xludf.DUMMYFUNCTION("IFERROR(sum(filter('Генеральный баннер'!$O:$O, 'Генеральный баннер'!$B:$B=$A60,'Генеральный баннер'!$C:$C=$B60,'Генеральный баннер'!$I:$I=$C60)), 0) "),0.0)</f>
        <v>0</v>
      </c>
      <c r="Q60" s="91">
        <f>IFERROR(__xludf.DUMMYFUNCTION("IFERROR(sum(filter('Генеральный баннер'!$Q:$Q, 'Генеральный баннер'!$B:$B=$A60,'Генеральный баннер'!$C:$C=$B60,'Генеральный баннер'!$I:$I=$C60)), 0) "),0.0)</f>
        <v>0</v>
      </c>
      <c r="R60" s="91">
        <f>IFERROR(__xludf.DUMMYFUNCTION("IFERROR(AVERAGE(filter('Генеральный баннер'!$AA:$AA, 'Генеральный баннер'!$B:$B=$A60,'Генеральный баннер'!$C:$C=$B60,'Генеральный баннер'!$I:$I=$C60)), 0) "),0.0)</f>
        <v>0</v>
      </c>
      <c r="S60" s="91">
        <f>IFERROR(__xludf.DUMMYFUNCTION("IFERROR(SUM(filter('Генеральный баннер'!$AH:$AH, 'Генеральный баннер'!$B:$B=$A60,'Генеральный баннер'!$C:$C=$B60,'Генеральный баннер'!$I:$I=$C60)), 0) "),0.0)</f>
        <v>0</v>
      </c>
      <c r="T60" s="91" t="str">
        <f>IFERROR(__xludf.DUMMYFUNCTION("IFERROR(REGEXREPLACE(unique(filter('Генеральный баннер'!$A:$A, 'Генеральный баннер'!$B:$B=$A60,'Генеральный баннер'!$C:$C=$B60,'Генеральный баннер'!$I:$I=$C60)), ""\d+"", """"),"""")"),"")</f>
        <v/>
      </c>
      <c r="U60" s="91" t="str">
        <f>IFERROR(__xludf.DUMMYFUNCTION("IFERROR(unique(filter('Генеральный баннер'!$F:$F, 'Генеральный баннер'!$B:$B=$A60,'Генеральный баннер'!$C:$C=$B60,'Генеральный баннер'!$I:$I=$C60)),"""")"),"")</f>
        <v/>
      </c>
      <c r="V60" s="92" t="str">
        <f t="shared" si="3"/>
        <v/>
      </c>
      <c r="W60" s="93">
        <f>IFERROR(__xludf.DUMMYFUNCTION("IFERROR(SWITCH(lower(join("" "",U60:V60)),""а миллионник"", 62.5,""б миллионник"", 75,""а мск"", 50, ""б мск"", 62.5, ""a остальное"", 70, ""б остальное"", 80)/100,0)"),0.0)</f>
        <v>0</v>
      </c>
      <c r="X60" s="91">
        <f t="shared" si="4"/>
        <v>0</v>
      </c>
    </row>
    <row r="61">
      <c r="A61" s="90"/>
      <c r="B61" s="90"/>
      <c r="C61" s="90"/>
      <c r="D61" s="91">
        <f>IFERROR(__xludf.DUMMYFUNCTION("IFERROR(sum(filter('Основной эфир'!$AA:$AA, 'Основной эфир'!$B:$B=$A61,'Основной эфир'!$C:$C=$B61,'Основной эфир'!$I:$I=$C61)), 0) "),0.0)</f>
        <v>0</v>
      </c>
      <c r="E61" s="91">
        <f>IFERROR(__xludf.DUMMYFUNCTION("IFERROR(sum(filter('Основной эфир'!$AC:$AC, 'Основной эфир'!$B:$B=$A61,'Основной эфир'!$C:$C=$B61,'Основной эфир'!$I:$I=$C61)), 0) "),0.0)</f>
        <v>0</v>
      </c>
      <c r="F61" s="91">
        <f>IFERROR(__xludf.DUMMYFUNCTION("IFERROR(sum(filter('Основной эфир'!$O:$O, 'Основной эфир'!$B:$B=$A61,'Основной эфир'!$C:$C=$B61,'Основной эфир'!$I:$I=$C61)), 0) "),0.0)</f>
        <v>0</v>
      </c>
      <c r="G61" s="91">
        <f>IFERROR(__xludf.DUMMYFUNCTION("IFERROR(sum(filter('Основной эфир'!$Q:$Q, 'Основной эфир'!$B:$B=$A61,'Основной эфир'!$C:$C=$B61,'Основной эфир'!$I:$I=$C61)), 0) "),0.0)</f>
        <v>0</v>
      </c>
      <c r="H61" s="91">
        <f>IFERROR(__xludf.DUMMYFUNCTION("IFERROR(AVERAGE(filter('Основной эфир'!$Y:$Y, 'Основной эфир'!$B:$B=$A61,'Основной эфир'!$C:$C=$B61,'Основной эфир'!$I:$I=$C61)), 0) "),0.0)</f>
        <v>0</v>
      </c>
      <c r="I61" s="91">
        <f>IFERROR(__xludf.DUMMYFUNCTION("IFERROR(AVERAGE(filter('Основной эфир'!$AE:$AE, 'Основной эфир'!$B:$B=$A61,'Основной эфир'!$C:$C=$B61,'Основной эфир'!$I:$I=$C61)), 0) "),0.0)</f>
        <v>0</v>
      </c>
      <c r="J61" s="91">
        <f>IFERROR(__xludf.DUMMYFUNCTION("IFERROR(SUM(filter('Основной эфир'!$AL:$AL, 'Основной эфир'!$B:$B=$A61,'Основной эфир'!$C:$C=$B61,'Основной эфир'!$I:$I=$C61)), 0) "),0.0)</f>
        <v>0</v>
      </c>
      <c r="K61" s="91" t="str">
        <f>IFERROR(__xludf.DUMMYFUNCTION("IFERROR(REGEXREPLACE(unique(filter('Основной эфир'!$A:$A, 'Основной эфир'!$B:$B=$A61,'Основной эфир'!$C:$C=$B61,'Основной эфир'!$I:$I=$C61)), ""\d+"", """"),"""")"),"")</f>
        <v/>
      </c>
      <c r="L61" s="91" t="str">
        <f>IFERROR(__xludf.DUMMYFUNCTION("IFERROR(unique(filter('Основной эфир'!$F:$F, 'Основной эфир'!$B:$B=$A61,'Основной эфир'!$C:$C=$B61,'Основной эфир'!$I:$I=$C61)),"""")"),"")</f>
        <v/>
      </c>
      <c r="M61" s="92" t="str">
        <f t="shared" si="1"/>
        <v/>
      </c>
      <c r="N61" s="93">
        <f>IFERROR(__xludf.DUMMYFUNCTION("IFERROR(SWITCH(lower(join("" "",L61:M61)),""а миллионник"", 62.5,""б миллионник"", 75,""а мск"", 50, ""б мск"", 62.5, ""a остальное"", 70, ""б остальное"", 80)/100,0)"),0.0)</f>
        <v>0</v>
      </c>
      <c r="O61" s="91">
        <f t="shared" si="2"/>
        <v>0</v>
      </c>
      <c r="P61" s="91">
        <f>IFERROR(__xludf.DUMMYFUNCTION("IFERROR(sum(filter('Генеральный баннер'!$O:$O, 'Генеральный баннер'!$B:$B=$A61,'Генеральный баннер'!$C:$C=$B61,'Генеральный баннер'!$I:$I=$C61)), 0) "),0.0)</f>
        <v>0</v>
      </c>
      <c r="Q61" s="91">
        <f>IFERROR(__xludf.DUMMYFUNCTION("IFERROR(sum(filter('Генеральный баннер'!$Q:$Q, 'Генеральный баннер'!$B:$B=$A61,'Генеральный баннер'!$C:$C=$B61,'Генеральный баннер'!$I:$I=$C61)), 0) "),0.0)</f>
        <v>0</v>
      </c>
      <c r="R61" s="91">
        <f>IFERROR(__xludf.DUMMYFUNCTION("IFERROR(AVERAGE(filter('Генеральный баннер'!$AA:$AA, 'Генеральный баннер'!$B:$B=$A61,'Генеральный баннер'!$C:$C=$B61,'Генеральный баннер'!$I:$I=$C61)), 0) "),0.0)</f>
        <v>0</v>
      </c>
      <c r="S61" s="91">
        <f>IFERROR(__xludf.DUMMYFUNCTION("IFERROR(SUM(filter('Генеральный баннер'!$AH:$AH, 'Генеральный баннер'!$B:$B=$A61,'Генеральный баннер'!$C:$C=$B61,'Генеральный баннер'!$I:$I=$C61)), 0) "),0.0)</f>
        <v>0</v>
      </c>
      <c r="T61" s="91" t="str">
        <f>IFERROR(__xludf.DUMMYFUNCTION("IFERROR(REGEXREPLACE(unique(filter('Генеральный баннер'!$A:$A, 'Генеральный баннер'!$B:$B=$A61,'Генеральный баннер'!$C:$C=$B61,'Генеральный баннер'!$I:$I=$C61)), ""\d+"", """"),"""")"),"")</f>
        <v/>
      </c>
      <c r="U61" s="91" t="str">
        <f>IFERROR(__xludf.DUMMYFUNCTION("IFERROR(unique(filter('Генеральный баннер'!$F:$F, 'Генеральный баннер'!$B:$B=$A61,'Генеральный баннер'!$C:$C=$B61,'Генеральный баннер'!$I:$I=$C61)),"""")"),"")</f>
        <v/>
      </c>
      <c r="V61" s="92" t="str">
        <f t="shared" si="3"/>
        <v/>
      </c>
      <c r="W61" s="93">
        <f>IFERROR(__xludf.DUMMYFUNCTION("IFERROR(SWITCH(lower(join("" "",U61:V61)),""а миллионник"", 62.5,""б миллионник"", 75,""а мск"", 50, ""б мск"", 62.5, ""a остальное"", 70, ""б остальное"", 80)/100,0)"),0.0)</f>
        <v>0</v>
      </c>
      <c r="X61" s="91">
        <f t="shared" si="4"/>
        <v>0</v>
      </c>
    </row>
    <row r="62">
      <c r="A62" s="90"/>
      <c r="B62" s="90"/>
      <c r="C62" s="90"/>
      <c r="D62" s="91">
        <f>IFERROR(__xludf.DUMMYFUNCTION("IFERROR(sum(filter('Основной эфир'!$AA:$AA, 'Основной эфир'!$B:$B=$A62,'Основной эфир'!$C:$C=$B62,'Основной эфир'!$I:$I=$C62)), 0) "),0.0)</f>
        <v>0</v>
      </c>
      <c r="E62" s="91">
        <f>IFERROR(__xludf.DUMMYFUNCTION("IFERROR(sum(filter('Основной эфир'!$AC:$AC, 'Основной эфир'!$B:$B=$A62,'Основной эфир'!$C:$C=$B62,'Основной эфир'!$I:$I=$C62)), 0) "),0.0)</f>
        <v>0</v>
      </c>
      <c r="F62" s="91">
        <f>IFERROR(__xludf.DUMMYFUNCTION("IFERROR(sum(filter('Основной эфир'!$O:$O, 'Основной эфир'!$B:$B=$A62,'Основной эфир'!$C:$C=$B62,'Основной эфир'!$I:$I=$C62)), 0) "),0.0)</f>
        <v>0</v>
      </c>
      <c r="G62" s="91">
        <f>IFERROR(__xludf.DUMMYFUNCTION("IFERROR(sum(filter('Основной эфир'!$Q:$Q, 'Основной эфир'!$B:$B=$A62,'Основной эфир'!$C:$C=$B62,'Основной эфир'!$I:$I=$C62)), 0) "),0.0)</f>
        <v>0</v>
      </c>
      <c r="H62" s="91">
        <f>IFERROR(__xludf.DUMMYFUNCTION("IFERROR(AVERAGE(filter('Основной эфир'!$Y:$Y, 'Основной эфир'!$B:$B=$A62,'Основной эфир'!$C:$C=$B62,'Основной эфир'!$I:$I=$C62)), 0) "),0.0)</f>
        <v>0</v>
      </c>
      <c r="I62" s="91">
        <f>IFERROR(__xludf.DUMMYFUNCTION("IFERROR(AVERAGE(filter('Основной эфир'!$AE:$AE, 'Основной эфир'!$B:$B=$A62,'Основной эфир'!$C:$C=$B62,'Основной эфир'!$I:$I=$C62)), 0) "),0.0)</f>
        <v>0</v>
      </c>
      <c r="J62" s="91">
        <f>IFERROR(__xludf.DUMMYFUNCTION("IFERROR(SUM(filter('Основной эфир'!$AL:$AL, 'Основной эфир'!$B:$B=$A62,'Основной эфир'!$C:$C=$B62,'Основной эфир'!$I:$I=$C62)), 0) "),0.0)</f>
        <v>0</v>
      </c>
      <c r="K62" s="91" t="str">
        <f>IFERROR(__xludf.DUMMYFUNCTION("IFERROR(REGEXREPLACE(unique(filter('Основной эфир'!$A:$A, 'Основной эфир'!$B:$B=$A62,'Основной эфир'!$C:$C=$B62,'Основной эфир'!$I:$I=$C62)), ""\d+"", """"),"""")"),"")</f>
        <v/>
      </c>
      <c r="L62" s="91" t="str">
        <f>IFERROR(__xludf.DUMMYFUNCTION("IFERROR(unique(filter('Основной эфир'!$F:$F, 'Основной эфир'!$B:$B=$A62,'Основной эфир'!$C:$C=$B62,'Основной эфир'!$I:$I=$C62)),"""")"),"")</f>
        <v/>
      </c>
      <c r="M62" s="92" t="str">
        <f t="shared" si="1"/>
        <v/>
      </c>
      <c r="N62" s="93">
        <f>IFERROR(__xludf.DUMMYFUNCTION("IFERROR(SWITCH(lower(join("" "",L62:M62)),""а миллионник"", 62.5,""б миллионник"", 75,""а мск"", 50, ""б мск"", 62.5, ""a остальное"", 70, ""б остальное"", 80)/100,0)"),0.0)</f>
        <v>0</v>
      </c>
      <c r="O62" s="91">
        <f t="shared" si="2"/>
        <v>0</v>
      </c>
      <c r="P62" s="91">
        <f>IFERROR(__xludf.DUMMYFUNCTION("IFERROR(sum(filter('Генеральный баннер'!$O:$O, 'Генеральный баннер'!$B:$B=$A62,'Генеральный баннер'!$C:$C=$B62,'Генеральный баннер'!$I:$I=$C62)), 0) "),0.0)</f>
        <v>0</v>
      </c>
      <c r="Q62" s="91">
        <f>IFERROR(__xludf.DUMMYFUNCTION("IFERROR(sum(filter('Генеральный баннер'!$Q:$Q, 'Генеральный баннер'!$B:$B=$A62,'Генеральный баннер'!$C:$C=$B62,'Генеральный баннер'!$I:$I=$C62)), 0) "),0.0)</f>
        <v>0</v>
      </c>
      <c r="R62" s="91">
        <f>IFERROR(__xludf.DUMMYFUNCTION("IFERROR(AVERAGE(filter('Генеральный баннер'!$AA:$AA, 'Генеральный баннер'!$B:$B=$A62,'Генеральный баннер'!$C:$C=$B62,'Генеральный баннер'!$I:$I=$C62)), 0) "),0.0)</f>
        <v>0</v>
      </c>
      <c r="S62" s="91">
        <f>IFERROR(__xludf.DUMMYFUNCTION("IFERROR(SUM(filter('Генеральный баннер'!$AH:$AH, 'Генеральный баннер'!$B:$B=$A62,'Генеральный баннер'!$C:$C=$B62,'Генеральный баннер'!$I:$I=$C62)), 0) "),0.0)</f>
        <v>0</v>
      </c>
      <c r="T62" s="91" t="str">
        <f>IFERROR(__xludf.DUMMYFUNCTION("IFERROR(REGEXREPLACE(unique(filter('Генеральный баннер'!$A:$A, 'Генеральный баннер'!$B:$B=$A62,'Генеральный баннер'!$C:$C=$B62,'Генеральный баннер'!$I:$I=$C62)), ""\d+"", """"),"""")"),"")</f>
        <v/>
      </c>
      <c r="U62" s="91" t="str">
        <f>IFERROR(__xludf.DUMMYFUNCTION("IFERROR(unique(filter('Генеральный баннер'!$F:$F, 'Генеральный баннер'!$B:$B=$A62,'Генеральный баннер'!$C:$C=$B62,'Генеральный баннер'!$I:$I=$C62)),"""")"),"")</f>
        <v/>
      </c>
      <c r="V62" s="92" t="str">
        <f t="shared" si="3"/>
        <v/>
      </c>
      <c r="W62" s="93">
        <f>IFERROR(__xludf.DUMMYFUNCTION("IFERROR(SWITCH(lower(join("" "",U62:V62)),""а миллионник"", 62.5,""б миллионник"", 75,""а мск"", 50, ""б мск"", 62.5, ""a остальное"", 70, ""б остальное"", 80)/100,0)"),0.0)</f>
        <v>0</v>
      </c>
      <c r="X62" s="91">
        <f t="shared" si="4"/>
        <v>0</v>
      </c>
    </row>
    <row r="63">
      <c r="A63" s="90"/>
      <c r="B63" s="90"/>
      <c r="C63" s="90"/>
      <c r="D63" s="91">
        <f>IFERROR(__xludf.DUMMYFUNCTION("IFERROR(sum(filter('Основной эфир'!$AA:$AA, 'Основной эфир'!$B:$B=$A63,'Основной эфир'!$C:$C=$B63,'Основной эфир'!$I:$I=$C63)), 0) "),0.0)</f>
        <v>0</v>
      </c>
      <c r="E63" s="91">
        <f>IFERROR(__xludf.DUMMYFUNCTION("IFERROR(sum(filter('Основной эфир'!$AC:$AC, 'Основной эфир'!$B:$B=$A63,'Основной эфир'!$C:$C=$B63,'Основной эфир'!$I:$I=$C63)), 0) "),0.0)</f>
        <v>0</v>
      </c>
      <c r="F63" s="91">
        <f>IFERROR(__xludf.DUMMYFUNCTION("IFERROR(sum(filter('Основной эфир'!$O:$O, 'Основной эфир'!$B:$B=$A63,'Основной эфир'!$C:$C=$B63,'Основной эфир'!$I:$I=$C63)), 0) "),0.0)</f>
        <v>0</v>
      </c>
      <c r="G63" s="91">
        <f>IFERROR(__xludf.DUMMYFUNCTION("IFERROR(sum(filter('Основной эфир'!$Q:$Q, 'Основной эфир'!$B:$B=$A63,'Основной эфир'!$C:$C=$B63,'Основной эфир'!$I:$I=$C63)), 0) "),0.0)</f>
        <v>0</v>
      </c>
      <c r="H63" s="91">
        <f>IFERROR(__xludf.DUMMYFUNCTION("IFERROR(AVERAGE(filter('Основной эфир'!$Y:$Y, 'Основной эфир'!$B:$B=$A63,'Основной эфир'!$C:$C=$B63,'Основной эфир'!$I:$I=$C63)), 0) "),0.0)</f>
        <v>0</v>
      </c>
      <c r="I63" s="91">
        <f>IFERROR(__xludf.DUMMYFUNCTION("IFERROR(AVERAGE(filter('Основной эфир'!$AE:$AE, 'Основной эфир'!$B:$B=$A63,'Основной эфир'!$C:$C=$B63,'Основной эфир'!$I:$I=$C63)), 0) "),0.0)</f>
        <v>0</v>
      </c>
      <c r="J63" s="91">
        <f>IFERROR(__xludf.DUMMYFUNCTION("IFERROR(SUM(filter('Основной эфир'!$AL:$AL, 'Основной эфир'!$B:$B=$A63,'Основной эфир'!$C:$C=$B63,'Основной эфир'!$I:$I=$C63)), 0) "),0.0)</f>
        <v>0</v>
      </c>
      <c r="K63" s="91" t="str">
        <f>IFERROR(__xludf.DUMMYFUNCTION("IFERROR(REGEXREPLACE(unique(filter('Основной эфир'!$A:$A, 'Основной эфир'!$B:$B=$A63,'Основной эфир'!$C:$C=$B63,'Основной эфир'!$I:$I=$C63)), ""\d+"", """"),"""")"),"")</f>
        <v/>
      </c>
      <c r="L63" s="91" t="str">
        <f>IFERROR(__xludf.DUMMYFUNCTION("IFERROR(unique(filter('Основной эфир'!$F:$F, 'Основной эфир'!$B:$B=$A63,'Основной эфир'!$C:$C=$B63,'Основной эфир'!$I:$I=$C63)),"""")"),"")</f>
        <v/>
      </c>
      <c r="M63" s="92" t="str">
        <f t="shared" si="1"/>
        <v/>
      </c>
      <c r="N63" s="93">
        <f>IFERROR(__xludf.DUMMYFUNCTION("IFERROR(SWITCH(lower(join("" "",L63:M63)),""а миллионник"", 62.5,""б миллионник"", 75,""а мск"", 50, ""б мск"", 62.5, ""a остальное"", 70, ""б остальное"", 80)/100,0)"),0.0)</f>
        <v>0</v>
      </c>
      <c r="O63" s="91">
        <f t="shared" si="2"/>
        <v>0</v>
      </c>
      <c r="P63" s="91">
        <f>IFERROR(__xludf.DUMMYFUNCTION("IFERROR(sum(filter('Генеральный баннер'!$O:$O, 'Генеральный баннер'!$B:$B=$A63,'Генеральный баннер'!$C:$C=$B63,'Генеральный баннер'!$I:$I=$C63)), 0) "),0.0)</f>
        <v>0</v>
      </c>
      <c r="Q63" s="91">
        <f>IFERROR(__xludf.DUMMYFUNCTION("IFERROR(sum(filter('Генеральный баннер'!$Q:$Q, 'Генеральный баннер'!$B:$B=$A63,'Генеральный баннер'!$C:$C=$B63,'Генеральный баннер'!$I:$I=$C63)), 0) "),0.0)</f>
        <v>0</v>
      </c>
      <c r="R63" s="91">
        <f>IFERROR(__xludf.DUMMYFUNCTION("IFERROR(AVERAGE(filter('Генеральный баннер'!$AA:$AA, 'Генеральный баннер'!$B:$B=$A63,'Генеральный баннер'!$C:$C=$B63,'Генеральный баннер'!$I:$I=$C63)), 0) "),0.0)</f>
        <v>0</v>
      </c>
      <c r="S63" s="91">
        <f>IFERROR(__xludf.DUMMYFUNCTION("IFERROR(SUM(filter('Генеральный баннер'!$AH:$AH, 'Генеральный баннер'!$B:$B=$A63,'Генеральный баннер'!$C:$C=$B63,'Генеральный баннер'!$I:$I=$C63)), 0) "),0.0)</f>
        <v>0</v>
      </c>
      <c r="T63" s="91" t="str">
        <f>IFERROR(__xludf.DUMMYFUNCTION("IFERROR(REGEXREPLACE(unique(filter('Генеральный баннер'!$A:$A, 'Генеральный баннер'!$B:$B=$A63,'Генеральный баннер'!$C:$C=$B63,'Генеральный баннер'!$I:$I=$C63)), ""\d+"", """"),"""")"),"")</f>
        <v/>
      </c>
      <c r="U63" s="91" t="str">
        <f>IFERROR(__xludf.DUMMYFUNCTION("IFERROR(unique(filter('Генеральный баннер'!$F:$F, 'Генеральный баннер'!$B:$B=$A63,'Генеральный баннер'!$C:$C=$B63,'Генеральный баннер'!$I:$I=$C63)),"""")"),"")</f>
        <v/>
      </c>
      <c r="V63" s="92" t="str">
        <f t="shared" si="3"/>
        <v/>
      </c>
      <c r="W63" s="93">
        <f>IFERROR(__xludf.DUMMYFUNCTION("IFERROR(SWITCH(lower(join("" "",U63:V63)),""а миллионник"", 62.5,""б миллионник"", 75,""а мск"", 50, ""б мск"", 62.5, ""a остальное"", 70, ""б остальное"", 80)/100,0)"),0.0)</f>
        <v>0</v>
      </c>
      <c r="X63" s="91">
        <f t="shared" si="4"/>
        <v>0</v>
      </c>
    </row>
    <row r="64">
      <c r="A64" s="90"/>
      <c r="B64" s="90"/>
      <c r="C64" s="90"/>
      <c r="D64" s="91">
        <f>IFERROR(__xludf.DUMMYFUNCTION("IFERROR(sum(filter('Основной эфир'!$AA:$AA, 'Основной эфир'!$B:$B=$A64,'Основной эфир'!$C:$C=$B64,'Основной эфир'!$I:$I=$C64)), 0) "),0.0)</f>
        <v>0</v>
      </c>
      <c r="E64" s="91">
        <f>IFERROR(__xludf.DUMMYFUNCTION("IFERROR(sum(filter('Основной эфир'!$AC:$AC, 'Основной эфир'!$B:$B=$A64,'Основной эфир'!$C:$C=$B64,'Основной эфир'!$I:$I=$C64)), 0) "),0.0)</f>
        <v>0</v>
      </c>
      <c r="F64" s="91">
        <f>IFERROR(__xludf.DUMMYFUNCTION("IFERROR(sum(filter('Основной эфир'!$O:$O, 'Основной эфир'!$B:$B=$A64,'Основной эфир'!$C:$C=$B64,'Основной эфир'!$I:$I=$C64)), 0) "),0.0)</f>
        <v>0</v>
      </c>
      <c r="G64" s="91">
        <f>IFERROR(__xludf.DUMMYFUNCTION("IFERROR(sum(filter('Основной эфир'!$Q:$Q, 'Основной эфир'!$B:$B=$A64,'Основной эфир'!$C:$C=$B64,'Основной эфир'!$I:$I=$C64)), 0) "),0.0)</f>
        <v>0</v>
      </c>
      <c r="H64" s="91">
        <f>IFERROR(__xludf.DUMMYFUNCTION("IFERROR(AVERAGE(filter('Основной эфир'!$Y:$Y, 'Основной эфир'!$B:$B=$A64,'Основной эфир'!$C:$C=$B64,'Основной эфир'!$I:$I=$C64)), 0) "),0.0)</f>
        <v>0</v>
      </c>
      <c r="I64" s="91">
        <f>IFERROR(__xludf.DUMMYFUNCTION("IFERROR(AVERAGE(filter('Основной эфир'!$AE:$AE, 'Основной эфир'!$B:$B=$A64,'Основной эфир'!$C:$C=$B64,'Основной эфир'!$I:$I=$C64)), 0) "),0.0)</f>
        <v>0</v>
      </c>
      <c r="J64" s="91">
        <f>IFERROR(__xludf.DUMMYFUNCTION("IFERROR(SUM(filter('Основной эфир'!$AL:$AL, 'Основной эфир'!$B:$B=$A64,'Основной эфир'!$C:$C=$B64,'Основной эфир'!$I:$I=$C64)), 0) "),0.0)</f>
        <v>0</v>
      </c>
      <c r="K64" s="91" t="str">
        <f>IFERROR(__xludf.DUMMYFUNCTION("IFERROR(REGEXREPLACE(unique(filter('Основной эфир'!$A:$A, 'Основной эфир'!$B:$B=$A64,'Основной эфир'!$C:$C=$B64,'Основной эфир'!$I:$I=$C64)), ""\d+"", """"),"""")"),"")</f>
        <v/>
      </c>
      <c r="L64" s="91" t="str">
        <f>IFERROR(__xludf.DUMMYFUNCTION("IFERROR(unique(filter('Основной эфир'!$F:$F, 'Основной эфир'!$B:$B=$A64,'Основной эфир'!$C:$C=$B64,'Основной эфир'!$I:$I=$C64)),"""")"),"")</f>
        <v/>
      </c>
      <c r="M64" s="92" t="str">
        <f t="shared" si="1"/>
        <v/>
      </c>
      <c r="N64" s="93">
        <f>IFERROR(__xludf.DUMMYFUNCTION("IFERROR(SWITCH(lower(join("" "",L64:M64)),""а миллионник"", 62.5,""б миллионник"", 75,""а мск"", 50, ""б мск"", 62.5, ""a остальное"", 70, ""б остальное"", 80)/100,0)"),0.0)</f>
        <v>0</v>
      </c>
      <c r="O64" s="91">
        <f t="shared" si="2"/>
        <v>0</v>
      </c>
      <c r="P64" s="91">
        <f>IFERROR(__xludf.DUMMYFUNCTION("IFERROR(sum(filter('Генеральный баннер'!$O:$O, 'Генеральный баннер'!$B:$B=$A64,'Генеральный баннер'!$C:$C=$B64,'Генеральный баннер'!$I:$I=$C64)), 0) "),0.0)</f>
        <v>0</v>
      </c>
      <c r="Q64" s="91">
        <f>IFERROR(__xludf.DUMMYFUNCTION("IFERROR(sum(filter('Генеральный баннер'!$Q:$Q, 'Генеральный баннер'!$B:$B=$A64,'Генеральный баннер'!$C:$C=$B64,'Генеральный баннер'!$I:$I=$C64)), 0) "),0.0)</f>
        <v>0</v>
      </c>
      <c r="R64" s="91">
        <f>IFERROR(__xludf.DUMMYFUNCTION("IFERROR(AVERAGE(filter('Генеральный баннер'!$AA:$AA, 'Генеральный баннер'!$B:$B=$A64,'Генеральный баннер'!$C:$C=$B64,'Генеральный баннер'!$I:$I=$C64)), 0) "),0.0)</f>
        <v>0</v>
      </c>
      <c r="S64" s="91">
        <f>IFERROR(__xludf.DUMMYFUNCTION("IFERROR(SUM(filter('Генеральный баннер'!$AH:$AH, 'Генеральный баннер'!$B:$B=$A64,'Генеральный баннер'!$C:$C=$B64,'Генеральный баннер'!$I:$I=$C64)), 0) "),0.0)</f>
        <v>0</v>
      </c>
      <c r="T64" s="91" t="str">
        <f>IFERROR(__xludf.DUMMYFUNCTION("IFERROR(REGEXREPLACE(unique(filter('Генеральный баннер'!$A:$A, 'Генеральный баннер'!$B:$B=$A64,'Генеральный баннер'!$C:$C=$B64,'Генеральный баннер'!$I:$I=$C64)), ""\d+"", """"),"""")"),"")</f>
        <v/>
      </c>
      <c r="U64" s="91" t="str">
        <f>IFERROR(__xludf.DUMMYFUNCTION("IFERROR(unique(filter('Генеральный баннер'!$F:$F, 'Генеральный баннер'!$B:$B=$A64,'Генеральный баннер'!$C:$C=$B64,'Генеральный баннер'!$I:$I=$C64)),"""")"),"")</f>
        <v/>
      </c>
      <c r="V64" s="92" t="str">
        <f t="shared" si="3"/>
        <v/>
      </c>
      <c r="W64" s="93">
        <f>IFERROR(__xludf.DUMMYFUNCTION("IFERROR(SWITCH(lower(join("" "",U64:V64)),""а миллионник"", 62.5,""б миллионник"", 75,""а мск"", 50, ""б мск"", 62.5, ""a остальное"", 70, ""б остальное"", 80)/100,0)"),0.0)</f>
        <v>0</v>
      </c>
      <c r="X64" s="91">
        <f t="shared" si="4"/>
        <v>0</v>
      </c>
    </row>
    <row r="65">
      <c r="A65" s="90"/>
      <c r="B65" s="90"/>
      <c r="C65" s="90"/>
      <c r="D65" s="91">
        <f>IFERROR(__xludf.DUMMYFUNCTION("IFERROR(sum(filter('Основной эфир'!$AA:$AA, 'Основной эфир'!$B:$B=$A65,'Основной эфир'!$C:$C=$B65,'Основной эфир'!$I:$I=$C65)), 0) "),0.0)</f>
        <v>0</v>
      </c>
      <c r="E65" s="91">
        <f>IFERROR(__xludf.DUMMYFUNCTION("IFERROR(sum(filter('Основной эфир'!$AC:$AC, 'Основной эфир'!$B:$B=$A65,'Основной эфир'!$C:$C=$B65,'Основной эфир'!$I:$I=$C65)), 0) "),0.0)</f>
        <v>0</v>
      </c>
      <c r="F65" s="91">
        <f>IFERROR(__xludf.DUMMYFUNCTION("IFERROR(sum(filter('Основной эфир'!$O:$O, 'Основной эфир'!$B:$B=$A65,'Основной эфир'!$C:$C=$B65,'Основной эфир'!$I:$I=$C65)), 0) "),0.0)</f>
        <v>0</v>
      </c>
      <c r="G65" s="91">
        <f>IFERROR(__xludf.DUMMYFUNCTION("IFERROR(sum(filter('Основной эфир'!$Q:$Q, 'Основной эфир'!$B:$B=$A65,'Основной эфир'!$C:$C=$B65,'Основной эфир'!$I:$I=$C65)), 0) "),0.0)</f>
        <v>0</v>
      </c>
      <c r="H65" s="91">
        <f>IFERROR(__xludf.DUMMYFUNCTION("IFERROR(AVERAGE(filter('Основной эфир'!$Y:$Y, 'Основной эфир'!$B:$B=$A65,'Основной эфир'!$C:$C=$B65,'Основной эфир'!$I:$I=$C65)), 0) "),0.0)</f>
        <v>0</v>
      </c>
      <c r="I65" s="91">
        <f>IFERROR(__xludf.DUMMYFUNCTION("IFERROR(AVERAGE(filter('Основной эфир'!$AE:$AE, 'Основной эфир'!$B:$B=$A65,'Основной эфир'!$C:$C=$B65,'Основной эфир'!$I:$I=$C65)), 0) "),0.0)</f>
        <v>0</v>
      </c>
      <c r="J65" s="91">
        <f>IFERROR(__xludf.DUMMYFUNCTION("IFERROR(SUM(filter('Основной эфир'!$AL:$AL, 'Основной эфир'!$B:$B=$A65,'Основной эфир'!$C:$C=$B65,'Основной эфир'!$I:$I=$C65)), 0) "),0.0)</f>
        <v>0</v>
      </c>
      <c r="K65" s="91" t="str">
        <f>IFERROR(__xludf.DUMMYFUNCTION("IFERROR(REGEXREPLACE(unique(filter('Основной эфир'!$A:$A, 'Основной эфир'!$B:$B=$A65,'Основной эфир'!$C:$C=$B65,'Основной эфир'!$I:$I=$C65)), ""\d+"", """"),"""")"),"")</f>
        <v/>
      </c>
      <c r="L65" s="91" t="str">
        <f>IFERROR(__xludf.DUMMYFUNCTION("IFERROR(unique(filter('Основной эфир'!$F:$F, 'Основной эфир'!$B:$B=$A65,'Основной эфир'!$C:$C=$B65,'Основной эфир'!$I:$I=$C65)),"""")"),"")</f>
        <v/>
      </c>
      <c r="M65" s="92" t="str">
        <f t="shared" si="1"/>
        <v/>
      </c>
      <c r="N65" s="93">
        <f>IFERROR(__xludf.DUMMYFUNCTION("IFERROR(SWITCH(lower(join("" "",L65:M65)),""а миллионник"", 62.5,""б миллионник"", 75,""а мск"", 50, ""б мск"", 62.5, ""a остальное"", 70, ""б остальное"", 80)/100,0)"),0.0)</f>
        <v>0</v>
      </c>
      <c r="O65" s="91">
        <f t="shared" si="2"/>
        <v>0</v>
      </c>
      <c r="P65" s="91">
        <f>IFERROR(__xludf.DUMMYFUNCTION("IFERROR(sum(filter('Генеральный баннер'!$O:$O, 'Генеральный баннер'!$B:$B=$A65,'Генеральный баннер'!$C:$C=$B65,'Генеральный баннер'!$I:$I=$C65)), 0) "),0.0)</f>
        <v>0</v>
      </c>
      <c r="Q65" s="91">
        <f>IFERROR(__xludf.DUMMYFUNCTION("IFERROR(sum(filter('Генеральный баннер'!$Q:$Q, 'Генеральный баннер'!$B:$B=$A65,'Генеральный баннер'!$C:$C=$B65,'Генеральный баннер'!$I:$I=$C65)), 0) "),0.0)</f>
        <v>0</v>
      </c>
      <c r="R65" s="91">
        <f>IFERROR(__xludf.DUMMYFUNCTION("IFERROR(AVERAGE(filter('Генеральный баннер'!$AA:$AA, 'Генеральный баннер'!$B:$B=$A65,'Генеральный баннер'!$C:$C=$B65,'Генеральный баннер'!$I:$I=$C65)), 0) "),0.0)</f>
        <v>0</v>
      </c>
      <c r="S65" s="91">
        <f>IFERROR(__xludf.DUMMYFUNCTION("IFERROR(SUM(filter('Генеральный баннер'!$AH:$AH, 'Генеральный баннер'!$B:$B=$A65,'Генеральный баннер'!$C:$C=$B65,'Генеральный баннер'!$I:$I=$C65)), 0) "),0.0)</f>
        <v>0</v>
      </c>
      <c r="T65" s="91" t="str">
        <f>IFERROR(__xludf.DUMMYFUNCTION("IFERROR(REGEXREPLACE(unique(filter('Генеральный баннер'!$A:$A, 'Генеральный баннер'!$B:$B=$A65,'Генеральный баннер'!$C:$C=$B65,'Генеральный баннер'!$I:$I=$C65)), ""\d+"", """"),"""")"),"")</f>
        <v/>
      </c>
      <c r="U65" s="91" t="str">
        <f>IFERROR(__xludf.DUMMYFUNCTION("IFERROR(unique(filter('Генеральный баннер'!$F:$F, 'Генеральный баннер'!$B:$B=$A65,'Генеральный баннер'!$C:$C=$B65,'Генеральный баннер'!$I:$I=$C65)),"""")"),"")</f>
        <v/>
      </c>
      <c r="V65" s="92" t="str">
        <f t="shared" si="3"/>
        <v/>
      </c>
      <c r="W65" s="93">
        <f>IFERROR(__xludf.DUMMYFUNCTION("IFERROR(SWITCH(lower(join("" "",U65:V65)),""а миллионник"", 62.5,""б миллионник"", 75,""а мск"", 50, ""б мск"", 62.5, ""a остальное"", 70, ""б остальное"", 80)/100,0)"),0.0)</f>
        <v>0</v>
      </c>
      <c r="X65" s="91">
        <f t="shared" si="4"/>
        <v>0</v>
      </c>
    </row>
    <row r="66">
      <c r="A66" s="90"/>
      <c r="B66" s="90"/>
      <c r="C66" s="90"/>
      <c r="D66" s="91">
        <f>IFERROR(__xludf.DUMMYFUNCTION("IFERROR(sum(filter('Основной эфир'!$AA:$AA, 'Основной эфир'!$B:$B=$A66,'Основной эфир'!$C:$C=$B66,'Основной эфир'!$I:$I=$C66)), 0) "),0.0)</f>
        <v>0</v>
      </c>
      <c r="E66" s="91">
        <f>IFERROR(__xludf.DUMMYFUNCTION("IFERROR(sum(filter('Основной эфир'!$AC:$AC, 'Основной эфир'!$B:$B=$A66,'Основной эфир'!$C:$C=$B66,'Основной эфир'!$I:$I=$C66)), 0) "),0.0)</f>
        <v>0</v>
      </c>
      <c r="F66" s="91">
        <f>IFERROR(__xludf.DUMMYFUNCTION("IFERROR(sum(filter('Основной эфир'!$O:$O, 'Основной эфир'!$B:$B=$A66,'Основной эфир'!$C:$C=$B66,'Основной эфир'!$I:$I=$C66)), 0) "),0.0)</f>
        <v>0</v>
      </c>
      <c r="G66" s="91">
        <f>IFERROR(__xludf.DUMMYFUNCTION("IFERROR(sum(filter('Основной эфир'!$Q:$Q, 'Основной эфир'!$B:$B=$A66,'Основной эфир'!$C:$C=$B66,'Основной эфир'!$I:$I=$C66)), 0) "),0.0)</f>
        <v>0</v>
      </c>
      <c r="H66" s="91">
        <f>IFERROR(__xludf.DUMMYFUNCTION("IFERROR(AVERAGE(filter('Основной эфир'!$Y:$Y, 'Основной эфир'!$B:$B=$A66,'Основной эфир'!$C:$C=$B66,'Основной эфир'!$I:$I=$C66)), 0) "),0.0)</f>
        <v>0</v>
      </c>
      <c r="I66" s="91">
        <f>IFERROR(__xludf.DUMMYFUNCTION("IFERROR(AVERAGE(filter('Основной эфир'!$AE:$AE, 'Основной эфир'!$B:$B=$A66,'Основной эфир'!$C:$C=$B66,'Основной эфир'!$I:$I=$C66)), 0) "),0.0)</f>
        <v>0</v>
      </c>
      <c r="J66" s="91">
        <f>IFERROR(__xludf.DUMMYFUNCTION("IFERROR(SUM(filter('Основной эфир'!$AL:$AL, 'Основной эфир'!$B:$B=$A66,'Основной эфир'!$C:$C=$B66,'Основной эфир'!$I:$I=$C66)), 0) "),0.0)</f>
        <v>0</v>
      </c>
      <c r="K66" s="91" t="str">
        <f>IFERROR(__xludf.DUMMYFUNCTION("IFERROR(REGEXREPLACE(unique(filter('Основной эфир'!$A:$A, 'Основной эфир'!$B:$B=$A66,'Основной эфир'!$C:$C=$B66,'Основной эфир'!$I:$I=$C66)), ""\d+"", """"),"""")"),"")</f>
        <v/>
      </c>
      <c r="L66" s="91" t="str">
        <f>IFERROR(__xludf.DUMMYFUNCTION("IFERROR(unique(filter('Основной эфир'!$F:$F, 'Основной эфир'!$B:$B=$A66,'Основной эфир'!$C:$C=$B66,'Основной эфир'!$I:$I=$C66)),"""")"),"")</f>
        <v/>
      </c>
      <c r="M66" s="92" t="str">
        <f t="shared" si="1"/>
        <v/>
      </c>
      <c r="N66" s="93">
        <f>IFERROR(__xludf.DUMMYFUNCTION("IFERROR(SWITCH(lower(join("" "",L66:M66)),""а миллионник"", 62.5,""б миллионник"", 75,""а мск"", 50, ""б мск"", 62.5, ""a остальное"", 70, ""б остальное"", 80)/100,0)"),0.0)</f>
        <v>0</v>
      </c>
      <c r="O66" s="91">
        <f t="shared" si="2"/>
        <v>0</v>
      </c>
      <c r="P66" s="91">
        <f>IFERROR(__xludf.DUMMYFUNCTION("IFERROR(sum(filter('Генеральный баннер'!$O:$O, 'Генеральный баннер'!$B:$B=$A66,'Генеральный баннер'!$C:$C=$B66,'Генеральный баннер'!$I:$I=$C66)), 0) "),0.0)</f>
        <v>0</v>
      </c>
      <c r="Q66" s="91">
        <f>IFERROR(__xludf.DUMMYFUNCTION("IFERROR(sum(filter('Генеральный баннер'!$Q:$Q, 'Генеральный баннер'!$B:$B=$A66,'Генеральный баннер'!$C:$C=$B66,'Генеральный баннер'!$I:$I=$C66)), 0) "),0.0)</f>
        <v>0</v>
      </c>
      <c r="R66" s="91">
        <f>IFERROR(__xludf.DUMMYFUNCTION("IFERROR(AVERAGE(filter('Генеральный баннер'!$AA:$AA, 'Генеральный баннер'!$B:$B=$A66,'Генеральный баннер'!$C:$C=$B66,'Генеральный баннер'!$I:$I=$C66)), 0) "),0.0)</f>
        <v>0</v>
      </c>
      <c r="S66" s="91">
        <f>IFERROR(__xludf.DUMMYFUNCTION("IFERROR(SUM(filter('Генеральный баннер'!$AH:$AH, 'Генеральный баннер'!$B:$B=$A66,'Генеральный баннер'!$C:$C=$B66,'Генеральный баннер'!$I:$I=$C66)), 0) "),0.0)</f>
        <v>0</v>
      </c>
      <c r="T66" s="91" t="str">
        <f>IFERROR(__xludf.DUMMYFUNCTION("IFERROR(REGEXREPLACE(unique(filter('Генеральный баннер'!$A:$A, 'Генеральный баннер'!$B:$B=$A66,'Генеральный баннер'!$C:$C=$B66,'Генеральный баннер'!$I:$I=$C66)), ""\d+"", """"),"""")"),"")</f>
        <v/>
      </c>
      <c r="U66" s="91" t="str">
        <f>IFERROR(__xludf.DUMMYFUNCTION("IFERROR(unique(filter('Генеральный баннер'!$F:$F, 'Генеральный баннер'!$B:$B=$A66,'Генеральный баннер'!$C:$C=$B66,'Генеральный баннер'!$I:$I=$C66)),"""")"),"")</f>
        <v/>
      </c>
      <c r="V66" s="92" t="str">
        <f t="shared" si="3"/>
        <v/>
      </c>
      <c r="W66" s="93">
        <f>IFERROR(__xludf.DUMMYFUNCTION("IFERROR(SWITCH(lower(join("" "",U66:V66)),""а миллионник"", 62.5,""б миллионник"", 75,""а мск"", 50, ""б мск"", 62.5, ""a остальное"", 70, ""б остальное"", 80)/100,0)"),0.0)</f>
        <v>0</v>
      </c>
      <c r="X66" s="91">
        <f t="shared" si="4"/>
        <v>0</v>
      </c>
    </row>
    <row r="67">
      <c r="A67" s="90"/>
      <c r="B67" s="90"/>
      <c r="C67" s="90"/>
      <c r="D67" s="91">
        <f>IFERROR(__xludf.DUMMYFUNCTION("IFERROR(sum(filter('Основной эфир'!$AA:$AA, 'Основной эфир'!$B:$B=$A67,'Основной эфир'!$C:$C=$B67,'Основной эфир'!$I:$I=$C67)), 0) "),0.0)</f>
        <v>0</v>
      </c>
      <c r="E67" s="91">
        <f>IFERROR(__xludf.DUMMYFUNCTION("IFERROR(sum(filter('Основной эфир'!$AC:$AC, 'Основной эфир'!$B:$B=$A67,'Основной эфир'!$C:$C=$B67,'Основной эфир'!$I:$I=$C67)), 0) "),0.0)</f>
        <v>0</v>
      </c>
      <c r="F67" s="91">
        <f>IFERROR(__xludf.DUMMYFUNCTION("IFERROR(sum(filter('Основной эфир'!$O:$O, 'Основной эфир'!$B:$B=$A67,'Основной эфир'!$C:$C=$B67,'Основной эфир'!$I:$I=$C67)), 0) "),0.0)</f>
        <v>0</v>
      </c>
      <c r="G67" s="91">
        <f>IFERROR(__xludf.DUMMYFUNCTION("IFERROR(sum(filter('Основной эфир'!$Q:$Q, 'Основной эфир'!$B:$B=$A67,'Основной эфир'!$C:$C=$B67,'Основной эфир'!$I:$I=$C67)), 0) "),0.0)</f>
        <v>0</v>
      </c>
      <c r="H67" s="91">
        <f>IFERROR(__xludf.DUMMYFUNCTION("IFERROR(AVERAGE(filter('Основной эфир'!$Y:$Y, 'Основной эфир'!$B:$B=$A67,'Основной эфир'!$C:$C=$B67,'Основной эфир'!$I:$I=$C67)), 0) "),0.0)</f>
        <v>0</v>
      </c>
      <c r="I67" s="91">
        <f>IFERROR(__xludf.DUMMYFUNCTION("IFERROR(AVERAGE(filter('Основной эфир'!$AE:$AE, 'Основной эфир'!$B:$B=$A67,'Основной эфир'!$C:$C=$B67,'Основной эфир'!$I:$I=$C67)), 0) "),0.0)</f>
        <v>0</v>
      </c>
      <c r="J67" s="91">
        <f>IFERROR(__xludf.DUMMYFUNCTION("IFERROR(SUM(filter('Основной эфир'!$AL:$AL, 'Основной эфир'!$B:$B=$A67,'Основной эфир'!$C:$C=$B67,'Основной эфир'!$I:$I=$C67)), 0) "),0.0)</f>
        <v>0</v>
      </c>
      <c r="K67" s="91" t="str">
        <f>IFERROR(__xludf.DUMMYFUNCTION("IFERROR(REGEXREPLACE(unique(filter('Основной эфир'!$A:$A, 'Основной эфир'!$B:$B=$A67,'Основной эфир'!$C:$C=$B67,'Основной эфир'!$I:$I=$C67)), ""\d+"", """"),"""")"),"")</f>
        <v/>
      </c>
      <c r="L67" s="91" t="str">
        <f>IFERROR(__xludf.DUMMYFUNCTION("IFERROR(unique(filter('Основной эфир'!$F:$F, 'Основной эфир'!$B:$B=$A67,'Основной эфир'!$C:$C=$B67,'Основной эфир'!$I:$I=$C67)),"""")"),"")</f>
        <v/>
      </c>
      <c r="M67" s="92" t="str">
        <f t="shared" si="1"/>
        <v/>
      </c>
      <c r="N67" s="93">
        <f>IFERROR(__xludf.DUMMYFUNCTION("IFERROR(SWITCH(lower(join("" "",L67:M67)),""а миллионник"", 62.5,""б миллионник"", 75,""а мск"", 50, ""б мск"", 62.5, ""a остальное"", 70, ""б остальное"", 80)/100,0)"),0.0)</f>
        <v>0</v>
      </c>
      <c r="O67" s="91">
        <f t="shared" si="2"/>
        <v>0</v>
      </c>
      <c r="P67" s="91">
        <f>IFERROR(__xludf.DUMMYFUNCTION("IFERROR(sum(filter('Генеральный баннер'!$O:$O, 'Генеральный баннер'!$B:$B=$A67,'Генеральный баннер'!$C:$C=$B67,'Генеральный баннер'!$I:$I=$C67)), 0) "),0.0)</f>
        <v>0</v>
      </c>
      <c r="Q67" s="91">
        <f>IFERROR(__xludf.DUMMYFUNCTION("IFERROR(sum(filter('Генеральный баннер'!$Q:$Q, 'Генеральный баннер'!$B:$B=$A67,'Генеральный баннер'!$C:$C=$B67,'Генеральный баннер'!$I:$I=$C67)), 0) "),0.0)</f>
        <v>0</v>
      </c>
      <c r="R67" s="91">
        <f>IFERROR(__xludf.DUMMYFUNCTION("IFERROR(AVERAGE(filter('Генеральный баннер'!$AA:$AA, 'Генеральный баннер'!$B:$B=$A67,'Генеральный баннер'!$C:$C=$B67,'Генеральный баннер'!$I:$I=$C67)), 0) "),0.0)</f>
        <v>0</v>
      </c>
      <c r="S67" s="91">
        <f>IFERROR(__xludf.DUMMYFUNCTION("IFERROR(SUM(filter('Генеральный баннер'!$AH:$AH, 'Генеральный баннер'!$B:$B=$A67,'Генеральный баннер'!$C:$C=$B67,'Генеральный баннер'!$I:$I=$C67)), 0) "),0.0)</f>
        <v>0</v>
      </c>
      <c r="T67" s="91" t="str">
        <f>IFERROR(__xludf.DUMMYFUNCTION("IFERROR(REGEXREPLACE(unique(filter('Генеральный баннер'!$A:$A, 'Генеральный баннер'!$B:$B=$A67,'Генеральный баннер'!$C:$C=$B67,'Генеральный баннер'!$I:$I=$C67)), ""\d+"", """"),"""")"),"")</f>
        <v/>
      </c>
      <c r="U67" s="91" t="str">
        <f>IFERROR(__xludf.DUMMYFUNCTION("IFERROR(unique(filter('Генеральный баннер'!$F:$F, 'Генеральный баннер'!$B:$B=$A67,'Генеральный баннер'!$C:$C=$B67,'Генеральный баннер'!$I:$I=$C67)),"""")"),"")</f>
        <v/>
      </c>
      <c r="V67" s="92" t="str">
        <f t="shared" si="3"/>
        <v/>
      </c>
      <c r="W67" s="93">
        <f>IFERROR(__xludf.DUMMYFUNCTION("IFERROR(SWITCH(lower(join("" "",U67:V67)),""а миллионник"", 62.5,""б миллионник"", 75,""а мск"", 50, ""б мск"", 62.5, ""a остальное"", 70, ""б остальное"", 80)/100,0)"),0.0)</f>
        <v>0</v>
      </c>
      <c r="X67" s="91">
        <f t="shared" si="4"/>
        <v>0</v>
      </c>
    </row>
    <row r="68">
      <c r="A68" s="90"/>
      <c r="B68" s="90"/>
      <c r="C68" s="90"/>
      <c r="D68" s="91">
        <f>IFERROR(__xludf.DUMMYFUNCTION("IFERROR(sum(filter('Основной эфир'!$AA:$AA, 'Основной эфир'!$B:$B=$A68,'Основной эфир'!$C:$C=$B68,'Основной эфир'!$I:$I=$C68)), 0) "),0.0)</f>
        <v>0</v>
      </c>
      <c r="E68" s="91">
        <f>IFERROR(__xludf.DUMMYFUNCTION("IFERROR(sum(filter('Основной эфир'!$AC:$AC, 'Основной эфир'!$B:$B=$A68,'Основной эфир'!$C:$C=$B68,'Основной эфир'!$I:$I=$C68)), 0) "),0.0)</f>
        <v>0</v>
      </c>
      <c r="F68" s="91">
        <f>IFERROR(__xludf.DUMMYFUNCTION("IFERROR(sum(filter('Основной эфир'!$O:$O, 'Основной эфир'!$B:$B=$A68,'Основной эфир'!$C:$C=$B68,'Основной эфир'!$I:$I=$C68)), 0) "),0.0)</f>
        <v>0</v>
      </c>
      <c r="G68" s="91">
        <f>IFERROR(__xludf.DUMMYFUNCTION("IFERROR(sum(filter('Основной эфир'!$Q:$Q, 'Основной эфир'!$B:$B=$A68,'Основной эфир'!$C:$C=$B68,'Основной эфир'!$I:$I=$C68)), 0) "),0.0)</f>
        <v>0</v>
      </c>
      <c r="H68" s="91">
        <f>IFERROR(__xludf.DUMMYFUNCTION("IFERROR(AVERAGE(filter('Основной эфир'!$Y:$Y, 'Основной эфир'!$B:$B=$A68,'Основной эфир'!$C:$C=$B68,'Основной эфир'!$I:$I=$C68)), 0) "),0.0)</f>
        <v>0</v>
      </c>
      <c r="I68" s="91">
        <f>IFERROR(__xludf.DUMMYFUNCTION("IFERROR(AVERAGE(filter('Основной эфир'!$AE:$AE, 'Основной эфир'!$B:$B=$A68,'Основной эфир'!$C:$C=$B68,'Основной эфир'!$I:$I=$C68)), 0) "),0.0)</f>
        <v>0</v>
      </c>
      <c r="J68" s="91">
        <f>IFERROR(__xludf.DUMMYFUNCTION("IFERROR(SUM(filter('Основной эфир'!$AL:$AL, 'Основной эфир'!$B:$B=$A68,'Основной эфир'!$C:$C=$B68,'Основной эфир'!$I:$I=$C68)), 0) "),0.0)</f>
        <v>0</v>
      </c>
      <c r="K68" s="91" t="str">
        <f>IFERROR(__xludf.DUMMYFUNCTION("IFERROR(REGEXREPLACE(unique(filter('Основной эфир'!$A:$A, 'Основной эфир'!$B:$B=$A68,'Основной эфир'!$C:$C=$B68,'Основной эфир'!$I:$I=$C68)), ""\d+"", """"),"""")"),"")</f>
        <v/>
      </c>
      <c r="L68" s="91" t="str">
        <f>IFERROR(__xludf.DUMMYFUNCTION("IFERROR(unique(filter('Основной эфир'!$F:$F, 'Основной эфир'!$B:$B=$A68,'Основной эфир'!$C:$C=$B68,'Основной эфир'!$I:$I=$C68)),"""")"),"")</f>
        <v/>
      </c>
      <c r="M68" s="92" t="str">
        <f t="shared" si="1"/>
        <v/>
      </c>
      <c r="N68" s="93">
        <f>IFERROR(__xludf.DUMMYFUNCTION("IFERROR(SWITCH(lower(join("" "",L68:M68)),""а миллионник"", 62.5,""б миллионник"", 75,""а мск"", 50, ""б мск"", 62.5, ""a остальное"", 70, ""б остальное"", 80)/100,0)"),0.0)</f>
        <v>0</v>
      </c>
      <c r="O68" s="91">
        <f t="shared" si="2"/>
        <v>0</v>
      </c>
      <c r="P68" s="91">
        <f>IFERROR(__xludf.DUMMYFUNCTION("IFERROR(sum(filter('Генеральный баннер'!$O:$O, 'Генеральный баннер'!$B:$B=$A68,'Генеральный баннер'!$C:$C=$B68,'Генеральный баннер'!$I:$I=$C68)), 0) "),0.0)</f>
        <v>0</v>
      </c>
      <c r="Q68" s="91">
        <f>IFERROR(__xludf.DUMMYFUNCTION("IFERROR(sum(filter('Генеральный баннер'!$Q:$Q, 'Генеральный баннер'!$B:$B=$A68,'Генеральный баннер'!$C:$C=$B68,'Генеральный баннер'!$I:$I=$C68)), 0) "),0.0)</f>
        <v>0</v>
      </c>
      <c r="R68" s="91">
        <f>IFERROR(__xludf.DUMMYFUNCTION("IFERROR(AVERAGE(filter('Генеральный баннер'!$AA:$AA, 'Генеральный баннер'!$B:$B=$A68,'Генеральный баннер'!$C:$C=$B68,'Генеральный баннер'!$I:$I=$C68)), 0) "),0.0)</f>
        <v>0</v>
      </c>
      <c r="S68" s="91">
        <f>IFERROR(__xludf.DUMMYFUNCTION("IFERROR(SUM(filter('Генеральный баннер'!$AH:$AH, 'Генеральный баннер'!$B:$B=$A68,'Генеральный баннер'!$C:$C=$B68,'Генеральный баннер'!$I:$I=$C68)), 0) "),0.0)</f>
        <v>0</v>
      </c>
      <c r="T68" s="91" t="str">
        <f>IFERROR(__xludf.DUMMYFUNCTION("IFERROR(REGEXREPLACE(unique(filter('Генеральный баннер'!$A:$A, 'Генеральный баннер'!$B:$B=$A68,'Генеральный баннер'!$C:$C=$B68,'Генеральный баннер'!$I:$I=$C68)), ""\d+"", """"),"""")"),"")</f>
        <v/>
      </c>
      <c r="U68" s="91" t="str">
        <f>IFERROR(__xludf.DUMMYFUNCTION("IFERROR(unique(filter('Генеральный баннер'!$F:$F, 'Генеральный баннер'!$B:$B=$A68,'Генеральный баннер'!$C:$C=$B68,'Генеральный баннер'!$I:$I=$C68)),"""")"),"")</f>
        <v/>
      </c>
      <c r="V68" s="92" t="str">
        <f t="shared" si="3"/>
        <v/>
      </c>
      <c r="W68" s="93">
        <f>IFERROR(__xludf.DUMMYFUNCTION("IFERROR(SWITCH(lower(join("" "",U68:V68)),""а миллионник"", 62.5,""б миллионник"", 75,""а мск"", 50, ""б мск"", 62.5, ""a остальное"", 70, ""б остальное"", 80)/100,0)"),0.0)</f>
        <v>0</v>
      </c>
      <c r="X68" s="91">
        <f t="shared" si="4"/>
        <v>0</v>
      </c>
    </row>
    <row r="69">
      <c r="A69" s="90"/>
      <c r="B69" s="90"/>
      <c r="C69" s="90"/>
      <c r="D69" s="91">
        <f>IFERROR(__xludf.DUMMYFUNCTION("IFERROR(sum(filter('Основной эфир'!$AA:$AA, 'Основной эфир'!$B:$B=$A69,'Основной эфир'!$C:$C=$B69,'Основной эфир'!$I:$I=$C69)), 0) "),0.0)</f>
        <v>0</v>
      </c>
      <c r="E69" s="91">
        <f>IFERROR(__xludf.DUMMYFUNCTION("IFERROR(sum(filter('Основной эфир'!$AC:$AC, 'Основной эфир'!$B:$B=$A69,'Основной эфир'!$C:$C=$B69,'Основной эфир'!$I:$I=$C69)), 0) "),0.0)</f>
        <v>0</v>
      </c>
      <c r="F69" s="91">
        <f>IFERROR(__xludf.DUMMYFUNCTION("IFERROR(sum(filter('Основной эфир'!$O:$O, 'Основной эфир'!$B:$B=$A69,'Основной эфир'!$C:$C=$B69,'Основной эфир'!$I:$I=$C69)), 0) "),0.0)</f>
        <v>0</v>
      </c>
      <c r="G69" s="91">
        <f>IFERROR(__xludf.DUMMYFUNCTION("IFERROR(sum(filter('Основной эфир'!$Q:$Q, 'Основной эфир'!$B:$B=$A69,'Основной эфир'!$C:$C=$B69,'Основной эфир'!$I:$I=$C69)), 0) "),0.0)</f>
        <v>0</v>
      </c>
      <c r="H69" s="91">
        <f>IFERROR(__xludf.DUMMYFUNCTION("IFERROR(AVERAGE(filter('Основной эфир'!$Y:$Y, 'Основной эфир'!$B:$B=$A69,'Основной эфир'!$C:$C=$B69,'Основной эфир'!$I:$I=$C69)), 0) "),0.0)</f>
        <v>0</v>
      </c>
      <c r="I69" s="91">
        <f>IFERROR(__xludf.DUMMYFUNCTION("IFERROR(AVERAGE(filter('Основной эфир'!$AE:$AE, 'Основной эфир'!$B:$B=$A69,'Основной эфир'!$C:$C=$B69,'Основной эфир'!$I:$I=$C69)), 0) "),0.0)</f>
        <v>0</v>
      </c>
      <c r="J69" s="91">
        <f>IFERROR(__xludf.DUMMYFUNCTION("IFERROR(SUM(filter('Основной эфир'!$AL:$AL, 'Основной эфир'!$B:$B=$A69,'Основной эфир'!$C:$C=$B69,'Основной эфир'!$I:$I=$C69)), 0) "),0.0)</f>
        <v>0</v>
      </c>
      <c r="K69" s="91" t="str">
        <f>IFERROR(__xludf.DUMMYFUNCTION("IFERROR(REGEXREPLACE(unique(filter('Основной эфир'!$A:$A, 'Основной эфир'!$B:$B=$A69,'Основной эфир'!$C:$C=$B69,'Основной эфир'!$I:$I=$C69)), ""\d+"", """"),"""")"),"")</f>
        <v/>
      </c>
      <c r="L69" s="91" t="str">
        <f>IFERROR(__xludf.DUMMYFUNCTION("IFERROR(unique(filter('Основной эфир'!$F:$F, 'Основной эфир'!$B:$B=$A69,'Основной эфир'!$C:$C=$B69,'Основной эфир'!$I:$I=$C69)),"""")"),"")</f>
        <v/>
      </c>
      <c r="M69" s="92" t="str">
        <f t="shared" si="1"/>
        <v/>
      </c>
      <c r="N69" s="93">
        <f>IFERROR(__xludf.DUMMYFUNCTION("IFERROR(SWITCH(lower(join("" "",L69:M69)),""а миллионник"", 62.5,""б миллионник"", 75,""а мск"", 50, ""б мск"", 62.5, ""a остальное"", 70, ""б остальное"", 80)/100,0)"),0.0)</f>
        <v>0</v>
      </c>
      <c r="O69" s="91">
        <f t="shared" si="2"/>
        <v>0</v>
      </c>
      <c r="P69" s="91">
        <f>IFERROR(__xludf.DUMMYFUNCTION("IFERROR(sum(filter('Генеральный баннер'!$O:$O, 'Генеральный баннер'!$B:$B=$A69,'Генеральный баннер'!$C:$C=$B69,'Генеральный баннер'!$I:$I=$C69)), 0) "),0.0)</f>
        <v>0</v>
      </c>
      <c r="Q69" s="91">
        <f>IFERROR(__xludf.DUMMYFUNCTION("IFERROR(sum(filter('Генеральный баннер'!$Q:$Q, 'Генеральный баннер'!$B:$B=$A69,'Генеральный баннер'!$C:$C=$B69,'Генеральный баннер'!$I:$I=$C69)), 0) "),0.0)</f>
        <v>0</v>
      </c>
      <c r="R69" s="91">
        <f>IFERROR(__xludf.DUMMYFUNCTION("IFERROR(AVERAGE(filter('Генеральный баннер'!$AA:$AA, 'Генеральный баннер'!$B:$B=$A69,'Генеральный баннер'!$C:$C=$B69,'Генеральный баннер'!$I:$I=$C69)), 0) "),0.0)</f>
        <v>0</v>
      </c>
      <c r="S69" s="91">
        <f>IFERROR(__xludf.DUMMYFUNCTION("IFERROR(SUM(filter('Генеральный баннер'!$AH:$AH, 'Генеральный баннер'!$B:$B=$A69,'Генеральный баннер'!$C:$C=$B69,'Генеральный баннер'!$I:$I=$C69)), 0) "),0.0)</f>
        <v>0</v>
      </c>
      <c r="T69" s="91" t="str">
        <f>IFERROR(__xludf.DUMMYFUNCTION("IFERROR(REGEXREPLACE(unique(filter('Генеральный баннер'!$A:$A, 'Генеральный баннер'!$B:$B=$A69,'Генеральный баннер'!$C:$C=$B69,'Генеральный баннер'!$I:$I=$C69)), ""\d+"", """"),"""")"),"")</f>
        <v/>
      </c>
      <c r="U69" s="91" t="str">
        <f>IFERROR(__xludf.DUMMYFUNCTION("IFERROR(unique(filter('Генеральный баннер'!$F:$F, 'Генеральный баннер'!$B:$B=$A69,'Генеральный баннер'!$C:$C=$B69,'Генеральный баннер'!$I:$I=$C69)),"""")"),"")</f>
        <v/>
      </c>
      <c r="V69" s="92" t="str">
        <f t="shared" si="3"/>
        <v/>
      </c>
      <c r="W69" s="93">
        <f>IFERROR(__xludf.DUMMYFUNCTION("IFERROR(SWITCH(lower(join("" "",U69:V69)),""а миллионник"", 62.5,""б миллионник"", 75,""а мск"", 50, ""б мск"", 62.5, ""a остальное"", 70, ""б остальное"", 80)/100,0)"),0.0)</f>
        <v>0</v>
      </c>
      <c r="X69" s="91">
        <f t="shared" si="4"/>
        <v>0</v>
      </c>
    </row>
    <row r="70">
      <c r="A70" s="90"/>
      <c r="B70" s="90"/>
      <c r="C70" s="90"/>
      <c r="D70" s="91">
        <f>IFERROR(__xludf.DUMMYFUNCTION("IFERROR(sum(filter('Основной эфир'!$AA:$AA, 'Основной эфир'!$B:$B=$A70,'Основной эфир'!$C:$C=$B70,'Основной эфир'!$I:$I=$C70)), 0) "),0.0)</f>
        <v>0</v>
      </c>
      <c r="E70" s="91">
        <f>IFERROR(__xludf.DUMMYFUNCTION("IFERROR(sum(filter('Основной эфир'!$AC:$AC, 'Основной эфир'!$B:$B=$A70,'Основной эфир'!$C:$C=$B70,'Основной эфир'!$I:$I=$C70)), 0) "),0.0)</f>
        <v>0</v>
      </c>
      <c r="F70" s="91">
        <f>IFERROR(__xludf.DUMMYFUNCTION("IFERROR(sum(filter('Основной эфир'!$O:$O, 'Основной эфир'!$B:$B=$A70,'Основной эфир'!$C:$C=$B70,'Основной эфир'!$I:$I=$C70)), 0) "),0.0)</f>
        <v>0</v>
      </c>
      <c r="G70" s="91">
        <f>IFERROR(__xludf.DUMMYFUNCTION("IFERROR(sum(filter('Основной эфир'!$Q:$Q, 'Основной эфир'!$B:$B=$A70,'Основной эфир'!$C:$C=$B70,'Основной эфир'!$I:$I=$C70)), 0) "),0.0)</f>
        <v>0</v>
      </c>
      <c r="H70" s="91">
        <f>IFERROR(__xludf.DUMMYFUNCTION("IFERROR(AVERAGE(filter('Основной эфир'!$Y:$Y, 'Основной эфир'!$B:$B=$A70,'Основной эфир'!$C:$C=$B70,'Основной эфир'!$I:$I=$C70)), 0) "),0.0)</f>
        <v>0</v>
      </c>
      <c r="I70" s="91">
        <f>IFERROR(__xludf.DUMMYFUNCTION("IFERROR(AVERAGE(filter('Основной эфир'!$AE:$AE, 'Основной эфир'!$B:$B=$A70,'Основной эфир'!$C:$C=$B70,'Основной эфир'!$I:$I=$C70)), 0) "),0.0)</f>
        <v>0</v>
      </c>
      <c r="J70" s="91">
        <f>IFERROR(__xludf.DUMMYFUNCTION("IFERROR(SUM(filter('Основной эфир'!$AL:$AL, 'Основной эфир'!$B:$B=$A70,'Основной эфир'!$C:$C=$B70,'Основной эфир'!$I:$I=$C70)), 0) "),0.0)</f>
        <v>0</v>
      </c>
      <c r="K70" s="91" t="str">
        <f>IFERROR(__xludf.DUMMYFUNCTION("IFERROR(REGEXREPLACE(unique(filter('Основной эфир'!$A:$A, 'Основной эфир'!$B:$B=$A70,'Основной эфир'!$C:$C=$B70,'Основной эфир'!$I:$I=$C70)), ""\d+"", """"),"""")"),"")</f>
        <v/>
      </c>
      <c r="L70" s="91" t="str">
        <f>IFERROR(__xludf.DUMMYFUNCTION("IFERROR(unique(filter('Основной эфир'!$F:$F, 'Основной эфир'!$B:$B=$A70,'Основной эфир'!$C:$C=$B70,'Основной эфир'!$I:$I=$C70)),"""")"),"")</f>
        <v/>
      </c>
      <c r="M70" s="92" t="str">
        <f t="shared" si="1"/>
        <v/>
      </c>
      <c r="N70" s="93">
        <f>IFERROR(__xludf.DUMMYFUNCTION("IFERROR(SWITCH(lower(join("" "",L70:M70)),""а миллионник"", 62.5,""б миллионник"", 75,""а мск"", 50, ""б мск"", 62.5, ""a остальное"", 70, ""б остальное"", 80)/100,0)"),0.0)</f>
        <v>0</v>
      </c>
      <c r="O70" s="91">
        <f t="shared" si="2"/>
        <v>0</v>
      </c>
      <c r="P70" s="91">
        <f>IFERROR(__xludf.DUMMYFUNCTION("IFERROR(sum(filter('Генеральный баннер'!$O:$O, 'Генеральный баннер'!$B:$B=$A70,'Генеральный баннер'!$C:$C=$B70,'Генеральный баннер'!$I:$I=$C70)), 0) "),0.0)</f>
        <v>0</v>
      </c>
      <c r="Q70" s="91">
        <f>IFERROR(__xludf.DUMMYFUNCTION("IFERROR(sum(filter('Генеральный баннер'!$Q:$Q, 'Генеральный баннер'!$B:$B=$A70,'Генеральный баннер'!$C:$C=$B70,'Генеральный баннер'!$I:$I=$C70)), 0) "),0.0)</f>
        <v>0</v>
      </c>
      <c r="R70" s="91">
        <f>IFERROR(__xludf.DUMMYFUNCTION("IFERROR(AVERAGE(filter('Генеральный баннер'!$AA:$AA, 'Генеральный баннер'!$B:$B=$A70,'Генеральный баннер'!$C:$C=$B70,'Генеральный баннер'!$I:$I=$C70)), 0) "),0.0)</f>
        <v>0</v>
      </c>
      <c r="S70" s="91">
        <f>IFERROR(__xludf.DUMMYFUNCTION("IFERROR(SUM(filter('Генеральный баннер'!$AH:$AH, 'Генеральный баннер'!$B:$B=$A70,'Генеральный баннер'!$C:$C=$B70,'Генеральный баннер'!$I:$I=$C70)), 0) "),0.0)</f>
        <v>0</v>
      </c>
      <c r="T70" s="91" t="str">
        <f>IFERROR(__xludf.DUMMYFUNCTION("IFERROR(REGEXREPLACE(unique(filter('Генеральный баннер'!$A:$A, 'Генеральный баннер'!$B:$B=$A70,'Генеральный баннер'!$C:$C=$B70,'Генеральный баннер'!$I:$I=$C70)), ""\d+"", """"),"""")"),"")</f>
        <v/>
      </c>
      <c r="U70" s="91" t="str">
        <f>IFERROR(__xludf.DUMMYFUNCTION("IFERROR(unique(filter('Генеральный баннер'!$F:$F, 'Генеральный баннер'!$B:$B=$A70,'Генеральный баннер'!$C:$C=$B70,'Генеральный баннер'!$I:$I=$C70)),"""")"),"")</f>
        <v/>
      </c>
      <c r="V70" s="92" t="str">
        <f t="shared" si="3"/>
        <v/>
      </c>
      <c r="W70" s="93">
        <f>IFERROR(__xludf.DUMMYFUNCTION("IFERROR(SWITCH(lower(join("" "",U70:V70)),""а миллионник"", 62.5,""б миллионник"", 75,""а мск"", 50, ""б мск"", 62.5, ""a остальное"", 70, ""б остальное"", 80)/100,0)"),0.0)</f>
        <v>0</v>
      </c>
      <c r="X70" s="91">
        <f t="shared" si="4"/>
        <v>0</v>
      </c>
    </row>
    <row r="71">
      <c r="A71" s="90"/>
      <c r="B71" s="90"/>
      <c r="C71" s="90"/>
      <c r="D71" s="91">
        <f>IFERROR(__xludf.DUMMYFUNCTION("IFERROR(sum(filter('Основной эфир'!$AA:$AA, 'Основной эфир'!$B:$B=$A71,'Основной эфир'!$C:$C=$B71,'Основной эфир'!$I:$I=$C71)), 0) "),0.0)</f>
        <v>0</v>
      </c>
      <c r="E71" s="91">
        <f>IFERROR(__xludf.DUMMYFUNCTION("IFERROR(sum(filter('Основной эфир'!$AC:$AC, 'Основной эфир'!$B:$B=$A71,'Основной эфир'!$C:$C=$B71,'Основной эфир'!$I:$I=$C71)), 0) "),0.0)</f>
        <v>0</v>
      </c>
      <c r="F71" s="91">
        <f>IFERROR(__xludf.DUMMYFUNCTION("IFERROR(sum(filter('Основной эфир'!$O:$O, 'Основной эфир'!$B:$B=$A71,'Основной эфир'!$C:$C=$B71,'Основной эфир'!$I:$I=$C71)), 0) "),0.0)</f>
        <v>0</v>
      </c>
      <c r="G71" s="91">
        <f>IFERROR(__xludf.DUMMYFUNCTION("IFERROR(sum(filter('Основной эфир'!$Q:$Q, 'Основной эфир'!$B:$B=$A71,'Основной эфир'!$C:$C=$B71,'Основной эфир'!$I:$I=$C71)), 0) "),0.0)</f>
        <v>0</v>
      </c>
      <c r="H71" s="91">
        <f>IFERROR(__xludf.DUMMYFUNCTION("IFERROR(AVERAGE(filter('Основной эфир'!$Y:$Y, 'Основной эфир'!$B:$B=$A71,'Основной эфир'!$C:$C=$B71,'Основной эфир'!$I:$I=$C71)), 0) "),0.0)</f>
        <v>0</v>
      </c>
      <c r="I71" s="91">
        <f>IFERROR(__xludf.DUMMYFUNCTION("IFERROR(AVERAGE(filter('Основной эфир'!$AE:$AE, 'Основной эфир'!$B:$B=$A71,'Основной эфир'!$C:$C=$B71,'Основной эфир'!$I:$I=$C71)), 0) "),0.0)</f>
        <v>0</v>
      </c>
      <c r="J71" s="91">
        <f>IFERROR(__xludf.DUMMYFUNCTION("IFERROR(SUM(filter('Основной эфир'!$AL:$AL, 'Основной эфир'!$B:$B=$A71,'Основной эфир'!$C:$C=$B71,'Основной эфир'!$I:$I=$C71)), 0) "),0.0)</f>
        <v>0</v>
      </c>
      <c r="K71" s="91" t="str">
        <f>IFERROR(__xludf.DUMMYFUNCTION("IFERROR(REGEXREPLACE(unique(filter('Основной эфир'!$A:$A, 'Основной эфир'!$B:$B=$A71,'Основной эфир'!$C:$C=$B71,'Основной эфир'!$I:$I=$C71)), ""\d+"", """"),"""")"),"")</f>
        <v/>
      </c>
      <c r="L71" s="91" t="str">
        <f>IFERROR(__xludf.DUMMYFUNCTION("IFERROR(unique(filter('Основной эфир'!$F:$F, 'Основной эфир'!$B:$B=$A71,'Основной эфир'!$C:$C=$B71,'Основной эфир'!$I:$I=$C71)),"""")"),"")</f>
        <v/>
      </c>
      <c r="M71" s="92" t="str">
        <f t="shared" si="1"/>
        <v/>
      </c>
      <c r="N71" s="93">
        <f>IFERROR(__xludf.DUMMYFUNCTION("IFERROR(SWITCH(lower(join("" "",L71:M71)),""а миллионник"", 62.5,""б миллионник"", 75,""а мск"", 50, ""б мск"", 62.5, ""a остальное"", 70, ""б остальное"", 80)/100,0)"),0.0)</f>
        <v>0</v>
      </c>
      <c r="O71" s="91">
        <f t="shared" si="2"/>
        <v>0</v>
      </c>
      <c r="P71" s="91">
        <f>IFERROR(__xludf.DUMMYFUNCTION("IFERROR(sum(filter('Генеральный баннер'!$O:$O, 'Генеральный баннер'!$B:$B=$A71,'Генеральный баннер'!$C:$C=$B71,'Генеральный баннер'!$I:$I=$C71)), 0) "),0.0)</f>
        <v>0</v>
      </c>
      <c r="Q71" s="91">
        <f>IFERROR(__xludf.DUMMYFUNCTION("IFERROR(sum(filter('Генеральный баннер'!$Q:$Q, 'Генеральный баннер'!$B:$B=$A71,'Генеральный баннер'!$C:$C=$B71,'Генеральный баннер'!$I:$I=$C71)), 0) "),0.0)</f>
        <v>0</v>
      </c>
      <c r="R71" s="91">
        <f>IFERROR(__xludf.DUMMYFUNCTION("IFERROR(AVERAGE(filter('Генеральный баннер'!$AA:$AA, 'Генеральный баннер'!$B:$B=$A71,'Генеральный баннер'!$C:$C=$B71,'Генеральный баннер'!$I:$I=$C71)), 0) "),0.0)</f>
        <v>0</v>
      </c>
      <c r="S71" s="91">
        <f>IFERROR(__xludf.DUMMYFUNCTION("IFERROR(SUM(filter('Генеральный баннер'!$AH:$AH, 'Генеральный баннер'!$B:$B=$A71,'Генеральный баннер'!$C:$C=$B71,'Генеральный баннер'!$I:$I=$C71)), 0) "),0.0)</f>
        <v>0</v>
      </c>
      <c r="T71" s="91" t="str">
        <f>IFERROR(__xludf.DUMMYFUNCTION("IFERROR(REGEXREPLACE(unique(filter('Генеральный баннер'!$A:$A, 'Генеральный баннер'!$B:$B=$A71,'Генеральный баннер'!$C:$C=$B71,'Генеральный баннер'!$I:$I=$C71)), ""\d+"", """"),"""")"),"")</f>
        <v/>
      </c>
      <c r="U71" s="91" t="str">
        <f>IFERROR(__xludf.DUMMYFUNCTION("IFERROR(unique(filter('Генеральный баннер'!$F:$F, 'Генеральный баннер'!$B:$B=$A71,'Генеральный баннер'!$C:$C=$B71,'Генеральный баннер'!$I:$I=$C71)),"""")"),"")</f>
        <v/>
      </c>
      <c r="V71" s="92" t="str">
        <f t="shared" si="3"/>
        <v/>
      </c>
      <c r="W71" s="93">
        <f>IFERROR(__xludf.DUMMYFUNCTION("IFERROR(SWITCH(lower(join("" "",U71:V71)),""а миллионник"", 62.5,""б миллионник"", 75,""а мск"", 50, ""б мск"", 62.5, ""a остальное"", 70, ""б остальное"", 80)/100,0)"),0.0)</f>
        <v>0</v>
      </c>
      <c r="X71" s="91">
        <f t="shared" si="4"/>
        <v>0</v>
      </c>
    </row>
    <row r="72">
      <c r="A72" s="90"/>
      <c r="B72" s="90"/>
      <c r="C72" s="90"/>
      <c r="D72" s="91">
        <f>IFERROR(__xludf.DUMMYFUNCTION("IFERROR(sum(filter('Основной эфир'!$AA:$AA, 'Основной эфир'!$B:$B=$A72,'Основной эфир'!$C:$C=$B72,'Основной эфир'!$I:$I=$C72)), 0) "),0.0)</f>
        <v>0</v>
      </c>
      <c r="E72" s="91">
        <f>IFERROR(__xludf.DUMMYFUNCTION("IFERROR(sum(filter('Основной эфир'!$AC:$AC, 'Основной эфир'!$B:$B=$A72,'Основной эфир'!$C:$C=$B72,'Основной эфир'!$I:$I=$C72)), 0) "),0.0)</f>
        <v>0</v>
      </c>
      <c r="F72" s="91">
        <f>IFERROR(__xludf.DUMMYFUNCTION("IFERROR(sum(filter('Основной эфир'!$O:$O, 'Основной эфир'!$B:$B=$A72,'Основной эфир'!$C:$C=$B72,'Основной эфир'!$I:$I=$C72)), 0) "),0.0)</f>
        <v>0</v>
      </c>
      <c r="G72" s="91">
        <f>IFERROR(__xludf.DUMMYFUNCTION("IFERROR(sum(filter('Основной эфир'!$Q:$Q, 'Основной эфир'!$B:$B=$A72,'Основной эфир'!$C:$C=$B72,'Основной эфир'!$I:$I=$C72)), 0) "),0.0)</f>
        <v>0</v>
      </c>
      <c r="H72" s="91">
        <f>IFERROR(__xludf.DUMMYFUNCTION("IFERROR(AVERAGE(filter('Основной эфир'!$Y:$Y, 'Основной эфир'!$B:$B=$A72,'Основной эфир'!$C:$C=$B72,'Основной эфир'!$I:$I=$C72)), 0) "),0.0)</f>
        <v>0</v>
      </c>
      <c r="I72" s="91">
        <f>IFERROR(__xludf.DUMMYFUNCTION("IFERROR(AVERAGE(filter('Основной эфир'!$AE:$AE, 'Основной эфир'!$B:$B=$A72,'Основной эфир'!$C:$C=$B72,'Основной эфир'!$I:$I=$C72)), 0) "),0.0)</f>
        <v>0</v>
      </c>
      <c r="J72" s="91">
        <f>IFERROR(__xludf.DUMMYFUNCTION("IFERROR(SUM(filter('Основной эфир'!$AL:$AL, 'Основной эфир'!$B:$B=$A72,'Основной эфир'!$C:$C=$B72,'Основной эфир'!$I:$I=$C72)), 0) "),0.0)</f>
        <v>0</v>
      </c>
      <c r="K72" s="91" t="str">
        <f>IFERROR(__xludf.DUMMYFUNCTION("IFERROR(REGEXREPLACE(unique(filter('Основной эфир'!$A:$A, 'Основной эфир'!$B:$B=$A72,'Основной эфир'!$C:$C=$B72,'Основной эфир'!$I:$I=$C72)), ""\d+"", """"),"""")"),"")</f>
        <v/>
      </c>
      <c r="L72" s="91" t="str">
        <f>IFERROR(__xludf.DUMMYFUNCTION("IFERROR(unique(filter('Основной эфир'!$F:$F, 'Основной эфир'!$B:$B=$A72,'Основной эфир'!$C:$C=$B72,'Основной эфир'!$I:$I=$C72)),"""")"),"")</f>
        <v/>
      </c>
      <c r="M72" s="92" t="str">
        <f t="shared" si="1"/>
        <v/>
      </c>
      <c r="N72" s="93">
        <f>IFERROR(__xludf.DUMMYFUNCTION("IFERROR(SWITCH(lower(join("" "",L72:M72)),""а миллионник"", 62.5,""б миллионник"", 75,""а мск"", 50, ""б мск"", 62.5, ""a остальное"", 70, ""б остальное"", 80)/100,0)"),0.0)</f>
        <v>0</v>
      </c>
      <c r="O72" s="91">
        <f t="shared" si="2"/>
        <v>0</v>
      </c>
      <c r="P72" s="91">
        <f>IFERROR(__xludf.DUMMYFUNCTION("IFERROR(sum(filter('Генеральный баннер'!$O:$O, 'Генеральный баннер'!$B:$B=$A72,'Генеральный баннер'!$C:$C=$B72,'Генеральный баннер'!$I:$I=$C72)), 0) "),0.0)</f>
        <v>0</v>
      </c>
      <c r="Q72" s="91">
        <f>IFERROR(__xludf.DUMMYFUNCTION("IFERROR(sum(filter('Генеральный баннер'!$Q:$Q, 'Генеральный баннер'!$B:$B=$A72,'Генеральный баннер'!$C:$C=$B72,'Генеральный баннер'!$I:$I=$C72)), 0) "),0.0)</f>
        <v>0</v>
      </c>
      <c r="R72" s="91">
        <f>IFERROR(__xludf.DUMMYFUNCTION("IFERROR(AVERAGE(filter('Генеральный баннер'!$AA:$AA, 'Генеральный баннер'!$B:$B=$A72,'Генеральный баннер'!$C:$C=$B72,'Генеральный баннер'!$I:$I=$C72)), 0) "),0.0)</f>
        <v>0</v>
      </c>
      <c r="S72" s="91">
        <f>IFERROR(__xludf.DUMMYFUNCTION("IFERROR(SUM(filter('Генеральный баннер'!$AH:$AH, 'Генеральный баннер'!$B:$B=$A72,'Генеральный баннер'!$C:$C=$B72,'Генеральный баннер'!$I:$I=$C72)), 0) "),0.0)</f>
        <v>0</v>
      </c>
      <c r="T72" s="91" t="str">
        <f>IFERROR(__xludf.DUMMYFUNCTION("IFERROR(REGEXREPLACE(unique(filter('Генеральный баннер'!$A:$A, 'Генеральный баннер'!$B:$B=$A72,'Генеральный баннер'!$C:$C=$B72,'Генеральный баннер'!$I:$I=$C72)), ""\d+"", """"),"""")"),"")</f>
        <v/>
      </c>
      <c r="U72" s="91" t="str">
        <f>IFERROR(__xludf.DUMMYFUNCTION("IFERROR(unique(filter('Генеральный баннер'!$F:$F, 'Генеральный баннер'!$B:$B=$A72,'Генеральный баннер'!$C:$C=$B72,'Генеральный баннер'!$I:$I=$C72)),"""")"),"")</f>
        <v/>
      </c>
      <c r="V72" s="92" t="str">
        <f t="shared" si="3"/>
        <v/>
      </c>
      <c r="W72" s="93">
        <f>IFERROR(__xludf.DUMMYFUNCTION("IFERROR(SWITCH(lower(join("" "",U72:V72)),""а миллионник"", 62.5,""б миллионник"", 75,""а мск"", 50, ""б мск"", 62.5, ""a остальное"", 70, ""б остальное"", 80)/100,0)"),0.0)</f>
        <v>0</v>
      </c>
      <c r="X72" s="91">
        <f t="shared" si="4"/>
        <v>0</v>
      </c>
    </row>
    <row r="73">
      <c r="A73" s="90"/>
      <c r="B73" s="90"/>
      <c r="C73" s="90"/>
      <c r="D73" s="91">
        <f>IFERROR(__xludf.DUMMYFUNCTION("IFERROR(sum(filter('Основной эфир'!$AA:$AA, 'Основной эфир'!$B:$B=$A73,'Основной эфир'!$C:$C=$B73,'Основной эфир'!$I:$I=$C73)), 0) "),0.0)</f>
        <v>0</v>
      </c>
      <c r="E73" s="91">
        <f>IFERROR(__xludf.DUMMYFUNCTION("IFERROR(sum(filter('Основной эфир'!$AC:$AC, 'Основной эфир'!$B:$B=$A73,'Основной эфир'!$C:$C=$B73,'Основной эфир'!$I:$I=$C73)), 0) "),0.0)</f>
        <v>0</v>
      </c>
      <c r="F73" s="91">
        <f>IFERROR(__xludf.DUMMYFUNCTION("IFERROR(sum(filter('Основной эфир'!$O:$O, 'Основной эфир'!$B:$B=$A73,'Основной эфир'!$C:$C=$B73,'Основной эфир'!$I:$I=$C73)), 0) "),0.0)</f>
        <v>0</v>
      </c>
      <c r="G73" s="91">
        <f>IFERROR(__xludf.DUMMYFUNCTION("IFERROR(sum(filter('Основной эфир'!$Q:$Q, 'Основной эфир'!$B:$B=$A73,'Основной эфир'!$C:$C=$B73,'Основной эфир'!$I:$I=$C73)), 0) "),0.0)</f>
        <v>0</v>
      </c>
      <c r="H73" s="91">
        <f>IFERROR(__xludf.DUMMYFUNCTION("IFERROR(AVERAGE(filter('Основной эфир'!$Y:$Y, 'Основной эфир'!$B:$B=$A73,'Основной эфир'!$C:$C=$B73,'Основной эфир'!$I:$I=$C73)), 0) "),0.0)</f>
        <v>0</v>
      </c>
      <c r="I73" s="91">
        <f>IFERROR(__xludf.DUMMYFUNCTION("IFERROR(AVERAGE(filter('Основной эфир'!$AE:$AE, 'Основной эфир'!$B:$B=$A73,'Основной эфир'!$C:$C=$B73,'Основной эфир'!$I:$I=$C73)), 0) "),0.0)</f>
        <v>0</v>
      </c>
      <c r="J73" s="91">
        <f>IFERROR(__xludf.DUMMYFUNCTION("IFERROR(SUM(filter('Основной эфир'!$AL:$AL, 'Основной эфир'!$B:$B=$A73,'Основной эфир'!$C:$C=$B73,'Основной эфир'!$I:$I=$C73)), 0) "),0.0)</f>
        <v>0</v>
      </c>
      <c r="K73" s="91" t="str">
        <f>IFERROR(__xludf.DUMMYFUNCTION("IFERROR(REGEXREPLACE(unique(filter('Основной эфир'!$A:$A, 'Основной эфир'!$B:$B=$A73,'Основной эфир'!$C:$C=$B73,'Основной эфир'!$I:$I=$C73)), ""\d+"", """"),"""")"),"")</f>
        <v/>
      </c>
      <c r="L73" s="91" t="str">
        <f>IFERROR(__xludf.DUMMYFUNCTION("IFERROR(unique(filter('Основной эфир'!$F:$F, 'Основной эфир'!$B:$B=$A73,'Основной эфир'!$C:$C=$B73,'Основной эфир'!$I:$I=$C73)),"""")"),"")</f>
        <v/>
      </c>
      <c r="M73" s="92" t="str">
        <f t="shared" si="1"/>
        <v/>
      </c>
      <c r="N73" s="93">
        <f>IFERROR(__xludf.DUMMYFUNCTION("IFERROR(SWITCH(lower(join("" "",L73:M73)),""а миллионник"", 62.5,""б миллионник"", 75,""а мск"", 50, ""б мск"", 62.5, ""a остальное"", 70, ""б остальное"", 80)/100,0)"),0.0)</f>
        <v>0</v>
      </c>
      <c r="O73" s="91">
        <f t="shared" si="2"/>
        <v>0</v>
      </c>
      <c r="P73" s="91">
        <f>IFERROR(__xludf.DUMMYFUNCTION("IFERROR(sum(filter('Генеральный баннер'!$O:$O, 'Генеральный баннер'!$B:$B=$A73,'Генеральный баннер'!$C:$C=$B73,'Генеральный баннер'!$I:$I=$C73)), 0) "),0.0)</f>
        <v>0</v>
      </c>
      <c r="Q73" s="91">
        <f>IFERROR(__xludf.DUMMYFUNCTION("IFERROR(sum(filter('Генеральный баннер'!$Q:$Q, 'Генеральный баннер'!$B:$B=$A73,'Генеральный баннер'!$C:$C=$B73,'Генеральный баннер'!$I:$I=$C73)), 0) "),0.0)</f>
        <v>0</v>
      </c>
      <c r="R73" s="91">
        <f>IFERROR(__xludf.DUMMYFUNCTION("IFERROR(AVERAGE(filter('Генеральный баннер'!$AA:$AA, 'Генеральный баннер'!$B:$B=$A73,'Генеральный баннер'!$C:$C=$B73,'Генеральный баннер'!$I:$I=$C73)), 0) "),0.0)</f>
        <v>0</v>
      </c>
      <c r="S73" s="91">
        <f>IFERROR(__xludf.DUMMYFUNCTION("IFERROR(SUM(filter('Генеральный баннер'!$AH:$AH, 'Генеральный баннер'!$B:$B=$A73,'Генеральный баннер'!$C:$C=$B73,'Генеральный баннер'!$I:$I=$C73)), 0) "),0.0)</f>
        <v>0</v>
      </c>
      <c r="T73" s="91" t="str">
        <f>IFERROR(__xludf.DUMMYFUNCTION("IFERROR(REGEXREPLACE(unique(filter('Генеральный баннер'!$A:$A, 'Генеральный баннер'!$B:$B=$A73,'Генеральный баннер'!$C:$C=$B73,'Генеральный баннер'!$I:$I=$C73)), ""\d+"", """"),"""")"),"")</f>
        <v/>
      </c>
      <c r="U73" s="91" t="str">
        <f>IFERROR(__xludf.DUMMYFUNCTION("IFERROR(unique(filter('Генеральный баннер'!$F:$F, 'Генеральный баннер'!$B:$B=$A73,'Генеральный баннер'!$C:$C=$B73,'Генеральный баннер'!$I:$I=$C73)),"""")"),"")</f>
        <v/>
      </c>
      <c r="V73" s="92" t="str">
        <f t="shared" si="3"/>
        <v/>
      </c>
      <c r="W73" s="93">
        <f>IFERROR(__xludf.DUMMYFUNCTION("IFERROR(SWITCH(lower(join("" "",U73:V73)),""а миллионник"", 62.5,""б миллионник"", 75,""а мск"", 50, ""б мск"", 62.5, ""a остальное"", 70, ""б остальное"", 80)/100,0)"),0.0)</f>
        <v>0</v>
      </c>
      <c r="X73" s="91">
        <f t="shared" si="4"/>
        <v>0</v>
      </c>
    </row>
    <row r="74">
      <c r="A74" s="90"/>
      <c r="B74" s="90"/>
      <c r="C74" s="90"/>
      <c r="D74" s="91">
        <f>IFERROR(__xludf.DUMMYFUNCTION("IFERROR(sum(filter('Основной эфир'!$AA:$AA, 'Основной эфир'!$B:$B=$A74,'Основной эфир'!$C:$C=$B74,'Основной эфир'!$I:$I=$C74)), 0) "),0.0)</f>
        <v>0</v>
      </c>
      <c r="E74" s="91">
        <f>IFERROR(__xludf.DUMMYFUNCTION("IFERROR(sum(filter('Основной эфир'!$AC:$AC, 'Основной эфир'!$B:$B=$A74,'Основной эфир'!$C:$C=$B74,'Основной эфир'!$I:$I=$C74)), 0) "),0.0)</f>
        <v>0</v>
      </c>
      <c r="F74" s="91">
        <f>IFERROR(__xludf.DUMMYFUNCTION("IFERROR(sum(filter('Основной эфир'!$O:$O, 'Основной эфир'!$B:$B=$A74,'Основной эфир'!$C:$C=$B74,'Основной эфир'!$I:$I=$C74)), 0) "),0.0)</f>
        <v>0</v>
      </c>
      <c r="G74" s="91">
        <f>IFERROR(__xludf.DUMMYFUNCTION("IFERROR(sum(filter('Основной эфир'!$Q:$Q, 'Основной эфир'!$B:$B=$A74,'Основной эфир'!$C:$C=$B74,'Основной эфир'!$I:$I=$C74)), 0) "),0.0)</f>
        <v>0</v>
      </c>
      <c r="H74" s="91">
        <f>IFERROR(__xludf.DUMMYFUNCTION("IFERROR(AVERAGE(filter('Основной эфир'!$Y:$Y, 'Основной эфир'!$B:$B=$A74,'Основной эфир'!$C:$C=$B74,'Основной эфир'!$I:$I=$C74)), 0) "),0.0)</f>
        <v>0</v>
      </c>
      <c r="I74" s="91">
        <f>IFERROR(__xludf.DUMMYFUNCTION("IFERROR(AVERAGE(filter('Основной эфир'!$AE:$AE, 'Основной эфир'!$B:$B=$A74,'Основной эфир'!$C:$C=$B74,'Основной эфир'!$I:$I=$C74)), 0) "),0.0)</f>
        <v>0</v>
      </c>
      <c r="J74" s="91">
        <f>IFERROR(__xludf.DUMMYFUNCTION("IFERROR(SUM(filter('Основной эфир'!$AL:$AL, 'Основной эфир'!$B:$B=$A74,'Основной эфир'!$C:$C=$B74,'Основной эфир'!$I:$I=$C74)), 0) "),0.0)</f>
        <v>0</v>
      </c>
      <c r="K74" s="91" t="str">
        <f>IFERROR(__xludf.DUMMYFUNCTION("IFERROR(REGEXREPLACE(unique(filter('Основной эфир'!$A:$A, 'Основной эфир'!$B:$B=$A74,'Основной эфир'!$C:$C=$B74,'Основной эфир'!$I:$I=$C74)), ""\d+"", """"),"""")"),"")</f>
        <v/>
      </c>
      <c r="L74" s="91" t="str">
        <f>IFERROR(__xludf.DUMMYFUNCTION("IFERROR(unique(filter('Основной эфир'!$F:$F, 'Основной эфир'!$B:$B=$A74,'Основной эфир'!$C:$C=$B74,'Основной эфир'!$I:$I=$C74)),"""")"),"")</f>
        <v/>
      </c>
      <c r="M74" s="92" t="str">
        <f t="shared" si="1"/>
        <v/>
      </c>
      <c r="N74" s="93">
        <f>IFERROR(__xludf.DUMMYFUNCTION("IFERROR(SWITCH(lower(join("" "",L74:M74)),""а миллионник"", 62.5,""б миллионник"", 75,""а мск"", 50, ""б мск"", 62.5, ""a остальное"", 70, ""б остальное"", 80)/100,0)"),0.0)</f>
        <v>0</v>
      </c>
      <c r="O74" s="91">
        <f t="shared" si="2"/>
        <v>0</v>
      </c>
      <c r="P74" s="91">
        <f>IFERROR(__xludf.DUMMYFUNCTION("IFERROR(sum(filter('Генеральный баннер'!$O:$O, 'Генеральный баннер'!$B:$B=$A74,'Генеральный баннер'!$C:$C=$B74,'Генеральный баннер'!$I:$I=$C74)), 0) "),0.0)</f>
        <v>0</v>
      </c>
      <c r="Q74" s="91">
        <f>IFERROR(__xludf.DUMMYFUNCTION("IFERROR(sum(filter('Генеральный баннер'!$Q:$Q, 'Генеральный баннер'!$B:$B=$A74,'Генеральный баннер'!$C:$C=$B74,'Генеральный баннер'!$I:$I=$C74)), 0) "),0.0)</f>
        <v>0</v>
      </c>
      <c r="R74" s="91">
        <f>IFERROR(__xludf.DUMMYFUNCTION("IFERROR(AVERAGE(filter('Генеральный баннер'!$AA:$AA, 'Генеральный баннер'!$B:$B=$A74,'Генеральный баннер'!$C:$C=$B74,'Генеральный баннер'!$I:$I=$C74)), 0) "),0.0)</f>
        <v>0</v>
      </c>
      <c r="S74" s="91">
        <f>IFERROR(__xludf.DUMMYFUNCTION("IFERROR(SUM(filter('Генеральный баннер'!$AH:$AH, 'Генеральный баннер'!$B:$B=$A74,'Генеральный баннер'!$C:$C=$B74,'Генеральный баннер'!$I:$I=$C74)), 0) "),0.0)</f>
        <v>0</v>
      </c>
      <c r="T74" s="91" t="str">
        <f>IFERROR(__xludf.DUMMYFUNCTION("IFERROR(REGEXREPLACE(unique(filter('Генеральный баннер'!$A:$A, 'Генеральный баннер'!$B:$B=$A74,'Генеральный баннер'!$C:$C=$B74,'Генеральный баннер'!$I:$I=$C74)), ""\d+"", """"),"""")"),"")</f>
        <v/>
      </c>
      <c r="U74" s="91" t="str">
        <f>IFERROR(__xludf.DUMMYFUNCTION("IFERROR(unique(filter('Генеральный баннер'!$F:$F, 'Генеральный баннер'!$B:$B=$A74,'Генеральный баннер'!$C:$C=$B74,'Генеральный баннер'!$I:$I=$C74)),"""")"),"")</f>
        <v/>
      </c>
      <c r="V74" s="92" t="str">
        <f t="shared" si="3"/>
        <v/>
      </c>
      <c r="W74" s="93">
        <f>IFERROR(__xludf.DUMMYFUNCTION("IFERROR(SWITCH(lower(join("" "",U74:V74)),""а миллионник"", 62.5,""б миллионник"", 75,""а мск"", 50, ""б мск"", 62.5, ""a остальное"", 70, ""б остальное"", 80)/100,0)"),0.0)</f>
        <v>0</v>
      </c>
      <c r="X74" s="91">
        <f t="shared" si="4"/>
        <v>0</v>
      </c>
    </row>
    <row r="75">
      <c r="A75" s="90"/>
      <c r="B75" s="90"/>
      <c r="C75" s="90"/>
      <c r="D75" s="91">
        <f>IFERROR(__xludf.DUMMYFUNCTION("IFERROR(sum(filter('Основной эфир'!$AA:$AA, 'Основной эфир'!$B:$B=$A75,'Основной эфир'!$C:$C=$B75,'Основной эфир'!$I:$I=$C75)), 0) "),0.0)</f>
        <v>0</v>
      </c>
      <c r="E75" s="91">
        <f>IFERROR(__xludf.DUMMYFUNCTION("IFERROR(sum(filter('Основной эфир'!$AC:$AC, 'Основной эфир'!$B:$B=$A75,'Основной эфир'!$C:$C=$B75,'Основной эфир'!$I:$I=$C75)), 0) "),0.0)</f>
        <v>0</v>
      </c>
      <c r="F75" s="91">
        <f>IFERROR(__xludf.DUMMYFUNCTION("IFERROR(sum(filter('Основной эфир'!$O:$O, 'Основной эфир'!$B:$B=$A75,'Основной эфир'!$C:$C=$B75,'Основной эфир'!$I:$I=$C75)), 0) "),0.0)</f>
        <v>0</v>
      </c>
      <c r="G75" s="91">
        <f>IFERROR(__xludf.DUMMYFUNCTION("IFERROR(sum(filter('Основной эфир'!$Q:$Q, 'Основной эфир'!$B:$B=$A75,'Основной эфир'!$C:$C=$B75,'Основной эфир'!$I:$I=$C75)), 0) "),0.0)</f>
        <v>0</v>
      </c>
      <c r="H75" s="91">
        <f>IFERROR(__xludf.DUMMYFUNCTION("IFERROR(AVERAGE(filter('Основной эфир'!$Y:$Y, 'Основной эфир'!$B:$B=$A75,'Основной эфир'!$C:$C=$B75,'Основной эфир'!$I:$I=$C75)), 0) "),0.0)</f>
        <v>0</v>
      </c>
      <c r="I75" s="91">
        <f>IFERROR(__xludf.DUMMYFUNCTION("IFERROR(AVERAGE(filter('Основной эфир'!$AE:$AE, 'Основной эфир'!$B:$B=$A75,'Основной эфир'!$C:$C=$B75,'Основной эфир'!$I:$I=$C75)), 0) "),0.0)</f>
        <v>0</v>
      </c>
      <c r="J75" s="91">
        <f>IFERROR(__xludf.DUMMYFUNCTION("IFERROR(SUM(filter('Основной эфир'!$AL:$AL, 'Основной эфир'!$B:$B=$A75,'Основной эфир'!$C:$C=$B75,'Основной эфир'!$I:$I=$C75)), 0) "),0.0)</f>
        <v>0</v>
      </c>
      <c r="K75" s="91" t="str">
        <f>IFERROR(__xludf.DUMMYFUNCTION("IFERROR(REGEXREPLACE(unique(filter('Основной эфир'!$A:$A, 'Основной эфир'!$B:$B=$A75,'Основной эфир'!$C:$C=$B75,'Основной эфир'!$I:$I=$C75)), ""\d+"", """"),"""")"),"")</f>
        <v/>
      </c>
      <c r="L75" s="91" t="str">
        <f>IFERROR(__xludf.DUMMYFUNCTION("IFERROR(unique(filter('Основной эфир'!$F:$F, 'Основной эфир'!$B:$B=$A75,'Основной эфир'!$C:$C=$B75,'Основной эфир'!$I:$I=$C75)),"""")"),"")</f>
        <v/>
      </c>
      <c r="M75" s="92" t="str">
        <f t="shared" si="1"/>
        <v/>
      </c>
      <c r="N75" s="93">
        <f>IFERROR(__xludf.DUMMYFUNCTION("IFERROR(SWITCH(lower(join("" "",L75:M75)),""а миллионник"", 62.5,""б миллионник"", 75,""а мск"", 50, ""б мск"", 62.5, ""a остальное"", 70, ""б остальное"", 80)/100,0)"),0.0)</f>
        <v>0</v>
      </c>
      <c r="O75" s="91">
        <f t="shared" si="2"/>
        <v>0</v>
      </c>
      <c r="P75" s="91">
        <f>IFERROR(__xludf.DUMMYFUNCTION("IFERROR(sum(filter('Генеральный баннер'!$O:$O, 'Генеральный баннер'!$B:$B=$A75,'Генеральный баннер'!$C:$C=$B75,'Генеральный баннер'!$I:$I=$C75)), 0) "),0.0)</f>
        <v>0</v>
      </c>
      <c r="Q75" s="91">
        <f>IFERROR(__xludf.DUMMYFUNCTION("IFERROR(sum(filter('Генеральный баннер'!$Q:$Q, 'Генеральный баннер'!$B:$B=$A75,'Генеральный баннер'!$C:$C=$B75,'Генеральный баннер'!$I:$I=$C75)), 0) "),0.0)</f>
        <v>0</v>
      </c>
      <c r="R75" s="91">
        <f>IFERROR(__xludf.DUMMYFUNCTION("IFERROR(AVERAGE(filter('Генеральный баннер'!$AA:$AA, 'Генеральный баннер'!$B:$B=$A75,'Генеральный баннер'!$C:$C=$B75,'Генеральный баннер'!$I:$I=$C75)), 0) "),0.0)</f>
        <v>0</v>
      </c>
      <c r="S75" s="91">
        <f>IFERROR(__xludf.DUMMYFUNCTION("IFERROR(SUM(filter('Генеральный баннер'!$AH:$AH, 'Генеральный баннер'!$B:$B=$A75,'Генеральный баннер'!$C:$C=$B75,'Генеральный баннер'!$I:$I=$C75)), 0) "),0.0)</f>
        <v>0</v>
      </c>
      <c r="T75" s="91" t="str">
        <f>IFERROR(__xludf.DUMMYFUNCTION("IFERROR(REGEXREPLACE(unique(filter('Генеральный баннер'!$A:$A, 'Генеральный баннер'!$B:$B=$A75,'Генеральный баннер'!$C:$C=$B75,'Генеральный баннер'!$I:$I=$C75)), ""\d+"", """"),"""")"),"")</f>
        <v/>
      </c>
      <c r="U75" s="91" t="str">
        <f>IFERROR(__xludf.DUMMYFUNCTION("IFERROR(unique(filter('Генеральный баннер'!$F:$F, 'Генеральный баннер'!$B:$B=$A75,'Генеральный баннер'!$C:$C=$B75,'Генеральный баннер'!$I:$I=$C75)),"""")"),"")</f>
        <v/>
      </c>
      <c r="V75" s="92" t="str">
        <f t="shared" si="3"/>
        <v/>
      </c>
      <c r="W75" s="93">
        <f>IFERROR(__xludf.DUMMYFUNCTION("IFERROR(SWITCH(lower(join("" "",U75:V75)),""а миллионник"", 62.5,""б миллионник"", 75,""а мск"", 50, ""б мск"", 62.5, ""a остальное"", 70, ""б остальное"", 80)/100,0)"),0.0)</f>
        <v>0</v>
      </c>
      <c r="X75" s="91">
        <f t="shared" si="4"/>
        <v>0</v>
      </c>
    </row>
    <row r="76">
      <c r="A76" s="90"/>
      <c r="B76" s="90"/>
      <c r="C76" s="90"/>
      <c r="D76" s="91">
        <f>IFERROR(__xludf.DUMMYFUNCTION("IFERROR(sum(filter('Основной эфир'!$AA:$AA, 'Основной эфир'!$B:$B=$A76,'Основной эфир'!$C:$C=$B76,'Основной эфир'!$I:$I=$C76)), 0) "),0.0)</f>
        <v>0</v>
      </c>
      <c r="E76" s="91">
        <f>IFERROR(__xludf.DUMMYFUNCTION("IFERROR(sum(filter('Основной эфир'!$AC:$AC, 'Основной эфир'!$B:$B=$A76,'Основной эфир'!$C:$C=$B76,'Основной эфир'!$I:$I=$C76)), 0) "),0.0)</f>
        <v>0</v>
      </c>
      <c r="F76" s="91">
        <f>IFERROR(__xludf.DUMMYFUNCTION("IFERROR(sum(filter('Основной эфир'!$O:$O, 'Основной эфир'!$B:$B=$A76,'Основной эфир'!$C:$C=$B76,'Основной эфир'!$I:$I=$C76)), 0) "),0.0)</f>
        <v>0</v>
      </c>
      <c r="G76" s="91">
        <f>IFERROR(__xludf.DUMMYFUNCTION("IFERROR(sum(filter('Основной эфир'!$Q:$Q, 'Основной эфир'!$B:$B=$A76,'Основной эфир'!$C:$C=$B76,'Основной эфир'!$I:$I=$C76)), 0) "),0.0)</f>
        <v>0</v>
      </c>
      <c r="H76" s="91">
        <f>IFERROR(__xludf.DUMMYFUNCTION("IFERROR(AVERAGE(filter('Основной эфир'!$Y:$Y, 'Основной эфир'!$B:$B=$A76,'Основной эфир'!$C:$C=$B76,'Основной эфир'!$I:$I=$C76)), 0) "),0.0)</f>
        <v>0</v>
      </c>
      <c r="I76" s="91">
        <f>IFERROR(__xludf.DUMMYFUNCTION("IFERROR(AVERAGE(filter('Основной эфир'!$AE:$AE, 'Основной эфир'!$B:$B=$A76,'Основной эфир'!$C:$C=$B76,'Основной эфир'!$I:$I=$C76)), 0) "),0.0)</f>
        <v>0</v>
      </c>
      <c r="J76" s="91">
        <f>IFERROR(__xludf.DUMMYFUNCTION("IFERROR(SUM(filter('Основной эфир'!$AL:$AL, 'Основной эфир'!$B:$B=$A76,'Основной эфир'!$C:$C=$B76,'Основной эфир'!$I:$I=$C76)), 0) "),0.0)</f>
        <v>0</v>
      </c>
      <c r="K76" s="91" t="str">
        <f>IFERROR(__xludf.DUMMYFUNCTION("IFERROR(REGEXREPLACE(unique(filter('Основной эфир'!$A:$A, 'Основной эфир'!$B:$B=$A76,'Основной эфир'!$C:$C=$B76,'Основной эфир'!$I:$I=$C76)), ""\d+"", """"),"""")"),"")</f>
        <v/>
      </c>
      <c r="L76" s="91" t="str">
        <f>IFERROR(__xludf.DUMMYFUNCTION("IFERROR(unique(filter('Основной эфир'!$F:$F, 'Основной эфир'!$B:$B=$A76,'Основной эфир'!$C:$C=$B76,'Основной эфир'!$I:$I=$C76)),"""")"),"")</f>
        <v/>
      </c>
      <c r="M76" s="92" t="str">
        <f t="shared" si="1"/>
        <v/>
      </c>
      <c r="N76" s="93">
        <f>IFERROR(__xludf.DUMMYFUNCTION("IFERROR(SWITCH(lower(join("" "",L76:M76)),""а миллионник"", 62.5,""б миллионник"", 75,""а мск"", 50, ""б мск"", 62.5, ""a остальное"", 70, ""б остальное"", 80)/100,0)"),0.0)</f>
        <v>0</v>
      </c>
      <c r="O76" s="91">
        <f t="shared" si="2"/>
        <v>0</v>
      </c>
      <c r="P76" s="91">
        <f>IFERROR(__xludf.DUMMYFUNCTION("IFERROR(sum(filter('Генеральный баннер'!$O:$O, 'Генеральный баннер'!$B:$B=$A76,'Генеральный баннер'!$C:$C=$B76,'Генеральный баннер'!$I:$I=$C76)), 0) "),0.0)</f>
        <v>0</v>
      </c>
      <c r="Q76" s="91">
        <f>IFERROR(__xludf.DUMMYFUNCTION("IFERROR(sum(filter('Генеральный баннер'!$Q:$Q, 'Генеральный баннер'!$B:$B=$A76,'Генеральный баннер'!$C:$C=$B76,'Генеральный баннер'!$I:$I=$C76)), 0) "),0.0)</f>
        <v>0</v>
      </c>
      <c r="R76" s="91">
        <f>IFERROR(__xludf.DUMMYFUNCTION("IFERROR(AVERAGE(filter('Генеральный баннер'!$AA:$AA, 'Генеральный баннер'!$B:$B=$A76,'Генеральный баннер'!$C:$C=$B76,'Генеральный баннер'!$I:$I=$C76)), 0) "),0.0)</f>
        <v>0</v>
      </c>
      <c r="S76" s="91">
        <f>IFERROR(__xludf.DUMMYFUNCTION("IFERROR(SUM(filter('Генеральный баннер'!$AH:$AH, 'Генеральный баннер'!$B:$B=$A76,'Генеральный баннер'!$C:$C=$B76,'Генеральный баннер'!$I:$I=$C76)), 0) "),0.0)</f>
        <v>0</v>
      </c>
      <c r="T76" s="91" t="str">
        <f>IFERROR(__xludf.DUMMYFUNCTION("IFERROR(REGEXREPLACE(unique(filter('Генеральный баннер'!$A:$A, 'Генеральный баннер'!$B:$B=$A76,'Генеральный баннер'!$C:$C=$B76,'Генеральный баннер'!$I:$I=$C76)), ""\d+"", """"),"""")"),"")</f>
        <v/>
      </c>
      <c r="U76" s="91" t="str">
        <f>IFERROR(__xludf.DUMMYFUNCTION("IFERROR(unique(filter('Генеральный баннер'!$F:$F, 'Генеральный баннер'!$B:$B=$A76,'Генеральный баннер'!$C:$C=$B76,'Генеральный баннер'!$I:$I=$C76)),"""")"),"")</f>
        <v/>
      </c>
      <c r="V76" s="92" t="str">
        <f t="shared" si="3"/>
        <v/>
      </c>
      <c r="W76" s="93">
        <f>IFERROR(__xludf.DUMMYFUNCTION("IFERROR(SWITCH(lower(join("" "",U76:V76)),""а миллионник"", 62.5,""б миллионник"", 75,""а мск"", 50, ""б мск"", 62.5, ""a остальное"", 70, ""б остальное"", 80)/100,0)"),0.0)</f>
        <v>0</v>
      </c>
      <c r="X76" s="91">
        <f t="shared" si="4"/>
        <v>0</v>
      </c>
    </row>
    <row r="77">
      <c r="A77" s="90"/>
      <c r="B77" s="90"/>
      <c r="C77" s="90"/>
      <c r="D77" s="91">
        <f>IFERROR(__xludf.DUMMYFUNCTION("IFERROR(sum(filter('Основной эфир'!$AA:$AA, 'Основной эфир'!$B:$B=$A77,'Основной эфир'!$C:$C=$B77,'Основной эфир'!$I:$I=$C77)), 0) "),0.0)</f>
        <v>0</v>
      </c>
      <c r="E77" s="91">
        <f>IFERROR(__xludf.DUMMYFUNCTION("IFERROR(sum(filter('Основной эфир'!$AC:$AC, 'Основной эфир'!$B:$B=$A77,'Основной эфир'!$C:$C=$B77,'Основной эфир'!$I:$I=$C77)), 0) "),0.0)</f>
        <v>0</v>
      </c>
      <c r="F77" s="91">
        <f>IFERROR(__xludf.DUMMYFUNCTION("IFERROR(sum(filter('Основной эфир'!$O:$O, 'Основной эфир'!$B:$B=$A77,'Основной эфир'!$C:$C=$B77,'Основной эфир'!$I:$I=$C77)), 0) "),0.0)</f>
        <v>0</v>
      </c>
      <c r="G77" s="91">
        <f>IFERROR(__xludf.DUMMYFUNCTION("IFERROR(sum(filter('Основной эфир'!$Q:$Q, 'Основной эфир'!$B:$B=$A77,'Основной эфир'!$C:$C=$B77,'Основной эфир'!$I:$I=$C77)), 0) "),0.0)</f>
        <v>0</v>
      </c>
      <c r="H77" s="91">
        <f>IFERROR(__xludf.DUMMYFUNCTION("IFERROR(AVERAGE(filter('Основной эфир'!$Y:$Y, 'Основной эфир'!$B:$B=$A77,'Основной эфир'!$C:$C=$B77,'Основной эфир'!$I:$I=$C77)), 0) "),0.0)</f>
        <v>0</v>
      </c>
      <c r="I77" s="91">
        <f>IFERROR(__xludf.DUMMYFUNCTION("IFERROR(AVERAGE(filter('Основной эфир'!$AE:$AE, 'Основной эфир'!$B:$B=$A77,'Основной эфир'!$C:$C=$B77,'Основной эфир'!$I:$I=$C77)), 0) "),0.0)</f>
        <v>0</v>
      </c>
      <c r="J77" s="91">
        <f>IFERROR(__xludf.DUMMYFUNCTION("IFERROR(SUM(filter('Основной эфир'!$AL:$AL, 'Основной эфир'!$B:$B=$A77,'Основной эфир'!$C:$C=$B77,'Основной эфир'!$I:$I=$C77)), 0) "),0.0)</f>
        <v>0</v>
      </c>
      <c r="K77" s="91" t="str">
        <f>IFERROR(__xludf.DUMMYFUNCTION("IFERROR(REGEXREPLACE(unique(filter('Основной эфир'!$A:$A, 'Основной эфир'!$B:$B=$A77,'Основной эфир'!$C:$C=$B77,'Основной эфир'!$I:$I=$C77)), ""\d+"", """"),"""")"),"")</f>
        <v/>
      </c>
      <c r="L77" s="91" t="str">
        <f>IFERROR(__xludf.DUMMYFUNCTION("IFERROR(unique(filter('Основной эфир'!$F:$F, 'Основной эфир'!$B:$B=$A77,'Основной эфир'!$C:$C=$B77,'Основной эфир'!$I:$I=$C77)),"""")"),"")</f>
        <v/>
      </c>
      <c r="M77" s="92" t="str">
        <f t="shared" si="1"/>
        <v/>
      </c>
      <c r="N77" s="93">
        <f>IFERROR(__xludf.DUMMYFUNCTION("IFERROR(SWITCH(lower(join("" "",L77:M77)),""а миллионник"", 62.5,""б миллионник"", 75,""а мск"", 50, ""б мск"", 62.5, ""a остальное"", 70, ""б остальное"", 80)/100,0)"),0.0)</f>
        <v>0</v>
      </c>
      <c r="O77" s="91">
        <f t="shared" si="2"/>
        <v>0</v>
      </c>
      <c r="P77" s="91">
        <f>IFERROR(__xludf.DUMMYFUNCTION("IFERROR(sum(filter('Генеральный баннер'!$O:$O, 'Генеральный баннер'!$B:$B=$A77,'Генеральный баннер'!$C:$C=$B77,'Генеральный баннер'!$I:$I=$C77)), 0) "),0.0)</f>
        <v>0</v>
      </c>
      <c r="Q77" s="91">
        <f>IFERROR(__xludf.DUMMYFUNCTION("IFERROR(sum(filter('Генеральный баннер'!$Q:$Q, 'Генеральный баннер'!$B:$B=$A77,'Генеральный баннер'!$C:$C=$B77,'Генеральный баннер'!$I:$I=$C77)), 0) "),0.0)</f>
        <v>0</v>
      </c>
      <c r="R77" s="91">
        <f>IFERROR(__xludf.DUMMYFUNCTION("IFERROR(AVERAGE(filter('Генеральный баннер'!$AA:$AA, 'Генеральный баннер'!$B:$B=$A77,'Генеральный баннер'!$C:$C=$B77,'Генеральный баннер'!$I:$I=$C77)), 0) "),0.0)</f>
        <v>0</v>
      </c>
      <c r="S77" s="91">
        <f>IFERROR(__xludf.DUMMYFUNCTION("IFERROR(SUM(filter('Генеральный баннер'!$AH:$AH, 'Генеральный баннер'!$B:$B=$A77,'Генеральный баннер'!$C:$C=$B77,'Генеральный баннер'!$I:$I=$C77)), 0) "),0.0)</f>
        <v>0</v>
      </c>
      <c r="T77" s="91" t="str">
        <f>IFERROR(__xludf.DUMMYFUNCTION("IFERROR(REGEXREPLACE(unique(filter('Генеральный баннер'!$A:$A, 'Генеральный баннер'!$B:$B=$A77,'Генеральный баннер'!$C:$C=$B77,'Генеральный баннер'!$I:$I=$C77)), ""\d+"", """"),"""")"),"")</f>
        <v/>
      </c>
      <c r="U77" s="91" t="str">
        <f>IFERROR(__xludf.DUMMYFUNCTION("IFERROR(unique(filter('Генеральный баннер'!$F:$F, 'Генеральный баннер'!$B:$B=$A77,'Генеральный баннер'!$C:$C=$B77,'Генеральный баннер'!$I:$I=$C77)),"""")"),"")</f>
        <v/>
      </c>
      <c r="V77" s="92" t="str">
        <f t="shared" si="3"/>
        <v/>
      </c>
      <c r="W77" s="93">
        <f>IFERROR(__xludf.DUMMYFUNCTION("IFERROR(SWITCH(lower(join("" "",U77:V77)),""а миллионник"", 62.5,""б миллионник"", 75,""а мск"", 50, ""б мск"", 62.5, ""a остальное"", 70, ""б остальное"", 80)/100,0)"),0.0)</f>
        <v>0</v>
      </c>
      <c r="X77" s="91">
        <f t="shared" si="4"/>
        <v>0</v>
      </c>
    </row>
    <row r="78">
      <c r="A78" s="90"/>
      <c r="B78" s="90"/>
      <c r="C78" s="90"/>
      <c r="D78" s="91">
        <f>IFERROR(__xludf.DUMMYFUNCTION("IFERROR(sum(filter('Основной эфир'!$AA:$AA, 'Основной эфир'!$B:$B=$A78,'Основной эфир'!$C:$C=$B78,'Основной эфир'!$I:$I=$C78)), 0) "),0.0)</f>
        <v>0</v>
      </c>
      <c r="E78" s="91">
        <f>IFERROR(__xludf.DUMMYFUNCTION("IFERROR(sum(filter('Основной эфир'!$AC:$AC, 'Основной эфир'!$B:$B=$A78,'Основной эфир'!$C:$C=$B78,'Основной эфир'!$I:$I=$C78)), 0) "),0.0)</f>
        <v>0</v>
      </c>
      <c r="F78" s="91">
        <f>IFERROR(__xludf.DUMMYFUNCTION("IFERROR(sum(filter('Основной эфир'!$O:$O, 'Основной эфир'!$B:$B=$A78,'Основной эфир'!$C:$C=$B78,'Основной эфир'!$I:$I=$C78)), 0) "),0.0)</f>
        <v>0</v>
      </c>
      <c r="G78" s="91">
        <f>IFERROR(__xludf.DUMMYFUNCTION("IFERROR(sum(filter('Основной эфир'!$Q:$Q, 'Основной эфир'!$B:$B=$A78,'Основной эфир'!$C:$C=$B78,'Основной эфир'!$I:$I=$C78)), 0) "),0.0)</f>
        <v>0</v>
      </c>
      <c r="H78" s="91">
        <f>IFERROR(__xludf.DUMMYFUNCTION("IFERROR(AVERAGE(filter('Основной эфир'!$Y:$Y, 'Основной эфир'!$B:$B=$A78,'Основной эфир'!$C:$C=$B78,'Основной эфир'!$I:$I=$C78)), 0) "),0.0)</f>
        <v>0</v>
      </c>
      <c r="I78" s="91">
        <f>IFERROR(__xludf.DUMMYFUNCTION("IFERROR(AVERAGE(filter('Основной эфир'!$AE:$AE, 'Основной эфир'!$B:$B=$A78,'Основной эфир'!$C:$C=$B78,'Основной эфир'!$I:$I=$C78)), 0) "),0.0)</f>
        <v>0</v>
      </c>
      <c r="J78" s="91">
        <f>IFERROR(__xludf.DUMMYFUNCTION("IFERROR(SUM(filter('Основной эфир'!$AL:$AL, 'Основной эфир'!$B:$B=$A78,'Основной эфир'!$C:$C=$B78,'Основной эфир'!$I:$I=$C78)), 0) "),0.0)</f>
        <v>0</v>
      </c>
      <c r="K78" s="91" t="str">
        <f>IFERROR(__xludf.DUMMYFUNCTION("IFERROR(REGEXREPLACE(unique(filter('Основной эфир'!$A:$A, 'Основной эфир'!$B:$B=$A78,'Основной эфир'!$C:$C=$B78,'Основной эфир'!$I:$I=$C78)), ""\d+"", """"),"""")"),"")</f>
        <v/>
      </c>
      <c r="L78" s="91" t="str">
        <f>IFERROR(__xludf.DUMMYFUNCTION("IFERROR(unique(filter('Основной эфир'!$F:$F, 'Основной эфир'!$B:$B=$A78,'Основной эфир'!$C:$C=$B78,'Основной эфир'!$I:$I=$C78)),"""")"),"")</f>
        <v/>
      </c>
      <c r="M78" s="92" t="str">
        <f t="shared" si="1"/>
        <v/>
      </c>
      <c r="N78" s="93">
        <f>IFERROR(__xludf.DUMMYFUNCTION("IFERROR(SWITCH(lower(join("" "",L78:M78)),""а миллионник"", 62.5,""б миллионник"", 75,""а мск"", 50, ""б мск"", 62.5, ""a остальное"", 70, ""б остальное"", 80)/100,0)"),0.0)</f>
        <v>0</v>
      </c>
      <c r="O78" s="91">
        <f t="shared" si="2"/>
        <v>0</v>
      </c>
      <c r="P78" s="91">
        <f>IFERROR(__xludf.DUMMYFUNCTION("IFERROR(sum(filter('Генеральный баннер'!$O:$O, 'Генеральный баннер'!$B:$B=$A78,'Генеральный баннер'!$C:$C=$B78,'Генеральный баннер'!$I:$I=$C78)), 0) "),0.0)</f>
        <v>0</v>
      </c>
      <c r="Q78" s="91">
        <f>IFERROR(__xludf.DUMMYFUNCTION("IFERROR(sum(filter('Генеральный баннер'!$Q:$Q, 'Генеральный баннер'!$B:$B=$A78,'Генеральный баннер'!$C:$C=$B78,'Генеральный баннер'!$I:$I=$C78)), 0) "),0.0)</f>
        <v>0</v>
      </c>
      <c r="R78" s="91">
        <f>IFERROR(__xludf.DUMMYFUNCTION("IFERROR(AVERAGE(filter('Генеральный баннер'!$AA:$AA, 'Генеральный баннер'!$B:$B=$A78,'Генеральный баннер'!$C:$C=$B78,'Генеральный баннер'!$I:$I=$C78)), 0) "),0.0)</f>
        <v>0</v>
      </c>
      <c r="S78" s="91">
        <f>IFERROR(__xludf.DUMMYFUNCTION("IFERROR(SUM(filter('Генеральный баннер'!$AH:$AH, 'Генеральный баннер'!$B:$B=$A78,'Генеральный баннер'!$C:$C=$B78,'Генеральный баннер'!$I:$I=$C78)), 0) "),0.0)</f>
        <v>0</v>
      </c>
      <c r="T78" s="91" t="str">
        <f>IFERROR(__xludf.DUMMYFUNCTION("IFERROR(REGEXREPLACE(unique(filter('Генеральный баннер'!$A:$A, 'Генеральный баннер'!$B:$B=$A78,'Генеральный баннер'!$C:$C=$B78,'Генеральный баннер'!$I:$I=$C78)), ""\d+"", """"),"""")"),"")</f>
        <v/>
      </c>
      <c r="U78" s="91" t="str">
        <f>IFERROR(__xludf.DUMMYFUNCTION("IFERROR(unique(filter('Генеральный баннер'!$F:$F, 'Генеральный баннер'!$B:$B=$A78,'Генеральный баннер'!$C:$C=$B78,'Генеральный баннер'!$I:$I=$C78)),"""")"),"")</f>
        <v/>
      </c>
      <c r="V78" s="92" t="str">
        <f t="shared" si="3"/>
        <v/>
      </c>
      <c r="W78" s="93">
        <f>IFERROR(__xludf.DUMMYFUNCTION("IFERROR(SWITCH(lower(join("" "",U78:V78)),""а миллионник"", 62.5,""б миллионник"", 75,""а мск"", 50, ""б мск"", 62.5, ""a остальное"", 70, ""б остальное"", 80)/100,0)"),0.0)</f>
        <v>0</v>
      </c>
      <c r="X78" s="91">
        <f t="shared" si="4"/>
        <v>0</v>
      </c>
    </row>
    <row r="79">
      <c r="A79" s="90"/>
      <c r="B79" s="90"/>
      <c r="C79" s="90"/>
      <c r="D79" s="91">
        <f>IFERROR(__xludf.DUMMYFUNCTION("IFERROR(sum(filter('Основной эфир'!$AA:$AA, 'Основной эфир'!$B:$B=$A79,'Основной эфир'!$C:$C=$B79,'Основной эфир'!$I:$I=$C79)), 0) "),0.0)</f>
        <v>0</v>
      </c>
      <c r="E79" s="91">
        <f>IFERROR(__xludf.DUMMYFUNCTION("IFERROR(sum(filter('Основной эфир'!$AC:$AC, 'Основной эфир'!$B:$B=$A79,'Основной эфир'!$C:$C=$B79,'Основной эфир'!$I:$I=$C79)), 0) "),0.0)</f>
        <v>0</v>
      </c>
      <c r="F79" s="91">
        <f>IFERROR(__xludf.DUMMYFUNCTION("IFERROR(sum(filter('Основной эфир'!$O:$O, 'Основной эфир'!$B:$B=$A79,'Основной эфир'!$C:$C=$B79,'Основной эфир'!$I:$I=$C79)), 0) "),0.0)</f>
        <v>0</v>
      </c>
      <c r="G79" s="91">
        <f>IFERROR(__xludf.DUMMYFUNCTION("IFERROR(sum(filter('Основной эфир'!$Q:$Q, 'Основной эфир'!$B:$B=$A79,'Основной эфир'!$C:$C=$B79,'Основной эфир'!$I:$I=$C79)), 0) "),0.0)</f>
        <v>0</v>
      </c>
      <c r="H79" s="91">
        <f>IFERROR(__xludf.DUMMYFUNCTION("IFERROR(AVERAGE(filter('Основной эфир'!$Y:$Y, 'Основной эфир'!$B:$B=$A79,'Основной эфир'!$C:$C=$B79,'Основной эфир'!$I:$I=$C79)), 0) "),0.0)</f>
        <v>0</v>
      </c>
      <c r="I79" s="91">
        <f>IFERROR(__xludf.DUMMYFUNCTION("IFERROR(AVERAGE(filter('Основной эфир'!$AE:$AE, 'Основной эфир'!$B:$B=$A79,'Основной эфир'!$C:$C=$B79,'Основной эфир'!$I:$I=$C79)), 0) "),0.0)</f>
        <v>0</v>
      </c>
      <c r="J79" s="91">
        <f>IFERROR(__xludf.DUMMYFUNCTION("IFERROR(SUM(filter('Основной эфир'!$AL:$AL, 'Основной эфир'!$B:$B=$A79,'Основной эфир'!$C:$C=$B79,'Основной эфир'!$I:$I=$C79)), 0) "),0.0)</f>
        <v>0</v>
      </c>
      <c r="K79" s="91" t="str">
        <f>IFERROR(__xludf.DUMMYFUNCTION("IFERROR(REGEXREPLACE(unique(filter('Основной эфир'!$A:$A, 'Основной эфир'!$B:$B=$A79,'Основной эфир'!$C:$C=$B79,'Основной эфир'!$I:$I=$C79)), ""\d+"", """"),"""")"),"")</f>
        <v/>
      </c>
      <c r="L79" s="91" t="str">
        <f>IFERROR(__xludf.DUMMYFUNCTION("IFERROR(unique(filter('Основной эфир'!$F:$F, 'Основной эфир'!$B:$B=$A79,'Основной эфир'!$C:$C=$B79,'Основной эфир'!$I:$I=$C79)),"""")"),"")</f>
        <v/>
      </c>
      <c r="M79" s="92" t="str">
        <f t="shared" si="1"/>
        <v/>
      </c>
      <c r="N79" s="93">
        <f>IFERROR(__xludf.DUMMYFUNCTION("IFERROR(SWITCH(lower(join("" "",L79:M79)),""а миллионник"", 62.5,""б миллионник"", 75,""а мск"", 50, ""б мск"", 62.5, ""a остальное"", 70, ""б остальное"", 80)/100,0)"),0.0)</f>
        <v>0</v>
      </c>
      <c r="O79" s="91">
        <f t="shared" si="2"/>
        <v>0</v>
      </c>
      <c r="P79" s="91">
        <f>IFERROR(__xludf.DUMMYFUNCTION("IFERROR(sum(filter('Генеральный баннер'!$O:$O, 'Генеральный баннер'!$B:$B=$A79,'Генеральный баннер'!$C:$C=$B79,'Генеральный баннер'!$I:$I=$C79)), 0) "),0.0)</f>
        <v>0</v>
      </c>
      <c r="Q79" s="91">
        <f>IFERROR(__xludf.DUMMYFUNCTION("IFERROR(sum(filter('Генеральный баннер'!$Q:$Q, 'Генеральный баннер'!$B:$B=$A79,'Генеральный баннер'!$C:$C=$B79,'Генеральный баннер'!$I:$I=$C79)), 0) "),0.0)</f>
        <v>0</v>
      </c>
      <c r="R79" s="91">
        <f>IFERROR(__xludf.DUMMYFUNCTION("IFERROR(AVERAGE(filter('Генеральный баннер'!$AA:$AA, 'Генеральный баннер'!$B:$B=$A79,'Генеральный баннер'!$C:$C=$B79,'Генеральный баннер'!$I:$I=$C79)), 0) "),0.0)</f>
        <v>0</v>
      </c>
      <c r="S79" s="91">
        <f>IFERROR(__xludf.DUMMYFUNCTION("IFERROR(SUM(filter('Генеральный баннер'!$AH:$AH, 'Генеральный баннер'!$B:$B=$A79,'Генеральный баннер'!$C:$C=$B79,'Генеральный баннер'!$I:$I=$C79)), 0) "),0.0)</f>
        <v>0</v>
      </c>
      <c r="T79" s="91" t="str">
        <f>IFERROR(__xludf.DUMMYFUNCTION("IFERROR(REGEXREPLACE(unique(filter('Генеральный баннер'!$A:$A, 'Генеральный баннер'!$B:$B=$A79,'Генеральный баннер'!$C:$C=$B79,'Генеральный баннер'!$I:$I=$C79)), ""\d+"", """"),"""")"),"")</f>
        <v/>
      </c>
      <c r="U79" s="91" t="str">
        <f>IFERROR(__xludf.DUMMYFUNCTION("IFERROR(unique(filter('Генеральный баннер'!$F:$F, 'Генеральный баннер'!$B:$B=$A79,'Генеральный баннер'!$C:$C=$B79,'Генеральный баннер'!$I:$I=$C79)),"""")"),"")</f>
        <v/>
      </c>
      <c r="V79" s="92" t="str">
        <f t="shared" si="3"/>
        <v/>
      </c>
      <c r="W79" s="93">
        <f>IFERROR(__xludf.DUMMYFUNCTION("IFERROR(SWITCH(lower(join("" "",U79:V79)),""а миллионник"", 62.5,""б миллионник"", 75,""а мск"", 50, ""б мск"", 62.5, ""a остальное"", 70, ""б остальное"", 80)/100,0)"),0.0)</f>
        <v>0</v>
      </c>
      <c r="X79" s="91">
        <f t="shared" si="4"/>
        <v>0</v>
      </c>
    </row>
    <row r="80">
      <c r="A80" s="90"/>
      <c r="B80" s="90"/>
      <c r="C80" s="90"/>
      <c r="D80" s="91">
        <f>IFERROR(__xludf.DUMMYFUNCTION("IFERROR(sum(filter('Основной эфир'!$AA:$AA, 'Основной эфир'!$B:$B=$A80,'Основной эфир'!$C:$C=$B80,'Основной эфир'!$I:$I=$C80)), 0) "),0.0)</f>
        <v>0</v>
      </c>
      <c r="E80" s="91">
        <f>IFERROR(__xludf.DUMMYFUNCTION("IFERROR(sum(filter('Основной эфир'!$AC:$AC, 'Основной эфир'!$B:$B=$A80,'Основной эфир'!$C:$C=$B80,'Основной эфир'!$I:$I=$C80)), 0) "),0.0)</f>
        <v>0</v>
      </c>
      <c r="F80" s="91">
        <f>IFERROR(__xludf.DUMMYFUNCTION("IFERROR(sum(filter('Основной эфир'!$O:$O, 'Основной эфир'!$B:$B=$A80,'Основной эфир'!$C:$C=$B80,'Основной эфир'!$I:$I=$C80)), 0) "),0.0)</f>
        <v>0</v>
      </c>
      <c r="G80" s="91">
        <f>IFERROR(__xludf.DUMMYFUNCTION("IFERROR(sum(filter('Основной эфир'!$Q:$Q, 'Основной эфир'!$B:$B=$A80,'Основной эфир'!$C:$C=$B80,'Основной эфир'!$I:$I=$C80)), 0) "),0.0)</f>
        <v>0</v>
      </c>
      <c r="H80" s="91">
        <f>IFERROR(__xludf.DUMMYFUNCTION("IFERROR(AVERAGE(filter('Основной эфир'!$Y:$Y, 'Основной эфир'!$B:$B=$A80,'Основной эфир'!$C:$C=$B80,'Основной эфир'!$I:$I=$C80)), 0) "),0.0)</f>
        <v>0</v>
      </c>
      <c r="I80" s="91">
        <f>IFERROR(__xludf.DUMMYFUNCTION("IFERROR(AVERAGE(filter('Основной эфир'!$AE:$AE, 'Основной эфир'!$B:$B=$A80,'Основной эфир'!$C:$C=$B80,'Основной эфир'!$I:$I=$C80)), 0) "),0.0)</f>
        <v>0</v>
      </c>
      <c r="J80" s="91">
        <f>IFERROR(__xludf.DUMMYFUNCTION("IFERROR(SUM(filter('Основной эфир'!$AL:$AL, 'Основной эфир'!$B:$B=$A80,'Основной эфир'!$C:$C=$B80,'Основной эфир'!$I:$I=$C80)), 0) "),0.0)</f>
        <v>0</v>
      </c>
      <c r="K80" s="91" t="str">
        <f>IFERROR(__xludf.DUMMYFUNCTION("IFERROR(REGEXREPLACE(unique(filter('Основной эфир'!$A:$A, 'Основной эфир'!$B:$B=$A80,'Основной эфир'!$C:$C=$B80,'Основной эфир'!$I:$I=$C80)), ""\d+"", """"),"""")"),"")</f>
        <v/>
      </c>
      <c r="L80" s="91" t="str">
        <f>IFERROR(__xludf.DUMMYFUNCTION("IFERROR(unique(filter('Основной эфир'!$F:$F, 'Основной эфир'!$B:$B=$A80,'Основной эфир'!$C:$C=$B80,'Основной эфир'!$I:$I=$C80)),"""")"),"")</f>
        <v/>
      </c>
      <c r="M80" s="92" t="str">
        <f t="shared" si="1"/>
        <v/>
      </c>
      <c r="N80" s="93">
        <f>IFERROR(__xludf.DUMMYFUNCTION("IFERROR(SWITCH(lower(join("" "",L80:M80)),""а миллионник"", 62.5,""б миллионник"", 75,""а мск"", 50, ""б мск"", 62.5, ""a остальное"", 70, ""б остальное"", 80)/100,0)"),0.0)</f>
        <v>0</v>
      </c>
      <c r="O80" s="91">
        <f t="shared" si="2"/>
        <v>0</v>
      </c>
      <c r="P80" s="91">
        <f>IFERROR(__xludf.DUMMYFUNCTION("IFERROR(sum(filter('Генеральный баннер'!$O:$O, 'Генеральный баннер'!$B:$B=$A80,'Генеральный баннер'!$C:$C=$B80,'Генеральный баннер'!$I:$I=$C80)), 0) "),0.0)</f>
        <v>0</v>
      </c>
      <c r="Q80" s="91">
        <f>IFERROR(__xludf.DUMMYFUNCTION("IFERROR(sum(filter('Генеральный баннер'!$Q:$Q, 'Генеральный баннер'!$B:$B=$A80,'Генеральный баннер'!$C:$C=$B80,'Генеральный баннер'!$I:$I=$C80)), 0) "),0.0)</f>
        <v>0</v>
      </c>
      <c r="R80" s="91">
        <f>IFERROR(__xludf.DUMMYFUNCTION("IFERROR(AVERAGE(filter('Генеральный баннер'!$AA:$AA, 'Генеральный баннер'!$B:$B=$A80,'Генеральный баннер'!$C:$C=$B80,'Генеральный баннер'!$I:$I=$C80)), 0) "),0.0)</f>
        <v>0</v>
      </c>
      <c r="S80" s="91">
        <f>IFERROR(__xludf.DUMMYFUNCTION("IFERROR(SUM(filter('Генеральный баннер'!$AH:$AH, 'Генеральный баннер'!$B:$B=$A80,'Генеральный баннер'!$C:$C=$B80,'Генеральный баннер'!$I:$I=$C80)), 0) "),0.0)</f>
        <v>0</v>
      </c>
      <c r="T80" s="91" t="str">
        <f>IFERROR(__xludf.DUMMYFUNCTION("IFERROR(REGEXREPLACE(unique(filter('Генеральный баннер'!$A:$A, 'Генеральный баннер'!$B:$B=$A80,'Генеральный баннер'!$C:$C=$B80,'Генеральный баннер'!$I:$I=$C80)), ""\d+"", """"),"""")"),"")</f>
        <v/>
      </c>
      <c r="U80" s="91" t="str">
        <f>IFERROR(__xludf.DUMMYFUNCTION("IFERROR(unique(filter('Генеральный баннер'!$F:$F, 'Генеральный баннер'!$B:$B=$A80,'Генеральный баннер'!$C:$C=$B80,'Генеральный баннер'!$I:$I=$C80)),"""")"),"")</f>
        <v/>
      </c>
      <c r="V80" s="92" t="str">
        <f t="shared" si="3"/>
        <v/>
      </c>
      <c r="W80" s="93">
        <f>IFERROR(__xludf.DUMMYFUNCTION("IFERROR(SWITCH(lower(join("" "",U80:V80)),""а миллионник"", 62.5,""б миллионник"", 75,""а мск"", 50, ""б мск"", 62.5, ""a остальное"", 70, ""б остальное"", 80)/100,0)"),0.0)</f>
        <v>0</v>
      </c>
      <c r="X80" s="91">
        <f t="shared" si="4"/>
        <v>0</v>
      </c>
    </row>
    <row r="81">
      <c r="A81" s="90"/>
      <c r="B81" s="90"/>
      <c r="C81" s="90"/>
      <c r="D81" s="91">
        <f>IFERROR(__xludf.DUMMYFUNCTION("IFERROR(sum(filter('Основной эфир'!$AA:$AA, 'Основной эфир'!$B:$B=$A81,'Основной эфир'!$C:$C=$B81,'Основной эфир'!$I:$I=$C81)), 0) "),0.0)</f>
        <v>0</v>
      </c>
      <c r="E81" s="91">
        <f>IFERROR(__xludf.DUMMYFUNCTION("IFERROR(sum(filter('Основной эфир'!$AC:$AC, 'Основной эфир'!$B:$B=$A81,'Основной эфир'!$C:$C=$B81,'Основной эфир'!$I:$I=$C81)), 0) "),0.0)</f>
        <v>0</v>
      </c>
      <c r="F81" s="91">
        <f>IFERROR(__xludf.DUMMYFUNCTION("IFERROR(sum(filter('Основной эфир'!$O:$O, 'Основной эфир'!$B:$B=$A81,'Основной эфир'!$C:$C=$B81,'Основной эфир'!$I:$I=$C81)), 0) "),0.0)</f>
        <v>0</v>
      </c>
      <c r="G81" s="91">
        <f>IFERROR(__xludf.DUMMYFUNCTION("IFERROR(sum(filter('Основной эфир'!$Q:$Q, 'Основной эфир'!$B:$B=$A81,'Основной эфир'!$C:$C=$B81,'Основной эфир'!$I:$I=$C81)), 0) "),0.0)</f>
        <v>0</v>
      </c>
      <c r="H81" s="91">
        <f>IFERROR(__xludf.DUMMYFUNCTION("IFERROR(AVERAGE(filter('Основной эфир'!$Y:$Y, 'Основной эфир'!$B:$B=$A81,'Основной эфир'!$C:$C=$B81,'Основной эфир'!$I:$I=$C81)), 0) "),0.0)</f>
        <v>0</v>
      </c>
      <c r="I81" s="91">
        <f>IFERROR(__xludf.DUMMYFUNCTION("IFERROR(AVERAGE(filter('Основной эфир'!$AE:$AE, 'Основной эфир'!$B:$B=$A81,'Основной эфир'!$C:$C=$B81,'Основной эфир'!$I:$I=$C81)), 0) "),0.0)</f>
        <v>0</v>
      </c>
      <c r="J81" s="91">
        <f>IFERROR(__xludf.DUMMYFUNCTION("IFERROR(SUM(filter('Основной эфир'!$AL:$AL, 'Основной эфир'!$B:$B=$A81,'Основной эфир'!$C:$C=$B81,'Основной эфир'!$I:$I=$C81)), 0) "),0.0)</f>
        <v>0</v>
      </c>
      <c r="K81" s="91" t="str">
        <f>IFERROR(__xludf.DUMMYFUNCTION("IFERROR(REGEXREPLACE(unique(filter('Основной эфир'!$A:$A, 'Основной эфир'!$B:$B=$A81,'Основной эфир'!$C:$C=$B81,'Основной эфир'!$I:$I=$C81)), ""\d+"", """"),"""")"),"")</f>
        <v/>
      </c>
      <c r="L81" s="91" t="str">
        <f>IFERROR(__xludf.DUMMYFUNCTION("IFERROR(unique(filter('Основной эфир'!$F:$F, 'Основной эфир'!$B:$B=$A81,'Основной эфир'!$C:$C=$B81,'Основной эфир'!$I:$I=$C81)),"""")"),"")</f>
        <v/>
      </c>
      <c r="M81" s="92" t="str">
        <f t="shared" si="1"/>
        <v/>
      </c>
      <c r="N81" s="93">
        <f>IFERROR(__xludf.DUMMYFUNCTION("IFERROR(SWITCH(lower(join("" "",L81:M81)),""а миллионник"", 62.5,""б миллионник"", 75,""а мск"", 50, ""б мск"", 62.5, ""a остальное"", 70, ""б остальное"", 80)/100,0)"),0.0)</f>
        <v>0</v>
      </c>
      <c r="O81" s="91">
        <f t="shared" si="2"/>
        <v>0</v>
      </c>
      <c r="P81" s="91">
        <f>IFERROR(__xludf.DUMMYFUNCTION("IFERROR(sum(filter('Генеральный баннер'!$O:$O, 'Генеральный баннер'!$B:$B=$A81,'Генеральный баннер'!$C:$C=$B81,'Генеральный баннер'!$I:$I=$C81)), 0) "),0.0)</f>
        <v>0</v>
      </c>
      <c r="Q81" s="91">
        <f>IFERROR(__xludf.DUMMYFUNCTION("IFERROR(sum(filter('Генеральный баннер'!$Q:$Q, 'Генеральный баннер'!$B:$B=$A81,'Генеральный баннер'!$C:$C=$B81,'Генеральный баннер'!$I:$I=$C81)), 0) "),0.0)</f>
        <v>0</v>
      </c>
      <c r="R81" s="91">
        <f>IFERROR(__xludf.DUMMYFUNCTION("IFERROR(AVERAGE(filter('Генеральный баннер'!$AA:$AA, 'Генеральный баннер'!$B:$B=$A81,'Генеральный баннер'!$C:$C=$B81,'Генеральный баннер'!$I:$I=$C81)), 0) "),0.0)</f>
        <v>0</v>
      </c>
      <c r="S81" s="91">
        <f>IFERROR(__xludf.DUMMYFUNCTION("IFERROR(SUM(filter('Генеральный баннер'!$AH:$AH, 'Генеральный баннер'!$B:$B=$A81,'Генеральный баннер'!$C:$C=$B81,'Генеральный баннер'!$I:$I=$C81)), 0) "),0.0)</f>
        <v>0</v>
      </c>
      <c r="T81" s="91" t="str">
        <f>IFERROR(__xludf.DUMMYFUNCTION("IFERROR(REGEXREPLACE(unique(filter('Генеральный баннер'!$A:$A, 'Генеральный баннер'!$B:$B=$A81,'Генеральный баннер'!$C:$C=$B81,'Генеральный баннер'!$I:$I=$C81)), ""\d+"", """"),"""")"),"")</f>
        <v/>
      </c>
      <c r="U81" s="91" t="str">
        <f>IFERROR(__xludf.DUMMYFUNCTION("IFERROR(unique(filter('Генеральный баннер'!$F:$F, 'Генеральный баннер'!$B:$B=$A81,'Генеральный баннер'!$C:$C=$B81,'Генеральный баннер'!$I:$I=$C81)),"""")"),"")</f>
        <v/>
      </c>
      <c r="V81" s="92" t="str">
        <f t="shared" si="3"/>
        <v/>
      </c>
      <c r="W81" s="93">
        <f>IFERROR(__xludf.DUMMYFUNCTION("IFERROR(SWITCH(lower(join("" "",U81:V81)),""а миллионник"", 62.5,""б миллионник"", 75,""а мск"", 50, ""б мск"", 62.5, ""a остальное"", 70, ""б остальное"", 80)/100,0)"),0.0)</f>
        <v>0</v>
      </c>
      <c r="X81" s="91">
        <f t="shared" si="4"/>
        <v>0</v>
      </c>
    </row>
    <row r="82">
      <c r="A82" s="90"/>
      <c r="B82" s="90"/>
      <c r="C82" s="90"/>
      <c r="D82" s="91">
        <f>IFERROR(__xludf.DUMMYFUNCTION("IFERROR(sum(filter('Основной эфир'!$AA:$AA, 'Основной эфир'!$B:$B=$A82,'Основной эфир'!$C:$C=$B82,'Основной эфир'!$I:$I=$C82)), 0) "),0.0)</f>
        <v>0</v>
      </c>
      <c r="E82" s="91">
        <f>IFERROR(__xludf.DUMMYFUNCTION("IFERROR(sum(filter('Основной эфир'!$AC:$AC, 'Основной эфир'!$B:$B=$A82,'Основной эфир'!$C:$C=$B82,'Основной эфир'!$I:$I=$C82)), 0) "),0.0)</f>
        <v>0</v>
      </c>
      <c r="F82" s="91">
        <f>IFERROR(__xludf.DUMMYFUNCTION("IFERROR(sum(filter('Основной эфир'!$O:$O, 'Основной эфир'!$B:$B=$A82,'Основной эфир'!$C:$C=$B82,'Основной эфир'!$I:$I=$C82)), 0) "),0.0)</f>
        <v>0</v>
      </c>
      <c r="G82" s="91">
        <f>IFERROR(__xludf.DUMMYFUNCTION("IFERROR(sum(filter('Основной эфир'!$Q:$Q, 'Основной эфир'!$B:$B=$A82,'Основной эфир'!$C:$C=$B82,'Основной эфир'!$I:$I=$C82)), 0) "),0.0)</f>
        <v>0</v>
      </c>
      <c r="H82" s="91">
        <f>IFERROR(__xludf.DUMMYFUNCTION("IFERROR(AVERAGE(filter('Основной эфир'!$Y:$Y, 'Основной эфир'!$B:$B=$A82,'Основной эфир'!$C:$C=$B82,'Основной эфир'!$I:$I=$C82)), 0) "),0.0)</f>
        <v>0</v>
      </c>
      <c r="I82" s="91">
        <f>IFERROR(__xludf.DUMMYFUNCTION("IFERROR(AVERAGE(filter('Основной эфир'!$AE:$AE, 'Основной эфир'!$B:$B=$A82,'Основной эфир'!$C:$C=$B82,'Основной эфир'!$I:$I=$C82)), 0) "),0.0)</f>
        <v>0</v>
      </c>
      <c r="J82" s="91">
        <f>IFERROR(__xludf.DUMMYFUNCTION("IFERROR(SUM(filter('Основной эфир'!$AL:$AL, 'Основной эфир'!$B:$B=$A82,'Основной эфир'!$C:$C=$B82,'Основной эфир'!$I:$I=$C82)), 0) "),0.0)</f>
        <v>0</v>
      </c>
      <c r="K82" s="91" t="str">
        <f>IFERROR(__xludf.DUMMYFUNCTION("IFERROR(REGEXREPLACE(unique(filter('Основной эфир'!$A:$A, 'Основной эфир'!$B:$B=$A82,'Основной эфир'!$C:$C=$B82,'Основной эфир'!$I:$I=$C82)), ""\d+"", """"),"""")"),"")</f>
        <v/>
      </c>
      <c r="L82" s="91" t="str">
        <f>IFERROR(__xludf.DUMMYFUNCTION("IFERROR(unique(filter('Основной эфир'!$F:$F, 'Основной эфир'!$B:$B=$A82,'Основной эфир'!$C:$C=$B82,'Основной эфир'!$I:$I=$C82)),"""")"),"")</f>
        <v/>
      </c>
      <c r="M82" s="92" t="str">
        <f t="shared" si="1"/>
        <v/>
      </c>
      <c r="N82" s="93">
        <f>IFERROR(__xludf.DUMMYFUNCTION("IFERROR(SWITCH(lower(join("" "",L82:M82)),""а миллионник"", 62.5,""б миллионник"", 75,""а мск"", 50, ""б мск"", 62.5, ""a остальное"", 70, ""б остальное"", 80)/100,0)"),0.0)</f>
        <v>0</v>
      </c>
      <c r="O82" s="91">
        <f t="shared" si="2"/>
        <v>0</v>
      </c>
      <c r="P82" s="91">
        <f>IFERROR(__xludf.DUMMYFUNCTION("IFERROR(sum(filter('Генеральный баннер'!$O:$O, 'Генеральный баннер'!$B:$B=$A82,'Генеральный баннер'!$C:$C=$B82,'Генеральный баннер'!$I:$I=$C82)), 0) "),0.0)</f>
        <v>0</v>
      </c>
      <c r="Q82" s="91">
        <f>IFERROR(__xludf.DUMMYFUNCTION("IFERROR(sum(filter('Генеральный баннер'!$Q:$Q, 'Генеральный баннер'!$B:$B=$A82,'Генеральный баннер'!$C:$C=$B82,'Генеральный баннер'!$I:$I=$C82)), 0) "),0.0)</f>
        <v>0</v>
      </c>
      <c r="R82" s="91">
        <f>IFERROR(__xludf.DUMMYFUNCTION("IFERROR(AVERAGE(filter('Генеральный баннер'!$AA:$AA, 'Генеральный баннер'!$B:$B=$A82,'Генеральный баннер'!$C:$C=$B82,'Генеральный баннер'!$I:$I=$C82)), 0) "),0.0)</f>
        <v>0</v>
      </c>
      <c r="S82" s="91">
        <f>IFERROR(__xludf.DUMMYFUNCTION("IFERROR(SUM(filter('Генеральный баннер'!$AH:$AH, 'Генеральный баннер'!$B:$B=$A82,'Генеральный баннер'!$C:$C=$B82,'Генеральный баннер'!$I:$I=$C82)), 0) "),0.0)</f>
        <v>0</v>
      </c>
      <c r="T82" s="91" t="str">
        <f>IFERROR(__xludf.DUMMYFUNCTION("IFERROR(REGEXREPLACE(unique(filter('Генеральный баннер'!$A:$A, 'Генеральный баннер'!$B:$B=$A82,'Генеральный баннер'!$C:$C=$B82,'Генеральный баннер'!$I:$I=$C82)), ""\d+"", """"),"""")"),"")</f>
        <v/>
      </c>
      <c r="U82" s="91" t="str">
        <f>IFERROR(__xludf.DUMMYFUNCTION("IFERROR(unique(filter('Генеральный баннер'!$F:$F, 'Генеральный баннер'!$B:$B=$A82,'Генеральный баннер'!$C:$C=$B82,'Генеральный баннер'!$I:$I=$C82)),"""")"),"")</f>
        <v/>
      </c>
      <c r="V82" s="92" t="str">
        <f t="shared" si="3"/>
        <v/>
      </c>
      <c r="W82" s="93">
        <f>IFERROR(__xludf.DUMMYFUNCTION("IFERROR(SWITCH(lower(join("" "",U82:V82)),""а миллионник"", 62.5,""б миллионник"", 75,""а мск"", 50, ""б мск"", 62.5, ""a остальное"", 70, ""б остальное"", 80)/100,0)"),0.0)</f>
        <v>0</v>
      </c>
      <c r="X82" s="91">
        <f t="shared" si="4"/>
        <v>0</v>
      </c>
    </row>
    <row r="83">
      <c r="A83" s="90"/>
      <c r="B83" s="90"/>
      <c r="C83" s="90"/>
      <c r="D83" s="91">
        <f>IFERROR(__xludf.DUMMYFUNCTION("IFERROR(sum(filter('Основной эфир'!$AA:$AA, 'Основной эфир'!$B:$B=$A83,'Основной эфир'!$C:$C=$B83,'Основной эфир'!$I:$I=$C83)), 0) "),0.0)</f>
        <v>0</v>
      </c>
      <c r="E83" s="91">
        <f>IFERROR(__xludf.DUMMYFUNCTION("IFERROR(sum(filter('Основной эфир'!$AC:$AC, 'Основной эфир'!$B:$B=$A83,'Основной эфир'!$C:$C=$B83,'Основной эфир'!$I:$I=$C83)), 0) "),0.0)</f>
        <v>0</v>
      </c>
      <c r="F83" s="91">
        <f>IFERROR(__xludf.DUMMYFUNCTION("IFERROR(sum(filter('Основной эфир'!$O:$O, 'Основной эфир'!$B:$B=$A83,'Основной эфир'!$C:$C=$B83,'Основной эфир'!$I:$I=$C83)), 0) "),0.0)</f>
        <v>0</v>
      </c>
      <c r="G83" s="91">
        <f>IFERROR(__xludf.DUMMYFUNCTION("IFERROR(sum(filter('Основной эфир'!$Q:$Q, 'Основной эфир'!$B:$B=$A83,'Основной эфир'!$C:$C=$B83,'Основной эфир'!$I:$I=$C83)), 0) "),0.0)</f>
        <v>0</v>
      </c>
      <c r="H83" s="91">
        <f>IFERROR(__xludf.DUMMYFUNCTION("IFERROR(AVERAGE(filter('Основной эфир'!$Y:$Y, 'Основной эфир'!$B:$B=$A83,'Основной эфир'!$C:$C=$B83,'Основной эфир'!$I:$I=$C83)), 0) "),0.0)</f>
        <v>0</v>
      </c>
      <c r="I83" s="91">
        <f>IFERROR(__xludf.DUMMYFUNCTION("IFERROR(AVERAGE(filter('Основной эфир'!$AE:$AE, 'Основной эфир'!$B:$B=$A83,'Основной эфир'!$C:$C=$B83,'Основной эфир'!$I:$I=$C83)), 0) "),0.0)</f>
        <v>0</v>
      </c>
      <c r="J83" s="91">
        <f>IFERROR(__xludf.DUMMYFUNCTION("IFERROR(SUM(filter('Основной эфир'!$AL:$AL, 'Основной эфир'!$B:$B=$A83,'Основной эфир'!$C:$C=$B83,'Основной эфир'!$I:$I=$C83)), 0) "),0.0)</f>
        <v>0</v>
      </c>
      <c r="K83" s="91" t="str">
        <f>IFERROR(__xludf.DUMMYFUNCTION("IFERROR(REGEXREPLACE(unique(filter('Основной эфир'!$A:$A, 'Основной эфир'!$B:$B=$A83,'Основной эфир'!$C:$C=$B83,'Основной эфир'!$I:$I=$C83)), ""\d+"", """"),"""")"),"")</f>
        <v/>
      </c>
      <c r="L83" s="91" t="str">
        <f>IFERROR(__xludf.DUMMYFUNCTION("IFERROR(unique(filter('Основной эфир'!$F:$F, 'Основной эфир'!$B:$B=$A83,'Основной эфир'!$C:$C=$B83,'Основной эфир'!$I:$I=$C83)),"""")"),"")</f>
        <v/>
      </c>
      <c r="M83" s="92" t="str">
        <f t="shared" si="1"/>
        <v/>
      </c>
      <c r="N83" s="93">
        <f>IFERROR(__xludf.DUMMYFUNCTION("IFERROR(SWITCH(lower(join("" "",L83:M83)),""а миллионник"", 62.5,""б миллионник"", 75,""а мск"", 50, ""б мск"", 62.5, ""a остальное"", 70, ""б остальное"", 80)/100,0)"),0.0)</f>
        <v>0</v>
      </c>
      <c r="O83" s="91">
        <f t="shared" si="2"/>
        <v>0</v>
      </c>
      <c r="P83" s="91">
        <f>IFERROR(__xludf.DUMMYFUNCTION("IFERROR(sum(filter('Генеральный баннер'!$O:$O, 'Генеральный баннер'!$B:$B=$A83,'Генеральный баннер'!$C:$C=$B83,'Генеральный баннер'!$I:$I=$C83)), 0) "),0.0)</f>
        <v>0</v>
      </c>
      <c r="Q83" s="91">
        <f>IFERROR(__xludf.DUMMYFUNCTION("IFERROR(sum(filter('Генеральный баннер'!$Q:$Q, 'Генеральный баннер'!$B:$B=$A83,'Генеральный баннер'!$C:$C=$B83,'Генеральный баннер'!$I:$I=$C83)), 0) "),0.0)</f>
        <v>0</v>
      </c>
      <c r="R83" s="91">
        <f>IFERROR(__xludf.DUMMYFUNCTION("IFERROR(AVERAGE(filter('Генеральный баннер'!$AA:$AA, 'Генеральный баннер'!$B:$B=$A83,'Генеральный баннер'!$C:$C=$B83,'Генеральный баннер'!$I:$I=$C83)), 0) "),0.0)</f>
        <v>0</v>
      </c>
      <c r="S83" s="91">
        <f>IFERROR(__xludf.DUMMYFUNCTION("IFERROR(SUM(filter('Генеральный баннер'!$AH:$AH, 'Генеральный баннер'!$B:$B=$A83,'Генеральный баннер'!$C:$C=$B83,'Генеральный баннер'!$I:$I=$C83)), 0) "),0.0)</f>
        <v>0</v>
      </c>
      <c r="T83" s="91" t="str">
        <f>IFERROR(__xludf.DUMMYFUNCTION("IFERROR(REGEXREPLACE(unique(filter('Генеральный баннер'!$A:$A, 'Генеральный баннер'!$B:$B=$A83,'Генеральный баннер'!$C:$C=$B83,'Генеральный баннер'!$I:$I=$C83)), ""\d+"", """"),"""")"),"")</f>
        <v/>
      </c>
      <c r="U83" s="91" t="str">
        <f>IFERROR(__xludf.DUMMYFUNCTION("IFERROR(unique(filter('Генеральный баннер'!$F:$F, 'Генеральный баннер'!$B:$B=$A83,'Генеральный баннер'!$C:$C=$B83,'Генеральный баннер'!$I:$I=$C83)),"""")"),"")</f>
        <v/>
      </c>
      <c r="V83" s="92" t="str">
        <f t="shared" si="3"/>
        <v/>
      </c>
      <c r="W83" s="93">
        <f>IFERROR(__xludf.DUMMYFUNCTION("IFERROR(SWITCH(lower(join("" "",U83:V83)),""а миллионник"", 62.5,""б миллионник"", 75,""а мск"", 50, ""б мск"", 62.5, ""a остальное"", 70, ""б остальное"", 80)/100,0)"),0.0)</f>
        <v>0</v>
      </c>
      <c r="X83" s="91">
        <f t="shared" si="4"/>
        <v>0</v>
      </c>
    </row>
    <row r="84">
      <c r="A84" s="90"/>
      <c r="B84" s="90"/>
      <c r="C84" s="90"/>
      <c r="D84" s="91">
        <f>IFERROR(__xludf.DUMMYFUNCTION("IFERROR(sum(filter('Основной эфир'!$AA:$AA, 'Основной эфир'!$B:$B=$A84,'Основной эфир'!$C:$C=$B84,'Основной эфир'!$I:$I=$C84)), 0) "),0.0)</f>
        <v>0</v>
      </c>
      <c r="E84" s="91">
        <f>IFERROR(__xludf.DUMMYFUNCTION("IFERROR(sum(filter('Основной эфир'!$AC:$AC, 'Основной эфир'!$B:$B=$A84,'Основной эфир'!$C:$C=$B84,'Основной эфир'!$I:$I=$C84)), 0) "),0.0)</f>
        <v>0</v>
      </c>
      <c r="F84" s="91">
        <f>IFERROR(__xludf.DUMMYFUNCTION("IFERROR(sum(filter('Основной эфир'!$O:$O, 'Основной эфир'!$B:$B=$A84,'Основной эфир'!$C:$C=$B84,'Основной эфир'!$I:$I=$C84)), 0) "),0.0)</f>
        <v>0</v>
      </c>
      <c r="G84" s="91">
        <f>IFERROR(__xludf.DUMMYFUNCTION("IFERROR(sum(filter('Основной эфир'!$Q:$Q, 'Основной эфир'!$B:$B=$A84,'Основной эфир'!$C:$C=$B84,'Основной эфир'!$I:$I=$C84)), 0) "),0.0)</f>
        <v>0</v>
      </c>
      <c r="H84" s="91">
        <f>IFERROR(__xludf.DUMMYFUNCTION("IFERROR(AVERAGE(filter('Основной эфир'!$Y:$Y, 'Основной эфир'!$B:$B=$A84,'Основной эфир'!$C:$C=$B84,'Основной эфир'!$I:$I=$C84)), 0) "),0.0)</f>
        <v>0</v>
      </c>
      <c r="I84" s="91">
        <f>IFERROR(__xludf.DUMMYFUNCTION("IFERROR(AVERAGE(filter('Основной эфир'!$AE:$AE, 'Основной эфир'!$B:$B=$A84,'Основной эфир'!$C:$C=$B84,'Основной эфир'!$I:$I=$C84)), 0) "),0.0)</f>
        <v>0</v>
      </c>
      <c r="J84" s="91">
        <f>IFERROR(__xludf.DUMMYFUNCTION("IFERROR(SUM(filter('Основной эфир'!$AL:$AL, 'Основной эфир'!$B:$B=$A84,'Основной эфир'!$C:$C=$B84,'Основной эфир'!$I:$I=$C84)), 0) "),0.0)</f>
        <v>0</v>
      </c>
      <c r="K84" s="91" t="str">
        <f>IFERROR(__xludf.DUMMYFUNCTION("IFERROR(REGEXREPLACE(unique(filter('Основной эфир'!$A:$A, 'Основной эфир'!$B:$B=$A84,'Основной эфир'!$C:$C=$B84,'Основной эфир'!$I:$I=$C84)), ""\d+"", """"),"""")"),"")</f>
        <v/>
      </c>
      <c r="L84" s="91" t="str">
        <f>IFERROR(__xludf.DUMMYFUNCTION("IFERROR(unique(filter('Основной эфир'!$F:$F, 'Основной эфир'!$B:$B=$A84,'Основной эфир'!$C:$C=$B84,'Основной эфир'!$I:$I=$C84)),"""")"),"")</f>
        <v/>
      </c>
      <c r="M84" s="92" t="str">
        <f t="shared" si="1"/>
        <v/>
      </c>
      <c r="N84" s="93">
        <f>IFERROR(__xludf.DUMMYFUNCTION("IFERROR(SWITCH(lower(join("" "",L84:M84)),""а миллионник"", 62.5,""б миллионник"", 75,""а мск"", 50, ""б мск"", 62.5, ""a остальное"", 70, ""б остальное"", 80)/100,0)"),0.0)</f>
        <v>0</v>
      </c>
      <c r="O84" s="91">
        <f t="shared" si="2"/>
        <v>0</v>
      </c>
      <c r="P84" s="91">
        <f>IFERROR(__xludf.DUMMYFUNCTION("IFERROR(sum(filter('Генеральный баннер'!$O:$O, 'Генеральный баннер'!$B:$B=$A84,'Генеральный баннер'!$C:$C=$B84,'Генеральный баннер'!$I:$I=$C84)), 0) "),0.0)</f>
        <v>0</v>
      </c>
      <c r="Q84" s="91">
        <f>IFERROR(__xludf.DUMMYFUNCTION("IFERROR(sum(filter('Генеральный баннер'!$Q:$Q, 'Генеральный баннер'!$B:$B=$A84,'Генеральный баннер'!$C:$C=$B84,'Генеральный баннер'!$I:$I=$C84)), 0) "),0.0)</f>
        <v>0</v>
      </c>
      <c r="R84" s="91">
        <f>IFERROR(__xludf.DUMMYFUNCTION("IFERROR(AVERAGE(filter('Генеральный баннер'!$AA:$AA, 'Генеральный баннер'!$B:$B=$A84,'Генеральный баннер'!$C:$C=$B84,'Генеральный баннер'!$I:$I=$C84)), 0) "),0.0)</f>
        <v>0</v>
      </c>
      <c r="S84" s="91">
        <f>IFERROR(__xludf.DUMMYFUNCTION("IFERROR(SUM(filter('Генеральный баннер'!$AH:$AH, 'Генеральный баннер'!$B:$B=$A84,'Генеральный баннер'!$C:$C=$B84,'Генеральный баннер'!$I:$I=$C84)), 0) "),0.0)</f>
        <v>0</v>
      </c>
      <c r="T84" s="91" t="str">
        <f>IFERROR(__xludf.DUMMYFUNCTION("IFERROR(REGEXREPLACE(unique(filter('Генеральный баннер'!$A:$A, 'Генеральный баннер'!$B:$B=$A84,'Генеральный баннер'!$C:$C=$B84,'Генеральный баннер'!$I:$I=$C84)), ""\d+"", """"),"""")"),"")</f>
        <v/>
      </c>
      <c r="U84" s="91" t="str">
        <f>IFERROR(__xludf.DUMMYFUNCTION("IFERROR(unique(filter('Генеральный баннер'!$F:$F, 'Генеральный баннер'!$B:$B=$A84,'Генеральный баннер'!$C:$C=$B84,'Генеральный баннер'!$I:$I=$C84)),"""")"),"")</f>
        <v/>
      </c>
      <c r="V84" s="92" t="str">
        <f t="shared" si="3"/>
        <v/>
      </c>
      <c r="W84" s="93">
        <f>IFERROR(__xludf.DUMMYFUNCTION("IFERROR(SWITCH(lower(join("" "",U84:V84)),""а миллионник"", 62.5,""б миллионник"", 75,""а мск"", 50, ""б мск"", 62.5, ""a остальное"", 70, ""б остальное"", 80)/100,0)"),0.0)</f>
        <v>0</v>
      </c>
      <c r="X84" s="91">
        <f t="shared" si="4"/>
        <v>0</v>
      </c>
    </row>
    <row r="85">
      <c r="A85" s="90"/>
      <c r="B85" s="90"/>
      <c r="C85" s="90"/>
      <c r="D85" s="91">
        <f>IFERROR(__xludf.DUMMYFUNCTION("IFERROR(sum(filter('Основной эфир'!$AA:$AA, 'Основной эфир'!$B:$B=$A85,'Основной эфир'!$C:$C=$B85,'Основной эфир'!$I:$I=$C85)), 0) "),0.0)</f>
        <v>0</v>
      </c>
      <c r="E85" s="91">
        <f>IFERROR(__xludf.DUMMYFUNCTION("IFERROR(sum(filter('Основной эфир'!$AC:$AC, 'Основной эфир'!$B:$B=$A85,'Основной эфир'!$C:$C=$B85,'Основной эфир'!$I:$I=$C85)), 0) "),0.0)</f>
        <v>0</v>
      </c>
      <c r="F85" s="91">
        <f>IFERROR(__xludf.DUMMYFUNCTION("IFERROR(sum(filter('Основной эфир'!$O:$O, 'Основной эфир'!$B:$B=$A85,'Основной эфир'!$C:$C=$B85,'Основной эфир'!$I:$I=$C85)), 0) "),0.0)</f>
        <v>0</v>
      </c>
      <c r="G85" s="91">
        <f>IFERROR(__xludf.DUMMYFUNCTION("IFERROR(sum(filter('Основной эфир'!$Q:$Q, 'Основной эфир'!$B:$B=$A85,'Основной эфир'!$C:$C=$B85,'Основной эфир'!$I:$I=$C85)), 0) "),0.0)</f>
        <v>0</v>
      </c>
      <c r="H85" s="91">
        <f>IFERROR(__xludf.DUMMYFUNCTION("IFERROR(AVERAGE(filter('Основной эфир'!$Y:$Y, 'Основной эфир'!$B:$B=$A85,'Основной эфир'!$C:$C=$B85,'Основной эфир'!$I:$I=$C85)), 0) "),0.0)</f>
        <v>0</v>
      </c>
      <c r="I85" s="91">
        <f>IFERROR(__xludf.DUMMYFUNCTION("IFERROR(AVERAGE(filter('Основной эфир'!$AE:$AE, 'Основной эфир'!$B:$B=$A85,'Основной эфир'!$C:$C=$B85,'Основной эфир'!$I:$I=$C85)), 0) "),0.0)</f>
        <v>0</v>
      </c>
      <c r="J85" s="91">
        <f>IFERROR(__xludf.DUMMYFUNCTION("IFERROR(SUM(filter('Основной эфир'!$AL:$AL, 'Основной эфир'!$B:$B=$A85,'Основной эфир'!$C:$C=$B85,'Основной эфир'!$I:$I=$C85)), 0) "),0.0)</f>
        <v>0</v>
      </c>
      <c r="K85" s="91" t="str">
        <f>IFERROR(__xludf.DUMMYFUNCTION("IFERROR(REGEXREPLACE(unique(filter('Основной эфир'!$A:$A, 'Основной эфир'!$B:$B=$A85,'Основной эфир'!$C:$C=$B85,'Основной эфир'!$I:$I=$C85)), ""\d+"", """"),"""")"),"")</f>
        <v/>
      </c>
      <c r="L85" s="91" t="str">
        <f>IFERROR(__xludf.DUMMYFUNCTION("IFERROR(unique(filter('Основной эфир'!$F:$F, 'Основной эфир'!$B:$B=$A85,'Основной эфир'!$C:$C=$B85,'Основной эфир'!$I:$I=$C85)),"""")"),"")</f>
        <v/>
      </c>
      <c r="M85" s="92" t="str">
        <f t="shared" si="1"/>
        <v/>
      </c>
      <c r="N85" s="93">
        <f>IFERROR(__xludf.DUMMYFUNCTION("IFERROR(SWITCH(lower(join("" "",L85:M85)),""а миллионник"", 62.5,""б миллионник"", 75,""а мск"", 50, ""б мск"", 62.5, ""a остальное"", 70, ""б остальное"", 80)/100,0)"),0.0)</f>
        <v>0</v>
      </c>
      <c r="O85" s="91">
        <f t="shared" si="2"/>
        <v>0</v>
      </c>
      <c r="P85" s="91">
        <f>IFERROR(__xludf.DUMMYFUNCTION("IFERROR(sum(filter('Генеральный баннер'!$O:$O, 'Генеральный баннер'!$B:$B=$A85,'Генеральный баннер'!$C:$C=$B85,'Генеральный баннер'!$I:$I=$C85)), 0) "),0.0)</f>
        <v>0</v>
      </c>
      <c r="Q85" s="91">
        <f>IFERROR(__xludf.DUMMYFUNCTION("IFERROR(sum(filter('Генеральный баннер'!$Q:$Q, 'Генеральный баннер'!$B:$B=$A85,'Генеральный баннер'!$C:$C=$B85,'Генеральный баннер'!$I:$I=$C85)), 0) "),0.0)</f>
        <v>0</v>
      </c>
      <c r="R85" s="91">
        <f>IFERROR(__xludf.DUMMYFUNCTION("IFERROR(AVERAGE(filter('Генеральный баннер'!$AA:$AA, 'Генеральный баннер'!$B:$B=$A85,'Генеральный баннер'!$C:$C=$B85,'Генеральный баннер'!$I:$I=$C85)), 0) "),0.0)</f>
        <v>0</v>
      </c>
      <c r="S85" s="91">
        <f>IFERROR(__xludf.DUMMYFUNCTION("IFERROR(SUM(filter('Генеральный баннер'!$AH:$AH, 'Генеральный баннер'!$B:$B=$A85,'Генеральный баннер'!$C:$C=$B85,'Генеральный баннер'!$I:$I=$C85)), 0) "),0.0)</f>
        <v>0</v>
      </c>
      <c r="T85" s="91" t="str">
        <f>IFERROR(__xludf.DUMMYFUNCTION("IFERROR(REGEXREPLACE(unique(filter('Генеральный баннер'!$A:$A, 'Генеральный баннер'!$B:$B=$A85,'Генеральный баннер'!$C:$C=$B85,'Генеральный баннер'!$I:$I=$C85)), ""\d+"", """"),"""")"),"")</f>
        <v/>
      </c>
      <c r="U85" s="91" t="str">
        <f>IFERROR(__xludf.DUMMYFUNCTION("IFERROR(unique(filter('Генеральный баннер'!$F:$F, 'Генеральный баннер'!$B:$B=$A85,'Генеральный баннер'!$C:$C=$B85,'Генеральный баннер'!$I:$I=$C85)),"""")"),"")</f>
        <v/>
      </c>
      <c r="V85" s="92" t="str">
        <f t="shared" si="3"/>
        <v/>
      </c>
      <c r="W85" s="93">
        <f>IFERROR(__xludf.DUMMYFUNCTION("IFERROR(SWITCH(lower(join("" "",U85:V85)),""а миллионник"", 62.5,""б миллионник"", 75,""а мск"", 50, ""б мск"", 62.5, ""a остальное"", 70, ""б остальное"", 80)/100,0)"),0.0)</f>
        <v>0</v>
      </c>
      <c r="X85" s="91">
        <f t="shared" si="4"/>
        <v>0</v>
      </c>
    </row>
    <row r="86">
      <c r="A86" s="90"/>
      <c r="B86" s="90"/>
      <c r="C86" s="90"/>
      <c r="D86" s="91">
        <f>IFERROR(__xludf.DUMMYFUNCTION("IFERROR(sum(filter('Основной эфир'!$AA:$AA, 'Основной эфир'!$B:$B=$A86,'Основной эфир'!$C:$C=$B86,'Основной эфир'!$I:$I=$C86)), 0) "),0.0)</f>
        <v>0</v>
      </c>
      <c r="E86" s="91">
        <f>IFERROR(__xludf.DUMMYFUNCTION("IFERROR(sum(filter('Основной эфир'!$AC:$AC, 'Основной эфир'!$B:$B=$A86,'Основной эфир'!$C:$C=$B86,'Основной эфир'!$I:$I=$C86)), 0) "),0.0)</f>
        <v>0</v>
      </c>
      <c r="F86" s="91">
        <f>IFERROR(__xludf.DUMMYFUNCTION("IFERROR(sum(filter('Основной эфир'!$O:$O, 'Основной эфир'!$B:$B=$A86,'Основной эфир'!$C:$C=$B86,'Основной эфир'!$I:$I=$C86)), 0) "),0.0)</f>
        <v>0</v>
      </c>
      <c r="G86" s="91">
        <f>IFERROR(__xludf.DUMMYFUNCTION("IFERROR(sum(filter('Основной эфир'!$Q:$Q, 'Основной эфир'!$B:$B=$A86,'Основной эфир'!$C:$C=$B86,'Основной эфир'!$I:$I=$C86)), 0) "),0.0)</f>
        <v>0</v>
      </c>
      <c r="H86" s="91">
        <f>IFERROR(__xludf.DUMMYFUNCTION("IFERROR(AVERAGE(filter('Основной эфир'!$Y:$Y, 'Основной эфир'!$B:$B=$A86,'Основной эфир'!$C:$C=$B86,'Основной эфир'!$I:$I=$C86)), 0) "),0.0)</f>
        <v>0</v>
      </c>
      <c r="I86" s="91">
        <f>IFERROR(__xludf.DUMMYFUNCTION("IFERROR(AVERAGE(filter('Основной эфир'!$AE:$AE, 'Основной эфир'!$B:$B=$A86,'Основной эфир'!$C:$C=$B86,'Основной эфир'!$I:$I=$C86)), 0) "),0.0)</f>
        <v>0</v>
      </c>
      <c r="J86" s="91">
        <f>IFERROR(__xludf.DUMMYFUNCTION("IFERROR(SUM(filter('Основной эфир'!$AL:$AL, 'Основной эфир'!$B:$B=$A86,'Основной эфир'!$C:$C=$B86,'Основной эфир'!$I:$I=$C86)), 0) "),0.0)</f>
        <v>0</v>
      </c>
      <c r="K86" s="91" t="str">
        <f>IFERROR(__xludf.DUMMYFUNCTION("IFERROR(REGEXREPLACE(unique(filter('Основной эфир'!$A:$A, 'Основной эфир'!$B:$B=$A86,'Основной эфир'!$C:$C=$B86,'Основной эфир'!$I:$I=$C86)), ""\d+"", """"),"""")"),"")</f>
        <v/>
      </c>
      <c r="L86" s="91" t="str">
        <f>IFERROR(__xludf.DUMMYFUNCTION("IFERROR(unique(filter('Основной эфир'!$F:$F, 'Основной эфир'!$B:$B=$A86,'Основной эфир'!$C:$C=$B86,'Основной эфир'!$I:$I=$C86)),"""")"),"")</f>
        <v/>
      </c>
      <c r="M86" s="92" t="str">
        <f t="shared" si="1"/>
        <v/>
      </c>
      <c r="N86" s="93">
        <f>IFERROR(__xludf.DUMMYFUNCTION("IFERROR(SWITCH(lower(join("" "",L86:M86)),""а миллионник"", 62.5,""б миллионник"", 75,""а мск"", 50, ""б мск"", 62.5, ""a остальное"", 70, ""б остальное"", 80)/100,0)"),0.0)</f>
        <v>0</v>
      </c>
      <c r="O86" s="91">
        <f t="shared" si="2"/>
        <v>0</v>
      </c>
      <c r="P86" s="91">
        <f>IFERROR(__xludf.DUMMYFUNCTION("IFERROR(sum(filter('Генеральный баннер'!$O:$O, 'Генеральный баннер'!$B:$B=$A86,'Генеральный баннер'!$C:$C=$B86,'Генеральный баннер'!$I:$I=$C86)), 0) "),0.0)</f>
        <v>0</v>
      </c>
      <c r="Q86" s="91">
        <f>IFERROR(__xludf.DUMMYFUNCTION("IFERROR(sum(filter('Генеральный баннер'!$Q:$Q, 'Генеральный баннер'!$B:$B=$A86,'Генеральный баннер'!$C:$C=$B86,'Генеральный баннер'!$I:$I=$C86)), 0) "),0.0)</f>
        <v>0</v>
      </c>
      <c r="R86" s="91">
        <f>IFERROR(__xludf.DUMMYFUNCTION("IFERROR(AVERAGE(filter('Генеральный баннер'!$AA:$AA, 'Генеральный баннер'!$B:$B=$A86,'Генеральный баннер'!$C:$C=$B86,'Генеральный баннер'!$I:$I=$C86)), 0) "),0.0)</f>
        <v>0</v>
      </c>
      <c r="S86" s="91">
        <f>IFERROR(__xludf.DUMMYFUNCTION("IFERROR(SUM(filter('Генеральный баннер'!$AH:$AH, 'Генеральный баннер'!$B:$B=$A86,'Генеральный баннер'!$C:$C=$B86,'Генеральный баннер'!$I:$I=$C86)), 0) "),0.0)</f>
        <v>0</v>
      </c>
      <c r="T86" s="91" t="str">
        <f>IFERROR(__xludf.DUMMYFUNCTION("IFERROR(REGEXREPLACE(unique(filter('Генеральный баннер'!$A:$A, 'Генеральный баннер'!$B:$B=$A86,'Генеральный баннер'!$C:$C=$B86,'Генеральный баннер'!$I:$I=$C86)), ""\d+"", """"),"""")"),"")</f>
        <v/>
      </c>
      <c r="U86" s="91" t="str">
        <f>IFERROR(__xludf.DUMMYFUNCTION("IFERROR(unique(filter('Генеральный баннер'!$F:$F, 'Генеральный баннер'!$B:$B=$A86,'Генеральный баннер'!$C:$C=$B86,'Генеральный баннер'!$I:$I=$C86)),"""")"),"")</f>
        <v/>
      </c>
      <c r="V86" s="92" t="str">
        <f t="shared" si="3"/>
        <v/>
      </c>
      <c r="W86" s="93">
        <f>IFERROR(__xludf.DUMMYFUNCTION("IFERROR(SWITCH(lower(join("" "",U86:V86)),""а миллионник"", 62.5,""б миллионник"", 75,""а мск"", 50, ""б мск"", 62.5, ""a остальное"", 70, ""б остальное"", 80)/100,0)"),0.0)</f>
        <v>0</v>
      </c>
      <c r="X86" s="91">
        <f t="shared" si="4"/>
        <v>0</v>
      </c>
    </row>
    <row r="87">
      <c r="A87" s="90"/>
      <c r="B87" s="90"/>
      <c r="C87" s="90"/>
      <c r="D87" s="91">
        <f>IFERROR(__xludf.DUMMYFUNCTION("IFERROR(sum(filter('Основной эфир'!$AA:$AA, 'Основной эфир'!$B:$B=$A87,'Основной эфир'!$C:$C=$B87,'Основной эфир'!$I:$I=$C87)), 0) "),0.0)</f>
        <v>0</v>
      </c>
      <c r="E87" s="91">
        <f>IFERROR(__xludf.DUMMYFUNCTION("IFERROR(sum(filter('Основной эфир'!$AC:$AC, 'Основной эфир'!$B:$B=$A87,'Основной эфир'!$C:$C=$B87,'Основной эфир'!$I:$I=$C87)), 0) "),0.0)</f>
        <v>0</v>
      </c>
      <c r="F87" s="91">
        <f>IFERROR(__xludf.DUMMYFUNCTION("IFERROR(sum(filter('Основной эфир'!$O:$O, 'Основной эфир'!$B:$B=$A87,'Основной эфир'!$C:$C=$B87,'Основной эфир'!$I:$I=$C87)), 0) "),0.0)</f>
        <v>0</v>
      </c>
      <c r="G87" s="91">
        <f>IFERROR(__xludf.DUMMYFUNCTION("IFERROR(sum(filter('Основной эфир'!$Q:$Q, 'Основной эфир'!$B:$B=$A87,'Основной эфир'!$C:$C=$B87,'Основной эфир'!$I:$I=$C87)), 0) "),0.0)</f>
        <v>0</v>
      </c>
      <c r="H87" s="91">
        <f>IFERROR(__xludf.DUMMYFUNCTION("IFERROR(AVERAGE(filter('Основной эфир'!$Y:$Y, 'Основной эфир'!$B:$B=$A87,'Основной эфир'!$C:$C=$B87,'Основной эфир'!$I:$I=$C87)), 0) "),0.0)</f>
        <v>0</v>
      </c>
      <c r="I87" s="91">
        <f>IFERROR(__xludf.DUMMYFUNCTION("IFERROR(AVERAGE(filter('Основной эфир'!$AE:$AE, 'Основной эфир'!$B:$B=$A87,'Основной эфир'!$C:$C=$B87,'Основной эфир'!$I:$I=$C87)), 0) "),0.0)</f>
        <v>0</v>
      </c>
      <c r="J87" s="91">
        <f>IFERROR(__xludf.DUMMYFUNCTION("IFERROR(SUM(filter('Основной эфир'!$AL:$AL, 'Основной эфир'!$B:$B=$A87,'Основной эфир'!$C:$C=$B87,'Основной эфир'!$I:$I=$C87)), 0) "),0.0)</f>
        <v>0</v>
      </c>
      <c r="K87" s="91" t="str">
        <f>IFERROR(__xludf.DUMMYFUNCTION("IFERROR(REGEXREPLACE(unique(filter('Основной эфир'!$A:$A, 'Основной эфир'!$B:$B=$A87,'Основной эфир'!$C:$C=$B87,'Основной эфир'!$I:$I=$C87)), ""\d+"", """"),"""")"),"")</f>
        <v/>
      </c>
      <c r="L87" s="91" t="str">
        <f>IFERROR(__xludf.DUMMYFUNCTION("IFERROR(unique(filter('Основной эфир'!$F:$F, 'Основной эфир'!$B:$B=$A87,'Основной эфир'!$C:$C=$B87,'Основной эфир'!$I:$I=$C87)),"""")"),"")</f>
        <v/>
      </c>
      <c r="M87" s="92" t="str">
        <f t="shared" si="1"/>
        <v/>
      </c>
      <c r="N87" s="93">
        <f>IFERROR(__xludf.DUMMYFUNCTION("IFERROR(SWITCH(lower(join("" "",L87:M87)),""а миллионник"", 62.5,""б миллионник"", 75,""а мск"", 50, ""б мск"", 62.5, ""a остальное"", 70, ""б остальное"", 80)/100,0)"),0.0)</f>
        <v>0</v>
      </c>
      <c r="O87" s="91">
        <f t="shared" si="2"/>
        <v>0</v>
      </c>
      <c r="P87" s="91">
        <f>IFERROR(__xludf.DUMMYFUNCTION("IFERROR(sum(filter('Генеральный баннер'!$O:$O, 'Генеральный баннер'!$B:$B=$A87,'Генеральный баннер'!$C:$C=$B87,'Генеральный баннер'!$I:$I=$C87)), 0) "),0.0)</f>
        <v>0</v>
      </c>
      <c r="Q87" s="91">
        <f>IFERROR(__xludf.DUMMYFUNCTION("IFERROR(sum(filter('Генеральный баннер'!$Q:$Q, 'Генеральный баннер'!$B:$B=$A87,'Генеральный баннер'!$C:$C=$B87,'Генеральный баннер'!$I:$I=$C87)), 0) "),0.0)</f>
        <v>0</v>
      </c>
      <c r="R87" s="91">
        <f>IFERROR(__xludf.DUMMYFUNCTION("IFERROR(AVERAGE(filter('Генеральный баннер'!$AA:$AA, 'Генеральный баннер'!$B:$B=$A87,'Генеральный баннер'!$C:$C=$B87,'Генеральный баннер'!$I:$I=$C87)), 0) "),0.0)</f>
        <v>0</v>
      </c>
      <c r="S87" s="91">
        <f>IFERROR(__xludf.DUMMYFUNCTION("IFERROR(SUM(filter('Генеральный баннер'!$AH:$AH, 'Генеральный баннер'!$B:$B=$A87,'Генеральный баннер'!$C:$C=$B87,'Генеральный баннер'!$I:$I=$C87)), 0) "),0.0)</f>
        <v>0</v>
      </c>
      <c r="T87" s="91" t="str">
        <f>IFERROR(__xludf.DUMMYFUNCTION("IFERROR(REGEXREPLACE(unique(filter('Генеральный баннер'!$A:$A, 'Генеральный баннер'!$B:$B=$A87,'Генеральный баннер'!$C:$C=$B87,'Генеральный баннер'!$I:$I=$C87)), ""\d+"", """"),"""")"),"")</f>
        <v/>
      </c>
      <c r="U87" s="91" t="str">
        <f>IFERROR(__xludf.DUMMYFUNCTION("IFERROR(unique(filter('Генеральный баннер'!$F:$F, 'Генеральный баннер'!$B:$B=$A87,'Генеральный баннер'!$C:$C=$B87,'Генеральный баннер'!$I:$I=$C87)),"""")"),"")</f>
        <v/>
      </c>
      <c r="V87" s="92" t="str">
        <f t="shared" si="3"/>
        <v/>
      </c>
      <c r="W87" s="93">
        <f>IFERROR(__xludf.DUMMYFUNCTION("IFERROR(SWITCH(lower(join("" "",U87:V87)),""а миллионник"", 62.5,""б миллионник"", 75,""а мск"", 50, ""б мск"", 62.5, ""a остальное"", 70, ""б остальное"", 80)/100,0)"),0.0)</f>
        <v>0</v>
      </c>
      <c r="X87" s="91">
        <f t="shared" si="4"/>
        <v>0</v>
      </c>
    </row>
    <row r="88">
      <c r="A88" s="90"/>
      <c r="B88" s="90"/>
      <c r="C88" s="90"/>
      <c r="D88" s="91">
        <f>IFERROR(__xludf.DUMMYFUNCTION("IFERROR(sum(filter('Основной эфир'!$AA:$AA, 'Основной эфир'!$B:$B=$A88,'Основной эфир'!$C:$C=$B88,'Основной эфир'!$I:$I=$C88)), 0) "),0.0)</f>
        <v>0</v>
      </c>
      <c r="E88" s="91">
        <f>IFERROR(__xludf.DUMMYFUNCTION("IFERROR(sum(filter('Основной эфир'!$AC:$AC, 'Основной эфир'!$B:$B=$A88,'Основной эфир'!$C:$C=$B88,'Основной эфир'!$I:$I=$C88)), 0) "),0.0)</f>
        <v>0</v>
      </c>
      <c r="F88" s="91">
        <f>IFERROR(__xludf.DUMMYFUNCTION("IFERROR(sum(filter('Основной эфир'!$O:$O, 'Основной эфир'!$B:$B=$A88,'Основной эфир'!$C:$C=$B88,'Основной эфир'!$I:$I=$C88)), 0) "),0.0)</f>
        <v>0</v>
      </c>
      <c r="G88" s="91">
        <f>IFERROR(__xludf.DUMMYFUNCTION("IFERROR(sum(filter('Основной эфир'!$Q:$Q, 'Основной эфир'!$B:$B=$A88,'Основной эфир'!$C:$C=$B88,'Основной эфир'!$I:$I=$C88)), 0) "),0.0)</f>
        <v>0</v>
      </c>
      <c r="H88" s="91">
        <f>IFERROR(__xludf.DUMMYFUNCTION("IFERROR(AVERAGE(filter('Основной эфир'!$Y:$Y, 'Основной эфир'!$B:$B=$A88,'Основной эфир'!$C:$C=$B88,'Основной эфир'!$I:$I=$C88)), 0) "),0.0)</f>
        <v>0</v>
      </c>
      <c r="I88" s="91">
        <f>IFERROR(__xludf.DUMMYFUNCTION("IFERROR(AVERAGE(filter('Основной эфир'!$AE:$AE, 'Основной эфир'!$B:$B=$A88,'Основной эфир'!$C:$C=$B88,'Основной эфир'!$I:$I=$C88)), 0) "),0.0)</f>
        <v>0</v>
      </c>
      <c r="J88" s="91">
        <f>IFERROR(__xludf.DUMMYFUNCTION("IFERROR(SUM(filter('Основной эфир'!$AL:$AL, 'Основной эфир'!$B:$B=$A88,'Основной эфир'!$C:$C=$B88,'Основной эфир'!$I:$I=$C88)), 0) "),0.0)</f>
        <v>0</v>
      </c>
      <c r="K88" s="91" t="str">
        <f>IFERROR(__xludf.DUMMYFUNCTION("IFERROR(REGEXREPLACE(unique(filter('Основной эфир'!$A:$A, 'Основной эфир'!$B:$B=$A88,'Основной эфир'!$C:$C=$B88,'Основной эфир'!$I:$I=$C88)), ""\d+"", """"),"""")"),"")</f>
        <v/>
      </c>
      <c r="L88" s="91" t="str">
        <f>IFERROR(__xludf.DUMMYFUNCTION("IFERROR(unique(filter('Основной эфир'!$F:$F, 'Основной эфир'!$B:$B=$A88,'Основной эфир'!$C:$C=$B88,'Основной эфир'!$I:$I=$C88)),"""")"),"")</f>
        <v/>
      </c>
      <c r="M88" s="92" t="str">
        <f t="shared" si="1"/>
        <v/>
      </c>
      <c r="N88" s="93">
        <f>IFERROR(__xludf.DUMMYFUNCTION("IFERROR(SWITCH(lower(join("" "",L88:M88)),""а миллионник"", 62.5,""б миллионник"", 75,""а мск"", 50, ""б мск"", 62.5, ""a остальное"", 70, ""б остальное"", 80)/100,0)"),0.0)</f>
        <v>0</v>
      </c>
      <c r="O88" s="91">
        <f t="shared" si="2"/>
        <v>0</v>
      </c>
      <c r="P88" s="91">
        <f>IFERROR(__xludf.DUMMYFUNCTION("IFERROR(sum(filter('Генеральный баннер'!$O:$O, 'Генеральный баннер'!$B:$B=$A88,'Генеральный баннер'!$C:$C=$B88,'Генеральный баннер'!$I:$I=$C88)), 0) "),0.0)</f>
        <v>0</v>
      </c>
      <c r="Q88" s="91">
        <f>IFERROR(__xludf.DUMMYFUNCTION("IFERROR(sum(filter('Генеральный баннер'!$Q:$Q, 'Генеральный баннер'!$B:$B=$A88,'Генеральный баннер'!$C:$C=$B88,'Генеральный баннер'!$I:$I=$C88)), 0) "),0.0)</f>
        <v>0</v>
      </c>
      <c r="R88" s="91">
        <f>IFERROR(__xludf.DUMMYFUNCTION("IFERROR(AVERAGE(filter('Генеральный баннер'!$AA:$AA, 'Генеральный баннер'!$B:$B=$A88,'Генеральный баннер'!$C:$C=$B88,'Генеральный баннер'!$I:$I=$C88)), 0) "),0.0)</f>
        <v>0</v>
      </c>
      <c r="S88" s="91">
        <f>IFERROR(__xludf.DUMMYFUNCTION("IFERROR(SUM(filter('Генеральный баннер'!$AH:$AH, 'Генеральный баннер'!$B:$B=$A88,'Генеральный баннер'!$C:$C=$B88,'Генеральный баннер'!$I:$I=$C88)), 0) "),0.0)</f>
        <v>0</v>
      </c>
      <c r="T88" s="91" t="str">
        <f>IFERROR(__xludf.DUMMYFUNCTION("IFERROR(REGEXREPLACE(unique(filter('Генеральный баннер'!$A:$A, 'Генеральный баннер'!$B:$B=$A88,'Генеральный баннер'!$C:$C=$B88,'Генеральный баннер'!$I:$I=$C88)), ""\d+"", """"),"""")"),"")</f>
        <v/>
      </c>
      <c r="U88" s="91" t="str">
        <f>IFERROR(__xludf.DUMMYFUNCTION("IFERROR(unique(filter('Генеральный баннер'!$F:$F, 'Генеральный баннер'!$B:$B=$A88,'Генеральный баннер'!$C:$C=$B88,'Генеральный баннер'!$I:$I=$C88)),"""")"),"")</f>
        <v/>
      </c>
      <c r="V88" s="92" t="str">
        <f t="shared" si="3"/>
        <v/>
      </c>
      <c r="W88" s="93">
        <f>IFERROR(__xludf.DUMMYFUNCTION("IFERROR(SWITCH(lower(join("" "",U88:V88)),""а миллионник"", 62.5,""б миллионник"", 75,""а мск"", 50, ""б мск"", 62.5, ""a остальное"", 70, ""б остальное"", 80)/100,0)"),0.0)</f>
        <v>0</v>
      </c>
      <c r="X88" s="91">
        <f t="shared" si="4"/>
        <v>0</v>
      </c>
    </row>
    <row r="89">
      <c r="A89" s="90"/>
      <c r="B89" s="90"/>
      <c r="C89" s="90"/>
      <c r="D89" s="91">
        <f>IFERROR(__xludf.DUMMYFUNCTION("IFERROR(sum(filter('Основной эфир'!$AA:$AA, 'Основной эфир'!$B:$B=$A89,'Основной эфир'!$C:$C=$B89,'Основной эфир'!$I:$I=$C89)), 0) "),0.0)</f>
        <v>0</v>
      </c>
      <c r="E89" s="91">
        <f>IFERROR(__xludf.DUMMYFUNCTION("IFERROR(sum(filter('Основной эфир'!$AC:$AC, 'Основной эфир'!$B:$B=$A89,'Основной эфир'!$C:$C=$B89,'Основной эфир'!$I:$I=$C89)), 0) "),0.0)</f>
        <v>0</v>
      </c>
      <c r="F89" s="91">
        <f>IFERROR(__xludf.DUMMYFUNCTION("IFERROR(sum(filter('Основной эфир'!$O:$O, 'Основной эфир'!$B:$B=$A89,'Основной эфир'!$C:$C=$B89,'Основной эфир'!$I:$I=$C89)), 0) "),0.0)</f>
        <v>0</v>
      </c>
      <c r="G89" s="91">
        <f>IFERROR(__xludf.DUMMYFUNCTION("IFERROR(sum(filter('Основной эфир'!$Q:$Q, 'Основной эфир'!$B:$B=$A89,'Основной эфир'!$C:$C=$B89,'Основной эфир'!$I:$I=$C89)), 0) "),0.0)</f>
        <v>0</v>
      </c>
      <c r="H89" s="91">
        <f>IFERROR(__xludf.DUMMYFUNCTION("IFERROR(AVERAGE(filter('Основной эфир'!$Y:$Y, 'Основной эфир'!$B:$B=$A89,'Основной эфир'!$C:$C=$B89,'Основной эфир'!$I:$I=$C89)), 0) "),0.0)</f>
        <v>0</v>
      </c>
      <c r="I89" s="91">
        <f>IFERROR(__xludf.DUMMYFUNCTION("IFERROR(AVERAGE(filter('Основной эфир'!$AE:$AE, 'Основной эфир'!$B:$B=$A89,'Основной эфир'!$C:$C=$B89,'Основной эфир'!$I:$I=$C89)), 0) "),0.0)</f>
        <v>0</v>
      </c>
      <c r="J89" s="91">
        <f>IFERROR(__xludf.DUMMYFUNCTION("IFERROR(SUM(filter('Основной эфир'!$AL:$AL, 'Основной эфир'!$B:$B=$A89,'Основной эфир'!$C:$C=$B89,'Основной эфир'!$I:$I=$C89)), 0) "),0.0)</f>
        <v>0</v>
      </c>
      <c r="K89" s="91" t="str">
        <f>IFERROR(__xludf.DUMMYFUNCTION("IFERROR(REGEXREPLACE(unique(filter('Основной эфир'!$A:$A, 'Основной эфир'!$B:$B=$A89,'Основной эфир'!$C:$C=$B89,'Основной эфир'!$I:$I=$C89)), ""\d+"", """"),"""")"),"")</f>
        <v/>
      </c>
      <c r="L89" s="91" t="str">
        <f>IFERROR(__xludf.DUMMYFUNCTION("IFERROR(unique(filter('Основной эфир'!$F:$F, 'Основной эфир'!$B:$B=$A89,'Основной эфир'!$C:$C=$B89,'Основной эфир'!$I:$I=$C89)),"""")"),"")</f>
        <v/>
      </c>
      <c r="M89" s="92" t="str">
        <f t="shared" si="1"/>
        <v/>
      </c>
      <c r="N89" s="93">
        <f>IFERROR(__xludf.DUMMYFUNCTION("IFERROR(SWITCH(lower(join("" "",L89:M89)),""а миллионник"", 62.5,""б миллионник"", 75,""а мск"", 50, ""б мск"", 62.5, ""a остальное"", 70, ""б остальное"", 80)/100,0)"),0.0)</f>
        <v>0</v>
      </c>
      <c r="O89" s="91">
        <f t="shared" si="2"/>
        <v>0</v>
      </c>
      <c r="P89" s="91">
        <f>IFERROR(__xludf.DUMMYFUNCTION("IFERROR(sum(filter('Генеральный баннер'!$O:$O, 'Генеральный баннер'!$B:$B=$A89,'Генеральный баннер'!$C:$C=$B89,'Генеральный баннер'!$I:$I=$C89)), 0) "),0.0)</f>
        <v>0</v>
      </c>
      <c r="Q89" s="91">
        <f>IFERROR(__xludf.DUMMYFUNCTION("IFERROR(sum(filter('Генеральный баннер'!$Q:$Q, 'Генеральный баннер'!$B:$B=$A89,'Генеральный баннер'!$C:$C=$B89,'Генеральный баннер'!$I:$I=$C89)), 0) "),0.0)</f>
        <v>0</v>
      </c>
      <c r="R89" s="91">
        <f>IFERROR(__xludf.DUMMYFUNCTION("IFERROR(AVERAGE(filter('Генеральный баннер'!$AA:$AA, 'Генеральный баннер'!$B:$B=$A89,'Генеральный баннер'!$C:$C=$B89,'Генеральный баннер'!$I:$I=$C89)), 0) "),0.0)</f>
        <v>0</v>
      </c>
      <c r="S89" s="91">
        <f>IFERROR(__xludf.DUMMYFUNCTION("IFERROR(SUM(filter('Генеральный баннер'!$AH:$AH, 'Генеральный баннер'!$B:$B=$A89,'Генеральный баннер'!$C:$C=$B89,'Генеральный баннер'!$I:$I=$C89)), 0) "),0.0)</f>
        <v>0</v>
      </c>
      <c r="T89" s="91" t="str">
        <f>IFERROR(__xludf.DUMMYFUNCTION("IFERROR(REGEXREPLACE(unique(filter('Генеральный баннер'!$A:$A, 'Генеральный баннер'!$B:$B=$A89,'Генеральный баннер'!$C:$C=$B89,'Генеральный баннер'!$I:$I=$C89)), ""\d+"", """"),"""")"),"")</f>
        <v/>
      </c>
      <c r="U89" s="91" t="str">
        <f>IFERROR(__xludf.DUMMYFUNCTION("IFERROR(unique(filter('Генеральный баннер'!$F:$F, 'Генеральный баннер'!$B:$B=$A89,'Генеральный баннер'!$C:$C=$B89,'Генеральный баннер'!$I:$I=$C89)),"""")"),"")</f>
        <v/>
      </c>
      <c r="V89" s="92" t="str">
        <f t="shared" si="3"/>
        <v/>
      </c>
      <c r="W89" s="93">
        <f>IFERROR(__xludf.DUMMYFUNCTION("IFERROR(SWITCH(lower(join("" "",U89:V89)),""а миллионник"", 62.5,""б миллионник"", 75,""а мск"", 50, ""б мск"", 62.5, ""a остальное"", 70, ""б остальное"", 80)/100,0)"),0.0)</f>
        <v>0</v>
      </c>
      <c r="X89" s="91">
        <f t="shared" si="4"/>
        <v>0</v>
      </c>
    </row>
    <row r="90">
      <c r="A90" s="90"/>
      <c r="B90" s="90"/>
      <c r="C90" s="90"/>
      <c r="D90" s="91">
        <f>IFERROR(__xludf.DUMMYFUNCTION("IFERROR(sum(filter('Основной эфир'!$AA:$AA, 'Основной эфир'!$B:$B=$A90,'Основной эфир'!$C:$C=$B90,'Основной эфир'!$I:$I=$C90)), 0) "),0.0)</f>
        <v>0</v>
      </c>
      <c r="E90" s="91">
        <f>IFERROR(__xludf.DUMMYFUNCTION("IFERROR(sum(filter('Основной эфир'!$AC:$AC, 'Основной эфир'!$B:$B=$A90,'Основной эфир'!$C:$C=$B90,'Основной эфир'!$I:$I=$C90)), 0) "),0.0)</f>
        <v>0</v>
      </c>
      <c r="F90" s="91">
        <f>IFERROR(__xludf.DUMMYFUNCTION("IFERROR(sum(filter('Основной эфир'!$O:$O, 'Основной эфир'!$B:$B=$A90,'Основной эфир'!$C:$C=$B90,'Основной эфир'!$I:$I=$C90)), 0) "),0.0)</f>
        <v>0</v>
      </c>
      <c r="G90" s="91">
        <f>IFERROR(__xludf.DUMMYFUNCTION("IFERROR(sum(filter('Основной эфир'!$Q:$Q, 'Основной эфир'!$B:$B=$A90,'Основной эфир'!$C:$C=$B90,'Основной эфир'!$I:$I=$C90)), 0) "),0.0)</f>
        <v>0</v>
      </c>
      <c r="H90" s="91">
        <f>IFERROR(__xludf.DUMMYFUNCTION("IFERROR(AVERAGE(filter('Основной эфир'!$Y:$Y, 'Основной эфир'!$B:$B=$A90,'Основной эфир'!$C:$C=$B90,'Основной эфир'!$I:$I=$C90)), 0) "),0.0)</f>
        <v>0</v>
      </c>
      <c r="I90" s="91">
        <f>IFERROR(__xludf.DUMMYFUNCTION("IFERROR(AVERAGE(filter('Основной эфир'!$AE:$AE, 'Основной эфир'!$B:$B=$A90,'Основной эфир'!$C:$C=$B90,'Основной эфир'!$I:$I=$C90)), 0) "),0.0)</f>
        <v>0</v>
      </c>
      <c r="J90" s="91">
        <f>IFERROR(__xludf.DUMMYFUNCTION("IFERROR(SUM(filter('Основной эфир'!$AL:$AL, 'Основной эфир'!$B:$B=$A90,'Основной эфир'!$C:$C=$B90,'Основной эфир'!$I:$I=$C90)), 0) "),0.0)</f>
        <v>0</v>
      </c>
      <c r="K90" s="91" t="str">
        <f>IFERROR(__xludf.DUMMYFUNCTION("IFERROR(REGEXREPLACE(unique(filter('Основной эфир'!$A:$A, 'Основной эфир'!$B:$B=$A90,'Основной эфир'!$C:$C=$B90,'Основной эфир'!$I:$I=$C90)), ""\d+"", """"),"""")"),"")</f>
        <v/>
      </c>
      <c r="L90" s="91" t="str">
        <f>IFERROR(__xludf.DUMMYFUNCTION("IFERROR(unique(filter('Основной эфир'!$F:$F, 'Основной эфир'!$B:$B=$A90,'Основной эфир'!$C:$C=$B90,'Основной эфир'!$I:$I=$C90)),"""")"),"")</f>
        <v/>
      </c>
      <c r="M90" s="92" t="str">
        <f t="shared" si="1"/>
        <v/>
      </c>
      <c r="N90" s="93">
        <f>IFERROR(__xludf.DUMMYFUNCTION("IFERROR(SWITCH(lower(join("" "",L90:M90)),""а миллионник"", 62.5,""б миллионник"", 75,""а мск"", 50, ""б мск"", 62.5, ""a остальное"", 70, ""б остальное"", 80)/100,0)"),0.0)</f>
        <v>0</v>
      </c>
      <c r="O90" s="91">
        <f t="shared" si="2"/>
        <v>0</v>
      </c>
      <c r="P90" s="91">
        <f>IFERROR(__xludf.DUMMYFUNCTION("IFERROR(sum(filter('Генеральный баннер'!$O:$O, 'Генеральный баннер'!$B:$B=$A90,'Генеральный баннер'!$C:$C=$B90,'Генеральный баннер'!$I:$I=$C90)), 0) "),0.0)</f>
        <v>0</v>
      </c>
      <c r="Q90" s="91">
        <f>IFERROR(__xludf.DUMMYFUNCTION("IFERROR(sum(filter('Генеральный баннер'!$Q:$Q, 'Генеральный баннер'!$B:$B=$A90,'Генеральный баннер'!$C:$C=$B90,'Генеральный баннер'!$I:$I=$C90)), 0) "),0.0)</f>
        <v>0</v>
      </c>
      <c r="R90" s="91">
        <f>IFERROR(__xludf.DUMMYFUNCTION("IFERROR(AVERAGE(filter('Генеральный баннер'!$AA:$AA, 'Генеральный баннер'!$B:$B=$A90,'Генеральный баннер'!$C:$C=$B90,'Генеральный баннер'!$I:$I=$C90)), 0) "),0.0)</f>
        <v>0</v>
      </c>
      <c r="S90" s="91">
        <f>IFERROR(__xludf.DUMMYFUNCTION("IFERROR(SUM(filter('Генеральный баннер'!$AH:$AH, 'Генеральный баннер'!$B:$B=$A90,'Генеральный баннер'!$C:$C=$B90,'Генеральный баннер'!$I:$I=$C90)), 0) "),0.0)</f>
        <v>0</v>
      </c>
      <c r="T90" s="91" t="str">
        <f>IFERROR(__xludf.DUMMYFUNCTION("IFERROR(REGEXREPLACE(unique(filter('Генеральный баннер'!$A:$A, 'Генеральный баннер'!$B:$B=$A90,'Генеральный баннер'!$C:$C=$B90,'Генеральный баннер'!$I:$I=$C90)), ""\d+"", """"),"""")"),"")</f>
        <v/>
      </c>
      <c r="U90" s="91" t="str">
        <f>IFERROR(__xludf.DUMMYFUNCTION("IFERROR(unique(filter('Генеральный баннер'!$F:$F, 'Генеральный баннер'!$B:$B=$A90,'Генеральный баннер'!$C:$C=$B90,'Генеральный баннер'!$I:$I=$C90)),"""")"),"")</f>
        <v/>
      </c>
      <c r="V90" s="92" t="str">
        <f t="shared" si="3"/>
        <v/>
      </c>
      <c r="W90" s="93">
        <f>IFERROR(__xludf.DUMMYFUNCTION("IFERROR(SWITCH(lower(join("" "",U90:V90)),""а миллионник"", 62.5,""б миллионник"", 75,""а мск"", 50, ""б мск"", 62.5, ""a остальное"", 70, ""б остальное"", 80)/100,0)"),0.0)</f>
        <v>0</v>
      </c>
      <c r="X90" s="91">
        <f t="shared" si="4"/>
        <v>0</v>
      </c>
    </row>
    <row r="91">
      <c r="A91" s="90"/>
      <c r="B91" s="90"/>
      <c r="C91" s="90"/>
      <c r="D91" s="91">
        <f>IFERROR(__xludf.DUMMYFUNCTION("IFERROR(sum(filter('Основной эфир'!$AA:$AA, 'Основной эфир'!$B:$B=$A91,'Основной эфир'!$C:$C=$B91,'Основной эфир'!$I:$I=$C91)), 0) "),0.0)</f>
        <v>0</v>
      </c>
      <c r="E91" s="91">
        <f>IFERROR(__xludf.DUMMYFUNCTION("IFERROR(sum(filter('Основной эфир'!$AC:$AC, 'Основной эфир'!$B:$B=$A91,'Основной эфир'!$C:$C=$B91,'Основной эфир'!$I:$I=$C91)), 0) "),0.0)</f>
        <v>0</v>
      </c>
      <c r="F91" s="91">
        <f>IFERROR(__xludf.DUMMYFUNCTION("IFERROR(sum(filter('Основной эфир'!$O:$O, 'Основной эфир'!$B:$B=$A91,'Основной эфир'!$C:$C=$B91,'Основной эфир'!$I:$I=$C91)), 0) "),0.0)</f>
        <v>0</v>
      </c>
      <c r="G91" s="91">
        <f>IFERROR(__xludf.DUMMYFUNCTION("IFERROR(sum(filter('Основной эфир'!$Q:$Q, 'Основной эфир'!$B:$B=$A91,'Основной эфир'!$C:$C=$B91,'Основной эфир'!$I:$I=$C91)), 0) "),0.0)</f>
        <v>0</v>
      </c>
      <c r="H91" s="91">
        <f>IFERROR(__xludf.DUMMYFUNCTION("IFERROR(AVERAGE(filter('Основной эфир'!$Y:$Y, 'Основной эфир'!$B:$B=$A91,'Основной эфир'!$C:$C=$B91,'Основной эфир'!$I:$I=$C91)), 0) "),0.0)</f>
        <v>0</v>
      </c>
      <c r="I91" s="91">
        <f>IFERROR(__xludf.DUMMYFUNCTION("IFERROR(AVERAGE(filter('Основной эфир'!$AE:$AE, 'Основной эфир'!$B:$B=$A91,'Основной эфир'!$C:$C=$B91,'Основной эфир'!$I:$I=$C91)), 0) "),0.0)</f>
        <v>0</v>
      </c>
      <c r="J91" s="91">
        <f>IFERROR(__xludf.DUMMYFUNCTION("IFERROR(SUM(filter('Основной эфир'!$AL:$AL, 'Основной эфир'!$B:$B=$A91,'Основной эфир'!$C:$C=$B91,'Основной эфир'!$I:$I=$C91)), 0) "),0.0)</f>
        <v>0</v>
      </c>
      <c r="K91" s="91" t="str">
        <f>IFERROR(__xludf.DUMMYFUNCTION("IFERROR(REGEXREPLACE(unique(filter('Основной эфир'!$A:$A, 'Основной эфир'!$B:$B=$A91,'Основной эфир'!$C:$C=$B91,'Основной эфир'!$I:$I=$C91)), ""\d+"", """"),"""")"),"")</f>
        <v/>
      </c>
      <c r="L91" s="91" t="str">
        <f>IFERROR(__xludf.DUMMYFUNCTION("IFERROR(unique(filter('Основной эфир'!$F:$F, 'Основной эфир'!$B:$B=$A91,'Основной эфир'!$C:$C=$B91,'Основной эфир'!$I:$I=$C91)),"""")"),"")</f>
        <v/>
      </c>
      <c r="M91" s="92" t="str">
        <f t="shared" si="1"/>
        <v/>
      </c>
      <c r="N91" s="93">
        <f>IFERROR(__xludf.DUMMYFUNCTION("IFERROR(SWITCH(lower(join("" "",L91:M91)),""а миллионник"", 62.5,""б миллионник"", 75,""а мск"", 50, ""б мск"", 62.5, ""a остальное"", 70, ""б остальное"", 80)/100,0)"),0.0)</f>
        <v>0</v>
      </c>
      <c r="O91" s="91">
        <f t="shared" si="2"/>
        <v>0</v>
      </c>
      <c r="P91" s="91">
        <f>IFERROR(__xludf.DUMMYFUNCTION("IFERROR(sum(filter('Генеральный баннер'!$O:$O, 'Генеральный баннер'!$B:$B=$A91,'Генеральный баннер'!$C:$C=$B91,'Генеральный баннер'!$I:$I=$C91)), 0) "),0.0)</f>
        <v>0</v>
      </c>
      <c r="Q91" s="91">
        <f>IFERROR(__xludf.DUMMYFUNCTION("IFERROR(sum(filter('Генеральный баннер'!$Q:$Q, 'Генеральный баннер'!$B:$B=$A91,'Генеральный баннер'!$C:$C=$B91,'Генеральный баннер'!$I:$I=$C91)), 0) "),0.0)</f>
        <v>0</v>
      </c>
      <c r="R91" s="91">
        <f>IFERROR(__xludf.DUMMYFUNCTION("IFERROR(AVERAGE(filter('Генеральный баннер'!$AA:$AA, 'Генеральный баннер'!$B:$B=$A91,'Генеральный баннер'!$C:$C=$B91,'Генеральный баннер'!$I:$I=$C91)), 0) "),0.0)</f>
        <v>0</v>
      </c>
      <c r="S91" s="91">
        <f>IFERROR(__xludf.DUMMYFUNCTION("IFERROR(SUM(filter('Генеральный баннер'!$AH:$AH, 'Генеральный баннер'!$B:$B=$A91,'Генеральный баннер'!$C:$C=$B91,'Генеральный баннер'!$I:$I=$C91)), 0) "),0.0)</f>
        <v>0</v>
      </c>
      <c r="T91" s="91" t="str">
        <f>IFERROR(__xludf.DUMMYFUNCTION("IFERROR(REGEXREPLACE(unique(filter('Генеральный баннер'!$A:$A, 'Генеральный баннер'!$B:$B=$A91,'Генеральный баннер'!$C:$C=$B91,'Генеральный баннер'!$I:$I=$C91)), ""\d+"", """"),"""")"),"")</f>
        <v/>
      </c>
      <c r="U91" s="91" t="str">
        <f>IFERROR(__xludf.DUMMYFUNCTION("IFERROR(unique(filter('Генеральный баннер'!$F:$F, 'Генеральный баннер'!$B:$B=$A91,'Генеральный баннер'!$C:$C=$B91,'Генеральный баннер'!$I:$I=$C91)),"""")"),"")</f>
        <v/>
      </c>
      <c r="V91" s="92" t="str">
        <f t="shared" si="3"/>
        <v/>
      </c>
      <c r="W91" s="93">
        <f>IFERROR(__xludf.DUMMYFUNCTION("IFERROR(SWITCH(lower(join("" "",U91:V91)),""а миллионник"", 62.5,""б миллионник"", 75,""а мск"", 50, ""б мск"", 62.5, ""a остальное"", 70, ""б остальное"", 80)/100,0)"),0.0)</f>
        <v>0</v>
      </c>
      <c r="X91" s="91">
        <f t="shared" si="4"/>
        <v>0</v>
      </c>
    </row>
    <row r="92">
      <c r="A92" s="90"/>
      <c r="B92" s="90"/>
      <c r="C92" s="90"/>
      <c r="D92" s="91">
        <f>IFERROR(__xludf.DUMMYFUNCTION("IFERROR(sum(filter('Основной эфир'!$AA:$AA, 'Основной эфир'!$B:$B=$A92,'Основной эфир'!$C:$C=$B92,'Основной эфир'!$I:$I=$C92)), 0) "),0.0)</f>
        <v>0</v>
      </c>
      <c r="E92" s="91">
        <f>IFERROR(__xludf.DUMMYFUNCTION("IFERROR(sum(filter('Основной эфир'!$AC:$AC, 'Основной эфир'!$B:$B=$A92,'Основной эфир'!$C:$C=$B92,'Основной эфир'!$I:$I=$C92)), 0) "),0.0)</f>
        <v>0</v>
      </c>
      <c r="F92" s="91">
        <f>IFERROR(__xludf.DUMMYFUNCTION("IFERROR(sum(filter('Основной эфир'!$O:$O, 'Основной эфир'!$B:$B=$A92,'Основной эфир'!$C:$C=$B92,'Основной эфир'!$I:$I=$C92)), 0) "),0.0)</f>
        <v>0</v>
      </c>
      <c r="G92" s="91">
        <f>IFERROR(__xludf.DUMMYFUNCTION("IFERROR(sum(filter('Основной эфир'!$Q:$Q, 'Основной эфир'!$B:$B=$A92,'Основной эфир'!$C:$C=$B92,'Основной эфир'!$I:$I=$C92)), 0) "),0.0)</f>
        <v>0</v>
      </c>
      <c r="H92" s="91">
        <f>IFERROR(__xludf.DUMMYFUNCTION("IFERROR(AVERAGE(filter('Основной эфир'!$Y:$Y, 'Основной эфир'!$B:$B=$A92,'Основной эфир'!$C:$C=$B92,'Основной эфир'!$I:$I=$C92)), 0) "),0.0)</f>
        <v>0</v>
      </c>
      <c r="I92" s="91">
        <f>IFERROR(__xludf.DUMMYFUNCTION("IFERROR(AVERAGE(filter('Основной эфир'!$AE:$AE, 'Основной эфир'!$B:$B=$A92,'Основной эфир'!$C:$C=$B92,'Основной эфир'!$I:$I=$C92)), 0) "),0.0)</f>
        <v>0</v>
      </c>
      <c r="J92" s="91">
        <f>IFERROR(__xludf.DUMMYFUNCTION("IFERROR(SUM(filter('Основной эфир'!$AL:$AL, 'Основной эфир'!$B:$B=$A92,'Основной эфир'!$C:$C=$B92,'Основной эфир'!$I:$I=$C92)), 0) "),0.0)</f>
        <v>0</v>
      </c>
      <c r="K92" s="91" t="str">
        <f>IFERROR(__xludf.DUMMYFUNCTION("IFERROR(REGEXREPLACE(unique(filter('Основной эфир'!$A:$A, 'Основной эфир'!$B:$B=$A92,'Основной эфир'!$C:$C=$B92,'Основной эфир'!$I:$I=$C92)), ""\d+"", """"),"""")"),"")</f>
        <v/>
      </c>
      <c r="L92" s="91" t="str">
        <f>IFERROR(__xludf.DUMMYFUNCTION("IFERROR(unique(filter('Основной эфир'!$F:$F, 'Основной эфир'!$B:$B=$A92,'Основной эфир'!$C:$C=$B92,'Основной эфир'!$I:$I=$C92)),"""")"),"")</f>
        <v/>
      </c>
      <c r="M92" s="92" t="str">
        <f t="shared" si="1"/>
        <v/>
      </c>
      <c r="N92" s="93">
        <f>IFERROR(__xludf.DUMMYFUNCTION("IFERROR(SWITCH(lower(join("" "",L92:M92)),""а миллионник"", 62.5,""б миллионник"", 75,""а мск"", 50, ""б мск"", 62.5, ""a остальное"", 70, ""б остальное"", 80)/100,0)"),0.0)</f>
        <v>0</v>
      </c>
      <c r="O92" s="91">
        <f t="shared" si="2"/>
        <v>0</v>
      </c>
      <c r="P92" s="91">
        <f>IFERROR(__xludf.DUMMYFUNCTION("IFERROR(sum(filter('Генеральный баннер'!$O:$O, 'Генеральный баннер'!$B:$B=$A92,'Генеральный баннер'!$C:$C=$B92,'Генеральный баннер'!$I:$I=$C92)), 0) "),0.0)</f>
        <v>0</v>
      </c>
      <c r="Q92" s="91">
        <f>IFERROR(__xludf.DUMMYFUNCTION("IFERROR(sum(filter('Генеральный баннер'!$Q:$Q, 'Генеральный баннер'!$B:$B=$A92,'Генеральный баннер'!$C:$C=$B92,'Генеральный баннер'!$I:$I=$C92)), 0) "),0.0)</f>
        <v>0</v>
      </c>
      <c r="R92" s="91">
        <f>IFERROR(__xludf.DUMMYFUNCTION("IFERROR(AVERAGE(filter('Генеральный баннер'!$AA:$AA, 'Генеральный баннер'!$B:$B=$A92,'Генеральный баннер'!$C:$C=$B92,'Генеральный баннер'!$I:$I=$C92)), 0) "),0.0)</f>
        <v>0</v>
      </c>
      <c r="S92" s="91">
        <f>IFERROR(__xludf.DUMMYFUNCTION("IFERROR(SUM(filter('Генеральный баннер'!$AH:$AH, 'Генеральный баннер'!$B:$B=$A92,'Генеральный баннер'!$C:$C=$B92,'Генеральный баннер'!$I:$I=$C92)), 0) "),0.0)</f>
        <v>0</v>
      </c>
      <c r="T92" s="91" t="str">
        <f>IFERROR(__xludf.DUMMYFUNCTION("IFERROR(REGEXREPLACE(unique(filter('Генеральный баннер'!$A:$A, 'Генеральный баннер'!$B:$B=$A92,'Генеральный баннер'!$C:$C=$B92,'Генеральный баннер'!$I:$I=$C92)), ""\d+"", """"),"""")"),"")</f>
        <v/>
      </c>
      <c r="U92" s="91" t="str">
        <f>IFERROR(__xludf.DUMMYFUNCTION("IFERROR(unique(filter('Генеральный баннер'!$F:$F, 'Генеральный баннер'!$B:$B=$A92,'Генеральный баннер'!$C:$C=$B92,'Генеральный баннер'!$I:$I=$C92)),"""")"),"")</f>
        <v/>
      </c>
      <c r="V92" s="92" t="str">
        <f t="shared" si="3"/>
        <v/>
      </c>
      <c r="W92" s="93">
        <f>IFERROR(__xludf.DUMMYFUNCTION("IFERROR(SWITCH(lower(join("" "",U92:V92)),""а миллионник"", 62.5,""б миллионник"", 75,""а мск"", 50, ""б мск"", 62.5, ""a остальное"", 70, ""б остальное"", 80)/100,0)"),0.0)</f>
        <v>0</v>
      </c>
      <c r="X92" s="91">
        <f t="shared" si="4"/>
        <v>0</v>
      </c>
    </row>
    <row r="93">
      <c r="A93" s="90"/>
      <c r="B93" s="90"/>
      <c r="C93" s="90"/>
      <c r="D93" s="91">
        <f>IFERROR(__xludf.DUMMYFUNCTION("IFERROR(sum(filter('Основной эфир'!$AA:$AA, 'Основной эфир'!$B:$B=$A93,'Основной эфир'!$C:$C=$B93,'Основной эфир'!$I:$I=$C93)), 0) "),0.0)</f>
        <v>0</v>
      </c>
      <c r="E93" s="91">
        <f>IFERROR(__xludf.DUMMYFUNCTION("IFERROR(sum(filter('Основной эфир'!$AC:$AC, 'Основной эфир'!$B:$B=$A93,'Основной эфир'!$C:$C=$B93,'Основной эфир'!$I:$I=$C93)), 0) "),0.0)</f>
        <v>0</v>
      </c>
      <c r="F93" s="91">
        <f>IFERROR(__xludf.DUMMYFUNCTION("IFERROR(sum(filter('Основной эфир'!$O:$O, 'Основной эфир'!$B:$B=$A93,'Основной эфир'!$C:$C=$B93,'Основной эфир'!$I:$I=$C93)), 0) "),0.0)</f>
        <v>0</v>
      </c>
      <c r="G93" s="91">
        <f>IFERROR(__xludf.DUMMYFUNCTION("IFERROR(sum(filter('Основной эфир'!$Q:$Q, 'Основной эфир'!$B:$B=$A93,'Основной эфир'!$C:$C=$B93,'Основной эфир'!$I:$I=$C93)), 0) "),0.0)</f>
        <v>0</v>
      </c>
      <c r="H93" s="91">
        <f>IFERROR(__xludf.DUMMYFUNCTION("IFERROR(AVERAGE(filter('Основной эфир'!$Y:$Y, 'Основной эфир'!$B:$B=$A93,'Основной эфир'!$C:$C=$B93,'Основной эфир'!$I:$I=$C93)), 0) "),0.0)</f>
        <v>0</v>
      </c>
      <c r="I93" s="91">
        <f>IFERROR(__xludf.DUMMYFUNCTION("IFERROR(AVERAGE(filter('Основной эфир'!$AE:$AE, 'Основной эфир'!$B:$B=$A93,'Основной эфир'!$C:$C=$B93,'Основной эфир'!$I:$I=$C93)), 0) "),0.0)</f>
        <v>0</v>
      </c>
      <c r="J93" s="91">
        <f>IFERROR(__xludf.DUMMYFUNCTION("IFERROR(SUM(filter('Основной эфир'!$AL:$AL, 'Основной эфир'!$B:$B=$A93,'Основной эфир'!$C:$C=$B93,'Основной эфир'!$I:$I=$C93)), 0) "),0.0)</f>
        <v>0</v>
      </c>
      <c r="K93" s="91" t="str">
        <f>IFERROR(__xludf.DUMMYFUNCTION("IFERROR(REGEXREPLACE(unique(filter('Основной эфир'!$A:$A, 'Основной эфир'!$B:$B=$A93,'Основной эфир'!$C:$C=$B93,'Основной эфир'!$I:$I=$C93)), ""\d+"", """"),"""")"),"")</f>
        <v/>
      </c>
      <c r="L93" s="91" t="str">
        <f>IFERROR(__xludf.DUMMYFUNCTION("IFERROR(unique(filter('Основной эфир'!$F:$F, 'Основной эфир'!$B:$B=$A93,'Основной эфир'!$C:$C=$B93,'Основной эфир'!$I:$I=$C93)),"""")"),"")</f>
        <v/>
      </c>
      <c r="M93" s="92" t="str">
        <f t="shared" si="1"/>
        <v/>
      </c>
      <c r="N93" s="93">
        <f>IFERROR(__xludf.DUMMYFUNCTION("IFERROR(SWITCH(lower(join("" "",L93:M93)),""а миллионник"", 62.5,""б миллионник"", 75,""а мск"", 50, ""б мск"", 62.5, ""a остальное"", 70, ""б остальное"", 80)/100,0)"),0.0)</f>
        <v>0</v>
      </c>
      <c r="O93" s="91">
        <f t="shared" si="2"/>
        <v>0</v>
      </c>
      <c r="P93" s="91">
        <f>IFERROR(__xludf.DUMMYFUNCTION("IFERROR(sum(filter('Генеральный баннер'!$O:$O, 'Генеральный баннер'!$B:$B=$A93,'Генеральный баннер'!$C:$C=$B93,'Генеральный баннер'!$I:$I=$C93)), 0) "),0.0)</f>
        <v>0</v>
      </c>
      <c r="Q93" s="91">
        <f>IFERROR(__xludf.DUMMYFUNCTION("IFERROR(sum(filter('Генеральный баннер'!$Q:$Q, 'Генеральный баннер'!$B:$B=$A93,'Генеральный баннер'!$C:$C=$B93,'Генеральный баннер'!$I:$I=$C93)), 0) "),0.0)</f>
        <v>0</v>
      </c>
      <c r="R93" s="91">
        <f>IFERROR(__xludf.DUMMYFUNCTION("IFERROR(AVERAGE(filter('Генеральный баннер'!$AA:$AA, 'Генеральный баннер'!$B:$B=$A93,'Генеральный баннер'!$C:$C=$B93,'Генеральный баннер'!$I:$I=$C93)), 0) "),0.0)</f>
        <v>0</v>
      </c>
      <c r="S93" s="91">
        <f>IFERROR(__xludf.DUMMYFUNCTION("IFERROR(SUM(filter('Генеральный баннер'!$AH:$AH, 'Генеральный баннер'!$B:$B=$A93,'Генеральный баннер'!$C:$C=$B93,'Генеральный баннер'!$I:$I=$C93)), 0) "),0.0)</f>
        <v>0</v>
      </c>
      <c r="T93" s="91" t="str">
        <f>IFERROR(__xludf.DUMMYFUNCTION("IFERROR(REGEXREPLACE(unique(filter('Генеральный баннер'!$A:$A, 'Генеральный баннер'!$B:$B=$A93,'Генеральный баннер'!$C:$C=$B93,'Генеральный баннер'!$I:$I=$C93)), ""\d+"", """"),"""")"),"")</f>
        <v/>
      </c>
      <c r="U93" s="91" t="str">
        <f>IFERROR(__xludf.DUMMYFUNCTION("IFERROR(unique(filter('Генеральный баннер'!$F:$F, 'Генеральный баннер'!$B:$B=$A93,'Генеральный баннер'!$C:$C=$B93,'Генеральный баннер'!$I:$I=$C93)),"""")"),"")</f>
        <v/>
      </c>
      <c r="V93" s="92" t="str">
        <f t="shared" si="3"/>
        <v/>
      </c>
      <c r="W93" s="93">
        <f>IFERROR(__xludf.DUMMYFUNCTION("IFERROR(SWITCH(lower(join("" "",U93:V93)),""а миллионник"", 62.5,""б миллионник"", 75,""а мск"", 50, ""б мск"", 62.5, ""a остальное"", 70, ""б остальное"", 80)/100,0)"),0.0)</f>
        <v>0</v>
      </c>
      <c r="X93" s="91">
        <f t="shared" si="4"/>
        <v>0</v>
      </c>
    </row>
    <row r="94">
      <c r="A94" s="90"/>
      <c r="B94" s="90"/>
      <c r="C94" s="90"/>
      <c r="D94" s="91">
        <f>IFERROR(__xludf.DUMMYFUNCTION("IFERROR(sum(filter('Основной эфир'!$AA:$AA, 'Основной эфир'!$B:$B=$A94,'Основной эфир'!$C:$C=$B94,'Основной эфир'!$I:$I=$C94)), 0) "),0.0)</f>
        <v>0</v>
      </c>
      <c r="E94" s="91">
        <f>IFERROR(__xludf.DUMMYFUNCTION("IFERROR(sum(filter('Основной эфир'!$AC:$AC, 'Основной эфир'!$B:$B=$A94,'Основной эфир'!$C:$C=$B94,'Основной эфир'!$I:$I=$C94)), 0) "),0.0)</f>
        <v>0</v>
      </c>
      <c r="F94" s="91">
        <f>IFERROR(__xludf.DUMMYFUNCTION("IFERROR(sum(filter('Основной эфир'!$O:$O, 'Основной эфир'!$B:$B=$A94,'Основной эфир'!$C:$C=$B94,'Основной эфир'!$I:$I=$C94)), 0) "),0.0)</f>
        <v>0</v>
      </c>
      <c r="G94" s="91">
        <f>IFERROR(__xludf.DUMMYFUNCTION("IFERROR(sum(filter('Основной эфир'!$Q:$Q, 'Основной эфир'!$B:$B=$A94,'Основной эфир'!$C:$C=$B94,'Основной эфир'!$I:$I=$C94)), 0) "),0.0)</f>
        <v>0</v>
      </c>
      <c r="H94" s="91">
        <f>IFERROR(__xludf.DUMMYFUNCTION("IFERROR(AVERAGE(filter('Основной эфир'!$Y:$Y, 'Основной эфир'!$B:$B=$A94,'Основной эфир'!$C:$C=$B94,'Основной эфир'!$I:$I=$C94)), 0) "),0.0)</f>
        <v>0</v>
      </c>
      <c r="I94" s="91">
        <f>IFERROR(__xludf.DUMMYFUNCTION("IFERROR(AVERAGE(filter('Основной эфир'!$AE:$AE, 'Основной эфир'!$B:$B=$A94,'Основной эфир'!$C:$C=$B94,'Основной эфир'!$I:$I=$C94)), 0) "),0.0)</f>
        <v>0</v>
      </c>
      <c r="J94" s="91">
        <f>IFERROR(__xludf.DUMMYFUNCTION("IFERROR(SUM(filter('Основной эфир'!$AL:$AL, 'Основной эфир'!$B:$B=$A94,'Основной эфир'!$C:$C=$B94,'Основной эфир'!$I:$I=$C94)), 0) "),0.0)</f>
        <v>0</v>
      </c>
      <c r="K94" s="91" t="str">
        <f>IFERROR(__xludf.DUMMYFUNCTION("IFERROR(REGEXREPLACE(unique(filter('Основной эфир'!$A:$A, 'Основной эфир'!$B:$B=$A94,'Основной эфир'!$C:$C=$B94,'Основной эфир'!$I:$I=$C94)), ""\d+"", """"),"""")"),"")</f>
        <v/>
      </c>
      <c r="L94" s="91" t="str">
        <f>IFERROR(__xludf.DUMMYFUNCTION("IFERROR(unique(filter('Основной эфир'!$F:$F, 'Основной эфир'!$B:$B=$A94,'Основной эфир'!$C:$C=$B94,'Основной эфир'!$I:$I=$C94)),"""")"),"")</f>
        <v/>
      </c>
      <c r="M94" s="92" t="str">
        <f t="shared" si="1"/>
        <v/>
      </c>
      <c r="N94" s="93">
        <f>IFERROR(__xludf.DUMMYFUNCTION("IFERROR(SWITCH(lower(join("" "",L94:M94)),""а миллионник"", 62.5,""б миллионник"", 75,""а мск"", 50, ""б мск"", 62.5, ""a остальное"", 70, ""б остальное"", 80)/100,0)"),0.0)</f>
        <v>0</v>
      </c>
      <c r="O94" s="91">
        <f t="shared" si="2"/>
        <v>0</v>
      </c>
      <c r="P94" s="91">
        <f>IFERROR(__xludf.DUMMYFUNCTION("IFERROR(sum(filter('Генеральный баннер'!$O:$O, 'Генеральный баннер'!$B:$B=$A94,'Генеральный баннер'!$C:$C=$B94,'Генеральный баннер'!$I:$I=$C94)), 0) "),0.0)</f>
        <v>0</v>
      </c>
      <c r="Q94" s="91">
        <f>IFERROR(__xludf.DUMMYFUNCTION("IFERROR(sum(filter('Генеральный баннер'!$Q:$Q, 'Генеральный баннер'!$B:$B=$A94,'Генеральный баннер'!$C:$C=$B94,'Генеральный баннер'!$I:$I=$C94)), 0) "),0.0)</f>
        <v>0</v>
      </c>
      <c r="R94" s="91">
        <f>IFERROR(__xludf.DUMMYFUNCTION("IFERROR(AVERAGE(filter('Генеральный баннер'!$AA:$AA, 'Генеральный баннер'!$B:$B=$A94,'Генеральный баннер'!$C:$C=$B94,'Генеральный баннер'!$I:$I=$C94)), 0) "),0.0)</f>
        <v>0</v>
      </c>
      <c r="S94" s="91">
        <f>IFERROR(__xludf.DUMMYFUNCTION("IFERROR(SUM(filter('Генеральный баннер'!$AH:$AH, 'Генеральный баннер'!$B:$B=$A94,'Генеральный баннер'!$C:$C=$B94,'Генеральный баннер'!$I:$I=$C94)), 0) "),0.0)</f>
        <v>0</v>
      </c>
      <c r="T94" s="91" t="str">
        <f>IFERROR(__xludf.DUMMYFUNCTION("IFERROR(REGEXREPLACE(unique(filter('Генеральный баннер'!$A:$A, 'Генеральный баннер'!$B:$B=$A94,'Генеральный баннер'!$C:$C=$B94,'Генеральный баннер'!$I:$I=$C94)), ""\d+"", """"),"""")"),"")</f>
        <v/>
      </c>
      <c r="U94" s="91" t="str">
        <f>IFERROR(__xludf.DUMMYFUNCTION("IFERROR(unique(filter('Генеральный баннер'!$F:$F, 'Генеральный баннер'!$B:$B=$A94,'Генеральный баннер'!$C:$C=$B94,'Генеральный баннер'!$I:$I=$C94)),"""")"),"")</f>
        <v/>
      </c>
      <c r="V94" s="92" t="str">
        <f t="shared" si="3"/>
        <v/>
      </c>
      <c r="W94" s="93">
        <f>IFERROR(__xludf.DUMMYFUNCTION("IFERROR(SWITCH(lower(join("" "",U94:V94)),""а миллионник"", 62.5,""б миллионник"", 75,""а мск"", 50, ""б мск"", 62.5, ""a остальное"", 70, ""б остальное"", 80)/100,0)"),0.0)</f>
        <v>0</v>
      </c>
      <c r="X94" s="91">
        <f t="shared" si="4"/>
        <v>0</v>
      </c>
    </row>
    <row r="95">
      <c r="A95" s="90"/>
      <c r="B95" s="90"/>
      <c r="C95" s="90"/>
      <c r="D95" s="91">
        <f>IFERROR(__xludf.DUMMYFUNCTION("IFERROR(sum(filter('Основной эфир'!$AA:$AA, 'Основной эфир'!$B:$B=$A95,'Основной эфир'!$C:$C=$B95,'Основной эфир'!$I:$I=$C95)), 0) "),0.0)</f>
        <v>0</v>
      </c>
      <c r="E95" s="91">
        <f>IFERROR(__xludf.DUMMYFUNCTION("IFERROR(sum(filter('Основной эфир'!$AC:$AC, 'Основной эфир'!$B:$B=$A95,'Основной эфир'!$C:$C=$B95,'Основной эфир'!$I:$I=$C95)), 0) "),0.0)</f>
        <v>0</v>
      </c>
      <c r="F95" s="91">
        <f>IFERROR(__xludf.DUMMYFUNCTION("IFERROR(sum(filter('Основной эфир'!$O:$O, 'Основной эфир'!$B:$B=$A95,'Основной эфир'!$C:$C=$B95,'Основной эфир'!$I:$I=$C95)), 0) "),0.0)</f>
        <v>0</v>
      </c>
      <c r="G95" s="91">
        <f>IFERROR(__xludf.DUMMYFUNCTION("IFERROR(sum(filter('Основной эфир'!$Q:$Q, 'Основной эфир'!$B:$B=$A95,'Основной эфир'!$C:$C=$B95,'Основной эфир'!$I:$I=$C95)), 0) "),0.0)</f>
        <v>0</v>
      </c>
      <c r="H95" s="91">
        <f>IFERROR(__xludf.DUMMYFUNCTION("IFERROR(AVERAGE(filter('Основной эфир'!$Y:$Y, 'Основной эфир'!$B:$B=$A95,'Основной эфир'!$C:$C=$B95,'Основной эфир'!$I:$I=$C95)), 0) "),0.0)</f>
        <v>0</v>
      </c>
      <c r="I95" s="91">
        <f>IFERROR(__xludf.DUMMYFUNCTION("IFERROR(AVERAGE(filter('Основной эфир'!$AE:$AE, 'Основной эфир'!$B:$B=$A95,'Основной эфир'!$C:$C=$B95,'Основной эфир'!$I:$I=$C95)), 0) "),0.0)</f>
        <v>0</v>
      </c>
      <c r="J95" s="91">
        <f>IFERROR(__xludf.DUMMYFUNCTION("IFERROR(SUM(filter('Основной эфир'!$AL:$AL, 'Основной эфир'!$B:$B=$A95,'Основной эфир'!$C:$C=$B95,'Основной эфир'!$I:$I=$C95)), 0) "),0.0)</f>
        <v>0</v>
      </c>
      <c r="K95" s="91" t="str">
        <f>IFERROR(__xludf.DUMMYFUNCTION("IFERROR(REGEXREPLACE(unique(filter('Основной эфир'!$A:$A, 'Основной эфир'!$B:$B=$A95,'Основной эфир'!$C:$C=$B95,'Основной эфир'!$I:$I=$C95)), ""\d+"", """"),"""")"),"")</f>
        <v/>
      </c>
      <c r="L95" s="91" t="str">
        <f>IFERROR(__xludf.DUMMYFUNCTION("IFERROR(unique(filter('Основной эфир'!$F:$F, 'Основной эфир'!$B:$B=$A95,'Основной эфир'!$C:$C=$B95,'Основной эфир'!$I:$I=$C95)),"""")"),"")</f>
        <v/>
      </c>
      <c r="M95" s="92" t="str">
        <f t="shared" si="1"/>
        <v/>
      </c>
      <c r="N95" s="93">
        <f>IFERROR(__xludf.DUMMYFUNCTION("IFERROR(SWITCH(lower(join("" "",L95:M95)),""а миллионник"", 62.5,""б миллионник"", 75,""а мск"", 50, ""б мск"", 62.5, ""a остальное"", 70, ""б остальное"", 80)/100,0)"),0.0)</f>
        <v>0</v>
      </c>
      <c r="O95" s="91">
        <f t="shared" si="2"/>
        <v>0</v>
      </c>
      <c r="P95" s="91">
        <f>IFERROR(__xludf.DUMMYFUNCTION("IFERROR(sum(filter('Генеральный баннер'!$O:$O, 'Генеральный баннер'!$B:$B=$A95,'Генеральный баннер'!$C:$C=$B95,'Генеральный баннер'!$I:$I=$C95)), 0) "),0.0)</f>
        <v>0</v>
      </c>
      <c r="Q95" s="91">
        <f>IFERROR(__xludf.DUMMYFUNCTION("IFERROR(sum(filter('Генеральный баннер'!$Q:$Q, 'Генеральный баннер'!$B:$B=$A95,'Генеральный баннер'!$C:$C=$B95,'Генеральный баннер'!$I:$I=$C95)), 0) "),0.0)</f>
        <v>0</v>
      </c>
      <c r="R95" s="91">
        <f>IFERROR(__xludf.DUMMYFUNCTION("IFERROR(AVERAGE(filter('Генеральный баннер'!$AA:$AA, 'Генеральный баннер'!$B:$B=$A95,'Генеральный баннер'!$C:$C=$B95,'Генеральный баннер'!$I:$I=$C95)), 0) "),0.0)</f>
        <v>0</v>
      </c>
      <c r="S95" s="91">
        <f>IFERROR(__xludf.DUMMYFUNCTION("IFERROR(SUM(filter('Генеральный баннер'!$AH:$AH, 'Генеральный баннер'!$B:$B=$A95,'Генеральный баннер'!$C:$C=$B95,'Генеральный баннер'!$I:$I=$C95)), 0) "),0.0)</f>
        <v>0</v>
      </c>
      <c r="T95" s="91" t="str">
        <f>IFERROR(__xludf.DUMMYFUNCTION("IFERROR(REGEXREPLACE(unique(filter('Генеральный баннер'!$A:$A, 'Генеральный баннер'!$B:$B=$A95,'Генеральный баннер'!$C:$C=$B95,'Генеральный баннер'!$I:$I=$C95)), ""\d+"", """"),"""")"),"")</f>
        <v/>
      </c>
      <c r="U95" s="91" t="str">
        <f>IFERROR(__xludf.DUMMYFUNCTION("IFERROR(unique(filter('Генеральный баннер'!$F:$F, 'Генеральный баннер'!$B:$B=$A95,'Генеральный баннер'!$C:$C=$B95,'Генеральный баннер'!$I:$I=$C95)),"""")"),"")</f>
        <v/>
      </c>
      <c r="V95" s="92" t="str">
        <f t="shared" si="3"/>
        <v/>
      </c>
      <c r="W95" s="93">
        <f>IFERROR(__xludf.DUMMYFUNCTION("IFERROR(SWITCH(lower(join("" "",U95:V95)),""а миллионник"", 62.5,""б миллионник"", 75,""а мск"", 50, ""б мск"", 62.5, ""a остальное"", 70, ""б остальное"", 80)/100,0)"),0.0)</f>
        <v>0</v>
      </c>
      <c r="X95" s="91">
        <f t="shared" si="4"/>
        <v>0</v>
      </c>
    </row>
    <row r="96">
      <c r="A96" s="90"/>
      <c r="B96" s="90"/>
      <c r="C96" s="90"/>
      <c r="D96" s="91">
        <f>IFERROR(__xludf.DUMMYFUNCTION("IFERROR(sum(filter('Основной эфир'!$AA:$AA, 'Основной эфир'!$B:$B=$A96,'Основной эфир'!$C:$C=$B96,'Основной эфир'!$I:$I=$C96)), 0) "),0.0)</f>
        <v>0</v>
      </c>
      <c r="E96" s="91">
        <f>IFERROR(__xludf.DUMMYFUNCTION("IFERROR(sum(filter('Основной эфир'!$AC:$AC, 'Основной эфир'!$B:$B=$A96,'Основной эфир'!$C:$C=$B96,'Основной эфир'!$I:$I=$C96)), 0) "),0.0)</f>
        <v>0</v>
      </c>
      <c r="F96" s="91">
        <f>IFERROR(__xludf.DUMMYFUNCTION("IFERROR(sum(filter('Основной эфир'!$O:$O, 'Основной эфир'!$B:$B=$A96,'Основной эфир'!$C:$C=$B96,'Основной эфир'!$I:$I=$C96)), 0) "),0.0)</f>
        <v>0</v>
      </c>
      <c r="G96" s="91">
        <f>IFERROR(__xludf.DUMMYFUNCTION("IFERROR(sum(filter('Основной эфир'!$Q:$Q, 'Основной эфир'!$B:$B=$A96,'Основной эфир'!$C:$C=$B96,'Основной эфир'!$I:$I=$C96)), 0) "),0.0)</f>
        <v>0</v>
      </c>
      <c r="H96" s="91">
        <f>IFERROR(__xludf.DUMMYFUNCTION("IFERROR(AVERAGE(filter('Основной эфир'!$Y:$Y, 'Основной эфир'!$B:$B=$A96,'Основной эфир'!$C:$C=$B96,'Основной эфир'!$I:$I=$C96)), 0) "),0.0)</f>
        <v>0</v>
      </c>
      <c r="I96" s="91">
        <f>IFERROR(__xludf.DUMMYFUNCTION("IFERROR(AVERAGE(filter('Основной эфир'!$AE:$AE, 'Основной эфир'!$B:$B=$A96,'Основной эфир'!$C:$C=$B96,'Основной эфир'!$I:$I=$C96)), 0) "),0.0)</f>
        <v>0</v>
      </c>
      <c r="J96" s="91">
        <f>IFERROR(__xludf.DUMMYFUNCTION("IFERROR(SUM(filter('Основной эфир'!$AL:$AL, 'Основной эфир'!$B:$B=$A96,'Основной эфир'!$C:$C=$B96,'Основной эфир'!$I:$I=$C96)), 0) "),0.0)</f>
        <v>0</v>
      </c>
      <c r="K96" s="91" t="str">
        <f>IFERROR(__xludf.DUMMYFUNCTION("IFERROR(REGEXREPLACE(unique(filter('Основной эфир'!$A:$A, 'Основной эфир'!$B:$B=$A96,'Основной эфир'!$C:$C=$B96,'Основной эфир'!$I:$I=$C96)), ""\d+"", """"),"""")"),"")</f>
        <v/>
      </c>
      <c r="L96" s="91" t="str">
        <f>IFERROR(__xludf.DUMMYFUNCTION("IFERROR(unique(filter('Основной эфир'!$F:$F, 'Основной эфир'!$B:$B=$A96,'Основной эфир'!$C:$C=$B96,'Основной эфир'!$I:$I=$C96)),"""")"),"")</f>
        <v/>
      </c>
      <c r="M96" s="92" t="str">
        <f t="shared" si="1"/>
        <v/>
      </c>
      <c r="N96" s="93">
        <f>IFERROR(__xludf.DUMMYFUNCTION("IFERROR(SWITCH(lower(join("" "",L96:M96)),""а миллионник"", 62.5,""б миллионник"", 75,""а мск"", 50, ""б мск"", 62.5, ""a остальное"", 70, ""б остальное"", 80)/100,0)"),0.0)</f>
        <v>0</v>
      </c>
      <c r="O96" s="91">
        <f t="shared" si="2"/>
        <v>0</v>
      </c>
      <c r="P96" s="91">
        <f>IFERROR(__xludf.DUMMYFUNCTION("IFERROR(sum(filter('Генеральный баннер'!$O:$O, 'Генеральный баннер'!$B:$B=$A96,'Генеральный баннер'!$C:$C=$B96,'Генеральный баннер'!$I:$I=$C96)), 0) "),0.0)</f>
        <v>0</v>
      </c>
      <c r="Q96" s="91">
        <f>IFERROR(__xludf.DUMMYFUNCTION("IFERROR(sum(filter('Генеральный баннер'!$Q:$Q, 'Генеральный баннер'!$B:$B=$A96,'Генеральный баннер'!$C:$C=$B96,'Генеральный баннер'!$I:$I=$C96)), 0) "),0.0)</f>
        <v>0</v>
      </c>
      <c r="R96" s="91">
        <f>IFERROR(__xludf.DUMMYFUNCTION("IFERROR(AVERAGE(filter('Генеральный баннер'!$AA:$AA, 'Генеральный баннер'!$B:$B=$A96,'Генеральный баннер'!$C:$C=$B96,'Генеральный баннер'!$I:$I=$C96)), 0) "),0.0)</f>
        <v>0</v>
      </c>
      <c r="S96" s="91">
        <f>IFERROR(__xludf.DUMMYFUNCTION("IFERROR(SUM(filter('Генеральный баннер'!$AH:$AH, 'Генеральный баннер'!$B:$B=$A96,'Генеральный баннер'!$C:$C=$B96,'Генеральный баннер'!$I:$I=$C96)), 0) "),0.0)</f>
        <v>0</v>
      </c>
      <c r="T96" s="91" t="str">
        <f>IFERROR(__xludf.DUMMYFUNCTION("IFERROR(REGEXREPLACE(unique(filter('Генеральный баннер'!$A:$A, 'Генеральный баннер'!$B:$B=$A96,'Генеральный баннер'!$C:$C=$B96,'Генеральный баннер'!$I:$I=$C96)), ""\d+"", """"),"""")"),"")</f>
        <v/>
      </c>
      <c r="U96" s="91" t="str">
        <f>IFERROR(__xludf.DUMMYFUNCTION("IFERROR(unique(filter('Генеральный баннер'!$F:$F, 'Генеральный баннер'!$B:$B=$A96,'Генеральный баннер'!$C:$C=$B96,'Генеральный баннер'!$I:$I=$C96)),"""")"),"")</f>
        <v/>
      </c>
      <c r="V96" s="92" t="str">
        <f t="shared" si="3"/>
        <v/>
      </c>
      <c r="W96" s="93">
        <f>IFERROR(__xludf.DUMMYFUNCTION("IFERROR(SWITCH(lower(join("" "",U96:V96)),""а миллионник"", 62.5,""б миллионник"", 75,""а мск"", 50, ""б мск"", 62.5, ""a остальное"", 70, ""б остальное"", 80)/100,0)"),0.0)</f>
        <v>0</v>
      </c>
      <c r="X96" s="91">
        <f t="shared" si="4"/>
        <v>0</v>
      </c>
    </row>
    <row r="97">
      <c r="A97" s="90"/>
      <c r="B97" s="90"/>
      <c r="C97" s="90"/>
      <c r="D97" s="91">
        <f>IFERROR(__xludf.DUMMYFUNCTION("IFERROR(sum(filter('Основной эфир'!$AA:$AA, 'Основной эфир'!$B:$B=$A97,'Основной эфир'!$C:$C=$B97,'Основной эфир'!$I:$I=$C97)), 0) "),0.0)</f>
        <v>0</v>
      </c>
      <c r="E97" s="91">
        <f>IFERROR(__xludf.DUMMYFUNCTION("IFERROR(sum(filter('Основной эфир'!$AC:$AC, 'Основной эфир'!$B:$B=$A97,'Основной эфир'!$C:$C=$B97,'Основной эфир'!$I:$I=$C97)), 0) "),0.0)</f>
        <v>0</v>
      </c>
      <c r="F97" s="91">
        <f>IFERROR(__xludf.DUMMYFUNCTION("IFERROR(sum(filter('Основной эфир'!$O:$O, 'Основной эфир'!$B:$B=$A97,'Основной эфир'!$C:$C=$B97,'Основной эфир'!$I:$I=$C97)), 0) "),0.0)</f>
        <v>0</v>
      </c>
      <c r="G97" s="91">
        <f>IFERROR(__xludf.DUMMYFUNCTION("IFERROR(sum(filter('Основной эфир'!$Q:$Q, 'Основной эфир'!$B:$B=$A97,'Основной эфир'!$C:$C=$B97,'Основной эфир'!$I:$I=$C97)), 0) "),0.0)</f>
        <v>0</v>
      </c>
      <c r="H97" s="91">
        <f>IFERROR(__xludf.DUMMYFUNCTION("IFERROR(AVERAGE(filter('Основной эфир'!$Y:$Y, 'Основной эфир'!$B:$B=$A97,'Основной эфир'!$C:$C=$B97,'Основной эфир'!$I:$I=$C97)), 0) "),0.0)</f>
        <v>0</v>
      </c>
      <c r="I97" s="91">
        <f>IFERROR(__xludf.DUMMYFUNCTION("IFERROR(AVERAGE(filter('Основной эфир'!$AE:$AE, 'Основной эфир'!$B:$B=$A97,'Основной эфир'!$C:$C=$B97,'Основной эфир'!$I:$I=$C97)), 0) "),0.0)</f>
        <v>0</v>
      </c>
      <c r="J97" s="91">
        <f>IFERROR(__xludf.DUMMYFUNCTION("IFERROR(SUM(filter('Основной эфир'!$AL:$AL, 'Основной эфир'!$B:$B=$A97,'Основной эфир'!$C:$C=$B97,'Основной эфир'!$I:$I=$C97)), 0) "),0.0)</f>
        <v>0</v>
      </c>
      <c r="K97" s="91" t="str">
        <f>IFERROR(__xludf.DUMMYFUNCTION("IFERROR(REGEXREPLACE(unique(filter('Основной эфир'!$A:$A, 'Основной эфир'!$B:$B=$A97,'Основной эфир'!$C:$C=$B97,'Основной эфир'!$I:$I=$C97)), ""\d+"", """"),"""")"),"")</f>
        <v/>
      </c>
      <c r="L97" s="91" t="str">
        <f>IFERROR(__xludf.DUMMYFUNCTION("IFERROR(unique(filter('Основной эфир'!$F:$F, 'Основной эфир'!$B:$B=$A97,'Основной эфир'!$C:$C=$B97,'Основной эфир'!$I:$I=$C97)),"""")"),"")</f>
        <v/>
      </c>
      <c r="M97" s="92" t="str">
        <f t="shared" si="1"/>
        <v/>
      </c>
      <c r="N97" s="93">
        <f>IFERROR(__xludf.DUMMYFUNCTION("IFERROR(SWITCH(lower(join("" "",L97:M97)),""а миллионник"", 62.5,""б миллионник"", 75,""а мск"", 50, ""б мск"", 62.5, ""a остальное"", 70, ""б остальное"", 80)/100,0)"),0.0)</f>
        <v>0</v>
      </c>
      <c r="O97" s="91">
        <f t="shared" si="2"/>
        <v>0</v>
      </c>
      <c r="P97" s="91">
        <f>IFERROR(__xludf.DUMMYFUNCTION("IFERROR(sum(filter('Генеральный баннер'!$O:$O, 'Генеральный баннер'!$B:$B=$A97,'Генеральный баннер'!$C:$C=$B97,'Генеральный баннер'!$I:$I=$C97)), 0) "),0.0)</f>
        <v>0</v>
      </c>
      <c r="Q97" s="91">
        <f>IFERROR(__xludf.DUMMYFUNCTION("IFERROR(sum(filter('Генеральный баннер'!$Q:$Q, 'Генеральный баннер'!$B:$B=$A97,'Генеральный баннер'!$C:$C=$B97,'Генеральный баннер'!$I:$I=$C97)), 0) "),0.0)</f>
        <v>0</v>
      </c>
      <c r="R97" s="91">
        <f>IFERROR(__xludf.DUMMYFUNCTION("IFERROR(AVERAGE(filter('Генеральный баннер'!$AA:$AA, 'Генеральный баннер'!$B:$B=$A97,'Генеральный баннер'!$C:$C=$B97,'Генеральный баннер'!$I:$I=$C97)), 0) "),0.0)</f>
        <v>0</v>
      </c>
      <c r="S97" s="91">
        <f>IFERROR(__xludf.DUMMYFUNCTION("IFERROR(SUM(filter('Генеральный баннер'!$AH:$AH, 'Генеральный баннер'!$B:$B=$A97,'Генеральный баннер'!$C:$C=$B97,'Генеральный баннер'!$I:$I=$C97)), 0) "),0.0)</f>
        <v>0</v>
      </c>
      <c r="T97" s="91" t="str">
        <f>IFERROR(__xludf.DUMMYFUNCTION("IFERROR(REGEXREPLACE(unique(filter('Генеральный баннер'!$A:$A, 'Генеральный баннер'!$B:$B=$A97,'Генеральный баннер'!$C:$C=$B97,'Генеральный баннер'!$I:$I=$C97)), ""\d+"", """"),"""")"),"")</f>
        <v/>
      </c>
      <c r="U97" s="91" t="str">
        <f>IFERROR(__xludf.DUMMYFUNCTION("IFERROR(unique(filter('Генеральный баннер'!$F:$F, 'Генеральный баннер'!$B:$B=$A97,'Генеральный баннер'!$C:$C=$B97,'Генеральный баннер'!$I:$I=$C97)),"""")"),"")</f>
        <v/>
      </c>
      <c r="V97" s="92" t="str">
        <f t="shared" si="3"/>
        <v/>
      </c>
      <c r="W97" s="93">
        <f>IFERROR(__xludf.DUMMYFUNCTION("IFERROR(SWITCH(lower(join("" "",U97:V97)),""а миллионник"", 62.5,""б миллионник"", 75,""а мск"", 50, ""б мск"", 62.5, ""a остальное"", 70, ""б остальное"", 80)/100,0)"),0.0)</f>
        <v>0</v>
      </c>
      <c r="X97" s="91">
        <f t="shared" si="4"/>
        <v>0</v>
      </c>
    </row>
    <row r="98">
      <c r="A98" s="90"/>
      <c r="B98" s="90"/>
      <c r="C98" s="90"/>
      <c r="D98" s="91">
        <f>IFERROR(__xludf.DUMMYFUNCTION("IFERROR(sum(filter('Основной эфир'!$AA:$AA, 'Основной эфир'!$B:$B=$A98,'Основной эфир'!$C:$C=$B98,'Основной эфир'!$I:$I=$C98)), 0) "),0.0)</f>
        <v>0</v>
      </c>
      <c r="E98" s="91">
        <f>IFERROR(__xludf.DUMMYFUNCTION("IFERROR(sum(filter('Основной эфир'!$AC:$AC, 'Основной эфир'!$B:$B=$A98,'Основной эфир'!$C:$C=$B98,'Основной эфир'!$I:$I=$C98)), 0) "),0.0)</f>
        <v>0</v>
      </c>
      <c r="F98" s="91">
        <f>IFERROR(__xludf.DUMMYFUNCTION("IFERROR(sum(filter('Основной эфир'!$O:$O, 'Основной эфир'!$B:$B=$A98,'Основной эфир'!$C:$C=$B98,'Основной эфир'!$I:$I=$C98)), 0) "),0.0)</f>
        <v>0</v>
      </c>
      <c r="G98" s="91">
        <f>IFERROR(__xludf.DUMMYFUNCTION("IFERROR(sum(filter('Основной эфир'!$Q:$Q, 'Основной эфир'!$B:$B=$A98,'Основной эфир'!$C:$C=$B98,'Основной эфир'!$I:$I=$C98)), 0) "),0.0)</f>
        <v>0</v>
      </c>
      <c r="H98" s="91">
        <f>IFERROR(__xludf.DUMMYFUNCTION("IFERROR(AVERAGE(filter('Основной эфир'!$Y:$Y, 'Основной эфир'!$B:$B=$A98,'Основной эфир'!$C:$C=$B98,'Основной эфир'!$I:$I=$C98)), 0) "),0.0)</f>
        <v>0</v>
      </c>
      <c r="I98" s="91">
        <f>IFERROR(__xludf.DUMMYFUNCTION("IFERROR(AVERAGE(filter('Основной эфир'!$AE:$AE, 'Основной эфир'!$B:$B=$A98,'Основной эфир'!$C:$C=$B98,'Основной эфир'!$I:$I=$C98)), 0) "),0.0)</f>
        <v>0</v>
      </c>
      <c r="J98" s="91">
        <f>IFERROR(__xludf.DUMMYFUNCTION("IFERROR(SUM(filter('Основной эфир'!$AL:$AL, 'Основной эфир'!$B:$B=$A98,'Основной эфир'!$C:$C=$B98,'Основной эфир'!$I:$I=$C98)), 0) "),0.0)</f>
        <v>0</v>
      </c>
      <c r="K98" s="91" t="str">
        <f>IFERROR(__xludf.DUMMYFUNCTION("IFERROR(REGEXREPLACE(unique(filter('Основной эфир'!$A:$A, 'Основной эфир'!$B:$B=$A98,'Основной эфир'!$C:$C=$B98,'Основной эфир'!$I:$I=$C98)), ""\d+"", """"),"""")"),"")</f>
        <v/>
      </c>
      <c r="L98" s="91" t="str">
        <f>IFERROR(__xludf.DUMMYFUNCTION("IFERROR(unique(filter('Основной эфир'!$F:$F, 'Основной эфир'!$B:$B=$A98,'Основной эфир'!$C:$C=$B98,'Основной эфир'!$I:$I=$C98)),"""")"),"")</f>
        <v/>
      </c>
      <c r="M98" s="92" t="str">
        <f t="shared" si="1"/>
        <v/>
      </c>
      <c r="N98" s="93">
        <f>IFERROR(__xludf.DUMMYFUNCTION("IFERROR(SWITCH(lower(join("" "",L98:M98)),""а миллионник"", 62.5,""б миллионник"", 75,""а мск"", 50, ""б мск"", 62.5, ""a остальное"", 70, ""б остальное"", 80)/100,0)"),0.0)</f>
        <v>0</v>
      </c>
      <c r="O98" s="91">
        <f t="shared" si="2"/>
        <v>0</v>
      </c>
      <c r="P98" s="91">
        <f>IFERROR(__xludf.DUMMYFUNCTION("IFERROR(sum(filter('Генеральный баннер'!$O:$O, 'Генеральный баннер'!$B:$B=$A98,'Генеральный баннер'!$C:$C=$B98,'Генеральный баннер'!$I:$I=$C98)), 0) "),0.0)</f>
        <v>0</v>
      </c>
      <c r="Q98" s="91">
        <f>IFERROR(__xludf.DUMMYFUNCTION("IFERROR(sum(filter('Генеральный баннер'!$Q:$Q, 'Генеральный баннер'!$B:$B=$A98,'Генеральный баннер'!$C:$C=$B98,'Генеральный баннер'!$I:$I=$C98)), 0) "),0.0)</f>
        <v>0</v>
      </c>
      <c r="R98" s="91">
        <f>IFERROR(__xludf.DUMMYFUNCTION("IFERROR(AVERAGE(filter('Генеральный баннер'!$AA:$AA, 'Генеральный баннер'!$B:$B=$A98,'Генеральный баннер'!$C:$C=$B98,'Генеральный баннер'!$I:$I=$C98)), 0) "),0.0)</f>
        <v>0</v>
      </c>
      <c r="S98" s="91">
        <f>IFERROR(__xludf.DUMMYFUNCTION("IFERROR(SUM(filter('Генеральный баннер'!$AH:$AH, 'Генеральный баннер'!$B:$B=$A98,'Генеральный баннер'!$C:$C=$B98,'Генеральный баннер'!$I:$I=$C98)), 0) "),0.0)</f>
        <v>0</v>
      </c>
      <c r="T98" s="91" t="str">
        <f>IFERROR(__xludf.DUMMYFUNCTION("IFERROR(REGEXREPLACE(unique(filter('Генеральный баннер'!$A:$A, 'Генеральный баннер'!$B:$B=$A98,'Генеральный баннер'!$C:$C=$B98,'Генеральный баннер'!$I:$I=$C98)), ""\d+"", """"),"""")"),"")</f>
        <v/>
      </c>
      <c r="U98" s="91" t="str">
        <f>IFERROR(__xludf.DUMMYFUNCTION("IFERROR(unique(filter('Генеральный баннер'!$F:$F, 'Генеральный баннер'!$B:$B=$A98,'Генеральный баннер'!$C:$C=$B98,'Генеральный баннер'!$I:$I=$C98)),"""")"),"")</f>
        <v/>
      </c>
      <c r="V98" s="92" t="str">
        <f t="shared" si="3"/>
        <v/>
      </c>
      <c r="W98" s="93">
        <f>IFERROR(__xludf.DUMMYFUNCTION("IFERROR(SWITCH(lower(join("" "",U98:V98)),""а миллионник"", 62.5,""б миллионник"", 75,""а мск"", 50, ""б мск"", 62.5, ""a остальное"", 70, ""б остальное"", 80)/100,0)"),0.0)</f>
        <v>0</v>
      </c>
      <c r="X98" s="91">
        <f t="shared" si="4"/>
        <v>0</v>
      </c>
    </row>
    <row r="99">
      <c r="A99" s="90"/>
      <c r="B99" s="90"/>
      <c r="C99" s="90"/>
      <c r="D99" s="91">
        <f>IFERROR(__xludf.DUMMYFUNCTION("IFERROR(sum(filter('Основной эфир'!$AA:$AA, 'Основной эфир'!$B:$B=$A99,'Основной эфир'!$C:$C=$B99,'Основной эфир'!$I:$I=$C99)), 0) "),0.0)</f>
        <v>0</v>
      </c>
      <c r="E99" s="91">
        <f>IFERROR(__xludf.DUMMYFUNCTION("IFERROR(sum(filter('Основной эфир'!$AC:$AC, 'Основной эфир'!$B:$B=$A99,'Основной эфир'!$C:$C=$B99,'Основной эфир'!$I:$I=$C99)), 0) "),0.0)</f>
        <v>0</v>
      </c>
      <c r="F99" s="91">
        <f>IFERROR(__xludf.DUMMYFUNCTION("IFERROR(sum(filter('Основной эфир'!$O:$O, 'Основной эфир'!$B:$B=$A99,'Основной эфир'!$C:$C=$B99,'Основной эфир'!$I:$I=$C99)), 0) "),0.0)</f>
        <v>0</v>
      </c>
      <c r="G99" s="91">
        <f>IFERROR(__xludf.DUMMYFUNCTION("IFERROR(sum(filter('Основной эфир'!$Q:$Q, 'Основной эфир'!$B:$B=$A99,'Основной эфир'!$C:$C=$B99,'Основной эфир'!$I:$I=$C99)), 0) "),0.0)</f>
        <v>0</v>
      </c>
      <c r="H99" s="91">
        <f>IFERROR(__xludf.DUMMYFUNCTION("IFERROR(AVERAGE(filter('Основной эфир'!$Y:$Y, 'Основной эфир'!$B:$B=$A99,'Основной эфир'!$C:$C=$B99,'Основной эфир'!$I:$I=$C99)), 0) "),0.0)</f>
        <v>0</v>
      </c>
      <c r="I99" s="91">
        <f>IFERROR(__xludf.DUMMYFUNCTION("IFERROR(AVERAGE(filter('Основной эфир'!$AE:$AE, 'Основной эфир'!$B:$B=$A99,'Основной эфир'!$C:$C=$B99,'Основной эфир'!$I:$I=$C99)), 0) "),0.0)</f>
        <v>0</v>
      </c>
      <c r="J99" s="91">
        <f>IFERROR(__xludf.DUMMYFUNCTION("IFERROR(SUM(filter('Основной эфир'!$AL:$AL, 'Основной эфир'!$B:$B=$A99,'Основной эфир'!$C:$C=$B99,'Основной эфир'!$I:$I=$C99)), 0) "),0.0)</f>
        <v>0</v>
      </c>
      <c r="K99" s="91" t="str">
        <f>IFERROR(__xludf.DUMMYFUNCTION("IFERROR(REGEXREPLACE(unique(filter('Основной эфир'!$A:$A, 'Основной эфир'!$B:$B=$A99,'Основной эфир'!$C:$C=$B99,'Основной эфир'!$I:$I=$C99)), ""\d+"", """"),"""")"),"")</f>
        <v/>
      </c>
      <c r="L99" s="91" t="str">
        <f>IFERROR(__xludf.DUMMYFUNCTION("IFERROR(unique(filter('Основной эфир'!$F:$F, 'Основной эфир'!$B:$B=$A99,'Основной эфир'!$C:$C=$B99,'Основной эфир'!$I:$I=$C99)),"""")"),"")</f>
        <v/>
      </c>
      <c r="M99" s="92" t="str">
        <f t="shared" si="1"/>
        <v/>
      </c>
      <c r="N99" s="93">
        <f>IFERROR(__xludf.DUMMYFUNCTION("IFERROR(SWITCH(lower(join("" "",L99:M99)),""а миллионник"", 62.5,""б миллионник"", 75,""а мск"", 50, ""б мск"", 62.5, ""a остальное"", 70, ""б остальное"", 80)/100,0)"),0.0)</f>
        <v>0</v>
      </c>
      <c r="O99" s="91">
        <f t="shared" si="2"/>
        <v>0</v>
      </c>
      <c r="P99" s="91">
        <f>IFERROR(__xludf.DUMMYFUNCTION("IFERROR(sum(filter('Генеральный баннер'!$O:$O, 'Генеральный баннер'!$B:$B=$A99,'Генеральный баннер'!$C:$C=$B99,'Генеральный баннер'!$I:$I=$C99)), 0) "),0.0)</f>
        <v>0</v>
      </c>
      <c r="Q99" s="91">
        <f>IFERROR(__xludf.DUMMYFUNCTION("IFERROR(sum(filter('Генеральный баннер'!$Q:$Q, 'Генеральный баннер'!$B:$B=$A99,'Генеральный баннер'!$C:$C=$B99,'Генеральный баннер'!$I:$I=$C99)), 0) "),0.0)</f>
        <v>0</v>
      </c>
      <c r="R99" s="91">
        <f>IFERROR(__xludf.DUMMYFUNCTION("IFERROR(AVERAGE(filter('Генеральный баннер'!$AA:$AA, 'Генеральный баннер'!$B:$B=$A99,'Генеральный баннер'!$C:$C=$B99,'Генеральный баннер'!$I:$I=$C99)), 0) "),0.0)</f>
        <v>0</v>
      </c>
      <c r="S99" s="91">
        <f>IFERROR(__xludf.DUMMYFUNCTION("IFERROR(SUM(filter('Генеральный баннер'!$AH:$AH, 'Генеральный баннер'!$B:$B=$A99,'Генеральный баннер'!$C:$C=$B99,'Генеральный баннер'!$I:$I=$C99)), 0) "),0.0)</f>
        <v>0</v>
      </c>
      <c r="T99" s="91" t="str">
        <f>IFERROR(__xludf.DUMMYFUNCTION("IFERROR(REGEXREPLACE(unique(filter('Генеральный баннер'!$A:$A, 'Генеральный баннер'!$B:$B=$A99,'Генеральный баннер'!$C:$C=$B99,'Генеральный баннер'!$I:$I=$C99)), ""\d+"", """"),"""")"),"")</f>
        <v/>
      </c>
      <c r="U99" s="91" t="str">
        <f>IFERROR(__xludf.DUMMYFUNCTION("IFERROR(unique(filter('Генеральный баннер'!$F:$F, 'Генеральный баннер'!$B:$B=$A99,'Генеральный баннер'!$C:$C=$B99,'Генеральный баннер'!$I:$I=$C99)),"""")"),"")</f>
        <v/>
      </c>
      <c r="V99" s="92" t="str">
        <f t="shared" si="3"/>
        <v/>
      </c>
      <c r="W99" s="93">
        <f>IFERROR(__xludf.DUMMYFUNCTION("IFERROR(SWITCH(lower(join("" "",U99:V99)),""а миллионник"", 62.5,""б миллионник"", 75,""а мск"", 50, ""б мск"", 62.5, ""a остальное"", 70, ""б остальное"", 80)/100,0)"),0.0)</f>
        <v>0</v>
      </c>
      <c r="X99" s="91">
        <f t="shared" si="4"/>
        <v>0</v>
      </c>
    </row>
    <row r="100">
      <c r="A100" s="90"/>
      <c r="B100" s="90"/>
      <c r="C100" s="90"/>
      <c r="D100" s="91">
        <f>IFERROR(__xludf.DUMMYFUNCTION("IFERROR(sum(filter('Основной эфир'!$AA:$AA, 'Основной эфир'!$B:$B=$A100,'Основной эфир'!$C:$C=$B100,'Основной эфир'!$I:$I=$C100)), 0) "),0.0)</f>
        <v>0</v>
      </c>
      <c r="E100" s="91">
        <f>IFERROR(__xludf.DUMMYFUNCTION("IFERROR(sum(filter('Основной эфир'!$AC:$AC, 'Основной эфир'!$B:$B=$A100,'Основной эфир'!$C:$C=$B100,'Основной эфир'!$I:$I=$C100)), 0) "),0.0)</f>
        <v>0</v>
      </c>
      <c r="F100" s="91">
        <f>IFERROR(__xludf.DUMMYFUNCTION("IFERROR(sum(filter('Основной эфир'!$O:$O, 'Основной эфир'!$B:$B=$A100,'Основной эфир'!$C:$C=$B100,'Основной эфир'!$I:$I=$C100)), 0) "),0.0)</f>
        <v>0</v>
      </c>
      <c r="G100" s="91">
        <f>IFERROR(__xludf.DUMMYFUNCTION("IFERROR(sum(filter('Основной эфир'!$Q:$Q, 'Основной эфир'!$B:$B=$A100,'Основной эфир'!$C:$C=$B100,'Основной эфир'!$I:$I=$C100)), 0) "),0.0)</f>
        <v>0</v>
      </c>
      <c r="H100" s="91">
        <f>IFERROR(__xludf.DUMMYFUNCTION("IFERROR(AVERAGE(filter('Основной эфир'!$Y:$Y, 'Основной эфир'!$B:$B=$A100,'Основной эфир'!$C:$C=$B100,'Основной эфир'!$I:$I=$C100)), 0) "),0.0)</f>
        <v>0</v>
      </c>
      <c r="I100" s="91">
        <f>IFERROR(__xludf.DUMMYFUNCTION("IFERROR(AVERAGE(filter('Основной эфир'!$AE:$AE, 'Основной эфир'!$B:$B=$A100,'Основной эфир'!$C:$C=$B100,'Основной эфир'!$I:$I=$C100)), 0) "),0.0)</f>
        <v>0</v>
      </c>
      <c r="J100" s="91">
        <f>IFERROR(__xludf.DUMMYFUNCTION("IFERROR(SUM(filter('Основной эфир'!$AL:$AL, 'Основной эфир'!$B:$B=$A100,'Основной эфир'!$C:$C=$B100,'Основной эфир'!$I:$I=$C100)), 0) "),0.0)</f>
        <v>0</v>
      </c>
      <c r="K100" s="91" t="str">
        <f>IFERROR(__xludf.DUMMYFUNCTION("IFERROR(REGEXREPLACE(unique(filter('Основной эфир'!$A:$A, 'Основной эфир'!$B:$B=$A100,'Основной эфир'!$C:$C=$B100,'Основной эфир'!$I:$I=$C100)), ""\d+"", """"),"""")"),"")</f>
        <v/>
      </c>
      <c r="L100" s="91" t="str">
        <f>IFERROR(__xludf.DUMMYFUNCTION("IFERROR(unique(filter('Основной эфир'!$F:$F, 'Основной эфир'!$B:$B=$A100,'Основной эфир'!$C:$C=$B100,'Основной эфир'!$I:$I=$C100)),"""")"),"")</f>
        <v/>
      </c>
      <c r="M100" s="92" t="str">
        <f t="shared" si="1"/>
        <v/>
      </c>
      <c r="N100" s="93">
        <f>IFERROR(__xludf.DUMMYFUNCTION("IFERROR(SWITCH(lower(join("" "",L100:M100)),""а миллионник"", 62.5,""б миллионник"", 75,""а мск"", 50, ""б мск"", 62.5, ""a остальное"", 70, ""б остальное"", 80)/100,0)"),0.0)</f>
        <v>0</v>
      </c>
      <c r="O100" s="91">
        <f t="shared" si="2"/>
        <v>0</v>
      </c>
      <c r="P100" s="91">
        <f>IFERROR(__xludf.DUMMYFUNCTION("IFERROR(sum(filter('Генеральный баннер'!$O:$O, 'Генеральный баннер'!$B:$B=$A100,'Генеральный баннер'!$C:$C=$B100,'Генеральный баннер'!$I:$I=$C100)), 0) "),0.0)</f>
        <v>0</v>
      </c>
      <c r="Q100" s="91">
        <f>IFERROR(__xludf.DUMMYFUNCTION("IFERROR(sum(filter('Генеральный баннер'!$Q:$Q, 'Генеральный баннер'!$B:$B=$A100,'Генеральный баннер'!$C:$C=$B100,'Генеральный баннер'!$I:$I=$C100)), 0) "),0.0)</f>
        <v>0</v>
      </c>
      <c r="R100" s="91">
        <f>IFERROR(__xludf.DUMMYFUNCTION("IFERROR(AVERAGE(filter('Генеральный баннер'!$AA:$AA, 'Генеральный баннер'!$B:$B=$A100,'Генеральный баннер'!$C:$C=$B100,'Генеральный баннер'!$I:$I=$C100)), 0) "),0.0)</f>
        <v>0</v>
      </c>
      <c r="S100" s="91">
        <f>IFERROR(__xludf.DUMMYFUNCTION("IFERROR(SUM(filter('Генеральный баннер'!$AH:$AH, 'Генеральный баннер'!$B:$B=$A100,'Генеральный баннер'!$C:$C=$B100,'Генеральный баннер'!$I:$I=$C100)), 0) "),0.0)</f>
        <v>0</v>
      </c>
      <c r="T100" s="91" t="str">
        <f>IFERROR(__xludf.DUMMYFUNCTION("IFERROR(REGEXREPLACE(unique(filter('Генеральный баннер'!$A:$A, 'Генеральный баннер'!$B:$B=$A100,'Генеральный баннер'!$C:$C=$B100,'Генеральный баннер'!$I:$I=$C100)), ""\d+"", """"),"""")"),"")</f>
        <v/>
      </c>
      <c r="U100" s="91" t="str">
        <f>IFERROR(__xludf.DUMMYFUNCTION("IFERROR(unique(filter('Генеральный баннер'!$F:$F, 'Генеральный баннер'!$B:$B=$A100,'Генеральный баннер'!$C:$C=$B100,'Генеральный баннер'!$I:$I=$C100)),"""")"),"")</f>
        <v/>
      </c>
      <c r="V100" s="92" t="str">
        <f t="shared" si="3"/>
        <v/>
      </c>
      <c r="W100" s="93">
        <f>IFERROR(__xludf.DUMMYFUNCTION("IFERROR(SWITCH(lower(join("" "",U100:V100)),""а миллионник"", 62.5,""б миллионник"", 75,""а мск"", 50, ""б мск"", 62.5, ""a остальное"", 70, ""б остальное"", 80)/100,0)"),0.0)</f>
        <v>0</v>
      </c>
      <c r="X100" s="91">
        <f t="shared" si="4"/>
        <v>0</v>
      </c>
    </row>
    <row r="101">
      <c r="A101" s="90"/>
      <c r="B101" s="90"/>
      <c r="C101" s="90"/>
      <c r="D101" s="91">
        <f>IFERROR(__xludf.DUMMYFUNCTION("IFERROR(sum(filter('Основной эфир'!$AA:$AA, 'Основной эфир'!$B:$B=$A101,'Основной эфир'!$C:$C=$B101,'Основной эфир'!$I:$I=$C101)), 0) "),0.0)</f>
        <v>0</v>
      </c>
      <c r="E101" s="91">
        <f>IFERROR(__xludf.DUMMYFUNCTION("IFERROR(sum(filter('Основной эфир'!$AC:$AC, 'Основной эфир'!$B:$B=$A101,'Основной эфир'!$C:$C=$B101,'Основной эфир'!$I:$I=$C101)), 0) "),0.0)</f>
        <v>0</v>
      </c>
      <c r="F101" s="91">
        <f>IFERROR(__xludf.DUMMYFUNCTION("IFERROR(sum(filter('Основной эфир'!$O:$O, 'Основной эфир'!$B:$B=$A101,'Основной эфир'!$C:$C=$B101,'Основной эфир'!$I:$I=$C101)), 0) "),0.0)</f>
        <v>0</v>
      </c>
      <c r="G101" s="91">
        <f>IFERROR(__xludf.DUMMYFUNCTION("IFERROR(sum(filter('Основной эфир'!$Q:$Q, 'Основной эфир'!$B:$B=$A101,'Основной эфир'!$C:$C=$B101,'Основной эфир'!$I:$I=$C101)), 0) "),0.0)</f>
        <v>0</v>
      </c>
      <c r="H101" s="91">
        <f>IFERROR(__xludf.DUMMYFUNCTION("IFERROR(AVERAGE(filter('Основной эфир'!$Y:$Y, 'Основной эфир'!$B:$B=$A101,'Основной эфир'!$C:$C=$B101,'Основной эфир'!$I:$I=$C101)), 0) "),0.0)</f>
        <v>0</v>
      </c>
      <c r="I101" s="91">
        <f>IFERROR(__xludf.DUMMYFUNCTION("IFERROR(AVERAGE(filter('Основной эфир'!$AE:$AE, 'Основной эфир'!$B:$B=$A101,'Основной эфир'!$C:$C=$B101,'Основной эфир'!$I:$I=$C101)), 0) "),0.0)</f>
        <v>0</v>
      </c>
      <c r="J101" s="91">
        <f>IFERROR(__xludf.DUMMYFUNCTION("IFERROR(SUM(filter('Основной эфир'!$AL:$AL, 'Основной эфир'!$B:$B=$A101,'Основной эфир'!$C:$C=$B101,'Основной эфир'!$I:$I=$C101)), 0) "),0.0)</f>
        <v>0</v>
      </c>
      <c r="K101" s="91" t="str">
        <f>IFERROR(__xludf.DUMMYFUNCTION("IFERROR(REGEXREPLACE(unique(filter('Основной эфир'!$A:$A, 'Основной эфир'!$B:$B=$A101,'Основной эфир'!$C:$C=$B101,'Основной эфир'!$I:$I=$C101)), ""\d+"", """"),"""")"),"")</f>
        <v/>
      </c>
      <c r="L101" s="91" t="str">
        <f>IFERROR(__xludf.DUMMYFUNCTION("IFERROR(unique(filter('Основной эфир'!$F:$F, 'Основной эфир'!$B:$B=$A101,'Основной эфир'!$C:$C=$B101,'Основной эфир'!$I:$I=$C101)),"""")"),"")</f>
        <v/>
      </c>
      <c r="M101" s="92" t="str">
        <f t="shared" si="1"/>
        <v/>
      </c>
      <c r="N101" s="93">
        <f>IFERROR(__xludf.DUMMYFUNCTION("IFERROR(SWITCH(lower(join("" "",L101:M101)),""а миллионник"", 62.5,""б миллионник"", 75,""а мск"", 50, ""б мск"", 62.5, ""a остальное"", 70, ""б остальное"", 80)/100,0)"),0.0)</f>
        <v>0</v>
      </c>
      <c r="O101" s="91">
        <f t="shared" si="2"/>
        <v>0</v>
      </c>
      <c r="P101" s="91">
        <f>IFERROR(__xludf.DUMMYFUNCTION("IFERROR(sum(filter('Генеральный баннер'!$O:$O, 'Генеральный баннер'!$B:$B=$A101,'Генеральный баннер'!$C:$C=$B101,'Генеральный баннер'!$I:$I=$C101)), 0) "),0.0)</f>
        <v>0</v>
      </c>
      <c r="Q101" s="91">
        <f>IFERROR(__xludf.DUMMYFUNCTION("IFERROR(sum(filter('Генеральный баннер'!$Q:$Q, 'Генеральный баннер'!$B:$B=$A101,'Генеральный баннер'!$C:$C=$B101,'Генеральный баннер'!$I:$I=$C101)), 0) "),0.0)</f>
        <v>0</v>
      </c>
      <c r="R101" s="91">
        <f>IFERROR(__xludf.DUMMYFUNCTION("IFERROR(AVERAGE(filter('Генеральный баннер'!$AA:$AA, 'Генеральный баннер'!$B:$B=$A101,'Генеральный баннер'!$C:$C=$B101,'Генеральный баннер'!$I:$I=$C101)), 0) "),0.0)</f>
        <v>0</v>
      </c>
      <c r="S101" s="91">
        <f>IFERROR(__xludf.DUMMYFUNCTION("IFERROR(SUM(filter('Генеральный баннер'!$AH:$AH, 'Генеральный баннер'!$B:$B=$A101,'Генеральный баннер'!$C:$C=$B101,'Генеральный баннер'!$I:$I=$C101)), 0) "),0.0)</f>
        <v>0</v>
      </c>
      <c r="T101" s="91" t="str">
        <f>IFERROR(__xludf.DUMMYFUNCTION("IFERROR(REGEXREPLACE(unique(filter('Генеральный баннер'!$A:$A, 'Генеральный баннер'!$B:$B=$A101,'Генеральный баннер'!$C:$C=$B101,'Генеральный баннер'!$I:$I=$C101)), ""\d+"", """"),"""")"),"")</f>
        <v/>
      </c>
      <c r="U101" s="91" t="str">
        <f>IFERROR(__xludf.DUMMYFUNCTION("IFERROR(unique(filter('Генеральный баннер'!$F:$F, 'Генеральный баннер'!$B:$B=$A101,'Генеральный баннер'!$C:$C=$B101,'Генеральный баннер'!$I:$I=$C101)),"""")"),"")</f>
        <v/>
      </c>
      <c r="V101" s="92" t="str">
        <f t="shared" si="3"/>
        <v/>
      </c>
      <c r="W101" s="93">
        <f>IFERROR(__xludf.DUMMYFUNCTION("IFERROR(SWITCH(lower(join("" "",U101:V101)),""а миллионник"", 62.5,""б миллионник"", 75,""а мск"", 50, ""б мск"", 62.5, ""a остальное"", 70, ""б остальное"", 80)/100,0)"),0.0)</f>
        <v>0</v>
      </c>
      <c r="X101" s="91">
        <f t="shared" si="4"/>
        <v>0</v>
      </c>
    </row>
    <row r="102">
      <c r="A102" s="90"/>
      <c r="B102" s="90"/>
      <c r="C102" s="90"/>
      <c r="D102" s="91">
        <f>IFERROR(__xludf.DUMMYFUNCTION("IFERROR(sum(filter('Основной эфир'!$AA:$AA, 'Основной эфир'!$B:$B=$A102,'Основной эфир'!$C:$C=$B102,'Основной эфир'!$I:$I=$C102)), 0) "),0.0)</f>
        <v>0</v>
      </c>
      <c r="E102" s="91">
        <f>IFERROR(__xludf.DUMMYFUNCTION("IFERROR(sum(filter('Основной эфир'!$AC:$AC, 'Основной эфир'!$B:$B=$A102,'Основной эфир'!$C:$C=$B102,'Основной эфир'!$I:$I=$C102)), 0) "),0.0)</f>
        <v>0</v>
      </c>
      <c r="F102" s="91">
        <f>IFERROR(__xludf.DUMMYFUNCTION("IFERROR(sum(filter('Основной эфир'!$O:$O, 'Основной эфир'!$B:$B=$A102,'Основной эфир'!$C:$C=$B102,'Основной эфир'!$I:$I=$C102)), 0) "),0.0)</f>
        <v>0</v>
      </c>
      <c r="G102" s="91">
        <f>IFERROR(__xludf.DUMMYFUNCTION("IFERROR(sum(filter('Основной эфир'!$Q:$Q, 'Основной эфир'!$B:$B=$A102,'Основной эфир'!$C:$C=$B102,'Основной эфир'!$I:$I=$C102)), 0) "),0.0)</f>
        <v>0</v>
      </c>
      <c r="H102" s="91">
        <f>IFERROR(__xludf.DUMMYFUNCTION("IFERROR(AVERAGE(filter('Основной эфир'!$Y:$Y, 'Основной эфир'!$B:$B=$A102,'Основной эфир'!$C:$C=$B102,'Основной эфир'!$I:$I=$C102)), 0) "),0.0)</f>
        <v>0</v>
      </c>
      <c r="I102" s="91">
        <f>IFERROR(__xludf.DUMMYFUNCTION("IFERROR(AVERAGE(filter('Основной эфир'!$AE:$AE, 'Основной эфир'!$B:$B=$A102,'Основной эфир'!$C:$C=$B102,'Основной эфир'!$I:$I=$C102)), 0) "),0.0)</f>
        <v>0</v>
      </c>
      <c r="J102" s="91">
        <f>IFERROR(__xludf.DUMMYFUNCTION("IFERROR(SUM(filter('Основной эфир'!$AL:$AL, 'Основной эфир'!$B:$B=$A102,'Основной эфир'!$C:$C=$B102,'Основной эфир'!$I:$I=$C102)), 0) "),0.0)</f>
        <v>0</v>
      </c>
      <c r="K102" s="91" t="str">
        <f>IFERROR(__xludf.DUMMYFUNCTION("IFERROR(REGEXREPLACE(unique(filter('Основной эфир'!$A:$A, 'Основной эфир'!$B:$B=$A102,'Основной эфир'!$C:$C=$B102,'Основной эфир'!$I:$I=$C102)), ""\d+"", """"),"""")"),"")</f>
        <v/>
      </c>
      <c r="L102" s="91" t="str">
        <f>IFERROR(__xludf.DUMMYFUNCTION("IFERROR(unique(filter('Основной эфир'!$F:$F, 'Основной эфир'!$B:$B=$A102,'Основной эфир'!$C:$C=$B102,'Основной эфир'!$I:$I=$C102)),"""")"),"")</f>
        <v/>
      </c>
      <c r="M102" s="92" t="str">
        <f t="shared" si="1"/>
        <v/>
      </c>
      <c r="N102" s="93">
        <f>IFERROR(__xludf.DUMMYFUNCTION("IFERROR(SWITCH(lower(join("" "",L102:M102)),""а миллионник"", 62.5,""б миллионник"", 75,""а мск"", 50, ""б мск"", 62.5, ""a остальное"", 70, ""б остальное"", 80)/100,0)"),0.0)</f>
        <v>0</v>
      </c>
      <c r="O102" s="91">
        <f t="shared" si="2"/>
        <v>0</v>
      </c>
      <c r="P102" s="91">
        <f>IFERROR(__xludf.DUMMYFUNCTION("IFERROR(sum(filter('Генеральный баннер'!$O:$O, 'Генеральный баннер'!$B:$B=$A102,'Генеральный баннер'!$C:$C=$B102,'Генеральный баннер'!$I:$I=$C102)), 0) "),0.0)</f>
        <v>0</v>
      </c>
      <c r="Q102" s="91">
        <f>IFERROR(__xludf.DUMMYFUNCTION("IFERROR(sum(filter('Генеральный баннер'!$Q:$Q, 'Генеральный баннер'!$B:$B=$A102,'Генеральный баннер'!$C:$C=$B102,'Генеральный баннер'!$I:$I=$C102)), 0) "),0.0)</f>
        <v>0</v>
      </c>
      <c r="R102" s="91">
        <f>IFERROR(__xludf.DUMMYFUNCTION("IFERROR(AVERAGE(filter('Генеральный баннер'!$AA:$AA, 'Генеральный баннер'!$B:$B=$A102,'Генеральный баннер'!$C:$C=$B102,'Генеральный баннер'!$I:$I=$C102)), 0) "),0.0)</f>
        <v>0</v>
      </c>
      <c r="S102" s="91">
        <f>IFERROR(__xludf.DUMMYFUNCTION("IFERROR(SUM(filter('Генеральный баннер'!$AH:$AH, 'Генеральный баннер'!$B:$B=$A102,'Генеральный баннер'!$C:$C=$B102,'Генеральный баннер'!$I:$I=$C102)), 0) "),0.0)</f>
        <v>0</v>
      </c>
      <c r="T102" s="91" t="str">
        <f>IFERROR(__xludf.DUMMYFUNCTION("IFERROR(REGEXREPLACE(unique(filter('Генеральный баннер'!$A:$A, 'Генеральный баннер'!$B:$B=$A102,'Генеральный баннер'!$C:$C=$B102,'Генеральный баннер'!$I:$I=$C102)), ""\d+"", """"),"""")"),"")</f>
        <v/>
      </c>
      <c r="U102" s="91" t="str">
        <f>IFERROR(__xludf.DUMMYFUNCTION("IFERROR(unique(filter('Генеральный баннер'!$F:$F, 'Генеральный баннер'!$B:$B=$A102,'Генеральный баннер'!$C:$C=$B102,'Генеральный баннер'!$I:$I=$C102)),"""")"),"")</f>
        <v/>
      </c>
      <c r="V102" s="92" t="str">
        <f t="shared" si="3"/>
        <v/>
      </c>
      <c r="W102" s="93">
        <f>IFERROR(__xludf.DUMMYFUNCTION("IFERROR(SWITCH(lower(join("" "",U102:V102)),""а миллионник"", 62.5,""б миллионник"", 75,""а мск"", 50, ""б мск"", 62.5, ""a остальное"", 70, ""б остальное"", 80)/100,0)"),0.0)</f>
        <v>0</v>
      </c>
      <c r="X102" s="91">
        <f t="shared" si="4"/>
        <v>0</v>
      </c>
    </row>
    <row r="103">
      <c r="A103" s="90"/>
      <c r="B103" s="90"/>
      <c r="C103" s="90"/>
      <c r="D103" s="91">
        <f>IFERROR(__xludf.DUMMYFUNCTION("IFERROR(sum(filter('Основной эфир'!$AA:$AA, 'Основной эфир'!$B:$B=$A103,'Основной эфир'!$C:$C=$B103,'Основной эфир'!$I:$I=$C103)), 0) "),0.0)</f>
        <v>0</v>
      </c>
      <c r="E103" s="91">
        <f>IFERROR(__xludf.DUMMYFUNCTION("IFERROR(sum(filter('Основной эфир'!$AC:$AC, 'Основной эфир'!$B:$B=$A103,'Основной эфир'!$C:$C=$B103,'Основной эфир'!$I:$I=$C103)), 0) "),0.0)</f>
        <v>0</v>
      </c>
      <c r="F103" s="91">
        <f>IFERROR(__xludf.DUMMYFUNCTION("IFERROR(sum(filter('Основной эфир'!$O:$O, 'Основной эфир'!$B:$B=$A103,'Основной эфир'!$C:$C=$B103,'Основной эфир'!$I:$I=$C103)), 0) "),0.0)</f>
        <v>0</v>
      </c>
      <c r="G103" s="91">
        <f>IFERROR(__xludf.DUMMYFUNCTION("IFERROR(sum(filter('Основной эфир'!$Q:$Q, 'Основной эфир'!$B:$B=$A103,'Основной эфир'!$C:$C=$B103,'Основной эфир'!$I:$I=$C103)), 0) "),0.0)</f>
        <v>0</v>
      </c>
      <c r="H103" s="91">
        <f>IFERROR(__xludf.DUMMYFUNCTION("IFERROR(AVERAGE(filter('Основной эфир'!$Y:$Y, 'Основной эфир'!$B:$B=$A103,'Основной эфир'!$C:$C=$B103,'Основной эфир'!$I:$I=$C103)), 0) "),0.0)</f>
        <v>0</v>
      </c>
      <c r="I103" s="91">
        <f>IFERROR(__xludf.DUMMYFUNCTION("IFERROR(AVERAGE(filter('Основной эфир'!$AE:$AE, 'Основной эфир'!$B:$B=$A103,'Основной эфир'!$C:$C=$B103,'Основной эфир'!$I:$I=$C103)), 0) "),0.0)</f>
        <v>0</v>
      </c>
      <c r="J103" s="91">
        <f>IFERROR(__xludf.DUMMYFUNCTION("IFERROR(SUM(filter('Основной эфир'!$AL:$AL, 'Основной эфир'!$B:$B=$A103,'Основной эфир'!$C:$C=$B103,'Основной эфир'!$I:$I=$C103)), 0) "),0.0)</f>
        <v>0</v>
      </c>
      <c r="K103" s="91" t="str">
        <f>IFERROR(__xludf.DUMMYFUNCTION("IFERROR(REGEXREPLACE(unique(filter('Основной эфир'!$A:$A, 'Основной эфир'!$B:$B=$A103,'Основной эфир'!$C:$C=$B103,'Основной эфир'!$I:$I=$C103)), ""\d+"", """"),"""")"),"")</f>
        <v/>
      </c>
      <c r="L103" s="91" t="str">
        <f>IFERROR(__xludf.DUMMYFUNCTION("IFERROR(unique(filter('Основной эфир'!$F:$F, 'Основной эфир'!$B:$B=$A103,'Основной эфир'!$C:$C=$B103,'Основной эфир'!$I:$I=$C103)),"""")"),"")</f>
        <v/>
      </c>
      <c r="M103" s="92" t="str">
        <f t="shared" si="1"/>
        <v/>
      </c>
      <c r="N103" s="93">
        <f>IFERROR(__xludf.DUMMYFUNCTION("IFERROR(SWITCH(lower(join("" "",L103:M103)),""а миллионник"", 62.5,""б миллионник"", 75,""а мск"", 50, ""б мск"", 62.5, ""a остальное"", 70, ""б остальное"", 80)/100,0)"),0.0)</f>
        <v>0</v>
      </c>
      <c r="O103" s="91">
        <f t="shared" si="2"/>
        <v>0</v>
      </c>
      <c r="P103" s="91">
        <f>IFERROR(__xludf.DUMMYFUNCTION("IFERROR(sum(filter('Генеральный баннер'!$O:$O, 'Генеральный баннер'!$B:$B=$A103,'Генеральный баннер'!$C:$C=$B103,'Генеральный баннер'!$I:$I=$C103)), 0) "),0.0)</f>
        <v>0</v>
      </c>
      <c r="Q103" s="91">
        <f>IFERROR(__xludf.DUMMYFUNCTION("IFERROR(sum(filter('Генеральный баннер'!$Q:$Q, 'Генеральный баннер'!$B:$B=$A103,'Генеральный баннер'!$C:$C=$B103,'Генеральный баннер'!$I:$I=$C103)), 0) "),0.0)</f>
        <v>0</v>
      </c>
      <c r="R103" s="91">
        <f>IFERROR(__xludf.DUMMYFUNCTION("IFERROR(AVERAGE(filter('Генеральный баннер'!$AA:$AA, 'Генеральный баннер'!$B:$B=$A103,'Генеральный баннер'!$C:$C=$B103,'Генеральный баннер'!$I:$I=$C103)), 0) "),0.0)</f>
        <v>0</v>
      </c>
      <c r="S103" s="91">
        <f>IFERROR(__xludf.DUMMYFUNCTION("IFERROR(SUM(filter('Генеральный баннер'!$AH:$AH, 'Генеральный баннер'!$B:$B=$A103,'Генеральный баннер'!$C:$C=$B103,'Генеральный баннер'!$I:$I=$C103)), 0) "),0.0)</f>
        <v>0</v>
      </c>
      <c r="T103" s="91" t="str">
        <f>IFERROR(__xludf.DUMMYFUNCTION("IFERROR(REGEXREPLACE(unique(filter('Генеральный баннер'!$A:$A, 'Генеральный баннер'!$B:$B=$A103,'Генеральный баннер'!$C:$C=$B103,'Генеральный баннер'!$I:$I=$C103)), ""\d+"", """"),"""")"),"")</f>
        <v/>
      </c>
      <c r="U103" s="91" t="str">
        <f>IFERROR(__xludf.DUMMYFUNCTION("IFERROR(unique(filter('Генеральный баннер'!$F:$F, 'Генеральный баннер'!$B:$B=$A103,'Генеральный баннер'!$C:$C=$B103,'Генеральный баннер'!$I:$I=$C103)),"""")"),"")</f>
        <v/>
      </c>
      <c r="V103" s="92" t="str">
        <f t="shared" si="3"/>
        <v/>
      </c>
      <c r="W103" s="93">
        <f>IFERROR(__xludf.DUMMYFUNCTION("IFERROR(SWITCH(lower(join("" "",U103:V103)),""а миллионник"", 62.5,""б миллионник"", 75,""а мск"", 50, ""б мск"", 62.5, ""a остальное"", 70, ""б остальное"", 80)/100,0)"),0.0)</f>
        <v>0</v>
      </c>
      <c r="X103" s="91">
        <f t="shared" si="4"/>
        <v>0</v>
      </c>
    </row>
    <row r="104">
      <c r="A104" s="90"/>
      <c r="B104" s="90"/>
      <c r="C104" s="90"/>
      <c r="D104" s="91">
        <f>IFERROR(__xludf.DUMMYFUNCTION("IFERROR(sum(filter('Основной эфир'!$AA:$AA, 'Основной эфир'!$B:$B=$A104,'Основной эфир'!$C:$C=$B104,'Основной эфир'!$I:$I=$C104)), 0) "),0.0)</f>
        <v>0</v>
      </c>
      <c r="E104" s="91">
        <f>IFERROR(__xludf.DUMMYFUNCTION("IFERROR(sum(filter('Основной эфир'!$AC:$AC, 'Основной эфир'!$B:$B=$A104,'Основной эфир'!$C:$C=$B104,'Основной эфир'!$I:$I=$C104)), 0) "),0.0)</f>
        <v>0</v>
      </c>
      <c r="F104" s="91">
        <f>IFERROR(__xludf.DUMMYFUNCTION("IFERROR(sum(filter('Основной эфир'!$O:$O, 'Основной эфир'!$B:$B=$A104,'Основной эфир'!$C:$C=$B104,'Основной эфир'!$I:$I=$C104)), 0) "),0.0)</f>
        <v>0</v>
      </c>
      <c r="G104" s="91">
        <f>IFERROR(__xludf.DUMMYFUNCTION("IFERROR(sum(filter('Основной эфир'!$Q:$Q, 'Основной эфир'!$B:$B=$A104,'Основной эфир'!$C:$C=$B104,'Основной эфир'!$I:$I=$C104)), 0) "),0.0)</f>
        <v>0</v>
      </c>
      <c r="H104" s="91">
        <f>IFERROR(__xludf.DUMMYFUNCTION("IFERROR(AVERAGE(filter('Основной эфир'!$Y:$Y, 'Основной эфир'!$B:$B=$A104,'Основной эфир'!$C:$C=$B104,'Основной эфир'!$I:$I=$C104)), 0) "),0.0)</f>
        <v>0</v>
      </c>
      <c r="I104" s="91">
        <f>IFERROR(__xludf.DUMMYFUNCTION("IFERROR(AVERAGE(filter('Основной эфир'!$AE:$AE, 'Основной эфир'!$B:$B=$A104,'Основной эфир'!$C:$C=$B104,'Основной эфир'!$I:$I=$C104)), 0) "),0.0)</f>
        <v>0</v>
      </c>
      <c r="J104" s="91">
        <f>IFERROR(__xludf.DUMMYFUNCTION("IFERROR(SUM(filter('Основной эфир'!$AL:$AL, 'Основной эфир'!$B:$B=$A104,'Основной эфир'!$C:$C=$B104,'Основной эфир'!$I:$I=$C104)), 0) "),0.0)</f>
        <v>0</v>
      </c>
      <c r="K104" s="91" t="str">
        <f>IFERROR(__xludf.DUMMYFUNCTION("IFERROR(REGEXREPLACE(unique(filter('Основной эфир'!$A:$A, 'Основной эфир'!$B:$B=$A104,'Основной эфир'!$C:$C=$B104,'Основной эфир'!$I:$I=$C104)), ""\d+"", """"),"""")"),"")</f>
        <v/>
      </c>
      <c r="L104" s="91" t="str">
        <f>IFERROR(__xludf.DUMMYFUNCTION("IFERROR(unique(filter('Основной эфир'!$F:$F, 'Основной эфир'!$B:$B=$A104,'Основной эфир'!$C:$C=$B104,'Основной эфир'!$I:$I=$C104)),"""")"),"")</f>
        <v/>
      </c>
      <c r="M104" s="92" t="str">
        <f t="shared" si="1"/>
        <v/>
      </c>
      <c r="N104" s="93">
        <f>IFERROR(__xludf.DUMMYFUNCTION("IFERROR(SWITCH(lower(join("" "",L104:M104)),""а миллионник"", 62.5,""б миллионник"", 75,""а мск"", 50, ""б мск"", 62.5, ""a остальное"", 70, ""б остальное"", 80)/100,0)"),0.0)</f>
        <v>0</v>
      </c>
      <c r="O104" s="91">
        <f t="shared" si="2"/>
        <v>0</v>
      </c>
      <c r="P104" s="91">
        <f>IFERROR(__xludf.DUMMYFUNCTION("IFERROR(sum(filter('Генеральный баннер'!$O:$O, 'Генеральный баннер'!$B:$B=$A104,'Генеральный баннер'!$C:$C=$B104,'Генеральный баннер'!$I:$I=$C104)), 0) "),0.0)</f>
        <v>0</v>
      </c>
      <c r="Q104" s="91">
        <f>IFERROR(__xludf.DUMMYFUNCTION("IFERROR(sum(filter('Генеральный баннер'!$Q:$Q, 'Генеральный баннер'!$B:$B=$A104,'Генеральный баннер'!$C:$C=$B104,'Генеральный баннер'!$I:$I=$C104)), 0) "),0.0)</f>
        <v>0</v>
      </c>
      <c r="R104" s="91">
        <f>IFERROR(__xludf.DUMMYFUNCTION("IFERROR(AVERAGE(filter('Генеральный баннер'!$AA:$AA, 'Генеральный баннер'!$B:$B=$A104,'Генеральный баннер'!$C:$C=$B104,'Генеральный баннер'!$I:$I=$C104)), 0) "),0.0)</f>
        <v>0</v>
      </c>
      <c r="S104" s="91">
        <f>IFERROR(__xludf.DUMMYFUNCTION("IFERROR(SUM(filter('Генеральный баннер'!$AH:$AH, 'Генеральный баннер'!$B:$B=$A104,'Генеральный баннер'!$C:$C=$B104,'Генеральный баннер'!$I:$I=$C104)), 0) "),0.0)</f>
        <v>0</v>
      </c>
      <c r="T104" s="91" t="str">
        <f>IFERROR(__xludf.DUMMYFUNCTION("IFERROR(REGEXREPLACE(unique(filter('Генеральный баннер'!$A:$A, 'Генеральный баннер'!$B:$B=$A104,'Генеральный баннер'!$C:$C=$B104,'Генеральный баннер'!$I:$I=$C104)), ""\d+"", """"),"""")"),"")</f>
        <v/>
      </c>
      <c r="U104" s="91" t="str">
        <f>IFERROR(__xludf.DUMMYFUNCTION("IFERROR(unique(filter('Генеральный баннер'!$F:$F, 'Генеральный баннер'!$B:$B=$A104,'Генеральный баннер'!$C:$C=$B104,'Генеральный баннер'!$I:$I=$C104)),"""")"),"")</f>
        <v/>
      </c>
      <c r="V104" s="92" t="str">
        <f t="shared" si="3"/>
        <v/>
      </c>
      <c r="W104" s="93">
        <f>IFERROR(__xludf.DUMMYFUNCTION("IFERROR(SWITCH(lower(join("" "",U104:V104)),""а миллионник"", 62.5,""б миллионник"", 75,""а мск"", 50, ""б мск"", 62.5, ""a остальное"", 70, ""б остальное"", 80)/100,0)"),0.0)</f>
        <v>0</v>
      </c>
      <c r="X104" s="91">
        <f t="shared" si="4"/>
        <v>0</v>
      </c>
    </row>
    <row r="105">
      <c r="A105" s="90"/>
      <c r="B105" s="90"/>
      <c r="C105" s="90"/>
      <c r="D105" s="91">
        <f>IFERROR(__xludf.DUMMYFUNCTION("IFERROR(sum(filter('Основной эфир'!$AA:$AA, 'Основной эфир'!$B:$B=$A105,'Основной эфир'!$C:$C=$B105,'Основной эфир'!$I:$I=$C105)), 0) "),0.0)</f>
        <v>0</v>
      </c>
      <c r="E105" s="91">
        <f>IFERROR(__xludf.DUMMYFUNCTION("IFERROR(sum(filter('Основной эфир'!$AC:$AC, 'Основной эфир'!$B:$B=$A105,'Основной эфир'!$C:$C=$B105,'Основной эфир'!$I:$I=$C105)), 0) "),0.0)</f>
        <v>0</v>
      </c>
      <c r="F105" s="91">
        <f>IFERROR(__xludf.DUMMYFUNCTION("IFERROR(sum(filter('Основной эфир'!$O:$O, 'Основной эфир'!$B:$B=$A105,'Основной эфир'!$C:$C=$B105,'Основной эфир'!$I:$I=$C105)), 0) "),0.0)</f>
        <v>0</v>
      </c>
      <c r="G105" s="91">
        <f>IFERROR(__xludf.DUMMYFUNCTION("IFERROR(sum(filter('Основной эфир'!$Q:$Q, 'Основной эфир'!$B:$B=$A105,'Основной эфир'!$C:$C=$B105,'Основной эфир'!$I:$I=$C105)), 0) "),0.0)</f>
        <v>0</v>
      </c>
      <c r="H105" s="91">
        <f>IFERROR(__xludf.DUMMYFUNCTION("IFERROR(AVERAGE(filter('Основной эфир'!$Y:$Y, 'Основной эфир'!$B:$B=$A105,'Основной эфир'!$C:$C=$B105,'Основной эфир'!$I:$I=$C105)), 0) "),0.0)</f>
        <v>0</v>
      </c>
      <c r="I105" s="91">
        <f>IFERROR(__xludf.DUMMYFUNCTION("IFERROR(AVERAGE(filter('Основной эфир'!$AE:$AE, 'Основной эфир'!$B:$B=$A105,'Основной эфир'!$C:$C=$B105,'Основной эфир'!$I:$I=$C105)), 0) "),0.0)</f>
        <v>0</v>
      </c>
      <c r="J105" s="91">
        <f>IFERROR(__xludf.DUMMYFUNCTION("IFERROR(SUM(filter('Основной эфир'!$AL:$AL, 'Основной эфир'!$B:$B=$A105,'Основной эфир'!$C:$C=$B105,'Основной эфир'!$I:$I=$C105)), 0) "),0.0)</f>
        <v>0</v>
      </c>
      <c r="K105" s="91" t="str">
        <f>IFERROR(__xludf.DUMMYFUNCTION("IFERROR(REGEXREPLACE(unique(filter('Основной эфир'!$A:$A, 'Основной эфир'!$B:$B=$A105,'Основной эфир'!$C:$C=$B105,'Основной эфир'!$I:$I=$C105)), ""\d+"", """"),"""")"),"")</f>
        <v/>
      </c>
      <c r="L105" s="91" t="str">
        <f>IFERROR(__xludf.DUMMYFUNCTION("IFERROR(unique(filter('Основной эфир'!$F:$F, 'Основной эфир'!$B:$B=$A105,'Основной эфир'!$C:$C=$B105,'Основной эфир'!$I:$I=$C105)),"""")"),"")</f>
        <v/>
      </c>
      <c r="M105" s="92" t="str">
        <f t="shared" si="1"/>
        <v/>
      </c>
      <c r="N105" s="93">
        <f>IFERROR(__xludf.DUMMYFUNCTION("IFERROR(SWITCH(lower(join("" "",L105:M105)),""а миллионник"", 62.5,""б миллионник"", 75,""а мск"", 50, ""б мск"", 62.5, ""a остальное"", 70, ""б остальное"", 80)/100,0)"),0.0)</f>
        <v>0</v>
      </c>
      <c r="O105" s="91">
        <f t="shared" si="2"/>
        <v>0</v>
      </c>
      <c r="P105" s="91">
        <f>IFERROR(__xludf.DUMMYFUNCTION("IFERROR(sum(filter('Генеральный баннер'!$O:$O, 'Генеральный баннер'!$B:$B=$A105,'Генеральный баннер'!$C:$C=$B105,'Генеральный баннер'!$I:$I=$C105)), 0) "),0.0)</f>
        <v>0</v>
      </c>
      <c r="Q105" s="91">
        <f>IFERROR(__xludf.DUMMYFUNCTION("IFERROR(sum(filter('Генеральный баннер'!$Q:$Q, 'Генеральный баннер'!$B:$B=$A105,'Генеральный баннер'!$C:$C=$B105,'Генеральный баннер'!$I:$I=$C105)), 0) "),0.0)</f>
        <v>0</v>
      </c>
      <c r="R105" s="91">
        <f>IFERROR(__xludf.DUMMYFUNCTION("IFERROR(AVERAGE(filter('Генеральный баннер'!$AA:$AA, 'Генеральный баннер'!$B:$B=$A105,'Генеральный баннер'!$C:$C=$B105,'Генеральный баннер'!$I:$I=$C105)), 0) "),0.0)</f>
        <v>0</v>
      </c>
      <c r="S105" s="91">
        <f>IFERROR(__xludf.DUMMYFUNCTION("IFERROR(SUM(filter('Генеральный баннер'!$AH:$AH, 'Генеральный баннер'!$B:$B=$A105,'Генеральный баннер'!$C:$C=$B105,'Генеральный баннер'!$I:$I=$C105)), 0) "),0.0)</f>
        <v>0</v>
      </c>
      <c r="T105" s="91" t="str">
        <f>IFERROR(__xludf.DUMMYFUNCTION("IFERROR(REGEXREPLACE(unique(filter('Генеральный баннер'!$A:$A, 'Генеральный баннер'!$B:$B=$A105,'Генеральный баннер'!$C:$C=$B105,'Генеральный баннер'!$I:$I=$C105)), ""\d+"", """"),"""")"),"")</f>
        <v/>
      </c>
      <c r="U105" s="91" t="str">
        <f>IFERROR(__xludf.DUMMYFUNCTION("IFERROR(unique(filter('Генеральный баннер'!$F:$F, 'Генеральный баннер'!$B:$B=$A105,'Генеральный баннер'!$C:$C=$B105,'Генеральный баннер'!$I:$I=$C105)),"""")"),"")</f>
        <v/>
      </c>
      <c r="V105" s="92" t="str">
        <f t="shared" si="3"/>
        <v/>
      </c>
      <c r="W105" s="93">
        <f>IFERROR(__xludf.DUMMYFUNCTION("IFERROR(SWITCH(lower(join("" "",U105:V105)),""а миллионник"", 62.5,""б миллионник"", 75,""а мск"", 50, ""б мск"", 62.5, ""a остальное"", 70, ""б остальное"", 80)/100,0)"),0.0)</f>
        <v>0</v>
      </c>
      <c r="X105" s="91">
        <f t="shared" si="4"/>
        <v>0</v>
      </c>
    </row>
    <row r="106">
      <c r="A106" s="90"/>
      <c r="B106" s="90"/>
      <c r="C106" s="90"/>
      <c r="D106" s="91">
        <f>IFERROR(__xludf.DUMMYFUNCTION("IFERROR(sum(filter('Основной эфир'!$AA:$AA, 'Основной эфир'!$B:$B=$A106,'Основной эфир'!$C:$C=$B106,'Основной эфир'!$I:$I=$C106)), 0) "),0.0)</f>
        <v>0</v>
      </c>
      <c r="E106" s="91">
        <f>IFERROR(__xludf.DUMMYFUNCTION("IFERROR(sum(filter('Основной эфир'!$AC:$AC, 'Основной эфир'!$B:$B=$A106,'Основной эфир'!$C:$C=$B106,'Основной эфир'!$I:$I=$C106)), 0) "),0.0)</f>
        <v>0</v>
      </c>
      <c r="F106" s="91">
        <f>IFERROR(__xludf.DUMMYFUNCTION("IFERROR(sum(filter('Основной эфир'!$O:$O, 'Основной эфир'!$B:$B=$A106,'Основной эфир'!$C:$C=$B106,'Основной эфир'!$I:$I=$C106)), 0) "),0.0)</f>
        <v>0</v>
      </c>
      <c r="G106" s="91">
        <f>IFERROR(__xludf.DUMMYFUNCTION("IFERROR(sum(filter('Основной эфир'!$Q:$Q, 'Основной эфир'!$B:$B=$A106,'Основной эфир'!$C:$C=$B106,'Основной эфир'!$I:$I=$C106)), 0) "),0.0)</f>
        <v>0</v>
      </c>
      <c r="H106" s="91">
        <f>IFERROR(__xludf.DUMMYFUNCTION("IFERROR(AVERAGE(filter('Основной эфир'!$Y:$Y, 'Основной эфир'!$B:$B=$A106,'Основной эфир'!$C:$C=$B106,'Основной эфир'!$I:$I=$C106)), 0) "),0.0)</f>
        <v>0</v>
      </c>
      <c r="I106" s="91">
        <f>IFERROR(__xludf.DUMMYFUNCTION("IFERROR(AVERAGE(filter('Основной эфир'!$AE:$AE, 'Основной эфир'!$B:$B=$A106,'Основной эфир'!$C:$C=$B106,'Основной эфир'!$I:$I=$C106)), 0) "),0.0)</f>
        <v>0</v>
      </c>
      <c r="J106" s="91">
        <f>IFERROR(__xludf.DUMMYFUNCTION("IFERROR(SUM(filter('Основной эфир'!$AL:$AL, 'Основной эфир'!$B:$B=$A106,'Основной эфир'!$C:$C=$B106,'Основной эфир'!$I:$I=$C106)), 0) "),0.0)</f>
        <v>0</v>
      </c>
      <c r="K106" s="91" t="str">
        <f>IFERROR(__xludf.DUMMYFUNCTION("IFERROR(REGEXREPLACE(unique(filter('Основной эфир'!$A:$A, 'Основной эфир'!$B:$B=$A106,'Основной эфир'!$C:$C=$B106,'Основной эфир'!$I:$I=$C106)), ""\d+"", """"),"""")"),"")</f>
        <v/>
      </c>
      <c r="L106" s="91" t="str">
        <f>IFERROR(__xludf.DUMMYFUNCTION("IFERROR(unique(filter('Основной эфир'!$F:$F, 'Основной эфир'!$B:$B=$A106,'Основной эфир'!$C:$C=$B106,'Основной эфир'!$I:$I=$C106)),"""")"),"")</f>
        <v/>
      </c>
      <c r="M106" s="92" t="str">
        <f t="shared" si="1"/>
        <v/>
      </c>
      <c r="N106" s="93">
        <f>IFERROR(__xludf.DUMMYFUNCTION("IFERROR(SWITCH(lower(join("" "",L106:M106)),""а миллионник"", 62.5,""б миллионник"", 75,""а мск"", 50, ""б мск"", 62.5, ""a остальное"", 70, ""б остальное"", 80)/100,0)"),0.0)</f>
        <v>0</v>
      </c>
      <c r="O106" s="91">
        <f t="shared" si="2"/>
        <v>0</v>
      </c>
      <c r="P106" s="91">
        <f>IFERROR(__xludf.DUMMYFUNCTION("IFERROR(sum(filter('Генеральный баннер'!$O:$O, 'Генеральный баннер'!$B:$B=$A106,'Генеральный баннер'!$C:$C=$B106,'Генеральный баннер'!$I:$I=$C106)), 0) "),0.0)</f>
        <v>0</v>
      </c>
      <c r="Q106" s="91">
        <f>IFERROR(__xludf.DUMMYFUNCTION("IFERROR(sum(filter('Генеральный баннер'!$Q:$Q, 'Генеральный баннер'!$B:$B=$A106,'Генеральный баннер'!$C:$C=$B106,'Генеральный баннер'!$I:$I=$C106)), 0) "),0.0)</f>
        <v>0</v>
      </c>
      <c r="R106" s="91">
        <f>IFERROR(__xludf.DUMMYFUNCTION("IFERROR(AVERAGE(filter('Генеральный баннер'!$AA:$AA, 'Генеральный баннер'!$B:$B=$A106,'Генеральный баннер'!$C:$C=$B106,'Генеральный баннер'!$I:$I=$C106)), 0) "),0.0)</f>
        <v>0</v>
      </c>
      <c r="S106" s="91">
        <f>IFERROR(__xludf.DUMMYFUNCTION("IFERROR(SUM(filter('Генеральный баннер'!$AH:$AH, 'Генеральный баннер'!$B:$B=$A106,'Генеральный баннер'!$C:$C=$B106,'Генеральный баннер'!$I:$I=$C106)), 0) "),0.0)</f>
        <v>0</v>
      </c>
      <c r="T106" s="91" t="str">
        <f>IFERROR(__xludf.DUMMYFUNCTION("IFERROR(REGEXREPLACE(unique(filter('Генеральный баннер'!$A:$A, 'Генеральный баннер'!$B:$B=$A106,'Генеральный баннер'!$C:$C=$B106,'Генеральный баннер'!$I:$I=$C106)), ""\d+"", """"),"""")"),"")</f>
        <v/>
      </c>
      <c r="U106" s="91" t="str">
        <f>IFERROR(__xludf.DUMMYFUNCTION("IFERROR(unique(filter('Генеральный баннер'!$F:$F, 'Генеральный баннер'!$B:$B=$A106,'Генеральный баннер'!$C:$C=$B106,'Генеральный баннер'!$I:$I=$C106)),"""")"),"")</f>
        <v/>
      </c>
      <c r="V106" s="92" t="str">
        <f t="shared" si="3"/>
        <v/>
      </c>
      <c r="W106" s="93">
        <f>IFERROR(__xludf.DUMMYFUNCTION("IFERROR(SWITCH(lower(join("" "",U106:V106)),""а миллионник"", 62.5,""б миллионник"", 75,""а мск"", 50, ""б мск"", 62.5, ""a остальное"", 70, ""б остальное"", 80)/100,0)"),0.0)</f>
        <v>0</v>
      </c>
      <c r="X106" s="91">
        <f t="shared" si="4"/>
        <v>0</v>
      </c>
    </row>
    <row r="107">
      <c r="A107" s="90"/>
      <c r="B107" s="90"/>
      <c r="C107" s="90"/>
      <c r="D107" s="91">
        <f>IFERROR(__xludf.DUMMYFUNCTION("IFERROR(sum(filter('Основной эфир'!$AA:$AA, 'Основной эфир'!$B:$B=$A107,'Основной эфир'!$C:$C=$B107,'Основной эфир'!$I:$I=$C107)), 0) "),0.0)</f>
        <v>0</v>
      </c>
      <c r="E107" s="91">
        <f>IFERROR(__xludf.DUMMYFUNCTION("IFERROR(sum(filter('Основной эфир'!$AC:$AC, 'Основной эфир'!$B:$B=$A107,'Основной эфир'!$C:$C=$B107,'Основной эфир'!$I:$I=$C107)), 0) "),0.0)</f>
        <v>0</v>
      </c>
      <c r="F107" s="91">
        <f>IFERROR(__xludf.DUMMYFUNCTION("IFERROR(sum(filter('Основной эфир'!$O:$O, 'Основной эфир'!$B:$B=$A107,'Основной эфир'!$C:$C=$B107,'Основной эфир'!$I:$I=$C107)), 0) "),0.0)</f>
        <v>0</v>
      </c>
      <c r="G107" s="91">
        <f>IFERROR(__xludf.DUMMYFUNCTION("IFERROR(sum(filter('Основной эфир'!$Q:$Q, 'Основной эфир'!$B:$B=$A107,'Основной эфир'!$C:$C=$B107,'Основной эфир'!$I:$I=$C107)), 0) "),0.0)</f>
        <v>0</v>
      </c>
      <c r="H107" s="91">
        <f>IFERROR(__xludf.DUMMYFUNCTION("IFERROR(AVERAGE(filter('Основной эфир'!$Y:$Y, 'Основной эфир'!$B:$B=$A107,'Основной эфир'!$C:$C=$B107,'Основной эфир'!$I:$I=$C107)), 0) "),0.0)</f>
        <v>0</v>
      </c>
      <c r="I107" s="91">
        <f>IFERROR(__xludf.DUMMYFUNCTION("IFERROR(AVERAGE(filter('Основной эфир'!$AE:$AE, 'Основной эфир'!$B:$B=$A107,'Основной эфир'!$C:$C=$B107,'Основной эфир'!$I:$I=$C107)), 0) "),0.0)</f>
        <v>0</v>
      </c>
      <c r="J107" s="91">
        <f>IFERROR(__xludf.DUMMYFUNCTION("IFERROR(SUM(filter('Основной эфир'!$AL:$AL, 'Основной эфир'!$B:$B=$A107,'Основной эфир'!$C:$C=$B107,'Основной эфир'!$I:$I=$C107)), 0) "),0.0)</f>
        <v>0</v>
      </c>
      <c r="K107" s="91" t="str">
        <f>IFERROR(__xludf.DUMMYFUNCTION("IFERROR(REGEXREPLACE(unique(filter('Основной эфир'!$A:$A, 'Основной эфир'!$B:$B=$A107,'Основной эфир'!$C:$C=$B107,'Основной эфир'!$I:$I=$C107)), ""\d+"", """"),"""")"),"")</f>
        <v/>
      </c>
      <c r="L107" s="91" t="str">
        <f>IFERROR(__xludf.DUMMYFUNCTION("IFERROR(unique(filter('Основной эфир'!$F:$F, 'Основной эфир'!$B:$B=$A107,'Основной эфир'!$C:$C=$B107,'Основной эфир'!$I:$I=$C107)),"""")"),"")</f>
        <v/>
      </c>
      <c r="M107" s="92" t="str">
        <f t="shared" si="1"/>
        <v/>
      </c>
      <c r="N107" s="93">
        <f>IFERROR(__xludf.DUMMYFUNCTION("IFERROR(SWITCH(lower(join("" "",L107:M107)),""а миллионник"", 62.5,""б миллионник"", 75,""а мск"", 50, ""б мск"", 62.5, ""a остальное"", 70, ""б остальное"", 80)/100,0)"),0.0)</f>
        <v>0</v>
      </c>
      <c r="O107" s="91">
        <f t="shared" si="2"/>
        <v>0</v>
      </c>
      <c r="P107" s="91">
        <f>IFERROR(__xludf.DUMMYFUNCTION("IFERROR(sum(filter('Генеральный баннер'!$O:$O, 'Генеральный баннер'!$B:$B=$A107,'Генеральный баннер'!$C:$C=$B107,'Генеральный баннер'!$I:$I=$C107)), 0) "),0.0)</f>
        <v>0</v>
      </c>
      <c r="Q107" s="91">
        <f>IFERROR(__xludf.DUMMYFUNCTION("IFERROR(sum(filter('Генеральный баннер'!$Q:$Q, 'Генеральный баннер'!$B:$B=$A107,'Генеральный баннер'!$C:$C=$B107,'Генеральный баннер'!$I:$I=$C107)), 0) "),0.0)</f>
        <v>0</v>
      </c>
      <c r="R107" s="91">
        <f>IFERROR(__xludf.DUMMYFUNCTION("IFERROR(AVERAGE(filter('Генеральный баннер'!$AA:$AA, 'Генеральный баннер'!$B:$B=$A107,'Генеральный баннер'!$C:$C=$B107,'Генеральный баннер'!$I:$I=$C107)), 0) "),0.0)</f>
        <v>0</v>
      </c>
      <c r="S107" s="91">
        <f>IFERROR(__xludf.DUMMYFUNCTION("IFERROR(SUM(filter('Генеральный баннер'!$AH:$AH, 'Генеральный баннер'!$B:$B=$A107,'Генеральный баннер'!$C:$C=$B107,'Генеральный баннер'!$I:$I=$C107)), 0) "),0.0)</f>
        <v>0</v>
      </c>
      <c r="T107" s="91" t="str">
        <f>IFERROR(__xludf.DUMMYFUNCTION("IFERROR(REGEXREPLACE(unique(filter('Генеральный баннер'!$A:$A, 'Генеральный баннер'!$B:$B=$A107,'Генеральный баннер'!$C:$C=$B107,'Генеральный баннер'!$I:$I=$C107)), ""\d+"", """"),"""")"),"")</f>
        <v/>
      </c>
      <c r="U107" s="91" t="str">
        <f>IFERROR(__xludf.DUMMYFUNCTION("IFERROR(unique(filter('Генеральный баннер'!$F:$F, 'Генеральный баннер'!$B:$B=$A107,'Генеральный баннер'!$C:$C=$B107,'Генеральный баннер'!$I:$I=$C107)),"""")"),"")</f>
        <v/>
      </c>
      <c r="V107" s="92" t="str">
        <f t="shared" si="3"/>
        <v/>
      </c>
      <c r="W107" s="93">
        <f>IFERROR(__xludf.DUMMYFUNCTION("IFERROR(SWITCH(lower(join("" "",U107:V107)),""а миллионник"", 62.5,""б миллионник"", 75,""а мск"", 50, ""б мск"", 62.5, ""a остальное"", 70, ""б остальное"", 80)/100,0)"),0.0)</f>
        <v>0</v>
      </c>
      <c r="X107" s="91">
        <f t="shared" si="4"/>
        <v>0</v>
      </c>
    </row>
    <row r="108">
      <c r="A108" s="90"/>
      <c r="B108" s="90"/>
      <c r="C108" s="90"/>
      <c r="D108" s="91">
        <f>IFERROR(__xludf.DUMMYFUNCTION("IFERROR(sum(filter('Основной эфир'!$AA:$AA, 'Основной эфир'!$B:$B=$A108,'Основной эфир'!$C:$C=$B108,'Основной эфир'!$I:$I=$C108)), 0) "),0.0)</f>
        <v>0</v>
      </c>
      <c r="E108" s="91">
        <f>IFERROR(__xludf.DUMMYFUNCTION("IFERROR(sum(filter('Основной эфир'!$AC:$AC, 'Основной эфир'!$B:$B=$A108,'Основной эфир'!$C:$C=$B108,'Основной эфир'!$I:$I=$C108)), 0) "),0.0)</f>
        <v>0</v>
      </c>
      <c r="F108" s="91">
        <f>IFERROR(__xludf.DUMMYFUNCTION("IFERROR(sum(filter('Основной эфир'!$O:$O, 'Основной эфир'!$B:$B=$A108,'Основной эфир'!$C:$C=$B108,'Основной эфир'!$I:$I=$C108)), 0) "),0.0)</f>
        <v>0</v>
      </c>
      <c r="G108" s="91">
        <f>IFERROR(__xludf.DUMMYFUNCTION("IFERROR(sum(filter('Основной эфир'!$Q:$Q, 'Основной эфир'!$B:$B=$A108,'Основной эфир'!$C:$C=$B108,'Основной эфир'!$I:$I=$C108)), 0) "),0.0)</f>
        <v>0</v>
      </c>
      <c r="H108" s="91">
        <f>IFERROR(__xludf.DUMMYFUNCTION("IFERROR(AVERAGE(filter('Основной эфир'!$Y:$Y, 'Основной эфир'!$B:$B=$A108,'Основной эфир'!$C:$C=$B108,'Основной эфир'!$I:$I=$C108)), 0) "),0.0)</f>
        <v>0</v>
      </c>
      <c r="I108" s="91">
        <f>IFERROR(__xludf.DUMMYFUNCTION("IFERROR(AVERAGE(filter('Основной эфир'!$AE:$AE, 'Основной эфир'!$B:$B=$A108,'Основной эфир'!$C:$C=$B108,'Основной эфир'!$I:$I=$C108)), 0) "),0.0)</f>
        <v>0</v>
      </c>
      <c r="J108" s="91">
        <f>IFERROR(__xludf.DUMMYFUNCTION("IFERROR(SUM(filter('Основной эфир'!$AL:$AL, 'Основной эфир'!$B:$B=$A108,'Основной эфир'!$C:$C=$B108,'Основной эфир'!$I:$I=$C108)), 0) "),0.0)</f>
        <v>0</v>
      </c>
      <c r="K108" s="91" t="str">
        <f>IFERROR(__xludf.DUMMYFUNCTION("IFERROR(REGEXREPLACE(unique(filter('Основной эфир'!$A:$A, 'Основной эфир'!$B:$B=$A108,'Основной эфир'!$C:$C=$B108,'Основной эфир'!$I:$I=$C108)), ""\d+"", """"),"""")"),"")</f>
        <v/>
      </c>
      <c r="L108" s="91" t="str">
        <f>IFERROR(__xludf.DUMMYFUNCTION("IFERROR(unique(filter('Основной эфир'!$F:$F, 'Основной эфир'!$B:$B=$A108,'Основной эфир'!$C:$C=$B108,'Основной эфир'!$I:$I=$C108)),"""")"),"")</f>
        <v/>
      </c>
      <c r="M108" s="92" t="str">
        <f t="shared" si="1"/>
        <v/>
      </c>
      <c r="N108" s="93">
        <f>IFERROR(__xludf.DUMMYFUNCTION("IFERROR(SWITCH(lower(join("" "",L108:M108)),""а миллионник"", 62.5,""б миллионник"", 75,""а мск"", 50, ""б мск"", 62.5, ""a остальное"", 70, ""б остальное"", 80)/100,0)"),0.0)</f>
        <v>0</v>
      </c>
      <c r="O108" s="91">
        <f t="shared" si="2"/>
        <v>0</v>
      </c>
      <c r="P108" s="91">
        <f>IFERROR(__xludf.DUMMYFUNCTION("IFERROR(sum(filter('Генеральный баннер'!$O:$O, 'Генеральный баннер'!$B:$B=$A108,'Генеральный баннер'!$C:$C=$B108,'Генеральный баннер'!$I:$I=$C108)), 0) "),0.0)</f>
        <v>0</v>
      </c>
      <c r="Q108" s="91">
        <f>IFERROR(__xludf.DUMMYFUNCTION("IFERROR(sum(filter('Генеральный баннер'!$Q:$Q, 'Генеральный баннер'!$B:$B=$A108,'Генеральный баннер'!$C:$C=$B108,'Генеральный баннер'!$I:$I=$C108)), 0) "),0.0)</f>
        <v>0</v>
      </c>
      <c r="R108" s="91">
        <f>IFERROR(__xludf.DUMMYFUNCTION("IFERROR(AVERAGE(filter('Генеральный баннер'!$AA:$AA, 'Генеральный баннер'!$B:$B=$A108,'Генеральный баннер'!$C:$C=$B108,'Генеральный баннер'!$I:$I=$C108)), 0) "),0.0)</f>
        <v>0</v>
      </c>
      <c r="S108" s="91">
        <f>IFERROR(__xludf.DUMMYFUNCTION("IFERROR(SUM(filter('Генеральный баннер'!$AH:$AH, 'Генеральный баннер'!$B:$B=$A108,'Генеральный баннер'!$C:$C=$B108,'Генеральный баннер'!$I:$I=$C108)), 0) "),0.0)</f>
        <v>0</v>
      </c>
      <c r="T108" s="91" t="str">
        <f>IFERROR(__xludf.DUMMYFUNCTION("IFERROR(REGEXREPLACE(unique(filter('Генеральный баннер'!$A:$A, 'Генеральный баннер'!$B:$B=$A108,'Генеральный баннер'!$C:$C=$B108,'Генеральный баннер'!$I:$I=$C108)), ""\d+"", """"),"""")"),"")</f>
        <v/>
      </c>
      <c r="U108" s="91" t="str">
        <f>IFERROR(__xludf.DUMMYFUNCTION("IFERROR(unique(filter('Генеральный баннер'!$F:$F, 'Генеральный баннер'!$B:$B=$A108,'Генеральный баннер'!$C:$C=$B108,'Генеральный баннер'!$I:$I=$C108)),"""")"),"")</f>
        <v/>
      </c>
      <c r="V108" s="92" t="str">
        <f t="shared" si="3"/>
        <v/>
      </c>
      <c r="W108" s="93">
        <f>IFERROR(__xludf.DUMMYFUNCTION("IFERROR(SWITCH(lower(join("" "",U108:V108)),""а миллионник"", 62.5,""б миллионник"", 75,""а мск"", 50, ""б мск"", 62.5, ""a остальное"", 70, ""б остальное"", 80)/100,0)"),0.0)</f>
        <v>0</v>
      </c>
      <c r="X108" s="91">
        <f t="shared" si="4"/>
        <v>0</v>
      </c>
    </row>
    <row r="109">
      <c r="A109" s="90"/>
      <c r="B109" s="90"/>
      <c r="C109" s="90"/>
      <c r="D109" s="91">
        <f>IFERROR(__xludf.DUMMYFUNCTION("IFERROR(sum(filter('Основной эфир'!$AA:$AA, 'Основной эфир'!$B:$B=$A109,'Основной эфир'!$C:$C=$B109,'Основной эфир'!$I:$I=$C109)), 0) "),0.0)</f>
        <v>0</v>
      </c>
      <c r="E109" s="91">
        <f>IFERROR(__xludf.DUMMYFUNCTION("IFERROR(sum(filter('Основной эфир'!$AC:$AC, 'Основной эфир'!$B:$B=$A109,'Основной эфир'!$C:$C=$B109,'Основной эфир'!$I:$I=$C109)), 0) "),0.0)</f>
        <v>0</v>
      </c>
      <c r="F109" s="91">
        <f>IFERROR(__xludf.DUMMYFUNCTION("IFERROR(sum(filter('Основной эфир'!$O:$O, 'Основной эфир'!$B:$B=$A109,'Основной эфир'!$C:$C=$B109,'Основной эфир'!$I:$I=$C109)), 0) "),0.0)</f>
        <v>0</v>
      </c>
      <c r="G109" s="91">
        <f>IFERROR(__xludf.DUMMYFUNCTION("IFERROR(sum(filter('Основной эфир'!$Q:$Q, 'Основной эфир'!$B:$B=$A109,'Основной эфир'!$C:$C=$B109,'Основной эфир'!$I:$I=$C109)), 0) "),0.0)</f>
        <v>0</v>
      </c>
      <c r="H109" s="91">
        <f>IFERROR(__xludf.DUMMYFUNCTION("IFERROR(AVERAGE(filter('Основной эфир'!$Y:$Y, 'Основной эфир'!$B:$B=$A109,'Основной эфир'!$C:$C=$B109,'Основной эфир'!$I:$I=$C109)), 0) "),0.0)</f>
        <v>0</v>
      </c>
      <c r="I109" s="91">
        <f>IFERROR(__xludf.DUMMYFUNCTION("IFERROR(AVERAGE(filter('Основной эфир'!$AE:$AE, 'Основной эфир'!$B:$B=$A109,'Основной эфир'!$C:$C=$B109,'Основной эфир'!$I:$I=$C109)), 0) "),0.0)</f>
        <v>0</v>
      </c>
      <c r="J109" s="91">
        <f>IFERROR(__xludf.DUMMYFUNCTION("IFERROR(SUM(filter('Основной эфир'!$AL:$AL, 'Основной эфир'!$B:$B=$A109,'Основной эфир'!$C:$C=$B109,'Основной эфир'!$I:$I=$C109)), 0) "),0.0)</f>
        <v>0</v>
      </c>
      <c r="K109" s="91" t="str">
        <f>IFERROR(__xludf.DUMMYFUNCTION("IFERROR(REGEXREPLACE(unique(filter('Основной эфир'!$A:$A, 'Основной эфир'!$B:$B=$A109,'Основной эфир'!$C:$C=$B109,'Основной эфир'!$I:$I=$C109)), ""\d+"", """"),"""")"),"")</f>
        <v/>
      </c>
      <c r="L109" s="91" t="str">
        <f>IFERROR(__xludf.DUMMYFUNCTION("IFERROR(unique(filter('Основной эфир'!$F:$F, 'Основной эфир'!$B:$B=$A109,'Основной эфир'!$C:$C=$B109,'Основной эфир'!$I:$I=$C109)),"""")"),"")</f>
        <v/>
      </c>
      <c r="M109" s="92" t="str">
        <f t="shared" si="1"/>
        <v/>
      </c>
      <c r="N109" s="93">
        <f>IFERROR(__xludf.DUMMYFUNCTION("IFERROR(SWITCH(lower(join("" "",L109:M109)),""а миллионник"", 62.5,""б миллионник"", 75,""а мск"", 50, ""б мск"", 62.5, ""a остальное"", 70, ""б остальное"", 80)/100,0)"),0.0)</f>
        <v>0</v>
      </c>
      <c r="O109" s="91">
        <f t="shared" si="2"/>
        <v>0</v>
      </c>
      <c r="P109" s="91">
        <f>IFERROR(__xludf.DUMMYFUNCTION("IFERROR(sum(filter('Генеральный баннер'!$O:$O, 'Генеральный баннер'!$B:$B=$A109,'Генеральный баннер'!$C:$C=$B109,'Генеральный баннер'!$I:$I=$C109)), 0) "),0.0)</f>
        <v>0</v>
      </c>
      <c r="Q109" s="91">
        <f>IFERROR(__xludf.DUMMYFUNCTION("IFERROR(sum(filter('Генеральный баннер'!$Q:$Q, 'Генеральный баннер'!$B:$B=$A109,'Генеральный баннер'!$C:$C=$B109,'Генеральный баннер'!$I:$I=$C109)), 0) "),0.0)</f>
        <v>0</v>
      </c>
      <c r="R109" s="91">
        <f>IFERROR(__xludf.DUMMYFUNCTION("IFERROR(AVERAGE(filter('Генеральный баннер'!$AA:$AA, 'Генеральный баннер'!$B:$B=$A109,'Генеральный баннер'!$C:$C=$B109,'Генеральный баннер'!$I:$I=$C109)), 0) "),0.0)</f>
        <v>0</v>
      </c>
      <c r="S109" s="91">
        <f>IFERROR(__xludf.DUMMYFUNCTION("IFERROR(SUM(filter('Генеральный баннер'!$AH:$AH, 'Генеральный баннер'!$B:$B=$A109,'Генеральный баннер'!$C:$C=$B109,'Генеральный баннер'!$I:$I=$C109)), 0) "),0.0)</f>
        <v>0</v>
      </c>
      <c r="T109" s="91" t="str">
        <f>IFERROR(__xludf.DUMMYFUNCTION("IFERROR(REGEXREPLACE(unique(filter('Генеральный баннер'!$A:$A, 'Генеральный баннер'!$B:$B=$A109,'Генеральный баннер'!$C:$C=$B109,'Генеральный баннер'!$I:$I=$C109)), ""\d+"", """"),"""")"),"")</f>
        <v/>
      </c>
      <c r="U109" s="91" t="str">
        <f>IFERROR(__xludf.DUMMYFUNCTION("IFERROR(unique(filter('Генеральный баннер'!$F:$F, 'Генеральный баннер'!$B:$B=$A109,'Генеральный баннер'!$C:$C=$B109,'Генеральный баннер'!$I:$I=$C109)),"""")"),"")</f>
        <v/>
      </c>
      <c r="V109" s="92" t="str">
        <f t="shared" si="3"/>
        <v/>
      </c>
      <c r="W109" s="93">
        <f>IFERROR(__xludf.DUMMYFUNCTION("IFERROR(SWITCH(lower(join("" "",U109:V109)),""а миллионник"", 62.5,""б миллионник"", 75,""а мск"", 50, ""б мск"", 62.5, ""a остальное"", 70, ""б остальное"", 80)/100,0)"),0.0)</f>
        <v>0</v>
      </c>
      <c r="X109" s="91">
        <f t="shared" si="4"/>
        <v>0</v>
      </c>
    </row>
    <row r="110">
      <c r="A110" s="90"/>
      <c r="B110" s="90"/>
      <c r="C110" s="90"/>
      <c r="D110" s="91">
        <f>IFERROR(__xludf.DUMMYFUNCTION("IFERROR(sum(filter('Основной эфир'!$AA:$AA, 'Основной эфир'!$B:$B=$A110,'Основной эфир'!$C:$C=$B110,'Основной эфир'!$I:$I=$C110)), 0) "),0.0)</f>
        <v>0</v>
      </c>
      <c r="E110" s="91">
        <f>IFERROR(__xludf.DUMMYFUNCTION("IFERROR(sum(filter('Основной эфир'!$AC:$AC, 'Основной эфир'!$B:$B=$A110,'Основной эфир'!$C:$C=$B110,'Основной эфир'!$I:$I=$C110)), 0) "),0.0)</f>
        <v>0</v>
      </c>
      <c r="F110" s="91">
        <f>IFERROR(__xludf.DUMMYFUNCTION("IFERROR(sum(filter('Основной эфир'!$O:$O, 'Основной эфир'!$B:$B=$A110,'Основной эфир'!$C:$C=$B110,'Основной эфир'!$I:$I=$C110)), 0) "),0.0)</f>
        <v>0</v>
      </c>
      <c r="G110" s="91">
        <f>IFERROR(__xludf.DUMMYFUNCTION("IFERROR(sum(filter('Основной эфир'!$Q:$Q, 'Основной эфир'!$B:$B=$A110,'Основной эфир'!$C:$C=$B110,'Основной эфир'!$I:$I=$C110)), 0) "),0.0)</f>
        <v>0</v>
      </c>
      <c r="H110" s="91">
        <f>IFERROR(__xludf.DUMMYFUNCTION("IFERROR(AVERAGE(filter('Основной эфир'!$Y:$Y, 'Основной эфир'!$B:$B=$A110,'Основной эфир'!$C:$C=$B110,'Основной эфир'!$I:$I=$C110)), 0) "),0.0)</f>
        <v>0</v>
      </c>
      <c r="I110" s="91">
        <f>IFERROR(__xludf.DUMMYFUNCTION("IFERROR(AVERAGE(filter('Основной эфир'!$AE:$AE, 'Основной эфир'!$B:$B=$A110,'Основной эфир'!$C:$C=$B110,'Основной эфир'!$I:$I=$C110)), 0) "),0.0)</f>
        <v>0</v>
      </c>
      <c r="J110" s="91">
        <f>IFERROR(__xludf.DUMMYFUNCTION("IFERROR(SUM(filter('Основной эфир'!$AL:$AL, 'Основной эфир'!$B:$B=$A110,'Основной эфир'!$C:$C=$B110,'Основной эфир'!$I:$I=$C110)), 0) "),0.0)</f>
        <v>0</v>
      </c>
      <c r="K110" s="91" t="str">
        <f>IFERROR(__xludf.DUMMYFUNCTION("IFERROR(REGEXREPLACE(unique(filter('Основной эфир'!$A:$A, 'Основной эфир'!$B:$B=$A110,'Основной эфир'!$C:$C=$B110,'Основной эфир'!$I:$I=$C110)), ""\d+"", """"),"""")"),"")</f>
        <v/>
      </c>
      <c r="L110" s="91" t="str">
        <f>IFERROR(__xludf.DUMMYFUNCTION("IFERROR(unique(filter('Основной эфир'!$F:$F, 'Основной эфир'!$B:$B=$A110,'Основной эфир'!$C:$C=$B110,'Основной эфир'!$I:$I=$C110)),"""")"),"")</f>
        <v/>
      </c>
      <c r="M110" s="92" t="str">
        <f t="shared" si="1"/>
        <v/>
      </c>
      <c r="N110" s="93">
        <f>IFERROR(__xludf.DUMMYFUNCTION("IFERROR(SWITCH(lower(join("" "",L110:M110)),""а миллионник"", 62.5,""б миллионник"", 75,""а мск"", 50, ""б мск"", 62.5, ""a остальное"", 70, ""б остальное"", 80)/100,0)"),0.0)</f>
        <v>0</v>
      </c>
      <c r="O110" s="91">
        <f t="shared" si="2"/>
        <v>0</v>
      </c>
      <c r="P110" s="91">
        <f>IFERROR(__xludf.DUMMYFUNCTION("IFERROR(sum(filter('Генеральный баннер'!$O:$O, 'Генеральный баннер'!$B:$B=$A110,'Генеральный баннер'!$C:$C=$B110,'Генеральный баннер'!$I:$I=$C110)), 0) "),0.0)</f>
        <v>0</v>
      </c>
      <c r="Q110" s="91">
        <f>IFERROR(__xludf.DUMMYFUNCTION("IFERROR(sum(filter('Генеральный баннер'!$Q:$Q, 'Генеральный баннер'!$B:$B=$A110,'Генеральный баннер'!$C:$C=$B110,'Генеральный баннер'!$I:$I=$C110)), 0) "),0.0)</f>
        <v>0</v>
      </c>
      <c r="R110" s="91">
        <f>IFERROR(__xludf.DUMMYFUNCTION("IFERROR(AVERAGE(filter('Генеральный баннер'!$AA:$AA, 'Генеральный баннер'!$B:$B=$A110,'Генеральный баннер'!$C:$C=$B110,'Генеральный баннер'!$I:$I=$C110)), 0) "),0.0)</f>
        <v>0</v>
      </c>
      <c r="S110" s="91">
        <f>IFERROR(__xludf.DUMMYFUNCTION("IFERROR(SUM(filter('Генеральный баннер'!$AH:$AH, 'Генеральный баннер'!$B:$B=$A110,'Генеральный баннер'!$C:$C=$B110,'Генеральный баннер'!$I:$I=$C110)), 0) "),0.0)</f>
        <v>0</v>
      </c>
      <c r="T110" s="91" t="str">
        <f>IFERROR(__xludf.DUMMYFUNCTION("IFERROR(REGEXREPLACE(unique(filter('Генеральный баннер'!$A:$A, 'Генеральный баннер'!$B:$B=$A110,'Генеральный баннер'!$C:$C=$B110,'Генеральный баннер'!$I:$I=$C110)), ""\d+"", """"),"""")"),"")</f>
        <v/>
      </c>
      <c r="U110" s="91" t="str">
        <f>IFERROR(__xludf.DUMMYFUNCTION("IFERROR(unique(filter('Генеральный баннер'!$F:$F, 'Генеральный баннер'!$B:$B=$A110,'Генеральный баннер'!$C:$C=$B110,'Генеральный баннер'!$I:$I=$C110)),"""")"),"")</f>
        <v/>
      </c>
      <c r="V110" s="92" t="str">
        <f t="shared" si="3"/>
        <v/>
      </c>
      <c r="W110" s="93">
        <f>IFERROR(__xludf.DUMMYFUNCTION("IFERROR(SWITCH(lower(join("" "",U110:V110)),""а миллионник"", 62.5,""б миллионник"", 75,""а мск"", 50, ""б мск"", 62.5, ""a остальное"", 70, ""б остальное"", 80)/100,0)"),0.0)</f>
        <v>0</v>
      </c>
      <c r="X110" s="91">
        <f t="shared" si="4"/>
        <v>0</v>
      </c>
    </row>
    <row r="111">
      <c r="A111" s="90"/>
      <c r="B111" s="90"/>
      <c r="C111" s="90"/>
      <c r="D111" s="91">
        <f>IFERROR(__xludf.DUMMYFUNCTION("IFERROR(sum(filter('Основной эфир'!$AA:$AA, 'Основной эфир'!$B:$B=$A111,'Основной эфир'!$C:$C=$B111,'Основной эфир'!$I:$I=$C111)), 0) "),0.0)</f>
        <v>0</v>
      </c>
      <c r="E111" s="91">
        <f>IFERROR(__xludf.DUMMYFUNCTION("IFERROR(sum(filter('Основной эфир'!$AC:$AC, 'Основной эфир'!$B:$B=$A111,'Основной эфир'!$C:$C=$B111,'Основной эфир'!$I:$I=$C111)), 0) "),0.0)</f>
        <v>0</v>
      </c>
      <c r="F111" s="91">
        <f>IFERROR(__xludf.DUMMYFUNCTION("IFERROR(sum(filter('Основной эфир'!$O:$O, 'Основной эфир'!$B:$B=$A111,'Основной эфир'!$C:$C=$B111,'Основной эфир'!$I:$I=$C111)), 0) "),0.0)</f>
        <v>0</v>
      </c>
      <c r="G111" s="91">
        <f>IFERROR(__xludf.DUMMYFUNCTION("IFERROR(sum(filter('Основной эфир'!$Q:$Q, 'Основной эфир'!$B:$B=$A111,'Основной эфир'!$C:$C=$B111,'Основной эфир'!$I:$I=$C111)), 0) "),0.0)</f>
        <v>0</v>
      </c>
      <c r="H111" s="91">
        <f>IFERROR(__xludf.DUMMYFUNCTION("IFERROR(AVERAGE(filter('Основной эфир'!$Y:$Y, 'Основной эфир'!$B:$B=$A111,'Основной эфир'!$C:$C=$B111,'Основной эфир'!$I:$I=$C111)), 0) "),0.0)</f>
        <v>0</v>
      </c>
      <c r="I111" s="91">
        <f>IFERROR(__xludf.DUMMYFUNCTION("IFERROR(AVERAGE(filter('Основной эфир'!$AE:$AE, 'Основной эфир'!$B:$B=$A111,'Основной эфир'!$C:$C=$B111,'Основной эфир'!$I:$I=$C111)), 0) "),0.0)</f>
        <v>0</v>
      </c>
      <c r="J111" s="91">
        <f>IFERROR(__xludf.DUMMYFUNCTION("IFERROR(SUM(filter('Основной эфир'!$AL:$AL, 'Основной эфир'!$B:$B=$A111,'Основной эфир'!$C:$C=$B111,'Основной эфир'!$I:$I=$C111)), 0) "),0.0)</f>
        <v>0</v>
      </c>
      <c r="K111" s="91" t="str">
        <f>IFERROR(__xludf.DUMMYFUNCTION("IFERROR(REGEXREPLACE(unique(filter('Основной эфир'!$A:$A, 'Основной эфир'!$B:$B=$A111,'Основной эфир'!$C:$C=$B111,'Основной эфир'!$I:$I=$C111)), ""\d+"", """"),"""")"),"")</f>
        <v/>
      </c>
      <c r="L111" s="91" t="str">
        <f>IFERROR(__xludf.DUMMYFUNCTION("IFERROR(unique(filter('Основной эфир'!$F:$F, 'Основной эфир'!$B:$B=$A111,'Основной эфир'!$C:$C=$B111,'Основной эфир'!$I:$I=$C111)),"""")"),"")</f>
        <v/>
      </c>
      <c r="M111" s="92" t="str">
        <f t="shared" si="1"/>
        <v/>
      </c>
      <c r="N111" s="93">
        <f>IFERROR(__xludf.DUMMYFUNCTION("IFERROR(SWITCH(lower(join("" "",L111:M111)),""а миллионник"", 62.5,""б миллионник"", 75,""а мск"", 50, ""б мск"", 62.5, ""a остальное"", 70, ""б остальное"", 80)/100,0)"),0.0)</f>
        <v>0</v>
      </c>
      <c r="O111" s="91">
        <f t="shared" si="2"/>
        <v>0</v>
      </c>
      <c r="P111" s="91">
        <f>IFERROR(__xludf.DUMMYFUNCTION("IFERROR(sum(filter('Генеральный баннер'!$O:$O, 'Генеральный баннер'!$B:$B=$A111,'Генеральный баннер'!$C:$C=$B111,'Генеральный баннер'!$I:$I=$C111)), 0) "),0.0)</f>
        <v>0</v>
      </c>
      <c r="Q111" s="91">
        <f>IFERROR(__xludf.DUMMYFUNCTION("IFERROR(sum(filter('Генеральный баннер'!$Q:$Q, 'Генеральный баннер'!$B:$B=$A111,'Генеральный баннер'!$C:$C=$B111,'Генеральный баннер'!$I:$I=$C111)), 0) "),0.0)</f>
        <v>0</v>
      </c>
      <c r="R111" s="91">
        <f>IFERROR(__xludf.DUMMYFUNCTION("IFERROR(AVERAGE(filter('Генеральный баннер'!$AA:$AA, 'Генеральный баннер'!$B:$B=$A111,'Генеральный баннер'!$C:$C=$B111,'Генеральный баннер'!$I:$I=$C111)), 0) "),0.0)</f>
        <v>0</v>
      </c>
      <c r="S111" s="91">
        <f>IFERROR(__xludf.DUMMYFUNCTION("IFERROR(SUM(filter('Генеральный баннер'!$AH:$AH, 'Генеральный баннер'!$B:$B=$A111,'Генеральный баннер'!$C:$C=$B111,'Генеральный баннер'!$I:$I=$C111)), 0) "),0.0)</f>
        <v>0</v>
      </c>
      <c r="T111" s="91" t="str">
        <f>IFERROR(__xludf.DUMMYFUNCTION("IFERROR(REGEXREPLACE(unique(filter('Генеральный баннер'!$A:$A, 'Генеральный баннер'!$B:$B=$A111,'Генеральный баннер'!$C:$C=$B111,'Генеральный баннер'!$I:$I=$C111)), ""\d+"", """"),"""")"),"")</f>
        <v/>
      </c>
      <c r="U111" s="91" t="str">
        <f>IFERROR(__xludf.DUMMYFUNCTION("IFERROR(unique(filter('Генеральный баннер'!$F:$F, 'Генеральный баннер'!$B:$B=$A111,'Генеральный баннер'!$C:$C=$B111,'Генеральный баннер'!$I:$I=$C111)),"""")"),"")</f>
        <v/>
      </c>
      <c r="V111" s="92" t="str">
        <f t="shared" si="3"/>
        <v/>
      </c>
      <c r="W111" s="93">
        <f>IFERROR(__xludf.DUMMYFUNCTION("IFERROR(SWITCH(lower(join("" "",U111:V111)),""а миллионник"", 62.5,""б миллионник"", 75,""а мск"", 50, ""б мск"", 62.5, ""a остальное"", 70, ""б остальное"", 80)/100,0)"),0.0)</f>
        <v>0</v>
      </c>
      <c r="X111" s="91">
        <f t="shared" si="4"/>
        <v>0</v>
      </c>
    </row>
    <row r="112">
      <c r="A112" s="90"/>
      <c r="B112" s="90"/>
      <c r="C112" s="90"/>
      <c r="D112" s="91">
        <f>IFERROR(__xludf.DUMMYFUNCTION("IFERROR(sum(filter('Основной эфир'!$AA:$AA, 'Основной эфир'!$B:$B=$A112,'Основной эфир'!$C:$C=$B112,'Основной эфир'!$I:$I=$C112)), 0) "),0.0)</f>
        <v>0</v>
      </c>
      <c r="E112" s="91">
        <f>IFERROR(__xludf.DUMMYFUNCTION("IFERROR(sum(filter('Основной эфир'!$AC:$AC, 'Основной эфир'!$B:$B=$A112,'Основной эфир'!$C:$C=$B112,'Основной эфир'!$I:$I=$C112)), 0) "),0.0)</f>
        <v>0</v>
      </c>
      <c r="F112" s="91">
        <f>IFERROR(__xludf.DUMMYFUNCTION("IFERROR(sum(filter('Основной эфир'!$O:$O, 'Основной эфир'!$B:$B=$A112,'Основной эфир'!$C:$C=$B112,'Основной эфир'!$I:$I=$C112)), 0) "),0.0)</f>
        <v>0</v>
      </c>
      <c r="G112" s="91">
        <f>IFERROR(__xludf.DUMMYFUNCTION("IFERROR(sum(filter('Основной эфир'!$Q:$Q, 'Основной эфир'!$B:$B=$A112,'Основной эфир'!$C:$C=$B112,'Основной эфир'!$I:$I=$C112)), 0) "),0.0)</f>
        <v>0</v>
      </c>
      <c r="H112" s="91">
        <f>IFERROR(__xludf.DUMMYFUNCTION("IFERROR(AVERAGE(filter('Основной эфир'!$Y:$Y, 'Основной эфир'!$B:$B=$A112,'Основной эфир'!$C:$C=$B112,'Основной эфир'!$I:$I=$C112)), 0) "),0.0)</f>
        <v>0</v>
      </c>
      <c r="I112" s="91">
        <f>IFERROR(__xludf.DUMMYFUNCTION("IFERROR(AVERAGE(filter('Основной эфир'!$AE:$AE, 'Основной эфир'!$B:$B=$A112,'Основной эфир'!$C:$C=$B112,'Основной эфир'!$I:$I=$C112)), 0) "),0.0)</f>
        <v>0</v>
      </c>
      <c r="J112" s="91">
        <f>IFERROR(__xludf.DUMMYFUNCTION("IFERROR(SUM(filter('Основной эфир'!$AL:$AL, 'Основной эфир'!$B:$B=$A112,'Основной эфир'!$C:$C=$B112,'Основной эфир'!$I:$I=$C112)), 0) "),0.0)</f>
        <v>0</v>
      </c>
      <c r="K112" s="91" t="str">
        <f>IFERROR(__xludf.DUMMYFUNCTION("IFERROR(REGEXREPLACE(unique(filter('Основной эфир'!$A:$A, 'Основной эфир'!$B:$B=$A112,'Основной эфир'!$C:$C=$B112,'Основной эфир'!$I:$I=$C112)), ""\d+"", """"),"""")"),"")</f>
        <v/>
      </c>
      <c r="L112" s="91" t="str">
        <f>IFERROR(__xludf.DUMMYFUNCTION("IFERROR(unique(filter('Основной эфир'!$F:$F, 'Основной эфир'!$B:$B=$A112,'Основной эфир'!$C:$C=$B112,'Основной эфир'!$I:$I=$C112)),"""")"),"")</f>
        <v/>
      </c>
      <c r="M112" s="92" t="str">
        <f t="shared" si="1"/>
        <v/>
      </c>
      <c r="N112" s="93">
        <f>IFERROR(__xludf.DUMMYFUNCTION("IFERROR(SWITCH(lower(join("" "",L112:M112)),""а миллионник"", 62.5,""б миллионник"", 75,""а мск"", 50, ""б мск"", 62.5, ""a остальное"", 70, ""б остальное"", 80)/100,0)"),0.0)</f>
        <v>0</v>
      </c>
      <c r="O112" s="91">
        <f t="shared" si="2"/>
        <v>0</v>
      </c>
      <c r="P112" s="91">
        <f>IFERROR(__xludf.DUMMYFUNCTION("IFERROR(sum(filter('Генеральный баннер'!$O:$O, 'Генеральный баннер'!$B:$B=$A112,'Генеральный баннер'!$C:$C=$B112,'Генеральный баннер'!$I:$I=$C112)), 0) "),0.0)</f>
        <v>0</v>
      </c>
      <c r="Q112" s="91">
        <f>IFERROR(__xludf.DUMMYFUNCTION("IFERROR(sum(filter('Генеральный баннер'!$Q:$Q, 'Генеральный баннер'!$B:$B=$A112,'Генеральный баннер'!$C:$C=$B112,'Генеральный баннер'!$I:$I=$C112)), 0) "),0.0)</f>
        <v>0</v>
      </c>
      <c r="R112" s="91">
        <f>IFERROR(__xludf.DUMMYFUNCTION("IFERROR(AVERAGE(filter('Генеральный баннер'!$AA:$AA, 'Генеральный баннер'!$B:$B=$A112,'Генеральный баннер'!$C:$C=$B112,'Генеральный баннер'!$I:$I=$C112)), 0) "),0.0)</f>
        <v>0</v>
      </c>
      <c r="S112" s="91">
        <f>IFERROR(__xludf.DUMMYFUNCTION("IFERROR(SUM(filter('Генеральный баннер'!$AH:$AH, 'Генеральный баннер'!$B:$B=$A112,'Генеральный баннер'!$C:$C=$B112,'Генеральный баннер'!$I:$I=$C112)), 0) "),0.0)</f>
        <v>0</v>
      </c>
      <c r="T112" s="91" t="str">
        <f>IFERROR(__xludf.DUMMYFUNCTION("IFERROR(REGEXREPLACE(unique(filter('Генеральный баннер'!$A:$A, 'Генеральный баннер'!$B:$B=$A112,'Генеральный баннер'!$C:$C=$B112,'Генеральный баннер'!$I:$I=$C112)), ""\d+"", """"),"""")"),"")</f>
        <v/>
      </c>
      <c r="U112" s="91" t="str">
        <f>IFERROR(__xludf.DUMMYFUNCTION("IFERROR(unique(filter('Генеральный баннер'!$F:$F, 'Генеральный баннер'!$B:$B=$A112,'Генеральный баннер'!$C:$C=$B112,'Генеральный баннер'!$I:$I=$C112)),"""")"),"")</f>
        <v/>
      </c>
      <c r="V112" s="92" t="str">
        <f t="shared" si="3"/>
        <v/>
      </c>
      <c r="W112" s="93">
        <f>IFERROR(__xludf.DUMMYFUNCTION("IFERROR(SWITCH(lower(join("" "",U112:V112)),""а миллионник"", 62.5,""б миллионник"", 75,""а мск"", 50, ""б мск"", 62.5, ""a остальное"", 70, ""б остальное"", 80)/100,0)"),0.0)</f>
        <v>0</v>
      </c>
      <c r="X112" s="91">
        <f t="shared" si="4"/>
        <v>0</v>
      </c>
    </row>
    <row r="113">
      <c r="A113" s="90"/>
      <c r="B113" s="90"/>
      <c r="C113" s="90"/>
      <c r="D113" s="91">
        <f>IFERROR(__xludf.DUMMYFUNCTION("IFERROR(sum(filter('Основной эфир'!$AA:$AA, 'Основной эфир'!$B:$B=$A113,'Основной эфир'!$C:$C=$B113,'Основной эфир'!$I:$I=$C113)), 0) "),0.0)</f>
        <v>0</v>
      </c>
      <c r="E113" s="91">
        <f>IFERROR(__xludf.DUMMYFUNCTION("IFERROR(sum(filter('Основной эфир'!$AC:$AC, 'Основной эфир'!$B:$B=$A113,'Основной эфир'!$C:$C=$B113,'Основной эфир'!$I:$I=$C113)), 0) "),0.0)</f>
        <v>0</v>
      </c>
      <c r="F113" s="91">
        <f>IFERROR(__xludf.DUMMYFUNCTION("IFERROR(sum(filter('Основной эфир'!$O:$O, 'Основной эфир'!$B:$B=$A113,'Основной эфир'!$C:$C=$B113,'Основной эфир'!$I:$I=$C113)), 0) "),0.0)</f>
        <v>0</v>
      </c>
      <c r="G113" s="91">
        <f>IFERROR(__xludf.DUMMYFUNCTION("IFERROR(sum(filter('Основной эфир'!$Q:$Q, 'Основной эфир'!$B:$B=$A113,'Основной эфир'!$C:$C=$B113,'Основной эфир'!$I:$I=$C113)), 0) "),0.0)</f>
        <v>0</v>
      </c>
      <c r="H113" s="91">
        <f>IFERROR(__xludf.DUMMYFUNCTION("IFERROR(AVERAGE(filter('Основной эфир'!$Y:$Y, 'Основной эфир'!$B:$B=$A113,'Основной эфир'!$C:$C=$B113,'Основной эфир'!$I:$I=$C113)), 0) "),0.0)</f>
        <v>0</v>
      </c>
      <c r="I113" s="91">
        <f>IFERROR(__xludf.DUMMYFUNCTION("IFERROR(AVERAGE(filter('Основной эфир'!$AE:$AE, 'Основной эфир'!$B:$B=$A113,'Основной эфир'!$C:$C=$B113,'Основной эфир'!$I:$I=$C113)), 0) "),0.0)</f>
        <v>0</v>
      </c>
      <c r="J113" s="91">
        <f>IFERROR(__xludf.DUMMYFUNCTION("IFERROR(SUM(filter('Основной эфир'!$AL:$AL, 'Основной эфир'!$B:$B=$A113,'Основной эфир'!$C:$C=$B113,'Основной эфир'!$I:$I=$C113)), 0) "),0.0)</f>
        <v>0</v>
      </c>
      <c r="K113" s="91" t="str">
        <f>IFERROR(__xludf.DUMMYFUNCTION("IFERROR(REGEXREPLACE(unique(filter('Основной эфир'!$A:$A, 'Основной эфир'!$B:$B=$A113,'Основной эфир'!$C:$C=$B113,'Основной эфир'!$I:$I=$C113)), ""\d+"", """"),"""")"),"")</f>
        <v/>
      </c>
      <c r="L113" s="91" t="str">
        <f>IFERROR(__xludf.DUMMYFUNCTION("IFERROR(unique(filter('Основной эфир'!$F:$F, 'Основной эфир'!$B:$B=$A113,'Основной эфир'!$C:$C=$B113,'Основной эфир'!$I:$I=$C113)),"""")"),"")</f>
        <v/>
      </c>
      <c r="M113" s="92" t="str">
        <f t="shared" si="1"/>
        <v/>
      </c>
      <c r="N113" s="93">
        <f>IFERROR(__xludf.DUMMYFUNCTION("IFERROR(SWITCH(lower(join("" "",L113:M113)),""а миллионник"", 62.5,""б миллионник"", 75,""а мск"", 50, ""б мск"", 62.5, ""a остальное"", 70, ""б остальное"", 80)/100,0)"),0.0)</f>
        <v>0</v>
      </c>
      <c r="O113" s="91">
        <f t="shared" si="2"/>
        <v>0</v>
      </c>
      <c r="P113" s="91">
        <f>IFERROR(__xludf.DUMMYFUNCTION("IFERROR(sum(filter('Генеральный баннер'!$O:$O, 'Генеральный баннер'!$B:$B=$A113,'Генеральный баннер'!$C:$C=$B113,'Генеральный баннер'!$I:$I=$C113)), 0) "),0.0)</f>
        <v>0</v>
      </c>
      <c r="Q113" s="91">
        <f>IFERROR(__xludf.DUMMYFUNCTION("IFERROR(sum(filter('Генеральный баннер'!$Q:$Q, 'Генеральный баннер'!$B:$B=$A113,'Генеральный баннер'!$C:$C=$B113,'Генеральный баннер'!$I:$I=$C113)), 0) "),0.0)</f>
        <v>0</v>
      </c>
      <c r="R113" s="91">
        <f>IFERROR(__xludf.DUMMYFUNCTION("IFERROR(AVERAGE(filter('Генеральный баннер'!$AA:$AA, 'Генеральный баннер'!$B:$B=$A113,'Генеральный баннер'!$C:$C=$B113,'Генеральный баннер'!$I:$I=$C113)), 0) "),0.0)</f>
        <v>0</v>
      </c>
      <c r="S113" s="91">
        <f>IFERROR(__xludf.DUMMYFUNCTION("IFERROR(SUM(filter('Генеральный баннер'!$AH:$AH, 'Генеральный баннер'!$B:$B=$A113,'Генеральный баннер'!$C:$C=$B113,'Генеральный баннер'!$I:$I=$C113)), 0) "),0.0)</f>
        <v>0</v>
      </c>
      <c r="T113" s="91" t="str">
        <f>IFERROR(__xludf.DUMMYFUNCTION("IFERROR(REGEXREPLACE(unique(filter('Генеральный баннер'!$A:$A, 'Генеральный баннер'!$B:$B=$A113,'Генеральный баннер'!$C:$C=$B113,'Генеральный баннер'!$I:$I=$C113)), ""\d+"", """"),"""")"),"")</f>
        <v/>
      </c>
      <c r="U113" s="91" t="str">
        <f>IFERROR(__xludf.DUMMYFUNCTION("IFERROR(unique(filter('Генеральный баннер'!$F:$F, 'Генеральный баннер'!$B:$B=$A113,'Генеральный баннер'!$C:$C=$B113,'Генеральный баннер'!$I:$I=$C113)),"""")"),"")</f>
        <v/>
      </c>
      <c r="V113" s="92" t="str">
        <f t="shared" si="3"/>
        <v/>
      </c>
      <c r="W113" s="93">
        <f>IFERROR(__xludf.DUMMYFUNCTION("IFERROR(SWITCH(lower(join("" "",U113:V113)),""а миллионник"", 62.5,""б миллионник"", 75,""а мск"", 50, ""б мск"", 62.5, ""a остальное"", 70, ""б остальное"", 80)/100,0)"),0.0)</f>
        <v>0</v>
      </c>
      <c r="X113" s="91">
        <f t="shared" si="4"/>
        <v>0</v>
      </c>
    </row>
    <row r="114">
      <c r="A114" s="90"/>
      <c r="B114" s="90"/>
      <c r="C114" s="90"/>
      <c r="D114" s="91">
        <f>IFERROR(__xludf.DUMMYFUNCTION("IFERROR(sum(filter('Основной эфир'!$AA:$AA, 'Основной эфир'!$B:$B=$A114,'Основной эфир'!$C:$C=$B114,'Основной эфир'!$I:$I=$C114)), 0) "),0.0)</f>
        <v>0</v>
      </c>
      <c r="E114" s="91">
        <f>IFERROR(__xludf.DUMMYFUNCTION("IFERROR(sum(filter('Основной эфир'!$AC:$AC, 'Основной эфир'!$B:$B=$A114,'Основной эфир'!$C:$C=$B114,'Основной эфир'!$I:$I=$C114)), 0) "),0.0)</f>
        <v>0</v>
      </c>
      <c r="F114" s="91">
        <f>IFERROR(__xludf.DUMMYFUNCTION("IFERROR(sum(filter('Основной эфир'!$O:$O, 'Основной эфир'!$B:$B=$A114,'Основной эфир'!$C:$C=$B114,'Основной эфир'!$I:$I=$C114)), 0) "),0.0)</f>
        <v>0</v>
      </c>
      <c r="G114" s="91">
        <f>IFERROR(__xludf.DUMMYFUNCTION("IFERROR(sum(filter('Основной эфир'!$Q:$Q, 'Основной эфир'!$B:$B=$A114,'Основной эфир'!$C:$C=$B114,'Основной эфир'!$I:$I=$C114)), 0) "),0.0)</f>
        <v>0</v>
      </c>
      <c r="H114" s="91">
        <f>IFERROR(__xludf.DUMMYFUNCTION("IFERROR(AVERAGE(filter('Основной эфир'!$Y:$Y, 'Основной эфир'!$B:$B=$A114,'Основной эфир'!$C:$C=$B114,'Основной эфир'!$I:$I=$C114)), 0) "),0.0)</f>
        <v>0</v>
      </c>
      <c r="I114" s="91">
        <f>IFERROR(__xludf.DUMMYFUNCTION("IFERROR(AVERAGE(filter('Основной эфир'!$AE:$AE, 'Основной эфир'!$B:$B=$A114,'Основной эфир'!$C:$C=$B114,'Основной эфир'!$I:$I=$C114)), 0) "),0.0)</f>
        <v>0</v>
      </c>
      <c r="J114" s="91">
        <f>IFERROR(__xludf.DUMMYFUNCTION("IFERROR(SUM(filter('Основной эфир'!$AL:$AL, 'Основной эфир'!$B:$B=$A114,'Основной эфир'!$C:$C=$B114,'Основной эфир'!$I:$I=$C114)), 0) "),0.0)</f>
        <v>0</v>
      </c>
      <c r="K114" s="91" t="str">
        <f>IFERROR(__xludf.DUMMYFUNCTION("IFERROR(REGEXREPLACE(unique(filter('Основной эфир'!$A:$A, 'Основной эфир'!$B:$B=$A114,'Основной эфир'!$C:$C=$B114,'Основной эфир'!$I:$I=$C114)), ""\d+"", """"),"""")"),"")</f>
        <v/>
      </c>
      <c r="L114" s="91" t="str">
        <f>IFERROR(__xludf.DUMMYFUNCTION("IFERROR(unique(filter('Основной эфир'!$F:$F, 'Основной эфир'!$B:$B=$A114,'Основной эфир'!$C:$C=$B114,'Основной эфир'!$I:$I=$C114)),"""")"),"")</f>
        <v/>
      </c>
      <c r="M114" s="92" t="str">
        <f t="shared" si="1"/>
        <v/>
      </c>
      <c r="N114" s="93">
        <f>IFERROR(__xludf.DUMMYFUNCTION("IFERROR(SWITCH(lower(join("" "",L114:M114)),""а миллионник"", 62.5,""б миллионник"", 75,""а мск"", 50, ""б мск"", 62.5, ""a остальное"", 70, ""б остальное"", 80)/100,0)"),0.0)</f>
        <v>0</v>
      </c>
      <c r="O114" s="91">
        <f t="shared" si="2"/>
        <v>0</v>
      </c>
      <c r="P114" s="91">
        <f>IFERROR(__xludf.DUMMYFUNCTION("IFERROR(sum(filter('Генеральный баннер'!$O:$O, 'Генеральный баннер'!$B:$B=$A114,'Генеральный баннер'!$C:$C=$B114,'Генеральный баннер'!$I:$I=$C114)), 0) "),0.0)</f>
        <v>0</v>
      </c>
      <c r="Q114" s="91">
        <f>IFERROR(__xludf.DUMMYFUNCTION("IFERROR(sum(filter('Генеральный баннер'!$Q:$Q, 'Генеральный баннер'!$B:$B=$A114,'Генеральный баннер'!$C:$C=$B114,'Генеральный баннер'!$I:$I=$C114)), 0) "),0.0)</f>
        <v>0</v>
      </c>
      <c r="R114" s="91">
        <f>IFERROR(__xludf.DUMMYFUNCTION("IFERROR(AVERAGE(filter('Генеральный баннер'!$AA:$AA, 'Генеральный баннер'!$B:$B=$A114,'Генеральный баннер'!$C:$C=$B114,'Генеральный баннер'!$I:$I=$C114)), 0) "),0.0)</f>
        <v>0</v>
      </c>
      <c r="S114" s="91">
        <f>IFERROR(__xludf.DUMMYFUNCTION("IFERROR(SUM(filter('Генеральный баннер'!$AH:$AH, 'Генеральный баннер'!$B:$B=$A114,'Генеральный баннер'!$C:$C=$B114,'Генеральный баннер'!$I:$I=$C114)), 0) "),0.0)</f>
        <v>0</v>
      </c>
      <c r="T114" s="91" t="str">
        <f>IFERROR(__xludf.DUMMYFUNCTION("IFERROR(REGEXREPLACE(unique(filter('Генеральный баннер'!$A:$A, 'Генеральный баннер'!$B:$B=$A114,'Генеральный баннер'!$C:$C=$B114,'Генеральный баннер'!$I:$I=$C114)), ""\d+"", """"),"""")"),"")</f>
        <v/>
      </c>
      <c r="U114" s="91" t="str">
        <f>IFERROR(__xludf.DUMMYFUNCTION("IFERROR(unique(filter('Генеральный баннер'!$F:$F, 'Генеральный баннер'!$B:$B=$A114,'Генеральный баннер'!$C:$C=$B114,'Генеральный баннер'!$I:$I=$C114)),"""")"),"")</f>
        <v/>
      </c>
      <c r="V114" s="92" t="str">
        <f t="shared" si="3"/>
        <v/>
      </c>
      <c r="W114" s="93">
        <f>IFERROR(__xludf.DUMMYFUNCTION("IFERROR(SWITCH(lower(join("" "",U114:V114)),""а миллионник"", 62.5,""б миллионник"", 75,""а мск"", 50, ""б мск"", 62.5, ""a остальное"", 70, ""б остальное"", 80)/100,0)"),0.0)</f>
        <v>0</v>
      </c>
      <c r="X114" s="91">
        <f t="shared" si="4"/>
        <v>0</v>
      </c>
    </row>
    <row r="115">
      <c r="A115" s="90"/>
      <c r="B115" s="90"/>
      <c r="C115" s="90"/>
      <c r="D115" s="91">
        <f>IFERROR(__xludf.DUMMYFUNCTION("IFERROR(sum(filter('Основной эфир'!$AA:$AA, 'Основной эфир'!$B:$B=$A115,'Основной эфир'!$C:$C=$B115,'Основной эфир'!$I:$I=$C115)), 0) "),0.0)</f>
        <v>0</v>
      </c>
      <c r="E115" s="91">
        <f>IFERROR(__xludf.DUMMYFUNCTION("IFERROR(sum(filter('Основной эфир'!$AC:$AC, 'Основной эфир'!$B:$B=$A115,'Основной эфир'!$C:$C=$B115,'Основной эфир'!$I:$I=$C115)), 0) "),0.0)</f>
        <v>0</v>
      </c>
      <c r="F115" s="91">
        <f>IFERROR(__xludf.DUMMYFUNCTION("IFERROR(sum(filter('Основной эфир'!$O:$O, 'Основной эфир'!$B:$B=$A115,'Основной эфир'!$C:$C=$B115,'Основной эфир'!$I:$I=$C115)), 0) "),0.0)</f>
        <v>0</v>
      </c>
      <c r="G115" s="91">
        <f>IFERROR(__xludf.DUMMYFUNCTION("IFERROR(sum(filter('Основной эфир'!$Q:$Q, 'Основной эфир'!$B:$B=$A115,'Основной эфир'!$C:$C=$B115,'Основной эфир'!$I:$I=$C115)), 0) "),0.0)</f>
        <v>0</v>
      </c>
      <c r="H115" s="91">
        <f>IFERROR(__xludf.DUMMYFUNCTION("IFERROR(AVERAGE(filter('Основной эфир'!$Y:$Y, 'Основной эфир'!$B:$B=$A115,'Основной эфир'!$C:$C=$B115,'Основной эфир'!$I:$I=$C115)), 0) "),0.0)</f>
        <v>0</v>
      </c>
      <c r="I115" s="91">
        <f>IFERROR(__xludf.DUMMYFUNCTION("IFERROR(AVERAGE(filter('Основной эфир'!$AE:$AE, 'Основной эфир'!$B:$B=$A115,'Основной эфир'!$C:$C=$B115,'Основной эфир'!$I:$I=$C115)), 0) "),0.0)</f>
        <v>0</v>
      </c>
      <c r="J115" s="91">
        <f>IFERROR(__xludf.DUMMYFUNCTION("IFERROR(SUM(filter('Основной эфир'!$AL:$AL, 'Основной эфир'!$B:$B=$A115,'Основной эфир'!$C:$C=$B115,'Основной эфир'!$I:$I=$C115)), 0) "),0.0)</f>
        <v>0</v>
      </c>
      <c r="K115" s="91" t="str">
        <f>IFERROR(__xludf.DUMMYFUNCTION("IFERROR(REGEXREPLACE(unique(filter('Основной эфир'!$A:$A, 'Основной эфир'!$B:$B=$A115,'Основной эфир'!$C:$C=$B115,'Основной эфир'!$I:$I=$C115)), ""\d+"", """"),"""")"),"")</f>
        <v/>
      </c>
      <c r="L115" s="91" t="str">
        <f>IFERROR(__xludf.DUMMYFUNCTION("IFERROR(unique(filter('Основной эфир'!$F:$F, 'Основной эфир'!$B:$B=$A115,'Основной эфир'!$C:$C=$B115,'Основной эфир'!$I:$I=$C115)),"""")"),"")</f>
        <v/>
      </c>
      <c r="M115" s="92" t="str">
        <f t="shared" si="1"/>
        <v/>
      </c>
      <c r="N115" s="93">
        <f>IFERROR(__xludf.DUMMYFUNCTION("IFERROR(SWITCH(lower(join("" "",L115:M115)),""а миллионник"", 62.5,""б миллионник"", 75,""а мск"", 50, ""б мск"", 62.5, ""a остальное"", 70, ""б остальное"", 80)/100,0)"),0.0)</f>
        <v>0</v>
      </c>
      <c r="O115" s="91">
        <f t="shared" si="2"/>
        <v>0</v>
      </c>
      <c r="P115" s="91">
        <f>IFERROR(__xludf.DUMMYFUNCTION("IFERROR(sum(filter('Генеральный баннер'!$O:$O, 'Генеральный баннер'!$B:$B=$A115,'Генеральный баннер'!$C:$C=$B115,'Генеральный баннер'!$I:$I=$C115)), 0) "),0.0)</f>
        <v>0</v>
      </c>
      <c r="Q115" s="91">
        <f>IFERROR(__xludf.DUMMYFUNCTION("IFERROR(sum(filter('Генеральный баннер'!$Q:$Q, 'Генеральный баннер'!$B:$B=$A115,'Генеральный баннер'!$C:$C=$B115,'Генеральный баннер'!$I:$I=$C115)), 0) "),0.0)</f>
        <v>0</v>
      </c>
      <c r="R115" s="91">
        <f>IFERROR(__xludf.DUMMYFUNCTION("IFERROR(AVERAGE(filter('Генеральный баннер'!$AA:$AA, 'Генеральный баннер'!$B:$B=$A115,'Генеральный баннер'!$C:$C=$B115,'Генеральный баннер'!$I:$I=$C115)), 0) "),0.0)</f>
        <v>0</v>
      </c>
      <c r="S115" s="91">
        <f>IFERROR(__xludf.DUMMYFUNCTION("IFERROR(SUM(filter('Генеральный баннер'!$AH:$AH, 'Генеральный баннер'!$B:$B=$A115,'Генеральный баннер'!$C:$C=$B115,'Генеральный баннер'!$I:$I=$C115)), 0) "),0.0)</f>
        <v>0</v>
      </c>
      <c r="T115" s="91" t="str">
        <f>IFERROR(__xludf.DUMMYFUNCTION("IFERROR(REGEXREPLACE(unique(filter('Генеральный баннер'!$A:$A, 'Генеральный баннер'!$B:$B=$A115,'Генеральный баннер'!$C:$C=$B115,'Генеральный баннер'!$I:$I=$C115)), ""\d+"", """"),"""")"),"")</f>
        <v/>
      </c>
      <c r="U115" s="91" t="str">
        <f>IFERROR(__xludf.DUMMYFUNCTION("IFERROR(unique(filter('Генеральный баннер'!$F:$F, 'Генеральный баннер'!$B:$B=$A115,'Генеральный баннер'!$C:$C=$B115,'Генеральный баннер'!$I:$I=$C115)),"""")"),"")</f>
        <v/>
      </c>
      <c r="V115" s="92" t="str">
        <f t="shared" si="3"/>
        <v/>
      </c>
      <c r="W115" s="93">
        <f>IFERROR(__xludf.DUMMYFUNCTION("IFERROR(SWITCH(lower(join("" "",U115:V115)),""а миллионник"", 62.5,""б миллионник"", 75,""а мск"", 50, ""б мск"", 62.5, ""a остальное"", 70, ""б остальное"", 80)/100,0)"),0.0)</f>
        <v>0</v>
      </c>
      <c r="X115" s="91">
        <f t="shared" si="4"/>
        <v>0</v>
      </c>
    </row>
    <row r="116">
      <c r="A116" s="90"/>
      <c r="B116" s="90"/>
      <c r="C116" s="90"/>
      <c r="D116" s="91">
        <f>IFERROR(__xludf.DUMMYFUNCTION("IFERROR(sum(filter('Основной эфир'!$AA:$AA, 'Основной эфир'!$B:$B=$A116,'Основной эфир'!$C:$C=$B116,'Основной эфир'!$I:$I=$C116)), 0) "),0.0)</f>
        <v>0</v>
      </c>
      <c r="E116" s="91">
        <f>IFERROR(__xludf.DUMMYFUNCTION("IFERROR(sum(filter('Основной эфир'!$AC:$AC, 'Основной эфир'!$B:$B=$A116,'Основной эфир'!$C:$C=$B116,'Основной эфир'!$I:$I=$C116)), 0) "),0.0)</f>
        <v>0</v>
      </c>
      <c r="F116" s="91">
        <f>IFERROR(__xludf.DUMMYFUNCTION("IFERROR(sum(filter('Основной эфир'!$O:$O, 'Основной эфир'!$B:$B=$A116,'Основной эфир'!$C:$C=$B116,'Основной эфир'!$I:$I=$C116)), 0) "),0.0)</f>
        <v>0</v>
      </c>
      <c r="G116" s="91">
        <f>IFERROR(__xludf.DUMMYFUNCTION("IFERROR(sum(filter('Основной эфир'!$Q:$Q, 'Основной эфир'!$B:$B=$A116,'Основной эфир'!$C:$C=$B116,'Основной эфир'!$I:$I=$C116)), 0) "),0.0)</f>
        <v>0</v>
      </c>
      <c r="H116" s="91">
        <f>IFERROR(__xludf.DUMMYFUNCTION("IFERROR(AVERAGE(filter('Основной эфир'!$Y:$Y, 'Основной эфир'!$B:$B=$A116,'Основной эфир'!$C:$C=$B116,'Основной эфир'!$I:$I=$C116)), 0) "),0.0)</f>
        <v>0</v>
      </c>
      <c r="I116" s="91">
        <f>IFERROR(__xludf.DUMMYFUNCTION("IFERROR(AVERAGE(filter('Основной эфир'!$AE:$AE, 'Основной эфир'!$B:$B=$A116,'Основной эфир'!$C:$C=$B116,'Основной эфир'!$I:$I=$C116)), 0) "),0.0)</f>
        <v>0</v>
      </c>
      <c r="J116" s="91">
        <f>IFERROR(__xludf.DUMMYFUNCTION("IFERROR(SUM(filter('Основной эфир'!$AL:$AL, 'Основной эфир'!$B:$B=$A116,'Основной эфир'!$C:$C=$B116,'Основной эфир'!$I:$I=$C116)), 0) "),0.0)</f>
        <v>0</v>
      </c>
      <c r="K116" s="91" t="str">
        <f>IFERROR(__xludf.DUMMYFUNCTION("IFERROR(REGEXREPLACE(unique(filter('Основной эфир'!$A:$A, 'Основной эфир'!$B:$B=$A116,'Основной эфир'!$C:$C=$B116,'Основной эфир'!$I:$I=$C116)), ""\d+"", """"),"""")"),"")</f>
        <v/>
      </c>
      <c r="L116" s="91" t="str">
        <f>IFERROR(__xludf.DUMMYFUNCTION("IFERROR(unique(filter('Основной эфир'!$F:$F, 'Основной эфир'!$B:$B=$A116,'Основной эфир'!$C:$C=$B116,'Основной эфир'!$I:$I=$C116)),"""")"),"")</f>
        <v/>
      </c>
      <c r="M116" s="92" t="str">
        <f t="shared" si="1"/>
        <v/>
      </c>
      <c r="N116" s="93">
        <f>IFERROR(__xludf.DUMMYFUNCTION("IFERROR(SWITCH(lower(join("" "",L116:M116)),""а миллионник"", 62.5,""б миллионник"", 75,""а мск"", 50, ""б мск"", 62.5, ""a остальное"", 70, ""б остальное"", 80)/100,0)"),0.0)</f>
        <v>0</v>
      </c>
      <c r="O116" s="91">
        <f t="shared" si="2"/>
        <v>0</v>
      </c>
      <c r="P116" s="91">
        <f>IFERROR(__xludf.DUMMYFUNCTION("IFERROR(sum(filter('Генеральный баннер'!$O:$O, 'Генеральный баннер'!$B:$B=$A116,'Генеральный баннер'!$C:$C=$B116,'Генеральный баннер'!$I:$I=$C116)), 0) "),0.0)</f>
        <v>0</v>
      </c>
      <c r="Q116" s="91">
        <f>IFERROR(__xludf.DUMMYFUNCTION("IFERROR(sum(filter('Генеральный баннер'!$Q:$Q, 'Генеральный баннер'!$B:$B=$A116,'Генеральный баннер'!$C:$C=$B116,'Генеральный баннер'!$I:$I=$C116)), 0) "),0.0)</f>
        <v>0</v>
      </c>
      <c r="R116" s="91">
        <f>IFERROR(__xludf.DUMMYFUNCTION("IFERROR(AVERAGE(filter('Генеральный баннер'!$AA:$AA, 'Генеральный баннер'!$B:$B=$A116,'Генеральный баннер'!$C:$C=$B116,'Генеральный баннер'!$I:$I=$C116)), 0) "),0.0)</f>
        <v>0</v>
      </c>
      <c r="S116" s="91">
        <f>IFERROR(__xludf.DUMMYFUNCTION("IFERROR(SUM(filter('Генеральный баннер'!$AH:$AH, 'Генеральный баннер'!$B:$B=$A116,'Генеральный баннер'!$C:$C=$B116,'Генеральный баннер'!$I:$I=$C116)), 0) "),0.0)</f>
        <v>0</v>
      </c>
      <c r="T116" s="91" t="str">
        <f>IFERROR(__xludf.DUMMYFUNCTION("IFERROR(REGEXREPLACE(unique(filter('Генеральный баннер'!$A:$A, 'Генеральный баннер'!$B:$B=$A116,'Генеральный баннер'!$C:$C=$B116,'Генеральный баннер'!$I:$I=$C116)), ""\d+"", """"),"""")"),"")</f>
        <v/>
      </c>
      <c r="U116" s="91" t="str">
        <f>IFERROR(__xludf.DUMMYFUNCTION("IFERROR(unique(filter('Генеральный баннер'!$F:$F, 'Генеральный баннер'!$B:$B=$A116,'Генеральный баннер'!$C:$C=$B116,'Генеральный баннер'!$I:$I=$C116)),"""")"),"")</f>
        <v/>
      </c>
      <c r="V116" s="92" t="str">
        <f t="shared" si="3"/>
        <v/>
      </c>
      <c r="W116" s="93">
        <f>IFERROR(__xludf.DUMMYFUNCTION("IFERROR(SWITCH(lower(join("" "",U116:V116)),""а миллионник"", 62.5,""б миллионник"", 75,""а мск"", 50, ""б мск"", 62.5, ""a остальное"", 70, ""б остальное"", 80)/100,0)"),0.0)</f>
        <v>0</v>
      </c>
      <c r="X116" s="91">
        <f t="shared" si="4"/>
        <v>0</v>
      </c>
    </row>
    <row r="117">
      <c r="A117" s="90"/>
      <c r="B117" s="90"/>
      <c r="C117" s="90"/>
      <c r="D117" s="91">
        <f>IFERROR(__xludf.DUMMYFUNCTION("IFERROR(sum(filter('Основной эфир'!$AA:$AA, 'Основной эфир'!$B:$B=$A117,'Основной эфир'!$C:$C=$B117,'Основной эфир'!$I:$I=$C117)), 0) "),0.0)</f>
        <v>0</v>
      </c>
      <c r="E117" s="91">
        <f>IFERROR(__xludf.DUMMYFUNCTION("IFERROR(sum(filter('Основной эфир'!$AC:$AC, 'Основной эфир'!$B:$B=$A117,'Основной эфир'!$C:$C=$B117,'Основной эфир'!$I:$I=$C117)), 0) "),0.0)</f>
        <v>0</v>
      </c>
      <c r="F117" s="91">
        <f>IFERROR(__xludf.DUMMYFUNCTION("IFERROR(sum(filter('Основной эфир'!$O:$O, 'Основной эфир'!$B:$B=$A117,'Основной эфир'!$C:$C=$B117,'Основной эфир'!$I:$I=$C117)), 0) "),0.0)</f>
        <v>0</v>
      </c>
      <c r="G117" s="91">
        <f>IFERROR(__xludf.DUMMYFUNCTION("IFERROR(sum(filter('Основной эфир'!$Q:$Q, 'Основной эфир'!$B:$B=$A117,'Основной эфир'!$C:$C=$B117,'Основной эфир'!$I:$I=$C117)), 0) "),0.0)</f>
        <v>0</v>
      </c>
      <c r="H117" s="91">
        <f>IFERROR(__xludf.DUMMYFUNCTION("IFERROR(AVERAGE(filter('Основной эфир'!$Y:$Y, 'Основной эфир'!$B:$B=$A117,'Основной эфир'!$C:$C=$B117,'Основной эфир'!$I:$I=$C117)), 0) "),0.0)</f>
        <v>0</v>
      </c>
      <c r="I117" s="91">
        <f>IFERROR(__xludf.DUMMYFUNCTION("IFERROR(AVERAGE(filter('Основной эфир'!$AE:$AE, 'Основной эфир'!$B:$B=$A117,'Основной эфир'!$C:$C=$B117,'Основной эфир'!$I:$I=$C117)), 0) "),0.0)</f>
        <v>0</v>
      </c>
      <c r="J117" s="91">
        <f>IFERROR(__xludf.DUMMYFUNCTION("IFERROR(SUM(filter('Основной эфир'!$AL:$AL, 'Основной эфир'!$B:$B=$A117,'Основной эфир'!$C:$C=$B117,'Основной эфир'!$I:$I=$C117)), 0) "),0.0)</f>
        <v>0</v>
      </c>
      <c r="K117" s="91" t="str">
        <f>IFERROR(__xludf.DUMMYFUNCTION("IFERROR(REGEXREPLACE(unique(filter('Основной эфир'!$A:$A, 'Основной эфир'!$B:$B=$A117,'Основной эфир'!$C:$C=$B117,'Основной эфир'!$I:$I=$C117)), ""\d+"", """"),"""")"),"")</f>
        <v/>
      </c>
      <c r="L117" s="91" t="str">
        <f>IFERROR(__xludf.DUMMYFUNCTION("IFERROR(unique(filter('Основной эфир'!$F:$F, 'Основной эфир'!$B:$B=$A117,'Основной эфир'!$C:$C=$B117,'Основной эфир'!$I:$I=$C117)),"""")"),"")</f>
        <v/>
      </c>
      <c r="M117" s="92" t="str">
        <f t="shared" si="1"/>
        <v/>
      </c>
      <c r="N117" s="93">
        <f>IFERROR(__xludf.DUMMYFUNCTION("IFERROR(SWITCH(lower(join("" "",L117:M117)),""а миллионник"", 62.5,""б миллионник"", 75,""а мск"", 50, ""б мск"", 62.5, ""a остальное"", 70, ""б остальное"", 80)/100,0)"),0.0)</f>
        <v>0</v>
      </c>
      <c r="O117" s="91">
        <f t="shared" si="2"/>
        <v>0</v>
      </c>
      <c r="P117" s="91">
        <f>IFERROR(__xludf.DUMMYFUNCTION("IFERROR(sum(filter('Генеральный баннер'!$O:$O, 'Генеральный баннер'!$B:$B=$A117,'Генеральный баннер'!$C:$C=$B117,'Генеральный баннер'!$I:$I=$C117)), 0) "),0.0)</f>
        <v>0</v>
      </c>
      <c r="Q117" s="91">
        <f>IFERROR(__xludf.DUMMYFUNCTION("IFERROR(sum(filter('Генеральный баннер'!$Q:$Q, 'Генеральный баннер'!$B:$B=$A117,'Генеральный баннер'!$C:$C=$B117,'Генеральный баннер'!$I:$I=$C117)), 0) "),0.0)</f>
        <v>0</v>
      </c>
      <c r="R117" s="91">
        <f>IFERROR(__xludf.DUMMYFUNCTION("IFERROR(AVERAGE(filter('Генеральный баннер'!$AA:$AA, 'Генеральный баннер'!$B:$B=$A117,'Генеральный баннер'!$C:$C=$B117,'Генеральный баннер'!$I:$I=$C117)), 0) "),0.0)</f>
        <v>0</v>
      </c>
      <c r="S117" s="91">
        <f>IFERROR(__xludf.DUMMYFUNCTION("IFERROR(SUM(filter('Генеральный баннер'!$AH:$AH, 'Генеральный баннер'!$B:$B=$A117,'Генеральный баннер'!$C:$C=$B117,'Генеральный баннер'!$I:$I=$C117)), 0) "),0.0)</f>
        <v>0</v>
      </c>
      <c r="T117" s="91" t="str">
        <f>IFERROR(__xludf.DUMMYFUNCTION("IFERROR(REGEXREPLACE(unique(filter('Генеральный баннер'!$A:$A, 'Генеральный баннер'!$B:$B=$A117,'Генеральный баннер'!$C:$C=$B117,'Генеральный баннер'!$I:$I=$C117)), ""\d+"", """"),"""")"),"")</f>
        <v/>
      </c>
      <c r="U117" s="91" t="str">
        <f>IFERROR(__xludf.DUMMYFUNCTION("IFERROR(unique(filter('Генеральный баннер'!$F:$F, 'Генеральный баннер'!$B:$B=$A117,'Генеральный баннер'!$C:$C=$B117,'Генеральный баннер'!$I:$I=$C117)),"""")"),"")</f>
        <v/>
      </c>
      <c r="V117" s="92" t="str">
        <f t="shared" si="3"/>
        <v/>
      </c>
      <c r="W117" s="93">
        <f>IFERROR(__xludf.DUMMYFUNCTION("IFERROR(SWITCH(lower(join("" "",U117:V117)),""а миллионник"", 62.5,""б миллионник"", 75,""а мск"", 50, ""б мск"", 62.5, ""a остальное"", 70, ""б остальное"", 80)/100,0)"),0.0)</f>
        <v>0</v>
      </c>
      <c r="X117" s="91">
        <f t="shared" si="4"/>
        <v>0</v>
      </c>
    </row>
    <row r="118">
      <c r="A118" s="90"/>
      <c r="B118" s="90"/>
      <c r="C118" s="90"/>
      <c r="D118" s="91">
        <f>IFERROR(__xludf.DUMMYFUNCTION("IFERROR(sum(filter('Основной эфир'!$AA:$AA, 'Основной эфир'!$B:$B=$A118,'Основной эфир'!$C:$C=$B118,'Основной эфир'!$I:$I=$C118)), 0) "),0.0)</f>
        <v>0</v>
      </c>
      <c r="E118" s="91">
        <f>IFERROR(__xludf.DUMMYFUNCTION("IFERROR(sum(filter('Основной эфир'!$AC:$AC, 'Основной эфир'!$B:$B=$A118,'Основной эфир'!$C:$C=$B118,'Основной эфир'!$I:$I=$C118)), 0) "),0.0)</f>
        <v>0</v>
      </c>
      <c r="F118" s="91">
        <f>IFERROR(__xludf.DUMMYFUNCTION("IFERROR(sum(filter('Основной эфир'!$O:$O, 'Основной эфир'!$B:$B=$A118,'Основной эфир'!$C:$C=$B118,'Основной эфир'!$I:$I=$C118)), 0) "),0.0)</f>
        <v>0</v>
      </c>
      <c r="G118" s="91">
        <f>IFERROR(__xludf.DUMMYFUNCTION("IFERROR(sum(filter('Основной эфир'!$Q:$Q, 'Основной эфир'!$B:$B=$A118,'Основной эфир'!$C:$C=$B118,'Основной эфир'!$I:$I=$C118)), 0) "),0.0)</f>
        <v>0</v>
      </c>
      <c r="H118" s="91">
        <f>IFERROR(__xludf.DUMMYFUNCTION("IFERROR(AVERAGE(filter('Основной эфир'!$Y:$Y, 'Основной эфир'!$B:$B=$A118,'Основной эфир'!$C:$C=$B118,'Основной эфир'!$I:$I=$C118)), 0) "),0.0)</f>
        <v>0</v>
      </c>
      <c r="I118" s="91">
        <f>IFERROR(__xludf.DUMMYFUNCTION("IFERROR(AVERAGE(filter('Основной эфир'!$AE:$AE, 'Основной эфир'!$B:$B=$A118,'Основной эфир'!$C:$C=$B118,'Основной эфир'!$I:$I=$C118)), 0) "),0.0)</f>
        <v>0</v>
      </c>
      <c r="J118" s="91">
        <f>IFERROR(__xludf.DUMMYFUNCTION("IFERROR(SUM(filter('Основной эфир'!$AL:$AL, 'Основной эфир'!$B:$B=$A118,'Основной эфир'!$C:$C=$B118,'Основной эфир'!$I:$I=$C118)), 0) "),0.0)</f>
        <v>0</v>
      </c>
      <c r="K118" s="91" t="str">
        <f>IFERROR(__xludf.DUMMYFUNCTION("IFERROR(REGEXREPLACE(unique(filter('Основной эфир'!$A:$A, 'Основной эфир'!$B:$B=$A118,'Основной эфир'!$C:$C=$B118,'Основной эфир'!$I:$I=$C118)), ""\d+"", """"),"""")"),"")</f>
        <v/>
      </c>
      <c r="L118" s="91" t="str">
        <f>IFERROR(__xludf.DUMMYFUNCTION("IFERROR(unique(filter('Основной эфир'!$F:$F, 'Основной эфир'!$B:$B=$A118,'Основной эфир'!$C:$C=$B118,'Основной эфир'!$I:$I=$C118)),"""")"),"")</f>
        <v/>
      </c>
      <c r="M118" s="92" t="str">
        <f t="shared" si="1"/>
        <v/>
      </c>
      <c r="N118" s="93">
        <f>IFERROR(__xludf.DUMMYFUNCTION("IFERROR(SWITCH(lower(join("" "",L118:M118)),""а миллионник"", 62.5,""б миллионник"", 75,""а мск"", 50, ""б мск"", 62.5, ""a остальное"", 70, ""б остальное"", 80)/100,0)"),0.0)</f>
        <v>0</v>
      </c>
      <c r="O118" s="91">
        <f t="shared" si="2"/>
        <v>0</v>
      </c>
      <c r="P118" s="91">
        <f>IFERROR(__xludf.DUMMYFUNCTION("IFERROR(sum(filter('Генеральный баннер'!$O:$O, 'Генеральный баннер'!$B:$B=$A118,'Генеральный баннер'!$C:$C=$B118,'Генеральный баннер'!$I:$I=$C118)), 0) "),0.0)</f>
        <v>0</v>
      </c>
      <c r="Q118" s="91">
        <f>IFERROR(__xludf.DUMMYFUNCTION("IFERROR(sum(filter('Генеральный баннер'!$Q:$Q, 'Генеральный баннер'!$B:$B=$A118,'Генеральный баннер'!$C:$C=$B118,'Генеральный баннер'!$I:$I=$C118)), 0) "),0.0)</f>
        <v>0</v>
      </c>
      <c r="R118" s="91">
        <f>IFERROR(__xludf.DUMMYFUNCTION("IFERROR(AVERAGE(filter('Генеральный баннер'!$AA:$AA, 'Генеральный баннер'!$B:$B=$A118,'Генеральный баннер'!$C:$C=$B118,'Генеральный баннер'!$I:$I=$C118)), 0) "),0.0)</f>
        <v>0</v>
      </c>
      <c r="S118" s="91">
        <f>IFERROR(__xludf.DUMMYFUNCTION("IFERROR(SUM(filter('Генеральный баннер'!$AH:$AH, 'Генеральный баннер'!$B:$B=$A118,'Генеральный баннер'!$C:$C=$B118,'Генеральный баннер'!$I:$I=$C118)), 0) "),0.0)</f>
        <v>0</v>
      </c>
      <c r="T118" s="91" t="str">
        <f>IFERROR(__xludf.DUMMYFUNCTION("IFERROR(REGEXREPLACE(unique(filter('Генеральный баннер'!$A:$A, 'Генеральный баннер'!$B:$B=$A118,'Генеральный баннер'!$C:$C=$B118,'Генеральный баннер'!$I:$I=$C118)), ""\d+"", """"),"""")"),"")</f>
        <v/>
      </c>
      <c r="U118" s="91" t="str">
        <f>IFERROR(__xludf.DUMMYFUNCTION("IFERROR(unique(filter('Генеральный баннер'!$F:$F, 'Генеральный баннер'!$B:$B=$A118,'Генеральный баннер'!$C:$C=$B118,'Генеральный баннер'!$I:$I=$C118)),"""")"),"")</f>
        <v/>
      </c>
      <c r="V118" s="92" t="str">
        <f t="shared" si="3"/>
        <v/>
      </c>
      <c r="W118" s="93">
        <f>IFERROR(__xludf.DUMMYFUNCTION("IFERROR(SWITCH(lower(join("" "",U118:V118)),""а миллионник"", 62.5,""б миллионник"", 75,""а мск"", 50, ""б мск"", 62.5, ""a остальное"", 70, ""б остальное"", 80)/100,0)"),0.0)</f>
        <v>0</v>
      </c>
      <c r="X118" s="91">
        <f t="shared" si="4"/>
        <v>0</v>
      </c>
    </row>
    <row r="119">
      <c r="A119" s="90"/>
      <c r="B119" s="90"/>
      <c r="C119" s="90"/>
      <c r="D119" s="91">
        <f>IFERROR(__xludf.DUMMYFUNCTION("IFERROR(sum(filter('Основной эфир'!$AA:$AA, 'Основной эфир'!$B:$B=$A119,'Основной эфир'!$C:$C=$B119,'Основной эфир'!$I:$I=$C119)), 0) "),0.0)</f>
        <v>0</v>
      </c>
      <c r="E119" s="91">
        <f>IFERROR(__xludf.DUMMYFUNCTION("IFERROR(sum(filter('Основной эфир'!$AC:$AC, 'Основной эфир'!$B:$B=$A119,'Основной эфир'!$C:$C=$B119,'Основной эфир'!$I:$I=$C119)), 0) "),0.0)</f>
        <v>0</v>
      </c>
      <c r="F119" s="91">
        <f>IFERROR(__xludf.DUMMYFUNCTION("IFERROR(sum(filter('Основной эфир'!$O:$O, 'Основной эфир'!$B:$B=$A119,'Основной эфир'!$C:$C=$B119,'Основной эфир'!$I:$I=$C119)), 0) "),0.0)</f>
        <v>0</v>
      </c>
      <c r="G119" s="91">
        <f>IFERROR(__xludf.DUMMYFUNCTION("IFERROR(sum(filter('Основной эфир'!$Q:$Q, 'Основной эфир'!$B:$B=$A119,'Основной эфир'!$C:$C=$B119,'Основной эфир'!$I:$I=$C119)), 0) "),0.0)</f>
        <v>0</v>
      </c>
      <c r="H119" s="91">
        <f>IFERROR(__xludf.DUMMYFUNCTION("IFERROR(AVERAGE(filter('Основной эфир'!$Y:$Y, 'Основной эфир'!$B:$B=$A119,'Основной эфир'!$C:$C=$B119,'Основной эфир'!$I:$I=$C119)), 0) "),0.0)</f>
        <v>0</v>
      </c>
      <c r="I119" s="91">
        <f>IFERROR(__xludf.DUMMYFUNCTION("IFERROR(AVERAGE(filter('Основной эфир'!$AE:$AE, 'Основной эфир'!$B:$B=$A119,'Основной эфир'!$C:$C=$B119,'Основной эфир'!$I:$I=$C119)), 0) "),0.0)</f>
        <v>0</v>
      </c>
      <c r="J119" s="91">
        <f>IFERROR(__xludf.DUMMYFUNCTION("IFERROR(SUM(filter('Основной эфир'!$AL:$AL, 'Основной эфир'!$B:$B=$A119,'Основной эфир'!$C:$C=$B119,'Основной эфир'!$I:$I=$C119)), 0) "),0.0)</f>
        <v>0</v>
      </c>
      <c r="K119" s="91" t="str">
        <f>IFERROR(__xludf.DUMMYFUNCTION("IFERROR(REGEXREPLACE(unique(filter('Основной эфир'!$A:$A, 'Основной эфир'!$B:$B=$A119,'Основной эфир'!$C:$C=$B119,'Основной эфир'!$I:$I=$C119)), ""\d+"", """"),"""")"),"")</f>
        <v/>
      </c>
      <c r="L119" s="91" t="str">
        <f>IFERROR(__xludf.DUMMYFUNCTION("IFERROR(unique(filter('Основной эфир'!$F:$F, 'Основной эфир'!$B:$B=$A119,'Основной эфир'!$C:$C=$B119,'Основной эфир'!$I:$I=$C119)),"""")"),"")</f>
        <v/>
      </c>
      <c r="M119" s="92" t="str">
        <f t="shared" si="1"/>
        <v/>
      </c>
      <c r="N119" s="93">
        <f>IFERROR(__xludf.DUMMYFUNCTION("IFERROR(SWITCH(lower(join("" "",L119:M119)),""а миллионник"", 62.5,""б миллионник"", 75,""а мск"", 50, ""б мск"", 62.5, ""a остальное"", 70, ""б остальное"", 80)/100,0)"),0.0)</f>
        <v>0</v>
      </c>
      <c r="O119" s="91">
        <f t="shared" si="2"/>
        <v>0</v>
      </c>
      <c r="P119" s="91">
        <f>IFERROR(__xludf.DUMMYFUNCTION("IFERROR(sum(filter('Генеральный баннер'!$O:$O, 'Генеральный баннер'!$B:$B=$A119,'Генеральный баннер'!$C:$C=$B119,'Генеральный баннер'!$I:$I=$C119)), 0) "),0.0)</f>
        <v>0</v>
      </c>
      <c r="Q119" s="91">
        <f>IFERROR(__xludf.DUMMYFUNCTION("IFERROR(sum(filter('Генеральный баннер'!$Q:$Q, 'Генеральный баннер'!$B:$B=$A119,'Генеральный баннер'!$C:$C=$B119,'Генеральный баннер'!$I:$I=$C119)), 0) "),0.0)</f>
        <v>0</v>
      </c>
      <c r="R119" s="91">
        <f>IFERROR(__xludf.DUMMYFUNCTION("IFERROR(AVERAGE(filter('Генеральный баннер'!$AA:$AA, 'Генеральный баннер'!$B:$B=$A119,'Генеральный баннер'!$C:$C=$B119,'Генеральный баннер'!$I:$I=$C119)), 0) "),0.0)</f>
        <v>0</v>
      </c>
      <c r="S119" s="91">
        <f>IFERROR(__xludf.DUMMYFUNCTION("IFERROR(SUM(filter('Генеральный баннер'!$AH:$AH, 'Генеральный баннер'!$B:$B=$A119,'Генеральный баннер'!$C:$C=$B119,'Генеральный баннер'!$I:$I=$C119)), 0) "),0.0)</f>
        <v>0</v>
      </c>
      <c r="T119" s="91" t="str">
        <f>IFERROR(__xludf.DUMMYFUNCTION("IFERROR(REGEXREPLACE(unique(filter('Генеральный баннер'!$A:$A, 'Генеральный баннер'!$B:$B=$A119,'Генеральный баннер'!$C:$C=$B119,'Генеральный баннер'!$I:$I=$C119)), ""\d+"", """"),"""")"),"")</f>
        <v/>
      </c>
      <c r="U119" s="91" t="str">
        <f>IFERROR(__xludf.DUMMYFUNCTION("IFERROR(unique(filter('Генеральный баннер'!$F:$F, 'Генеральный баннер'!$B:$B=$A119,'Генеральный баннер'!$C:$C=$B119,'Генеральный баннер'!$I:$I=$C119)),"""")"),"")</f>
        <v/>
      </c>
      <c r="V119" s="92" t="str">
        <f t="shared" si="3"/>
        <v/>
      </c>
      <c r="W119" s="93">
        <f>IFERROR(__xludf.DUMMYFUNCTION("IFERROR(SWITCH(lower(join("" "",U119:V119)),""а миллионник"", 62.5,""б миллионник"", 75,""а мск"", 50, ""б мск"", 62.5, ""a остальное"", 70, ""б остальное"", 80)/100,0)"),0.0)</f>
        <v>0</v>
      </c>
      <c r="X119" s="91">
        <f t="shared" si="4"/>
        <v>0</v>
      </c>
    </row>
    <row r="120">
      <c r="A120" s="90"/>
      <c r="B120" s="90"/>
      <c r="C120" s="90"/>
      <c r="D120" s="91">
        <f>IFERROR(__xludf.DUMMYFUNCTION("IFERROR(sum(filter('Основной эфир'!$AA:$AA, 'Основной эфир'!$B:$B=$A120,'Основной эфир'!$C:$C=$B120,'Основной эфир'!$I:$I=$C120)), 0) "),0.0)</f>
        <v>0</v>
      </c>
      <c r="E120" s="91">
        <f>IFERROR(__xludf.DUMMYFUNCTION("IFERROR(sum(filter('Основной эфир'!$AC:$AC, 'Основной эфир'!$B:$B=$A120,'Основной эфир'!$C:$C=$B120,'Основной эфир'!$I:$I=$C120)), 0) "),0.0)</f>
        <v>0</v>
      </c>
      <c r="F120" s="91">
        <f>IFERROR(__xludf.DUMMYFUNCTION("IFERROR(sum(filter('Основной эфир'!$O:$O, 'Основной эфир'!$B:$B=$A120,'Основной эфир'!$C:$C=$B120,'Основной эфир'!$I:$I=$C120)), 0) "),0.0)</f>
        <v>0</v>
      </c>
      <c r="G120" s="91">
        <f>IFERROR(__xludf.DUMMYFUNCTION("IFERROR(sum(filter('Основной эфир'!$Q:$Q, 'Основной эфир'!$B:$B=$A120,'Основной эфир'!$C:$C=$B120,'Основной эфир'!$I:$I=$C120)), 0) "),0.0)</f>
        <v>0</v>
      </c>
      <c r="H120" s="91">
        <f>IFERROR(__xludf.DUMMYFUNCTION("IFERROR(AVERAGE(filter('Основной эфир'!$Y:$Y, 'Основной эфир'!$B:$B=$A120,'Основной эфир'!$C:$C=$B120,'Основной эфир'!$I:$I=$C120)), 0) "),0.0)</f>
        <v>0</v>
      </c>
      <c r="I120" s="91">
        <f>IFERROR(__xludf.DUMMYFUNCTION("IFERROR(AVERAGE(filter('Основной эфир'!$AE:$AE, 'Основной эфир'!$B:$B=$A120,'Основной эфир'!$C:$C=$B120,'Основной эфир'!$I:$I=$C120)), 0) "),0.0)</f>
        <v>0</v>
      </c>
      <c r="J120" s="91">
        <f>IFERROR(__xludf.DUMMYFUNCTION("IFERROR(SUM(filter('Основной эфир'!$AL:$AL, 'Основной эфир'!$B:$B=$A120,'Основной эфир'!$C:$C=$B120,'Основной эфир'!$I:$I=$C120)), 0) "),0.0)</f>
        <v>0</v>
      </c>
      <c r="K120" s="91" t="str">
        <f>IFERROR(__xludf.DUMMYFUNCTION("IFERROR(REGEXREPLACE(unique(filter('Основной эфир'!$A:$A, 'Основной эфир'!$B:$B=$A120,'Основной эфир'!$C:$C=$B120,'Основной эфир'!$I:$I=$C120)), ""\d+"", """"),"""")"),"")</f>
        <v/>
      </c>
      <c r="L120" s="91" t="str">
        <f>IFERROR(__xludf.DUMMYFUNCTION("IFERROR(unique(filter('Основной эфир'!$F:$F, 'Основной эфир'!$B:$B=$A120,'Основной эфир'!$C:$C=$B120,'Основной эфир'!$I:$I=$C120)),"""")"),"")</f>
        <v/>
      </c>
      <c r="M120" s="92" t="str">
        <f t="shared" si="1"/>
        <v/>
      </c>
      <c r="N120" s="93">
        <f>IFERROR(__xludf.DUMMYFUNCTION("IFERROR(SWITCH(lower(join("" "",L120:M120)),""а миллионник"", 62.5,""б миллионник"", 75,""а мск"", 50, ""б мск"", 62.5, ""a остальное"", 70, ""б остальное"", 80)/100,0)"),0.0)</f>
        <v>0</v>
      </c>
      <c r="O120" s="91">
        <f t="shared" si="2"/>
        <v>0</v>
      </c>
      <c r="P120" s="91">
        <f>IFERROR(__xludf.DUMMYFUNCTION("IFERROR(sum(filter('Генеральный баннер'!$O:$O, 'Генеральный баннер'!$B:$B=$A120,'Генеральный баннер'!$C:$C=$B120,'Генеральный баннер'!$I:$I=$C120)), 0) "),0.0)</f>
        <v>0</v>
      </c>
      <c r="Q120" s="91">
        <f>IFERROR(__xludf.DUMMYFUNCTION("IFERROR(sum(filter('Генеральный баннер'!$Q:$Q, 'Генеральный баннер'!$B:$B=$A120,'Генеральный баннер'!$C:$C=$B120,'Генеральный баннер'!$I:$I=$C120)), 0) "),0.0)</f>
        <v>0</v>
      </c>
      <c r="R120" s="91">
        <f>IFERROR(__xludf.DUMMYFUNCTION("IFERROR(AVERAGE(filter('Генеральный баннер'!$AA:$AA, 'Генеральный баннер'!$B:$B=$A120,'Генеральный баннер'!$C:$C=$B120,'Генеральный баннер'!$I:$I=$C120)), 0) "),0.0)</f>
        <v>0</v>
      </c>
      <c r="S120" s="91">
        <f>IFERROR(__xludf.DUMMYFUNCTION("IFERROR(SUM(filter('Генеральный баннер'!$AH:$AH, 'Генеральный баннер'!$B:$B=$A120,'Генеральный баннер'!$C:$C=$B120,'Генеральный баннер'!$I:$I=$C120)), 0) "),0.0)</f>
        <v>0</v>
      </c>
      <c r="T120" s="91" t="str">
        <f>IFERROR(__xludf.DUMMYFUNCTION("IFERROR(REGEXREPLACE(unique(filter('Генеральный баннер'!$A:$A, 'Генеральный баннер'!$B:$B=$A120,'Генеральный баннер'!$C:$C=$B120,'Генеральный баннер'!$I:$I=$C120)), ""\d+"", """"),"""")"),"")</f>
        <v/>
      </c>
      <c r="U120" s="91" t="str">
        <f>IFERROR(__xludf.DUMMYFUNCTION("IFERROR(unique(filter('Генеральный баннер'!$F:$F, 'Генеральный баннер'!$B:$B=$A120,'Генеральный баннер'!$C:$C=$B120,'Генеральный баннер'!$I:$I=$C120)),"""")"),"")</f>
        <v/>
      </c>
      <c r="V120" s="92" t="str">
        <f t="shared" si="3"/>
        <v/>
      </c>
      <c r="W120" s="93">
        <f>IFERROR(__xludf.DUMMYFUNCTION("IFERROR(SWITCH(lower(join("" "",U120:V120)),""а миллионник"", 62.5,""б миллионник"", 75,""а мск"", 50, ""б мск"", 62.5, ""a остальное"", 70, ""б остальное"", 80)/100,0)"),0.0)</f>
        <v>0</v>
      </c>
      <c r="X120" s="91">
        <f t="shared" si="4"/>
        <v>0</v>
      </c>
    </row>
    <row r="121">
      <c r="A121" s="90"/>
      <c r="B121" s="90"/>
      <c r="C121" s="90"/>
      <c r="D121" s="91">
        <f>IFERROR(__xludf.DUMMYFUNCTION("IFERROR(sum(filter('Основной эфир'!$AA:$AA, 'Основной эфир'!$B:$B=$A121,'Основной эфир'!$C:$C=$B121,'Основной эфир'!$I:$I=$C121)), 0) "),0.0)</f>
        <v>0</v>
      </c>
      <c r="E121" s="91">
        <f>IFERROR(__xludf.DUMMYFUNCTION("IFERROR(sum(filter('Основной эфир'!$AC:$AC, 'Основной эфир'!$B:$B=$A121,'Основной эфир'!$C:$C=$B121,'Основной эфир'!$I:$I=$C121)), 0) "),0.0)</f>
        <v>0</v>
      </c>
      <c r="F121" s="91">
        <f>IFERROR(__xludf.DUMMYFUNCTION("IFERROR(sum(filter('Основной эфир'!$O:$O, 'Основной эфир'!$B:$B=$A121,'Основной эфир'!$C:$C=$B121,'Основной эфир'!$I:$I=$C121)), 0) "),0.0)</f>
        <v>0</v>
      </c>
      <c r="G121" s="91">
        <f>IFERROR(__xludf.DUMMYFUNCTION("IFERROR(sum(filter('Основной эфир'!$Q:$Q, 'Основной эфир'!$B:$B=$A121,'Основной эфир'!$C:$C=$B121,'Основной эфир'!$I:$I=$C121)), 0) "),0.0)</f>
        <v>0</v>
      </c>
      <c r="H121" s="91">
        <f>IFERROR(__xludf.DUMMYFUNCTION("IFERROR(AVERAGE(filter('Основной эфир'!$Y:$Y, 'Основной эфир'!$B:$B=$A121,'Основной эфир'!$C:$C=$B121,'Основной эфир'!$I:$I=$C121)), 0) "),0.0)</f>
        <v>0</v>
      </c>
      <c r="I121" s="91">
        <f>IFERROR(__xludf.DUMMYFUNCTION("IFERROR(AVERAGE(filter('Основной эфир'!$AE:$AE, 'Основной эфир'!$B:$B=$A121,'Основной эфир'!$C:$C=$B121,'Основной эфир'!$I:$I=$C121)), 0) "),0.0)</f>
        <v>0</v>
      </c>
      <c r="J121" s="91">
        <f>IFERROR(__xludf.DUMMYFUNCTION("IFERROR(SUM(filter('Основной эфир'!$AL:$AL, 'Основной эфир'!$B:$B=$A121,'Основной эфир'!$C:$C=$B121,'Основной эфир'!$I:$I=$C121)), 0) "),0.0)</f>
        <v>0</v>
      </c>
      <c r="K121" s="91" t="str">
        <f>IFERROR(__xludf.DUMMYFUNCTION("IFERROR(REGEXREPLACE(unique(filter('Основной эфир'!$A:$A, 'Основной эфир'!$B:$B=$A121,'Основной эфир'!$C:$C=$B121,'Основной эфир'!$I:$I=$C121)), ""\d+"", """"),"""")"),"")</f>
        <v/>
      </c>
      <c r="L121" s="91" t="str">
        <f>IFERROR(__xludf.DUMMYFUNCTION("IFERROR(unique(filter('Основной эфир'!$F:$F, 'Основной эфир'!$B:$B=$A121,'Основной эфир'!$C:$C=$B121,'Основной эфир'!$I:$I=$C121)),"""")"),"")</f>
        <v/>
      </c>
      <c r="M121" s="92" t="str">
        <f t="shared" si="1"/>
        <v/>
      </c>
      <c r="N121" s="93">
        <f>IFERROR(__xludf.DUMMYFUNCTION("IFERROR(SWITCH(lower(join("" "",L121:M121)),""а миллионник"", 62.5,""б миллионник"", 75,""а мск"", 50, ""б мск"", 62.5, ""a остальное"", 70, ""б остальное"", 80)/100,0)"),0.0)</f>
        <v>0</v>
      </c>
      <c r="O121" s="91">
        <f t="shared" si="2"/>
        <v>0</v>
      </c>
      <c r="P121" s="91">
        <f>IFERROR(__xludf.DUMMYFUNCTION("IFERROR(sum(filter('Генеральный баннер'!$O:$O, 'Генеральный баннер'!$B:$B=$A121,'Генеральный баннер'!$C:$C=$B121,'Генеральный баннер'!$I:$I=$C121)), 0) "),0.0)</f>
        <v>0</v>
      </c>
      <c r="Q121" s="91">
        <f>IFERROR(__xludf.DUMMYFUNCTION("IFERROR(sum(filter('Генеральный баннер'!$Q:$Q, 'Генеральный баннер'!$B:$B=$A121,'Генеральный баннер'!$C:$C=$B121,'Генеральный баннер'!$I:$I=$C121)), 0) "),0.0)</f>
        <v>0</v>
      </c>
      <c r="R121" s="91">
        <f>IFERROR(__xludf.DUMMYFUNCTION("IFERROR(AVERAGE(filter('Генеральный баннер'!$AA:$AA, 'Генеральный баннер'!$B:$B=$A121,'Генеральный баннер'!$C:$C=$B121,'Генеральный баннер'!$I:$I=$C121)), 0) "),0.0)</f>
        <v>0</v>
      </c>
      <c r="S121" s="91">
        <f>IFERROR(__xludf.DUMMYFUNCTION("IFERROR(SUM(filter('Генеральный баннер'!$AH:$AH, 'Генеральный баннер'!$B:$B=$A121,'Генеральный баннер'!$C:$C=$B121,'Генеральный баннер'!$I:$I=$C121)), 0) "),0.0)</f>
        <v>0</v>
      </c>
      <c r="T121" s="91" t="str">
        <f>IFERROR(__xludf.DUMMYFUNCTION("IFERROR(REGEXREPLACE(unique(filter('Генеральный баннер'!$A:$A, 'Генеральный баннер'!$B:$B=$A121,'Генеральный баннер'!$C:$C=$B121,'Генеральный баннер'!$I:$I=$C121)), ""\d+"", """"),"""")"),"")</f>
        <v/>
      </c>
      <c r="U121" s="91" t="str">
        <f>IFERROR(__xludf.DUMMYFUNCTION("IFERROR(unique(filter('Генеральный баннер'!$F:$F, 'Генеральный баннер'!$B:$B=$A121,'Генеральный баннер'!$C:$C=$B121,'Генеральный баннер'!$I:$I=$C121)),"""")"),"")</f>
        <v/>
      </c>
      <c r="V121" s="92" t="str">
        <f t="shared" si="3"/>
        <v/>
      </c>
      <c r="W121" s="93">
        <f>IFERROR(__xludf.DUMMYFUNCTION("IFERROR(SWITCH(lower(join("" "",U121:V121)),""а миллионник"", 62.5,""б миллионник"", 75,""а мск"", 50, ""б мск"", 62.5, ""a остальное"", 70, ""б остальное"", 80)/100,0)"),0.0)</f>
        <v>0</v>
      </c>
      <c r="X121" s="91">
        <f t="shared" si="4"/>
        <v>0</v>
      </c>
    </row>
    <row r="122">
      <c r="A122" s="90"/>
      <c r="B122" s="90"/>
      <c r="C122" s="90"/>
      <c r="D122" s="91">
        <f>IFERROR(__xludf.DUMMYFUNCTION("IFERROR(sum(filter('Основной эфир'!$AA:$AA, 'Основной эфир'!$B:$B=$A122,'Основной эфир'!$C:$C=$B122,'Основной эфир'!$I:$I=$C122)), 0) "),0.0)</f>
        <v>0</v>
      </c>
      <c r="E122" s="91">
        <f>IFERROR(__xludf.DUMMYFUNCTION("IFERROR(sum(filter('Основной эфир'!$AC:$AC, 'Основной эфир'!$B:$B=$A122,'Основной эфир'!$C:$C=$B122,'Основной эфир'!$I:$I=$C122)), 0) "),0.0)</f>
        <v>0</v>
      </c>
      <c r="F122" s="91">
        <f>IFERROR(__xludf.DUMMYFUNCTION("IFERROR(sum(filter('Основной эфир'!$O:$O, 'Основной эфир'!$B:$B=$A122,'Основной эфир'!$C:$C=$B122,'Основной эфир'!$I:$I=$C122)), 0) "),0.0)</f>
        <v>0</v>
      </c>
      <c r="G122" s="91">
        <f>IFERROR(__xludf.DUMMYFUNCTION("IFERROR(sum(filter('Основной эфир'!$Q:$Q, 'Основной эфир'!$B:$B=$A122,'Основной эфир'!$C:$C=$B122,'Основной эфир'!$I:$I=$C122)), 0) "),0.0)</f>
        <v>0</v>
      </c>
      <c r="H122" s="91">
        <f>IFERROR(__xludf.DUMMYFUNCTION("IFERROR(AVERAGE(filter('Основной эфир'!$Y:$Y, 'Основной эфир'!$B:$B=$A122,'Основной эфир'!$C:$C=$B122,'Основной эфир'!$I:$I=$C122)), 0) "),0.0)</f>
        <v>0</v>
      </c>
      <c r="I122" s="91">
        <f>IFERROR(__xludf.DUMMYFUNCTION("IFERROR(AVERAGE(filter('Основной эфир'!$AE:$AE, 'Основной эфир'!$B:$B=$A122,'Основной эфир'!$C:$C=$B122,'Основной эфир'!$I:$I=$C122)), 0) "),0.0)</f>
        <v>0</v>
      </c>
      <c r="J122" s="91">
        <f>IFERROR(__xludf.DUMMYFUNCTION("IFERROR(SUM(filter('Основной эфир'!$AL:$AL, 'Основной эфир'!$B:$B=$A122,'Основной эфир'!$C:$C=$B122,'Основной эфир'!$I:$I=$C122)), 0) "),0.0)</f>
        <v>0</v>
      </c>
      <c r="K122" s="91" t="str">
        <f>IFERROR(__xludf.DUMMYFUNCTION("IFERROR(REGEXREPLACE(unique(filter('Основной эфир'!$A:$A, 'Основной эфир'!$B:$B=$A122,'Основной эфир'!$C:$C=$B122,'Основной эфир'!$I:$I=$C122)), ""\d+"", """"),"""")"),"")</f>
        <v/>
      </c>
      <c r="L122" s="91" t="str">
        <f>IFERROR(__xludf.DUMMYFUNCTION("IFERROR(unique(filter('Основной эфир'!$F:$F, 'Основной эфир'!$B:$B=$A122,'Основной эфир'!$C:$C=$B122,'Основной эфир'!$I:$I=$C122)),"""")"),"")</f>
        <v/>
      </c>
      <c r="M122" s="92" t="str">
        <f t="shared" si="1"/>
        <v/>
      </c>
      <c r="N122" s="93">
        <f>IFERROR(__xludf.DUMMYFUNCTION("IFERROR(SWITCH(lower(join("" "",L122:M122)),""а миллионник"", 62.5,""б миллионник"", 75,""а мск"", 50, ""б мск"", 62.5, ""a остальное"", 70, ""б остальное"", 80)/100,0)"),0.0)</f>
        <v>0</v>
      </c>
      <c r="O122" s="91">
        <f t="shared" si="2"/>
        <v>0</v>
      </c>
      <c r="P122" s="91">
        <f>IFERROR(__xludf.DUMMYFUNCTION("IFERROR(sum(filter('Генеральный баннер'!$O:$O, 'Генеральный баннер'!$B:$B=$A122,'Генеральный баннер'!$C:$C=$B122,'Генеральный баннер'!$I:$I=$C122)), 0) "),0.0)</f>
        <v>0</v>
      </c>
      <c r="Q122" s="91">
        <f>IFERROR(__xludf.DUMMYFUNCTION("IFERROR(sum(filter('Генеральный баннер'!$Q:$Q, 'Генеральный баннер'!$B:$B=$A122,'Генеральный баннер'!$C:$C=$B122,'Генеральный баннер'!$I:$I=$C122)), 0) "),0.0)</f>
        <v>0</v>
      </c>
      <c r="R122" s="91">
        <f>IFERROR(__xludf.DUMMYFUNCTION("IFERROR(AVERAGE(filter('Генеральный баннер'!$AA:$AA, 'Генеральный баннер'!$B:$B=$A122,'Генеральный баннер'!$C:$C=$B122,'Генеральный баннер'!$I:$I=$C122)), 0) "),0.0)</f>
        <v>0</v>
      </c>
      <c r="S122" s="91">
        <f>IFERROR(__xludf.DUMMYFUNCTION("IFERROR(SUM(filter('Генеральный баннер'!$AH:$AH, 'Генеральный баннер'!$B:$B=$A122,'Генеральный баннер'!$C:$C=$B122,'Генеральный баннер'!$I:$I=$C122)), 0) "),0.0)</f>
        <v>0</v>
      </c>
      <c r="T122" s="91" t="str">
        <f>IFERROR(__xludf.DUMMYFUNCTION("IFERROR(REGEXREPLACE(unique(filter('Генеральный баннер'!$A:$A, 'Генеральный баннер'!$B:$B=$A122,'Генеральный баннер'!$C:$C=$B122,'Генеральный баннер'!$I:$I=$C122)), ""\d+"", """"),"""")"),"")</f>
        <v/>
      </c>
      <c r="U122" s="91" t="str">
        <f>IFERROR(__xludf.DUMMYFUNCTION("IFERROR(unique(filter('Генеральный баннер'!$F:$F, 'Генеральный баннер'!$B:$B=$A122,'Генеральный баннер'!$C:$C=$B122,'Генеральный баннер'!$I:$I=$C122)),"""")"),"")</f>
        <v/>
      </c>
      <c r="V122" s="92" t="str">
        <f t="shared" si="3"/>
        <v/>
      </c>
      <c r="W122" s="93">
        <f>IFERROR(__xludf.DUMMYFUNCTION("IFERROR(SWITCH(lower(join("" "",U122:V122)),""а миллионник"", 62.5,""б миллионник"", 75,""а мск"", 50, ""б мск"", 62.5, ""a остальное"", 70, ""б остальное"", 80)/100,0)"),0.0)</f>
        <v>0</v>
      </c>
      <c r="X122" s="91">
        <f t="shared" si="4"/>
        <v>0</v>
      </c>
    </row>
    <row r="123">
      <c r="A123" s="90"/>
      <c r="B123" s="90"/>
      <c r="C123" s="90"/>
      <c r="D123" s="91">
        <f>IFERROR(__xludf.DUMMYFUNCTION("IFERROR(sum(filter('Основной эфир'!$AA:$AA, 'Основной эфир'!$B:$B=$A123,'Основной эфир'!$C:$C=$B123,'Основной эфир'!$I:$I=$C123)), 0) "),0.0)</f>
        <v>0</v>
      </c>
      <c r="E123" s="91">
        <f>IFERROR(__xludf.DUMMYFUNCTION("IFERROR(sum(filter('Основной эфир'!$AC:$AC, 'Основной эфир'!$B:$B=$A123,'Основной эфир'!$C:$C=$B123,'Основной эфир'!$I:$I=$C123)), 0) "),0.0)</f>
        <v>0</v>
      </c>
      <c r="F123" s="91">
        <f>IFERROR(__xludf.DUMMYFUNCTION("IFERROR(sum(filter('Основной эфир'!$O:$O, 'Основной эфир'!$B:$B=$A123,'Основной эфир'!$C:$C=$B123,'Основной эфир'!$I:$I=$C123)), 0) "),0.0)</f>
        <v>0</v>
      </c>
      <c r="G123" s="91">
        <f>IFERROR(__xludf.DUMMYFUNCTION("IFERROR(sum(filter('Основной эфир'!$Q:$Q, 'Основной эфир'!$B:$B=$A123,'Основной эфир'!$C:$C=$B123,'Основной эфир'!$I:$I=$C123)), 0) "),0.0)</f>
        <v>0</v>
      </c>
      <c r="H123" s="91">
        <f>IFERROR(__xludf.DUMMYFUNCTION("IFERROR(AVERAGE(filter('Основной эфир'!$Y:$Y, 'Основной эфир'!$B:$B=$A123,'Основной эфир'!$C:$C=$B123,'Основной эфир'!$I:$I=$C123)), 0) "),0.0)</f>
        <v>0</v>
      </c>
      <c r="I123" s="91">
        <f>IFERROR(__xludf.DUMMYFUNCTION("IFERROR(AVERAGE(filter('Основной эфир'!$AE:$AE, 'Основной эфир'!$B:$B=$A123,'Основной эфир'!$C:$C=$B123,'Основной эфир'!$I:$I=$C123)), 0) "),0.0)</f>
        <v>0</v>
      </c>
      <c r="J123" s="91">
        <f>IFERROR(__xludf.DUMMYFUNCTION("IFERROR(SUM(filter('Основной эфир'!$AL:$AL, 'Основной эфир'!$B:$B=$A123,'Основной эфир'!$C:$C=$B123,'Основной эфир'!$I:$I=$C123)), 0) "),0.0)</f>
        <v>0</v>
      </c>
      <c r="K123" s="91" t="str">
        <f>IFERROR(__xludf.DUMMYFUNCTION("IFERROR(REGEXREPLACE(unique(filter('Основной эфир'!$A:$A, 'Основной эфир'!$B:$B=$A123,'Основной эфир'!$C:$C=$B123,'Основной эфир'!$I:$I=$C123)), ""\d+"", """"),"""")"),"")</f>
        <v/>
      </c>
      <c r="L123" s="91" t="str">
        <f>IFERROR(__xludf.DUMMYFUNCTION("IFERROR(unique(filter('Основной эфир'!$F:$F, 'Основной эфир'!$B:$B=$A123,'Основной эфир'!$C:$C=$B123,'Основной эфир'!$I:$I=$C123)),"""")"),"")</f>
        <v/>
      </c>
      <c r="M123" s="92" t="str">
        <f t="shared" si="1"/>
        <v/>
      </c>
      <c r="N123" s="93">
        <f>IFERROR(__xludf.DUMMYFUNCTION("IFERROR(SWITCH(lower(join("" "",L123:M123)),""а миллионник"", 62.5,""б миллионник"", 75,""а мск"", 50, ""б мск"", 62.5, ""a остальное"", 70, ""б остальное"", 80)/100,0)"),0.0)</f>
        <v>0</v>
      </c>
      <c r="O123" s="91">
        <f t="shared" si="2"/>
        <v>0</v>
      </c>
      <c r="P123" s="91">
        <f>IFERROR(__xludf.DUMMYFUNCTION("IFERROR(sum(filter('Генеральный баннер'!$O:$O, 'Генеральный баннер'!$B:$B=$A123,'Генеральный баннер'!$C:$C=$B123,'Генеральный баннер'!$I:$I=$C123)), 0) "),0.0)</f>
        <v>0</v>
      </c>
      <c r="Q123" s="91">
        <f>IFERROR(__xludf.DUMMYFUNCTION("IFERROR(sum(filter('Генеральный баннер'!$Q:$Q, 'Генеральный баннер'!$B:$B=$A123,'Генеральный баннер'!$C:$C=$B123,'Генеральный баннер'!$I:$I=$C123)), 0) "),0.0)</f>
        <v>0</v>
      </c>
      <c r="R123" s="91">
        <f>IFERROR(__xludf.DUMMYFUNCTION("IFERROR(AVERAGE(filter('Генеральный баннер'!$AA:$AA, 'Генеральный баннер'!$B:$B=$A123,'Генеральный баннер'!$C:$C=$B123,'Генеральный баннер'!$I:$I=$C123)), 0) "),0.0)</f>
        <v>0</v>
      </c>
      <c r="S123" s="91">
        <f>IFERROR(__xludf.DUMMYFUNCTION("IFERROR(SUM(filter('Генеральный баннер'!$AH:$AH, 'Генеральный баннер'!$B:$B=$A123,'Генеральный баннер'!$C:$C=$B123,'Генеральный баннер'!$I:$I=$C123)), 0) "),0.0)</f>
        <v>0</v>
      </c>
      <c r="T123" s="91" t="str">
        <f>IFERROR(__xludf.DUMMYFUNCTION("IFERROR(REGEXREPLACE(unique(filter('Генеральный баннер'!$A:$A, 'Генеральный баннер'!$B:$B=$A123,'Генеральный баннер'!$C:$C=$B123,'Генеральный баннер'!$I:$I=$C123)), ""\d+"", """"),"""")"),"")</f>
        <v/>
      </c>
      <c r="U123" s="91" t="str">
        <f>IFERROR(__xludf.DUMMYFUNCTION("IFERROR(unique(filter('Генеральный баннер'!$F:$F, 'Генеральный баннер'!$B:$B=$A123,'Генеральный баннер'!$C:$C=$B123,'Генеральный баннер'!$I:$I=$C123)),"""")"),"")</f>
        <v/>
      </c>
      <c r="V123" s="92" t="str">
        <f t="shared" si="3"/>
        <v/>
      </c>
      <c r="W123" s="93">
        <f>IFERROR(__xludf.DUMMYFUNCTION("IFERROR(SWITCH(lower(join("" "",U123:V123)),""а миллионник"", 62.5,""б миллионник"", 75,""а мск"", 50, ""б мск"", 62.5, ""a остальное"", 70, ""б остальное"", 80)/100,0)"),0.0)</f>
        <v>0</v>
      </c>
      <c r="X123" s="91">
        <f t="shared" si="4"/>
        <v>0</v>
      </c>
    </row>
    <row r="124">
      <c r="A124" s="90"/>
      <c r="B124" s="90"/>
      <c r="C124" s="90"/>
      <c r="D124" s="91">
        <f>IFERROR(__xludf.DUMMYFUNCTION("IFERROR(sum(filter('Основной эфир'!$AA:$AA, 'Основной эфир'!$B:$B=$A124,'Основной эфир'!$C:$C=$B124,'Основной эфир'!$I:$I=$C124)), 0) "),0.0)</f>
        <v>0</v>
      </c>
      <c r="E124" s="91">
        <f>IFERROR(__xludf.DUMMYFUNCTION("IFERROR(sum(filter('Основной эфир'!$AC:$AC, 'Основной эфир'!$B:$B=$A124,'Основной эфир'!$C:$C=$B124,'Основной эфир'!$I:$I=$C124)), 0) "),0.0)</f>
        <v>0</v>
      </c>
      <c r="F124" s="91">
        <f>IFERROR(__xludf.DUMMYFUNCTION("IFERROR(sum(filter('Основной эфир'!$O:$O, 'Основной эфир'!$B:$B=$A124,'Основной эфир'!$C:$C=$B124,'Основной эфир'!$I:$I=$C124)), 0) "),0.0)</f>
        <v>0</v>
      </c>
      <c r="G124" s="91">
        <f>IFERROR(__xludf.DUMMYFUNCTION("IFERROR(sum(filter('Основной эфир'!$Q:$Q, 'Основной эфир'!$B:$B=$A124,'Основной эфир'!$C:$C=$B124,'Основной эфир'!$I:$I=$C124)), 0) "),0.0)</f>
        <v>0</v>
      </c>
      <c r="H124" s="91">
        <f>IFERROR(__xludf.DUMMYFUNCTION("IFERROR(AVERAGE(filter('Основной эфир'!$Y:$Y, 'Основной эфир'!$B:$B=$A124,'Основной эфир'!$C:$C=$B124,'Основной эфир'!$I:$I=$C124)), 0) "),0.0)</f>
        <v>0</v>
      </c>
      <c r="I124" s="91">
        <f>IFERROR(__xludf.DUMMYFUNCTION("IFERROR(AVERAGE(filter('Основной эфир'!$AE:$AE, 'Основной эфир'!$B:$B=$A124,'Основной эфир'!$C:$C=$B124,'Основной эфир'!$I:$I=$C124)), 0) "),0.0)</f>
        <v>0</v>
      </c>
      <c r="J124" s="91">
        <f>IFERROR(__xludf.DUMMYFUNCTION("IFERROR(SUM(filter('Основной эфир'!$AL:$AL, 'Основной эфир'!$B:$B=$A124,'Основной эфир'!$C:$C=$B124,'Основной эфир'!$I:$I=$C124)), 0) "),0.0)</f>
        <v>0</v>
      </c>
      <c r="K124" s="91" t="str">
        <f>IFERROR(__xludf.DUMMYFUNCTION("IFERROR(REGEXREPLACE(unique(filter('Основной эфир'!$A:$A, 'Основной эфир'!$B:$B=$A124,'Основной эфир'!$C:$C=$B124,'Основной эфир'!$I:$I=$C124)), ""\d+"", """"),"""")"),"")</f>
        <v/>
      </c>
      <c r="L124" s="91" t="str">
        <f>IFERROR(__xludf.DUMMYFUNCTION("IFERROR(unique(filter('Основной эфир'!$F:$F, 'Основной эфир'!$B:$B=$A124,'Основной эфир'!$C:$C=$B124,'Основной эфир'!$I:$I=$C124)),"""")"),"")</f>
        <v/>
      </c>
      <c r="M124" s="92" t="str">
        <f t="shared" si="1"/>
        <v/>
      </c>
      <c r="N124" s="93">
        <f>IFERROR(__xludf.DUMMYFUNCTION("IFERROR(SWITCH(lower(join("" "",L124:M124)),""а миллионник"", 62.5,""б миллионник"", 75,""а мск"", 50, ""б мск"", 62.5, ""a остальное"", 70, ""б остальное"", 80)/100,0)"),0.0)</f>
        <v>0</v>
      </c>
      <c r="O124" s="91">
        <f t="shared" si="2"/>
        <v>0</v>
      </c>
      <c r="P124" s="91">
        <f>IFERROR(__xludf.DUMMYFUNCTION("IFERROR(sum(filter('Генеральный баннер'!$O:$O, 'Генеральный баннер'!$B:$B=$A124,'Генеральный баннер'!$C:$C=$B124,'Генеральный баннер'!$I:$I=$C124)), 0) "),0.0)</f>
        <v>0</v>
      </c>
      <c r="Q124" s="91">
        <f>IFERROR(__xludf.DUMMYFUNCTION("IFERROR(sum(filter('Генеральный баннер'!$Q:$Q, 'Генеральный баннер'!$B:$B=$A124,'Генеральный баннер'!$C:$C=$B124,'Генеральный баннер'!$I:$I=$C124)), 0) "),0.0)</f>
        <v>0</v>
      </c>
      <c r="R124" s="91">
        <f>IFERROR(__xludf.DUMMYFUNCTION("IFERROR(AVERAGE(filter('Генеральный баннер'!$AA:$AA, 'Генеральный баннер'!$B:$B=$A124,'Генеральный баннер'!$C:$C=$B124,'Генеральный баннер'!$I:$I=$C124)), 0) "),0.0)</f>
        <v>0</v>
      </c>
      <c r="S124" s="91">
        <f>IFERROR(__xludf.DUMMYFUNCTION("IFERROR(SUM(filter('Генеральный баннер'!$AH:$AH, 'Генеральный баннер'!$B:$B=$A124,'Генеральный баннер'!$C:$C=$B124,'Генеральный баннер'!$I:$I=$C124)), 0) "),0.0)</f>
        <v>0</v>
      </c>
      <c r="T124" s="91" t="str">
        <f>IFERROR(__xludf.DUMMYFUNCTION("IFERROR(REGEXREPLACE(unique(filter('Генеральный баннер'!$A:$A, 'Генеральный баннер'!$B:$B=$A124,'Генеральный баннер'!$C:$C=$B124,'Генеральный баннер'!$I:$I=$C124)), ""\d+"", """"),"""")"),"")</f>
        <v/>
      </c>
      <c r="U124" s="91" t="str">
        <f>IFERROR(__xludf.DUMMYFUNCTION("IFERROR(unique(filter('Генеральный баннер'!$F:$F, 'Генеральный баннер'!$B:$B=$A124,'Генеральный баннер'!$C:$C=$B124,'Генеральный баннер'!$I:$I=$C124)),"""")"),"")</f>
        <v/>
      </c>
      <c r="V124" s="92" t="str">
        <f t="shared" si="3"/>
        <v/>
      </c>
      <c r="W124" s="93">
        <f>IFERROR(__xludf.DUMMYFUNCTION("IFERROR(SWITCH(lower(join("" "",U124:V124)),""а миллионник"", 62.5,""б миллионник"", 75,""а мск"", 50, ""б мск"", 62.5, ""a остальное"", 70, ""б остальное"", 80)/100,0)"),0.0)</f>
        <v>0</v>
      </c>
      <c r="X124" s="91">
        <f t="shared" si="4"/>
        <v>0</v>
      </c>
    </row>
    <row r="125">
      <c r="A125" s="90"/>
      <c r="B125" s="90"/>
      <c r="C125" s="90"/>
      <c r="D125" s="91">
        <f>IFERROR(__xludf.DUMMYFUNCTION("IFERROR(sum(filter('Основной эфир'!$AA:$AA, 'Основной эфир'!$B:$B=$A125,'Основной эфир'!$C:$C=$B125,'Основной эфир'!$I:$I=$C125)), 0) "),0.0)</f>
        <v>0</v>
      </c>
      <c r="E125" s="91">
        <f>IFERROR(__xludf.DUMMYFUNCTION("IFERROR(sum(filter('Основной эфир'!$AC:$AC, 'Основной эфир'!$B:$B=$A125,'Основной эфир'!$C:$C=$B125,'Основной эфир'!$I:$I=$C125)), 0) "),0.0)</f>
        <v>0</v>
      </c>
      <c r="F125" s="91">
        <f>IFERROR(__xludf.DUMMYFUNCTION("IFERROR(sum(filter('Основной эфир'!$O:$O, 'Основной эфир'!$B:$B=$A125,'Основной эфир'!$C:$C=$B125,'Основной эфир'!$I:$I=$C125)), 0) "),0.0)</f>
        <v>0</v>
      </c>
      <c r="G125" s="91">
        <f>IFERROR(__xludf.DUMMYFUNCTION("IFERROR(sum(filter('Основной эфир'!$Q:$Q, 'Основной эфир'!$B:$B=$A125,'Основной эфир'!$C:$C=$B125,'Основной эфир'!$I:$I=$C125)), 0) "),0.0)</f>
        <v>0</v>
      </c>
      <c r="H125" s="91">
        <f>IFERROR(__xludf.DUMMYFUNCTION("IFERROR(AVERAGE(filter('Основной эфир'!$Y:$Y, 'Основной эфир'!$B:$B=$A125,'Основной эфир'!$C:$C=$B125,'Основной эфир'!$I:$I=$C125)), 0) "),0.0)</f>
        <v>0</v>
      </c>
      <c r="I125" s="91">
        <f>IFERROR(__xludf.DUMMYFUNCTION("IFERROR(AVERAGE(filter('Основной эфир'!$AE:$AE, 'Основной эфир'!$B:$B=$A125,'Основной эфир'!$C:$C=$B125,'Основной эфир'!$I:$I=$C125)), 0) "),0.0)</f>
        <v>0</v>
      </c>
      <c r="J125" s="91">
        <f>IFERROR(__xludf.DUMMYFUNCTION("IFERROR(SUM(filter('Основной эфир'!$AL:$AL, 'Основной эфир'!$B:$B=$A125,'Основной эфир'!$C:$C=$B125,'Основной эфир'!$I:$I=$C125)), 0) "),0.0)</f>
        <v>0</v>
      </c>
      <c r="K125" s="91" t="str">
        <f>IFERROR(__xludf.DUMMYFUNCTION("IFERROR(REGEXREPLACE(unique(filter('Основной эфир'!$A:$A, 'Основной эфир'!$B:$B=$A125,'Основной эфир'!$C:$C=$B125,'Основной эфир'!$I:$I=$C125)), ""\d+"", """"),"""")"),"")</f>
        <v/>
      </c>
      <c r="L125" s="91" t="str">
        <f>IFERROR(__xludf.DUMMYFUNCTION("IFERROR(unique(filter('Основной эфир'!$F:$F, 'Основной эфир'!$B:$B=$A125,'Основной эфир'!$C:$C=$B125,'Основной эфир'!$I:$I=$C125)),"""")"),"")</f>
        <v/>
      </c>
      <c r="M125" s="92" t="str">
        <f t="shared" si="1"/>
        <v/>
      </c>
      <c r="N125" s="93">
        <f>IFERROR(__xludf.DUMMYFUNCTION("IFERROR(SWITCH(lower(join("" "",L125:M125)),""а миллионник"", 62.5,""б миллионник"", 75,""а мск"", 50, ""б мск"", 62.5, ""a остальное"", 70, ""б остальное"", 80)/100,0)"),0.0)</f>
        <v>0</v>
      </c>
      <c r="O125" s="91">
        <f t="shared" si="2"/>
        <v>0</v>
      </c>
      <c r="P125" s="91">
        <f>IFERROR(__xludf.DUMMYFUNCTION("IFERROR(sum(filter('Генеральный баннер'!$O:$O, 'Генеральный баннер'!$B:$B=$A125,'Генеральный баннер'!$C:$C=$B125,'Генеральный баннер'!$I:$I=$C125)), 0) "),0.0)</f>
        <v>0</v>
      </c>
      <c r="Q125" s="91">
        <f>IFERROR(__xludf.DUMMYFUNCTION("IFERROR(sum(filter('Генеральный баннер'!$Q:$Q, 'Генеральный баннер'!$B:$B=$A125,'Генеральный баннер'!$C:$C=$B125,'Генеральный баннер'!$I:$I=$C125)), 0) "),0.0)</f>
        <v>0</v>
      </c>
      <c r="R125" s="91">
        <f>IFERROR(__xludf.DUMMYFUNCTION("IFERROR(AVERAGE(filter('Генеральный баннер'!$AA:$AA, 'Генеральный баннер'!$B:$B=$A125,'Генеральный баннер'!$C:$C=$B125,'Генеральный баннер'!$I:$I=$C125)), 0) "),0.0)</f>
        <v>0</v>
      </c>
      <c r="S125" s="91">
        <f>IFERROR(__xludf.DUMMYFUNCTION("IFERROR(SUM(filter('Генеральный баннер'!$AH:$AH, 'Генеральный баннер'!$B:$B=$A125,'Генеральный баннер'!$C:$C=$B125,'Генеральный баннер'!$I:$I=$C125)), 0) "),0.0)</f>
        <v>0</v>
      </c>
      <c r="T125" s="91" t="str">
        <f>IFERROR(__xludf.DUMMYFUNCTION("IFERROR(REGEXREPLACE(unique(filter('Генеральный баннер'!$A:$A, 'Генеральный баннер'!$B:$B=$A125,'Генеральный баннер'!$C:$C=$B125,'Генеральный баннер'!$I:$I=$C125)), ""\d+"", """"),"""")"),"")</f>
        <v/>
      </c>
      <c r="U125" s="91" t="str">
        <f>IFERROR(__xludf.DUMMYFUNCTION("IFERROR(unique(filter('Генеральный баннер'!$F:$F, 'Генеральный баннер'!$B:$B=$A125,'Генеральный баннер'!$C:$C=$B125,'Генеральный баннер'!$I:$I=$C125)),"""")"),"")</f>
        <v/>
      </c>
      <c r="V125" s="92" t="str">
        <f t="shared" si="3"/>
        <v/>
      </c>
      <c r="W125" s="93">
        <f>IFERROR(__xludf.DUMMYFUNCTION("IFERROR(SWITCH(lower(join("" "",U125:V125)),""а миллионник"", 62.5,""б миллионник"", 75,""а мск"", 50, ""б мск"", 62.5, ""a остальное"", 70, ""б остальное"", 80)/100,0)"),0.0)</f>
        <v>0</v>
      </c>
      <c r="X125" s="91">
        <f t="shared" si="4"/>
        <v>0</v>
      </c>
    </row>
    <row r="126">
      <c r="A126" s="90"/>
      <c r="B126" s="90"/>
      <c r="C126" s="90"/>
      <c r="D126" s="91">
        <f>IFERROR(__xludf.DUMMYFUNCTION("IFERROR(sum(filter('Основной эфир'!$AA:$AA, 'Основной эфир'!$B:$B=$A126,'Основной эфир'!$C:$C=$B126,'Основной эфир'!$I:$I=$C126)), 0) "),0.0)</f>
        <v>0</v>
      </c>
      <c r="E126" s="91">
        <f>IFERROR(__xludf.DUMMYFUNCTION("IFERROR(sum(filter('Основной эфир'!$AC:$AC, 'Основной эфир'!$B:$B=$A126,'Основной эфир'!$C:$C=$B126,'Основной эфир'!$I:$I=$C126)), 0) "),0.0)</f>
        <v>0</v>
      </c>
      <c r="F126" s="91">
        <f>IFERROR(__xludf.DUMMYFUNCTION("IFERROR(sum(filter('Основной эфир'!$O:$O, 'Основной эфир'!$B:$B=$A126,'Основной эфир'!$C:$C=$B126,'Основной эфир'!$I:$I=$C126)), 0) "),0.0)</f>
        <v>0</v>
      </c>
      <c r="G126" s="91">
        <f>IFERROR(__xludf.DUMMYFUNCTION("IFERROR(sum(filter('Основной эфир'!$Q:$Q, 'Основной эфир'!$B:$B=$A126,'Основной эфир'!$C:$C=$B126,'Основной эфир'!$I:$I=$C126)), 0) "),0.0)</f>
        <v>0</v>
      </c>
      <c r="H126" s="91">
        <f>IFERROR(__xludf.DUMMYFUNCTION("IFERROR(AVERAGE(filter('Основной эфир'!$Y:$Y, 'Основной эфир'!$B:$B=$A126,'Основной эфир'!$C:$C=$B126,'Основной эфир'!$I:$I=$C126)), 0) "),0.0)</f>
        <v>0</v>
      </c>
      <c r="I126" s="91">
        <f>IFERROR(__xludf.DUMMYFUNCTION("IFERROR(AVERAGE(filter('Основной эфир'!$AE:$AE, 'Основной эфир'!$B:$B=$A126,'Основной эфир'!$C:$C=$B126,'Основной эфир'!$I:$I=$C126)), 0) "),0.0)</f>
        <v>0</v>
      </c>
      <c r="J126" s="91">
        <f>IFERROR(__xludf.DUMMYFUNCTION("IFERROR(SUM(filter('Основной эфир'!$AL:$AL, 'Основной эфир'!$B:$B=$A126,'Основной эфир'!$C:$C=$B126,'Основной эфир'!$I:$I=$C126)), 0) "),0.0)</f>
        <v>0</v>
      </c>
      <c r="K126" s="91" t="str">
        <f>IFERROR(__xludf.DUMMYFUNCTION("IFERROR(REGEXREPLACE(unique(filter('Основной эфир'!$A:$A, 'Основной эфир'!$B:$B=$A126,'Основной эфир'!$C:$C=$B126,'Основной эфир'!$I:$I=$C126)), ""\d+"", """"),"""")"),"")</f>
        <v/>
      </c>
      <c r="L126" s="91" t="str">
        <f>IFERROR(__xludf.DUMMYFUNCTION("IFERROR(unique(filter('Основной эфир'!$F:$F, 'Основной эфир'!$B:$B=$A126,'Основной эфир'!$C:$C=$B126,'Основной эфир'!$I:$I=$C126)),"""")"),"")</f>
        <v/>
      </c>
      <c r="M126" s="92" t="str">
        <f t="shared" si="1"/>
        <v/>
      </c>
      <c r="N126" s="93">
        <f>IFERROR(__xludf.DUMMYFUNCTION("IFERROR(SWITCH(lower(join("" "",L126:M126)),""а миллионник"", 62.5,""б миллионник"", 75,""а мск"", 50, ""б мск"", 62.5, ""a остальное"", 70, ""б остальное"", 80)/100,0)"),0.0)</f>
        <v>0</v>
      </c>
      <c r="O126" s="91">
        <f t="shared" si="2"/>
        <v>0</v>
      </c>
      <c r="P126" s="91">
        <f>IFERROR(__xludf.DUMMYFUNCTION("IFERROR(sum(filter('Генеральный баннер'!$O:$O, 'Генеральный баннер'!$B:$B=$A126,'Генеральный баннер'!$C:$C=$B126,'Генеральный баннер'!$I:$I=$C126)), 0) "),0.0)</f>
        <v>0</v>
      </c>
      <c r="Q126" s="91">
        <f>IFERROR(__xludf.DUMMYFUNCTION("IFERROR(sum(filter('Генеральный баннер'!$Q:$Q, 'Генеральный баннер'!$B:$B=$A126,'Генеральный баннер'!$C:$C=$B126,'Генеральный баннер'!$I:$I=$C126)), 0) "),0.0)</f>
        <v>0</v>
      </c>
      <c r="R126" s="91">
        <f>IFERROR(__xludf.DUMMYFUNCTION("IFERROR(AVERAGE(filter('Генеральный баннер'!$AA:$AA, 'Генеральный баннер'!$B:$B=$A126,'Генеральный баннер'!$C:$C=$B126,'Генеральный баннер'!$I:$I=$C126)), 0) "),0.0)</f>
        <v>0</v>
      </c>
      <c r="S126" s="91">
        <f>IFERROR(__xludf.DUMMYFUNCTION("IFERROR(SUM(filter('Генеральный баннер'!$AH:$AH, 'Генеральный баннер'!$B:$B=$A126,'Генеральный баннер'!$C:$C=$B126,'Генеральный баннер'!$I:$I=$C126)), 0) "),0.0)</f>
        <v>0</v>
      </c>
      <c r="T126" s="91" t="str">
        <f>IFERROR(__xludf.DUMMYFUNCTION("IFERROR(REGEXREPLACE(unique(filter('Генеральный баннер'!$A:$A, 'Генеральный баннер'!$B:$B=$A126,'Генеральный баннер'!$C:$C=$B126,'Генеральный баннер'!$I:$I=$C126)), ""\d+"", """"),"""")"),"")</f>
        <v/>
      </c>
      <c r="U126" s="91" t="str">
        <f>IFERROR(__xludf.DUMMYFUNCTION("IFERROR(unique(filter('Генеральный баннер'!$F:$F, 'Генеральный баннер'!$B:$B=$A126,'Генеральный баннер'!$C:$C=$B126,'Генеральный баннер'!$I:$I=$C126)),"""")"),"")</f>
        <v/>
      </c>
      <c r="V126" s="92" t="str">
        <f t="shared" si="3"/>
        <v/>
      </c>
      <c r="W126" s="93">
        <f>IFERROR(__xludf.DUMMYFUNCTION("IFERROR(SWITCH(lower(join("" "",U126:V126)),""а миллионник"", 62.5,""б миллионник"", 75,""а мск"", 50, ""б мск"", 62.5, ""a остальное"", 70, ""б остальное"", 80)/100,0)"),0.0)</f>
        <v>0</v>
      </c>
      <c r="X126" s="91">
        <f t="shared" si="4"/>
        <v>0</v>
      </c>
    </row>
    <row r="127">
      <c r="A127" s="90"/>
      <c r="B127" s="90"/>
      <c r="C127" s="90"/>
      <c r="D127" s="91">
        <f>IFERROR(__xludf.DUMMYFUNCTION("IFERROR(sum(filter('Основной эфир'!$AA:$AA, 'Основной эфир'!$B:$B=$A127,'Основной эфир'!$C:$C=$B127,'Основной эфир'!$I:$I=$C127)), 0) "),0.0)</f>
        <v>0</v>
      </c>
      <c r="E127" s="91">
        <f>IFERROR(__xludf.DUMMYFUNCTION("IFERROR(sum(filter('Основной эфир'!$AC:$AC, 'Основной эфир'!$B:$B=$A127,'Основной эфир'!$C:$C=$B127,'Основной эфир'!$I:$I=$C127)), 0) "),0.0)</f>
        <v>0</v>
      </c>
      <c r="F127" s="91">
        <f>IFERROR(__xludf.DUMMYFUNCTION("IFERROR(sum(filter('Основной эфир'!$O:$O, 'Основной эфир'!$B:$B=$A127,'Основной эфир'!$C:$C=$B127,'Основной эфир'!$I:$I=$C127)), 0) "),0.0)</f>
        <v>0</v>
      </c>
      <c r="G127" s="91">
        <f>IFERROR(__xludf.DUMMYFUNCTION("IFERROR(sum(filter('Основной эфир'!$Q:$Q, 'Основной эфир'!$B:$B=$A127,'Основной эфир'!$C:$C=$B127,'Основной эфир'!$I:$I=$C127)), 0) "),0.0)</f>
        <v>0</v>
      </c>
      <c r="H127" s="91">
        <f>IFERROR(__xludf.DUMMYFUNCTION("IFERROR(AVERAGE(filter('Основной эфир'!$Y:$Y, 'Основной эфир'!$B:$B=$A127,'Основной эфир'!$C:$C=$B127,'Основной эфир'!$I:$I=$C127)), 0) "),0.0)</f>
        <v>0</v>
      </c>
      <c r="I127" s="91">
        <f>IFERROR(__xludf.DUMMYFUNCTION("IFERROR(AVERAGE(filter('Основной эфир'!$AE:$AE, 'Основной эфир'!$B:$B=$A127,'Основной эфир'!$C:$C=$B127,'Основной эфир'!$I:$I=$C127)), 0) "),0.0)</f>
        <v>0</v>
      </c>
      <c r="J127" s="91">
        <f>IFERROR(__xludf.DUMMYFUNCTION("IFERROR(SUM(filter('Основной эфир'!$AL:$AL, 'Основной эфир'!$B:$B=$A127,'Основной эфир'!$C:$C=$B127,'Основной эфир'!$I:$I=$C127)), 0) "),0.0)</f>
        <v>0</v>
      </c>
      <c r="K127" s="91" t="str">
        <f>IFERROR(__xludf.DUMMYFUNCTION("IFERROR(REGEXREPLACE(unique(filter('Основной эфир'!$A:$A, 'Основной эфир'!$B:$B=$A127,'Основной эфир'!$C:$C=$B127,'Основной эфир'!$I:$I=$C127)), ""\d+"", """"),"""")"),"")</f>
        <v/>
      </c>
      <c r="L127" s="91" t="str">
        <f>IFERROR(__xludf.DUMMYFUNCTION("IFERROR(unique(filter('Основной эфир'!$F:$F, 'Основной эфир'!$B:$B=$A127,'Основной эфир'!$C:$C=$B127,'Основной эфир'!$I:$I=$C127)),"""")"),"")</f>
        <v/>
      </c>
      <c r="M127" s="92" t="str">
        <f t="shared" si="1"/>
        <v/>
      </c>
      <c r="N127" s="93">
        <f>IFERROR(__xludf.DUMMYFUNCTION("IFERROR(SWITCH(lower(join("" "",L127:M127)),""а миллионник"", 62.5,""б миллионник"", 75,""а мск"", 50, ""б мск"", 62.5, ""a остальное"", 70, ""б остальное"", 80)/100,0)"),0.0)</f>
        <v>0</v>
      </c>
      <c r="O127" s="91">
        <f t="shared" si="2"/>
        <v>0</v>
      </c>
      <c r="P127" s="91">
        <f>IFERROR(__xludf.DUMMYFUNCTION("IFERROR(sum(filter('Генеральный баннер'!$O:$O, 'Генеральный баннер'!$B:$B=$A127,'Генеральный баннер'!$C:$C=$B127,'Генеральный баннер'!$I:$I=$C127)), 0) "),0.0)</f>
        <v>0</v>
      </c>
      <c r="Q127" s="91">
        <f>IFERROR(__xludf.DUMMYFUNCTION("IFERROR(sum(filter('Генеральный баннер'!$Q:$Q, 'Генеральный баннер'!$B:$B=$A127,'Генеральный баннер'!$C:$C=$B127,'Генеральный баннер'!$I:$I=$C127)), 0) "),0.0)</f>
        <v>0</v>
      </c>
      <c r="R127" s="91">
        <f>IFERROR(__xludf.DUMMYFUNCTION("IFERROR(AVERAGE(filter('Генеральный баннер'!$AA:$AA, 'Генеральный баннер'!$B:$B=$A127,'Генеральный баннер'!$C:$C=$B127,'Генеральный баннер'!$I:$I=$C127)), 0) "),0.0)</f>
        <v>0</v>
      </c>
      <c r="S127" s="91">
        <f>IFERROR(__xludf.DUMMYFUNCTION("IFERROR(SUM(filter('Генеральный баннер'!$AH:$AH, 'Генеральный баннер'!$B:$B=$A127,'Генеральный баннер'!$C:$C=$B127,'Генеральный баннер'!$I:$I=$C127)), 0) "),0.0)</f>
        <v>0</v>
      </c>
      <c r="T127" s="91" t="str">
        <f>IFERROR(__xludf.DUMMYFUNCTION("IFERROR(REGEXREPLACE(unique(filter('Генеральный баннер'!$A:$A, 'Генеральный баннер'!$B:$B=$A127,'Генеральный баннер'!$C:$C=$B127,'Генеральный баннер'!$I:$I=$C127)), ""\d+"", """"),"""")"),"")</f>
        <v/>
      </c>
      <c r="U127" s="91" t="str">
        <f>IFERROR(__xludf.DUMMYFUNCTION("IFERROR(unique(filter('Генеральный баннер'!$F:$F, 'Генеральный баннер'!$B:$B=$A127,'Генеральный баннер'!$C:$C=$B127,'Генеральный баннер'!$I:$I=$C127)),"""")"),"")</f>
        <v/>
      </c>
      <c r="V127" s="92" t="str">
        <f t="shared" si="3"/>
        <v/>
      </c>
      <c r="W127" s="93">
        <f>IFERROR(__xludf.DUMMYFUNCTION("IFERROR(SWITCH(lower(join("" "",U127:V127)),""а миллионник"", 62.5,""б миллионник"", 75,""а мск"", 50, ""б мск"", 62.5, ""a остальное"", 70, ""б остальное"", 80)/100,0)"),0.0)</f>
        <v>0</v>
      </c>
      <c r="X127" s="91">
        <f t="shared" si="4"/>
        <v>0</v>
      </c>
    </row>
    <row r="128">
      <c r="A128" s="90"/>
      <c r="B128" s="90"/>
      <c r="C128" s="90"/>
      <c r="D128" s="91">
        <f>IFERROR(__xludf.DUMMYFUNCTION("IFERROR(sum(filter('Основной эфир'!$AA:$AA, 'Основной эфир'!$B:$B=$A128,'Основной эфир'!$C:$C=$B128,'Основной эфир'!$I:$I=$C128)), 0) "),0.0)</f>
        <v>0</v>
      </c>
      <c r="E128" s="91">
        <f>IFERROR(__xludf.DUMMYFUNCTION("IFERROR(sum(filter('Основной эфир'!$AC:$AC, 'Основной эфир'!$B:$B=$A128,'Основной эфир'!$C:$C=$B128,'Основной эфир'!$I:$I=$C128)), 0) "),0.0)</f>
        <v>0</v>
      </c>
      <c r="F128" s="91">
        <f>IFERROR(__xludf.DUMMYFUNCTION("IFERROR(sum(filter('Основной эфир'!$O:$O, 'Основной эфир'!$B:$B=$A128,'Основной эфир'!$C:$C=$B128,'Основной эфир'!$I:$I=$C128)), 0) "),0.0)</f>
        <v>0</v>
      </c>
      <c r="G128" s="91">
        <f>IFERROR(__xludf.DUMMYFUNCTION("IFERROR(sum(filter('Основной эфир'!$Q:$Q, 'Основной эфир'!$B:$B=$A128,'Основной эфир'!$C:$C=$B128,'Основной эфир'!$I:$I=$C128)), 0) "),0.0)</f>
        <v>0</v>
      </c>
      <c r="H128" s="91">
        <f>IFERROR(__xludf.DUMMYFUNCTION("IFERROR(AVERAGE(filter('Основной эфир'!$Y:$Y, 'Основной эфир'!$B:$B=$A128,'Основной эфир'!$C:$C=$B128,'Основной эфир'!$I:$I=$C128)), 0) "),0.0)</f>
        <v>0</v>
      </c>
      <c r="I128" s="91">
        <f>IFERROR(__xludf.DUMMYFUNCTION("IFERROR(AVERAGE(filter('Основной эфир'!$AE:$AE, 'Основной эфир'!$B:$B=$A128,'Основной эфир'!$C:$C=$B128,'Основной эфир'!$I:$I=$C128)), 0) "),0.0)</f>
        <v>0</v>
      </c>
      <c r="J128" s="91">
        <f>IFERROR(__xludf.DUMMYFUNCTION("IFERROR(SUM(filter('Основной эфир'!$AL:$AL, 'Основной эфир'!$B:$B=$A128,'Основной эфир'!$C:$C=$B128,'Основной эфир'!$I:$I=$C128)), 0) "),0.0)</f>
        <v>0</v>
      </c>
      <c r="K128" s="91" t="str">
        <f>IFERROR(__xludf.DUMMYFUNCTION("IFERROR(REGEXREPLACE(unique(filter('Основной эфир'!$A:$A, 'Основной эфир'!$B:$B=$A128,'Основной эфир'!$C:$C=$B128,'Основной эфир'!$I:$I=$C128)), ""\d+"", """"),"""")"),"")</f>
        <v/>
      </c>
      <c r="L128" s="91" t="str">
        <f>IFERROR(__xludf.DUMMYFUNCTION("IFERROR(unique(filter('Основной эфир'!$F:$F, 'Основной эфир'!$B:$B=$A128,'Основной эфир'!$C:$C=$B128,'Основной эфир'!$I:$I=$C128)),"""")"),"")</f>
        <v/>
      </c>
      <c r="M128" s="92" t="str">
        <f t="shared" si="1"/>
        <v/>
      </c>
      <c r="N128" s="93">
        <f>IFERROR(__xludf.DUMMYFUNCTION("IFERROR(SWITCH(lower(join("" "",L128:M128)),""а миллионник"", 62.5,""б миллионник"", 75,""а мск"", 50, ""б мск"", 62.5, ""a остальное"", 70, ""б остальное"", 80)/100,0)"),0.0)</f>
        <v>0</v>
      </c>
      <c r="O128" s="91">
        <f t="shared" si="2"/>
        <v>0</v>
      </c>
      <c r="P128" s="91">
        <f>IFERROR(__xludf.DUMMYFUNCTION("IFERROR(sum(filter('Генеральный баннер'!$O:$O, 'Генеральный баннер'!$B:$B=$A128,'Генеральный баннер'!$C:$C=$B128,'Генеральный баннер'!$I:$I=$C128)), 0) "),0.0)</f>
        <v>0</v>
      </c>
      <c r="Q128" s="91">
        <f>IFERROR(__xludf.DUMMYFUNCTION("IFERROR(sum(filter('Генеральный баннер'!$Q:$Q, 'Генеральный баннер'!$B:$B=$A128,'Генеральный баннер'!$C:$C=$B128,'Генеральный баннер'!$I:$I=$C128)), 0) "),0.0)</f>
        <v>0</v>
      </c>
      <c r="R128" s="91">
        <f>IFERROR(__xludf.DUMMYFUNCTION("IFERROR(AVERAGE(filter('Генеральный баннер'!$AA:$AA, 'Генеральный баннер'!$B:$B=$A128,'Генеральный баннер'!$C:$C=$B128,'Генеральный баннер'!$I:$I=$C128)), 0) "),0.0)</f>
        <v>0</v>
      </c>
      <c r="S128" s="91">
        <f>IFERROR(__xludf.DUMMYFUNCTION("IFERROR(SUM(filter('Генеральный баннер'!$AH:$AH, 'Генеральный баннер'!$B:$B=$A128,'Генеральный баннер'!$C:$C=$B128,'Генеральный баннер'!$I:$I=$C128)), 0) "),0.0)</f>
        <v>0</v>
      </c>
      <c r="T128" s="91" t="str">
        <f>IFERROR(__xludf.DUMMYFUNCTION("IFERROR(REGEXREPLACE(unique(filter('Генеральный баннер'!$A:$A, 'Генеральный баннер'!$B:$B=$A128,'Генеральный баннер'!$C:$C=$B128,'Генеральный баннер'!$I:$I=$C128)), ""\d+"", """"),"""")"),"")</f>
        <v/>
      </c>
      <c r="U128" s="91" t="str">
        <f>IFERROR(__xludf.DUMMYFUNCTION("IFERROR(unique(filter('Генеральный баннер'!$F:$F, 'Генеральный баннер'!$B:$B=$A128,'Генеральный баннер'!$C:$C=$B128,'Генеральный баннер'!$I:$I=$C128)),"""")"),"")</f>
        <v/>
      </c>
      <c r="V128" s="92" t="str">
        <f t="shared" si="3"/>
        <v/>
      </c>
      <c r="W128" s="93">
        <f>IFERROR(__xludf.DUMMYFUNCTION("IFERROR(SWITCH(lower(join("" "",U128:V128)),""а миллионник"", 62.5,""б миллионник"", 75,""а мск"", 50, ""б мск"", 62.5, ""a остальное"", 70, ""б остальное"", 80)/100,0)"),0.0)</f>
        <v>0</v>
      </c>
      <c r="X128" s="91">
        <f t="shared" si="4"/>
        <v>0</v>
      </c>
    </row>
    <row r="129">
      <c r="A129" s="90"/>
      <c r="B129" s="90"/>
      <c r="C129" s="90"/>
      <c r="D129" s="91">
        <f>IFERROR(__xludf.DUMMYFUNCTION("IFERROR(sum(filter('Основной эфир'!$AA:$AA, 'Основной эфир'!$B:$B=$A129,'Основной эфир'!$C:$C=$B129,'Основной эфир'!$I:$I=$C129)), 0) "),0.0)</f>
        <v>0</v>
      </c>
      <c r="E129" s="91">
        <f>IFERROR(__xludf.DUMMYFUNCTION("IFERROR(sum(filter('Основной эфир'!$AC:$AC, 'Основной эфир'!$B:$B=$A129,'Основной эфир'!$C:$C=$B129,'Основной эфир'!$I:$I=$C129)), 0) "),0.0)</f>
        <v>0</v>
      </c>
      <c r="F129" s="91">
        <f>IFERROR(__xludf.DUMMYFUNCTION("IFERROR(sum(filter('Основной эфир'!$O:$O, 'Основной эфир'!$B:$B=$A129,'Основной эфир'!$C:$C=$B129,'Основной эфир'!$I:$I=$C129)), 0) "),0.0)</f>
        <v>0</v>
      </c>
      <c r="G129" s="91">
        <f>IFERROR(__xludf.DUMMYFUNCTION("IFERROR(sum(filter('Основной эфир'!$Q:$Q, 'Основной эфир'!$B:$B=$A129,'Основной эфир'!$C:$C=$B129,'Основной эфир'!$I:$I=$C129)), 0) "),0.0)</f>
        <v>0</v>
      </c>
      <c r="H129" s="91">
        <f>IFERROR(__xludf.DUMMYFUNCTION("IFERROR(AVERAGE(filter('Основной эфир'!$Y:$Y, 'Основной эфир'!$B:$B=$A129,'Основной эфир'!$C:$C=$B129,'Основной эфир'!$I:$I=$C129)), 0) "),0.0)</f>
        <v>0</v>
      </c>
      <c r="I129" s="91">
        <f>IFERROR(__xludf.DUMMYFUNCTION("IFERROR(AVERAGE(filter('Основной эфир'!$AE:$AE, 'Основной эфир'!$B:$B=$A129,'Основной эфир'!$C:$C=$B129,'Основной эфир'!$I:$I=$C129)), 0) "),0.0)</f>
        <v>0</v>
      </c>
      <c r="J129" s="91">
        <f>IFERROR(__xludf.DUMMYFUNCTION("IFERROR(SUM(filter('Основной эфир'!$AL:$AL, 'Основной эфир'!$B:$B=$A129,'Основной эфир'!$C:$C=$B129,'Основной эфир'!$I:$I=$C129)), 0) "),0.0)</f>
        <v>0</v>
      </c>
      <c r="K129" s="91" t="str">
        <f>IFERROR(__xludf.DUMMYFUNCTION("IFERROR(REGEXREPLACE(unique(filter('Основной эфир'!$A:$A, 'Основной эфир'!$B:$B=$A129,'Основной эфир'!$C:$C=$B129,'Основной эфир'!$I:$I=$C129)), ""\d+"", """"),"""")"),"")</f>
        <v/>
      </c>
      <c r="L129" s="91" t="str">
        <f>IFERROR(__xludf.DUMMYFUNCTION("IFERROR(unique(filter('Основной эфир'!$F:$F, 'Основной эфир'!$B:$B=$A129,'Основной эфир'!$C:$C=$B129,'Основной эфир'!$I:$I=$C129)),"""")"),"")</f>
        <v/>
      </c>
      <c r="M129" s="92" t="str">
        <f t="shared" si="1"/>
        <v/>
      </c>
      <c r="N129" s="93">
        <f>IFERROR(__xludf.DUMMYFUNCTION("IFERROR(SWITCH(lower(join("" "",L129:M129)),""а миллионник"", 62.5,""б миллионник"", 75,""а мск"", 50, ""б мск"", 62.5, ""a остальное"", 70, ""б остальное"", 80)/100,0)"),0.0)</f>
        <v>0</v>
      </c>
      <c r="O129" s="91">
        <f t="shared" si="2"/>
        <v>0</v>
      </c>
      <c r="P129" s="91">
        <f>IFERROR(__xludf.DUMMYFUNCTION("IFERROR(sum(filter('Генеральный баннер'!$O:$O, 'Генеральный баннер'!$B:$B=$A129,'Генеральный баннер'!$C:$C=$B129,'Генеральный баннер'!$I:$I=$C129)), 0) "),0.0)</f>
        <v>0</v>
      </c>
      <c r="Q129" s="91">
        <f>IFERROR(__xludf.DUMMYFUNCTION("IFERROR(sum(filter('Генеральный баннер'!$Q:$Q, 'Генеральный баннер'!$B:$B=$A129,'Генеральный баннер'!$C:$C=$B129,'Генеральный баннер'!$I:$I=$C129)), 0) "),0.0)</f>
        <v>0</v>
      </c>
      <c r="R129" s="91">
        <f>IFERROR(__xludf.DUMMYFUNCTION("IFERROR(AVERAGE(filter('Генеральный баннер'!$AA:$AA, 'Генеральный баннер'!$B:$B=$A129,'Генеральный баннер'!$C:$C=$B129,'Генеральный баннер'!$I:$I=$C129)), 0) "),0.0)</f>
        <v>0</v>
      </c>
      <c r="S129" s="91">
        <f>IFERROR(__xludf.DUMMYFUNCTION("IFERROR(SUM(filter('Генеральный баннер'!$AH:$AH, 'Генеральный баннер'!$B:$B=$A129,'Генеральный баннер'!$C:$C=$B129,'Генеральный баннер'!$I:$I=$C129)), 0) "),0.0)</f>
        <v>0</v>
      </c>
      <c r="T129" s="91" t="str">
        <f>IFERROR(__xludf.DUMMYFUNCTION("IFERROR(REGEXREPLACE(unique(filter('Генеральный баннер'!$A:$A, 'Генеральный баннер'!$B:$B=$A129,'Генеральный баннер'!$C:$C=$B129,'Генеральный баннер'!$I:$I=$C129)), ""\d+"", """"),"""")"),"")</f>
        <v/>
      </c>
      <c r="U129" s="91" t="str">
        <f>IFERROR(__xludf.DUMMYFUNCTION("IFERROR(unique(filter('Генеральный баннер'!$F:$F, 'Генеральный баннер'!$B:$B=$A129,'Генеральный баннер'!$C:$C=$B129,'Генеральный баннер'!$I:$I=$C129)),"""")"),"")</f>
        <v/>
      </c>
      <c r="V129" s="92" t="str">
        <f t="shared" si="3"/>
        <v/>
      </c>
      <c r="W129" s="93">
        <f>IFERROR(__xludf.DUMMYFUNCTION("IFERROR(SWITCH(lower(join("" "",U129:V129)),""а миллионник"", 62.5,""б миллионник"", 75,""а мск"", 50, ""б мск"", 62.5, ""a остальное"", 70, ""б остальное"", 80)/100,0)"),0.0)</f>
        <v>0</v>
      </c>
      <c r="X129" s="91">
        <f t="shared" si="4"/>
        <v>0</v>
      </c>
    </row>
    <row r="130">
      <c r="A130" s="90"/>
      <c r="B130" s="90"/>
      <c r="C130" s="90"/>
      <c r="D130" s="91">
        <f>IFERROR(__xludf.DUMMYFUNCTION("IFERROR(sum(filter('Основной эфир'!$AA:$AA, 'Основной эфир'!$B:$B=$A130,'Основной эфир'!$C:$C=$B130,'Основной эфир'!$I:$I=$C130)), 0) "),0.0)</f>
        <v>0</v>
      </c>
      <c r="E130" s="91">
        <f>IFERROR(__xludf.DUMMYFUNCTION("IFERROR(sum(filter('Основной эфир'!$AC:$AC, 'Основной эфир'!$B:$B=$A130,'Основной эфир'!$C:$C=$B130,'Основной эфир'!$I:$I=$C130)), 0) "),0.0)</f>
        <v>0</v>
      </c>
      <c r="F130" s="91">
        <f>IFERROR(__xludf.DUMMYFUNCTION("IFERROR(sum(filter('Основной эфир'!$O:$O, 'Основной эфир'!$B:$B=$A130,'Основной эфир'!$C:$C=$B130,'Основной эфир'!$I:$I=$C130)), 0) "),0.0)</f>
        <v>0</v>
      </c>
      <c r="G130" s="91">
        <f>IFERROR(__xludf.DUMMYFUNCTION("IFERROR(sum(filter('Основной эфир'!$Q:$Q, 'Основной эфир'!$B:$B=$A130,'Основной эфир'!$C:$C=$B130,'Основной эфир'!$I:$I=$C130)), 0) "),0.0)</f>
        <v>0</v>
      </c>
      <c r="H130" s="91">
        <f>IFERROR(__xludf.DUMMYFUNCTION("IFERROR(AVERAGE(filter('Основной эфир'!$Y:$Y, 'Основной эфир'!$B:$B=$A130,'Основной эфир'!$C:$C=$B130,'Основной эфир'!$I:$I=$C130)), 0) "),0.0)</f>
        <v>0</v>
      </c>
      <c r="I130" s="91">
        <f>IFERROR(__xludf.DUMMYFUNCTION("IFERROR(AVERAGE(filter('Основной эфир'!$AE:$AE, 'Основной эфир'!$B:$B=$A130,'Основной эфир'!$C:$C=$B130,'Основной эфир'!$I:$I=$C130)), 0) "),0.0)</f>
        <v>0</v>
      </c>
      <c r="J130" s="91">
        <f>IFERROR(__xludf.DUMMYFUNCTION("IFERROR(SUM(filter('Основной эфир'!$AL:$AL, 'Основной эфир'!$B:$B=$A130,'Основной эфир'!$C:$C=$B130,'Основной эфир'!$I:$I=$C130)), 0) "),0.0)</f>
        <v>0</v>
      </c>
      <c r="K130" s="91" t="str">
        <f>IFERROR(__xludf.DUMMYFUNCTION("IFERROR(REGEXREPLACE(unique(filter('Основной эфир'!$A:$A, 'Основной эфир'!$B:$B=$A130,'Основной эфир'!$C:$C=$B130,'Основной эфир'!$I:$I=$C130)), ""\d+"", """"),"""")"),"")</f>
        <v/>
      </c>
      <c r="L130" s="91" t="str">
        <f>IFERROR(__xludf.DUMMYFUNCTION("IFERROR(unique(filter('Основной эфир'!$F:$F, 'Основной эфир'!$B:$B=$A130,'Основной эфир'!$C:$C=$B130,'Основной эфир'!$I:$I=$C130)),"""")"),"")</f>
        <v/>
      </c>
      <c r="M130" s="92" t="str">
        <f t="shared" si="1"/>
        <v/>
      </c>
      <c r="N130" s="93">
        <f>IFERROR(__xludf.DUMMYFUNCTION("IFERROR(SWITCH(lower(join("" "",L130:M130)),""а миллионник"", 62.5,""б миллионник"", 75,""а мск"", 50, ""б мск"", 62.5, ""a остальное"", 70, ""б остальное"", 80)/100,0)"),0.0)</f>
        <v>0</v>
      </c>
      <c r="O130" s="91">
        <f t="shared" si="2"/>
        <v>0</v>
      </c>
      <c r="P130" s="91">
        <f>IFERROR(__xludf.DUMMYFUNCTION("IFERROR(sum(filter('Генеральный баннер'!$O:$O, 'Генеральный баннер'!$B:$B=$A130,'Генеральный баннер'!$C:$C=$B130,'Генеральный баннер'!$I:$I=$C130)), 0) "),0.0)</f>
        <v>0</v>
      </c>
      <c r="Q130" s="91">
        <f>IFERROR(__xludf.DUMMYFUNCTION("IFERROR(sum(filter('Генеральный баннер'!$Q:$Q, 'Генеральный баннер'!$B:$B=$A130,'Генеральный баннер'!$C:$C=$B130,'Генеральный баннер'!$I:$I=$C130)), 0) "),0.0)</f>
        <v>0</v>
      </c>
      <c r="R130" s="91">
        <f>IFERROR(__xludf.DUMMYFUNCTION("IFERROR(AVERAGE(filter('Генеральный баннер'!$AA:$AA, 'Генеральный баннер'!$B:$B=$A130,'Генеральный баннер'!$C:$C=$B130,'Генеральный баннер'!$I:$I=$C130)), 0) "),0.0)</f>
        <v>0</v>
      </c>
      <c r="S130" s="91">
        <f>IFERROR(__xludf.DUMMYFUNCTION("IFERROR(SUM(filter('Генеральный баннер'!$AH:$AH, 'Генеральный баннер'!$B:$B=$A130,'Генеральный баннер'!$C:$C=$B130,'Генеральный баннер'!$I:$I=$C130)), 0) "),0.0)</f>
        <v>0</v>
      </c>
      <c r="T130" s="91" t="str">
        <f>IFERROR(__xludf.DUMMYFUNCTION("IFERROR(REGEXREPLACE(unique(filter('Генеральный баннер'!$A:$A, 'Генеральный баннер'!$B:$B=$A130,'Генеральный баннер'!$C:$C=$B130,'Генеральный баннер'!$I:$I=$C130)), ""\d+"", """"),"""")"),"")</f>
        <v/>
      </c>
      <c r="U130" s="91" t="str">
        <f>IFERROR(__xludf.DUMMYFUNCTION("IFERROR(unique(filter('Генеральный баннер'!$F:$F, 'Генеральный баннер'!$B:$B=$A130,'Генеральный баннер'!$C:$C=$B130,'Генеральный баннер'!$I:$I=$C130)),"""")"),"")</f>
        <v/>
      </c>
      <c r="V130" s="92" t="str">
        <f t="shared" si="3"/>
        <v/>
      </c>
      <c r="W130" s="93">
        <f>IFERROR(__xludf.DUMMYFUNCTION("IFERROR(SWITCH(lower(join("" "",U130:V130)),""а миллионник"", 62.5,""б миллионник"", 75,""а мск"", 50, ""б мск"", 62.5, ""a остальное"", 70, ""б остальное"", 80)/100,0)"),0.0)</f>
        <v>0</v>
      </c>
      <c r="X130" s="91">
        <f t="shared" si="4"/>
        <v>0</v>
      </c>
    </row>
    <row r="131">
      <c r="A131" s="90"/>
      <c r="B131" s="90"/>
      <c r="C131" s="90"/>
      <c r="D131" s="91">
        <f>IFERROR(__xludf.DUMMYFUNCTION("IFERROR(sum(filter('Основной эфир'!$AA:$AA, 'Основной эфир'!$B:$B=$A131,'Основной эфир'!$C:$C=$B131,'Основной эфир'!$I:$I=$C131)), 0) "),0.0)</f>
        <v>0</v>
      </c>
      <c r="E131" s="91">
        <f>IFERROR(__xludf.DUMMYFUNCTION("IFERROR(sum(filter('Основной эфир'!$AC:$AC, 'Основной эфир'!$B:$B=$A131,'Основной эфир'!$C:$C=$B131,'Основной эфир'!$I:$I=$C131)), 0) "),0.0)</f>
        <v>0</v>
      </c>
      <c r="F131" s="91">
        <f>IFERROR(__xludf.DUMMYFUNCTION("IFERROR(sum(filter('Основной эфир'!$O:$O, 'Основной эфир'!$B:$B=$A131,'Основной эфир'!$C:$C=$B131,'Основной эфир'!$I:$I=$C131)), 0) "),0.0)</f>
        <v>0</v>
      </c>
      <c r="G131" s="91">
        <f>IFERROR(__xludf.DUMMYFUNCTION("IFERROR(sum(filter('Основной эфир'!$Q:$Q, 'Основной эфир'!$B:$B=$A131,'Основной эфир'!$C:$C=$B131,'Основной эфир'!$I:$I=$C131)), 0) "),0.0)</f>
        <v>0</v>
      </c>
      <c r="H131" s="91">
        <f>IFERROR(__xludf.DUMMYFUNCTION("IFERROR(AVERAGE(filter('Основной эфир'!$Y:$Y, 'Основной эфир'!$B:$B=$A131,'Основной эфир'!$C:$C=$B131,'Основной эфир'!$I:$I=$C131)), 0) "),0.0)</f>
        <v>0</v>
      </c>
      <c r="I131" s="91">
        <f>IFERROR(__xludf.DUMMYFUNCTION("IFERROR(AVERAGE(filter('Основной эфир'!$AE:$AE, 'Основной эфир'!$B:$B=$A131,'Основной эфир'!$C:$C=$B131,'Основной эфир'!$I:$I=$C131)), 0) "),0.0)</f>
        <v>0</v>
      </c>
      <c r="J131" s="91">
        <f>IFERROR(__xludf.DUMMYFUNCTION("IFERROR(SUM(filter('Основной эфир'!$AL:$AL, 'Основной эфир'!$B:$B=$A131,'Основной эфир'!$C:$C=$B131,'Основной эфир'!$I:$I=$C131)), 0) "),0.0)</f>
        <v>0</v>
      </c>
      <c r="K131" s="91" t="str">
        <f>IFERROR(__xludf.DUMMYFUNCTION("IFERROR(REGEXREPLACE(unique(filter('Основной эфир'!$A:$A, 'Основной эфир'!$B:$B=$A131,'Основной эфир'!$C:$C=$B131,'Основной эфир'!$I:$I=$C131)), ""\d+"", """"),"""")"),"")</f>
        <v/>
      </c>
      <c r="L131" s="91" t="str">
        <f>IFERROR(__xludf.DUMMYFUNCTION("IFERROR(unique(filter('Основной эфир'!$F:$F, 'Основной эфир'!$B:$B=$A131,'Основной эфир'!$C:$C=$B131,'Основной эфир'!$I:$I=$C131)),"""")"),"")</f>
        <v/>
      </c>
      <c r="M131" s="92" t="str">
        <f t="shared" si="1"/>
        <v/>
      </c>
      <c r="N131" s="93">
        <f>IFERROR(__xludf.DUMMYFUNCTION("IFERROR(SWITCH(lower(join("" "",L131:M131)),""а миллионник"", 62.5,""б миллионник"", 75,""а мск"", 50, ""б мск"", 62.5, ""a остальное"", 70, ""б остальное"", 80)/100,0)"),0.0)</f>
        <v>0</v>
      </c>
      <c r="O131" s="91">
        <f t="shared" si="2"/>
        <v>0</v>
      </c>
      <c r="P131" s="91">
        <f>IFERROR(__xludf.DUMMYFUNCTION("IFERROR(sum(filter('Генеральный баннер'!$O:$O, 'Генеральный баннер'!$B:$B=$A131,'Генеральный баннер'!$C:$C=$B131,'Генеральный баннер'!$I:$I=$C131)), 0) "),0.0)</f>
        <v>0</v>
      </c>
      <c r="Q131" s="91">
        <f>IFERROR(__xludf.DUMMYFUNCTION("IFERROR(sum(filter('Генеральный баннер'!$Q:$Q, 'Генеральный баннер'!$B:$B=$A131,'Генеральный баннер'!$C:$C=$B131,'Генеральный баннер'!$I:$I=$C131)), 0) "),0.0)</f>
        <v>0</v>
      </c>
      <c r="R131" s="91">
        <f>IFERROR(__xludf.DUMMYFUNCTION("IFERROR(AVERAGE(filter('Генеральный баннер'!$AA:$AA, 'Генеральный баннер'!$B:$B=$A131,'Генеральный баннер'!$C:$C=$B131,'Генеральный баннер'!$I:$I=$C131)), 0) "),0.0)</f>
        <v>0</v>
      </c>
      <c r="S131" s="91">
        <f>IFERROR(__xludf.DUMMYFUNCTION("IFERROR(SUM(filter('Генеральный баннер'!$AH:$AH, 'Генеральный баннер'!$B:$B=$A131,'Генеральный баннер'!$C:$C=$B131,'Генеральный баннер'!$I:$I=$C131)), 0) "),0.0)</f>
        <v>0</v>
      </c>
      <c r="T131" s="91" t="str">
        <f>IFERROR(__xludf.DUMMYFUNCTION("IFERROR(REGEXREPLACE(unique(filter('Генеральный баннер'!$A:$A, 'Генеральный баннер'!$B:$B=$A131,'Генеральный баннер'!$C:$C=$B131,'Генеральный баннер'!$I:$I=$C131)), ""\d+"", """"),"""")"),"")</f>
        <v/>
      </c>
      <c r="U131" s="91" t="str">
        <f>IFERROR(__xludf.DUMMYFUNCTION("IFERROR(unique(filter('Генеральный баннер'!$F:$F, 'Генеральный баннер'!$B:$B=$A131,'Генеральный баннер'!$C:$C=$B131,'Генеральный баннер'!$I:$I=$C131)),"""")"),"")</f>
        <v/>
      </c>
      <c r="V131" s="92" t="str">
        <f t="shared" si="3"/>
        <v/>
      </c>
      <c r="W131" s="93">
        <f>IFERROR(__xludf.DUMMYFUNCTION("IFERROR(SWITCH(lower(join("" "",U131:V131)),""а миллионник"", 62.5,""б миллионник"", 75,""а мск"", 50, ""б мск"", 62.5, ""a остальное"", 70, ""б остальное"", 80)/100,0)"),0.0)</f>
        <v>0</v>
      </c>
      <c r="X131" s="91">
        <f t="shared" si="4"/>
        <v>0</v>
      </c>
    </row>
    <row r="132">
      <c r="A132" s="90"/>
      <c r="B132" s="90"/>
      <c r="C132" s="90"/>
      <c r="D132" s="91">
        <f>IFERROR(__xludf.DUMMYFUNCTION("IFERROR(sum(filter('Основной эфир'!$AA:$AA, 'Основной эфир'!$B:$B=$A132,'Основной эфир'!$C:$C=$B132,'Основной эфир'!$I:$I=$C132)), 0) "),0.0)</f>
        <v>0</v>
      </c>
      <c r="E132" s="91">
        <f>IFERROR(__xludf.DUMMYFUNCTION("IFERROR(sum(filter('Основной эфир'!$AC:$AC, 'Основной эфир'!$B:$B=$A132,'Основной эфир'!$C:$C=$B132,'Основной эфир'!$I:$I=$C132)), 0) "),0.0)</f>
        <v>0</v>
      </c>
      <c r="F132" s="91">
        <f>IFERROR(__xludf.DUMMYFUNCTION("IFERROR(sum(filter('Основной эфир'!$O:$O, 'Основной эфир'!$B:$B=$A132,'Основной эфир'!$C:$C=$B132,'Основной эфир'!$I:$I=$C132)), 0) "),0.0)</f>
        <v>0</v>
      </c>
      <c r="G132" s="91">
        <f>IFERROR(__xludf.DUMMYFUNCTION("IFERROR(sum(filter('Основной эфир'!$Q:$Q, 'Основной эфир'!$B:$B=$A132,'Основной эфир'!$C:$C=$B132,'Основной эфир'!$I:$I=$C132)), 0) "),0.0)</f>
        <v>0</v>
      </c>
      <c r="H132" s="91">
        <f>IFERROR(__xludf.DUMMYFUNCTION("IFERROR(AVERAGE(filter('Основной эфир'!$Y:$Y, 'Основной эфир'!$B:$B=$A132,'Основной эфир'!$C:$C=$B132,'Основной эфир'!$I:$I=$C132)), 0) "),0.0)</f>
        <v>0</v>
      </c>
      <c r="I132" s="91">
        <f>IFERROR(__xludf.DUMMYFUNCTION("IFERROR(AVERAGE(filter('Основной эфир'!$AE:$AE, 'Основной эфир'!$B:$B=$A132,'Основной эфир'!$C:$C=$B132,'Основной эфир'!$I:$I=$C132)), 0) "),0.0)</f>
        <v>0</v>
      </c>
      <c r="J132" s="91">
        <f>IFERROR(__xludf.DUMMYFUNCTION("IFERROR(SUM(filter('Основной эфир'!$AL:$AL, 'Основной эфир'!$B:$B=$A132,'Основной эфир'!$C:$C=$B132,'Основной эфир'!$I:$I=$C132)), 0) "),0.0)</f>
        <v>0</v>
      </c>
      <c r="K132" s="91" t="str">
        <f>IFERROR(__xludf.DUMMYFUNCTION("IFERROR(REGEXREPLACE(unique(filter('Основной эфир'!$A:$A, 'Основной эфир'!$B:$B=$A132,'Основной эфир'!$C:$C=$B132,'Основной эфир'!$I:$I=$C132)), ""\d+"", """"),"""")"),"")</f>
        <v/>
      </c>
      <c r="L132" s="91" t="str">
        <f>IFERROR(__xludf.DUMMYFUNCTION("IFERROR(unique(filter('Основной эфир'!$F:$F, 'Основной эфир'!$B:$B=$A132,'Основной эфир'!$C:$C=$B132,'Основной эфир'!$I:$I=$C132)),"""")"),"")</f>
        <v/>
      </c>
      <c r="M132" s="92" t="str">
        <f t="shared" si="1"/>
        <v/>
      </c>
      <c r="N132" s="93">
        <f>IFERROR(__xludf.DUMMYFUNCTION("IFERROR(SWITCH(lower(join("" "",L132:M132)),""а миллионник"", 62.5,""б миллионник"", 75,""а мск"", 50, ""б мск"", 62.5, ""a остальное"", 70, ""б остальное"", 80)/100,0)"),0.0)</f>
        <v>0</v>
      </c>
      <c r="O132" s="91">
        <f t="shared" si="2"/>
        <v>0</v>
      </c>
      <c r="P132" s="91">
        <f>IFERROR(__xludf.DUMMYFUNCTION("IFERROR(sum(filter('Генеральный баннер'!$O:$O, 'Генеральный баннер'!$B:$B=$A132,'Генеральный баннер'!$C:$C=$B132,'Генеральный баннер'!$I:$I=$C132)), 0) "),0.0)</f>
        <v>0</v>
      </c>
      <c r="Q132" s="91">
        <f>IFERROR(__xludf.DUMMYFUNCTION("IFERROR(sum(filter('Генеральный баннер'!$Q:$Q, 'Генеральный баннер'!$B:$B=$A132,'Генеральный баннер'!$C:$C=$B132,'Генеральный баннер'!$I:$I=$C132)), 0) "),0.0)</f>
        <v>0</v>
      </c>
      <c r="R132" s="91">
        <f>IFERROR(__xludf.DUMMYFUNCTION("IFERROR(AVERAGE(filter('Генеральный баннер'!$AA:$AA, 'Генеральный баннер'!$B:$B=$A132,'Генеральный баннер'!$C:$C=$B132,'Генеральный баннер'!$I:$I=$C132)), 0) "),0.0)</f>
        <v>0</v>
      </c>
      <c r="S132" s="91">
        <f>IFERROR(__xludf.DUMMYFUNCTION("IFERROR(SUM(filter('Генеральный баннер'!$AH:$AH, 'Генеральный баннер'!$B:$B=$A132,'Генеральный баннер'!$C:$C=$B132,'Генеральный баннер'!$I:$I=$C132)), 0) "),0.0)</f>
        <v>0</v>
      </c>
      <c r="T132" s="91" t="str">
        <f>IFERROR(__xludf.DUMMYFUNCTION("IFERROR(REGEXREPLACE(unique(filter('Генеральный баннер'!$A:$A, 'Генеральный баннер'!$B:$B=$A132,'Генеральный баннер'!$C:$C=$B132,'Генеральный баннер'!$I:$I=$C132)), ""\d+"", """"),"""")"),"")</f>
        <v/>
      </c>
      <c r="U132" s="91" t="str">
        <f>IFERROR(__xludf.DUMMYFUNCTION("IFERROR(unique(filter('Генеральный баннер'!$F:$F, 'Генеральный баннер'!$B:$B=$A132,'Генеральный баннер'!$C:$C=$B132,'Генеральный баннер'!$I:$I=$C132)),"""")"),"")</f>
        <v/>
      </c>
      <c r="V132" s="92" t="str">
        <f t="shared" si="3"/>
        <v/>
      </c>
      <c r="W132" s="93">
        <f>IFERROR(__xludf.DUMMYFUNCTION("IFERROR(SWITCH(lower(join("" "",U132:V132)),""а миллионник"", 62.5,""б миллионник"", 75,""а мск"", 50, ""б мск"", 62.5, ""a остальное"", 70, ""б остальное"", 80)/100,0)"),0.0)</f>
        <v>0</v>
      </c>
      <c r="X132" s="91">
        <f t="shared" si="4"/>
        <v>0</v>
      </c>
    </row>
    <row r="133">
      <c r="A133" s="90"/>
      <c r="B133" s="90"/>
      <c r="C133" s="90"/>
      <c r="D133" s="91">
        <f>IFERROR(__xludf.DUMMYFUNCTION("IFERROR(sum(filter('Основной эфир'!$AA:$AA, 'Основной эфир'!$B:$B=$A133,'Основной эфир'!$C:$C=$B133,'Основной эфир'!$I:$I=$C133)), 0) "),0.0)</f>
        <v>0</v>
      </c>
      <c r="E133" s="91">
        <f>IFERROR(__xludf.DUMMYFUNCTION("IFERROR(sum(filter('Основной эфир'!$AC:$AC, 'Основной эфир'!$B:$B=$A133,'Основной эфир'!$C:$C=$B133,'Основной эфир'!$I:$I=$C133)), 0) "),0.0)</f>
        <v>0</v>
      </c>
      <c r="F133" s="91">
        <f>IFERROR(__xludf.DUMMYFUNCTION("IFERROR(sum(filter('Основной эфир'!$O:$O, 'Основной эфир'!$B:$B=$A133,'Основной эфир'!$C:$C=$B133,'Основной эфир'!$I:$I=$C133)), 0) "),0.0)</f>
        <v>0</v>
      </c>
      <c r="G133" s="91">
        <f>IFERROR(__xludf.DUMMYFUNCTION("IFERROR(sum(filter('Основной эфир'!$Q:$Q, 'Основной эфир'!$B:$B=$A133,'Основной эфир'!$C:$C=$B133,'Основной эфир'!$I:$I=$C133)), 0) "),0.0)</f>
        <v>0</v>
      </c>
      <c r="H133" s="91">
        <f>IFERROR(__xludf.DUMMYFUNCTION("IFERROR(AVERAGE(filter('Основной эфир'!$Y:$Y, 'Основной эфир'!$B:$B=$A133,'Основной эфир'!$C:$C=$B133,'Основной эфир'!$I:$I=$C133)), 0) "),0.0)</f>
        <v>0</v>
      </c>
      <c r="I133" s="91">
        <f>IFERROR(__xludf.DUMMYFUNCTION("IFERROR(AVERAGE(filter('Основной эфир'!$AE:$AE, 'Основной эфир'!$B:$B=$A133,'Основной эфир'!$C:$C=$B133,'Основной эфир'!$I:$I=$C133)), 0) "),0.0)</f>
        <v>0</v>
      </c>
      <c r="J133" s="91">
        <f>IFERROR(__xludf.DUMMYFUNCTION("IFERROR(SUM(filter('Основной эфир'!$AL:$AL, 'Основной эфир'!$B:$B=$A133,'Основной эфир'!$C:$C=$B133,'Основной эфир'!$I:$I=$C133)), 0) "),0.0)</f>
        <v>0</v>
      </c>
      <c r="K133" s="91" t="str">
        <f>IFERROR(__xludf.DUMMYFUNCTION("IFERROR(REGEXREPLACE(unique(filter('Основной эфир'!$A:$A, 'Основной эфир'!$B:$B=$A133,'Основной эфир'!$C:$C=$B133,'Основной эфир'!$I:$I=$C133)), ""\d+"", """"),"""")"),"")</f>
        <v/>
      </c>
      <c r="L133" s="91" t="str">
        <f>IFERROR(__xludf.DUMMYFUNCTION("IFERROR(unique(filter('Основной эфир'!$F:$F, 'Основной эфир'!$B:$B=$A133,'Основной эфир'!$C:$C=$B133,'Основной эфир'!$I:$I=$C133)),"""")"),"")</f>
        <v/>
      </c>
      <c r="M133" s="92" t="str">
        <f t="shared" si="1"/>
        <v/>
      </c>
      <c r="N133" s="93">
        <f>IFERROR(__xludf.DUMMYFUNCTION("IFERROR(SWITCH(lower(join("" "",L133:M133)),""а миллионник"", 62.5,""б миллионник"", 75,""а мск"", 50, ""б мск"", 62.5, ""a остальное"", 70, ""б остальное"", 80)/100,0)"),0.0)</f>
        <v>0</v>
      </c>
      <c r="O133" s="91">
        <f t="shared" si="2"/>
        <v>0</v>
      </c>
      <c r="P133" s="91">
        <f>IFERROR(__xludf.DUMMYFUNCTION("IFERROR(sum(filter('Генеральный баннер'!$O:$O, 'Генеральный баннер'!$B:$B=$A133,'Генеральный баннер'!$C:$C=$B133,'Генеральный баннер'!$I:$I=$C133)), 0) "),0.0)</f>
        <v>0</v>
      </c>
      <c r="Q133" s="91">
        <f>IFERROR(__xludf.DUMMYFUNCTION("IFERROR(sum(filter('Генеральный баннер'!$Q:$Q, 'Генеральный баннер'!$B:$B=$A133,'Генеральный баннер'!$C:$C=$B133,'Генеральный баннер'!$I:$I=$C133)), 0) "),0.0)</f>
        <v>0</v>
      </c>
      <c r="R133" s="91">
        <f>IFERROR(__xludf.DUMMYFUNCTION("IFERROR(AVERAGE(filter('Генеральный баннер'!$AA:$AA, 'Генеральный баннер'!$B:$B=$A133,'Генеральный баннер'!$C:$C=$B133,'Генеральный баннер'!$I:$I=$C133)), 0) "),0.0)</f>
        <v>0</v>
      </c>
      <c r="S133" s="91">
        <f>IFERROR(__xludf.DUMMYFUNCTION("IFERROR(SUM(filter('Генеральный баннер'!$AH:$AH, 'Генеральный баннер'!$B:$B=$A133,'Генеральный баннер'!$C:$C=$B133,'Генеральный баннер'!$I:$I=$C133)), 0) "),0.0)</f>
        <v>0</v>
      </c>
      <c r="T133" s="91" t="str">
        <f>IFERROR(__xludf.DUMMYFUNCTION("IFERROR(REGEXREPLACE(unique(filter('Генеральный баннер'!$A:$A, 'Генеральный баннер'!$B:$B=$A133,'Генеральный баннер'!$C:$C=$B133,'Генеральный баннер'!$I:$I=$C133)), ""\d+"", """"),"""")"),"")</f>
        <v/>
      </c>
      <c r="U133" s="91" t="str">
        <f>IFERROR(__xludf.DUMMYFUNCTION("IFERROR(unique(filter('Генеральный баннер'!$F:$F, 'Генеральный баннер'!$B:$B=$A133,'Генеральный баннер'!$C:$C=$B133,'Генеральный баннер'!$I:$I=$C133)),"""")"),"")</f>
        <v/>
      </c>
      <c r="V133" s="92" t="str">
        <f t="shared" si="3"/>
        <v/>
      </c>
      <c r="W133" s="93">
        <f>IFERROR(__xludf.DUMMYFUNCTION("IFERROR(SWITCH(lower(join("" "",U133:V133)),""а миллионник"", 62.5,""б миллионник"", 75,""а мск"", 50, ""б мск"", 62.5, ""a остальное"", 70, ""б остальное"", 80)/100,0)"),0.0)</f>
        <v>0</v>
      </c>
      <c r="X133" s="91">
        <f t="shared" si="4"/>
        <v>0</v>
      </c>
    </row>
    <row r="134">
      <c r="A134" s="90"/>
      <c r="B134" s="90"/>
      <c r="C134" s="90"/>
      <c r="D134" s="91">
        <f>IFERROR(__xludf.DUMMYFUNCTION("IFERROR(sum(filter('Основной эфир'!$AA:$AA, 'Основной эфир'!$B:$B=$A134,'Основной эфир'!$C:$C=$B134,'Основной эфир'!$I:$I=$C134)), 0) "),0.0)</f>
        <v>0</v>
      </c>
      <c r="E134" s="91">
        <f>IFERROR(__xludf.DUMMYFUNCTION("IFERROR(sum(filter('Основной эфир'!$AC:$AC, 'Основной эфир'!$B:$B=$A134,'Основной эфир'!$C:$C=$B134,'Основной эфир'!$I:$I=$C134)), 0) "),0.0)</f>
        <v>0</v>
      </c>
      <c r="F134" s="91">
        <f>IFERROR(__xludf.DUMMYFUNCTION("IFERROR(sum(filter('Основной эфир'!$O:$O, 'Основной эфир'!$B:$B=$A134,'Основной эфир'!$C:$C=$B134,'Основной эфир'!$I:$I=$C134)), 0) "),0.0)</f>
        <v>0</v>
      </c>
      <c r="G134" s="91">
        <f>IFERROR(__xludf.DUMMYFUNCTION("IFERROR(sum(filter('Основной эфир'!$Q:$Q, 'Основной эфир'!$B:$B=$A134,'Основной эфир'!$C:$C=$B134,'Основной эфир'!$I:$I=$C134)), 0) "),0.0)</f>
        <v>0</v>
      </c>
      <c r="H134" s="91">
        <f>IFERROR(__xludf.DUMMYFUNCTION("IFERROR(AVERAGE(filter('Основной эфир'!$Y:$Y, 'Основной эфир'!$B:$B=$A134,'Основной эфир'!$C:$C=$B134,'Основной эфир'!$I:$I=$C134)), 0) "),0.0)</f>
        <v>0</v>
      </c>
      <c r="I134" s="91">
        <f>IFERROR(__xludf.DUMMYFUNCTION("IFERROR(AVERAGE(filter('Основной эфир'!$AE:$AE, 'Основной эфир'!$B:$B=$A134,'Основной эфир'!$C:$C=$B134,'Основной эфир'!$I:$I=$C134)), 0) "),0.0)</f>
        <v>0</v>
      </c>
      <c r="J134" s="91">
        <f>IFERROR(__xludf.DUMMYFUNCTION("IFERROR(SUM(filter('Основной эфир'!$AL:$AL, 'Основной эфир'!$B:$B=$A134,'Основной эфир'!$C:$C=$B134,'Основной эфир'!$I:$I=$C134)), 0) "),0.0)</f>
        <v>0</v>
      </c>
      <c r="K134" s="91" t="str">
        <f>IFERROR(__xludf.DUMMYFUNCTION("IFERROR(REGEXREPLACE(unique(filter('Основной эфир'!$A:$A, 'Основной эфир'!$B:$B=$A134,'Основной эфир'!$C:$C=$B134,'Основной эфир'!$I:$I=$C134)), ""\d+"", """"),"""")"),"")</f>
        <v/>
      </c>
      <c r="L134" s="91" t="str">
        <f>IFERROR(__xludf.DUMMYFUNCTION("IFERROR(unique(filter('Основной эфир'!$F:$F, 'Основной эфир'!$B:$B=$A134,'Основной эфир'!$C:$C=$B134,'Основной эфир'!$I:$I=$C134)),"""")"),"")</f>
        <v/>
      </c>
      <c r="M134" s="92" t="str">
        <f t="shared" si="1"/>
        <v/>
      </c>
      <c r="N134" s="93">
        <f>IFERROR(__xludf.DUMMYFUNCTION("IFERROR(SWITCH(lower(join("" "",L134:M134)),""а миллионник"", 62.5,""б миллионник"", 75,""а мск"", 50, ""б мск"", 62.5, ""a остальное"", 70, ""б остальное"", 80)/100,0)"),0.0)</f>
        <v>0</v>
      </c>
      <c r="O134" s="91">
        <f t="shared" si="2"/>
        <v>0</v>
      </c>
      <c r="P134" s="91">
        <f>IFERROR(__xludf.DUMMYFUNCTION("IFERROR(sum(filter('Генеральный баннер'!$O:$O, 'Генеральный баннер'!$B:$B=$A134,'Генеральный баннер'!$C:$C=$B134,'Генеральный баннер'!$I:$I=$C134)), 0) "),0.0)</f>
        <v>0</v>
      </c>
      <c r="Q134" s="91">
        <f>IFERROR(__xludf.DUMMYFUNCTION("IFERROR(sum(filter('Генеральный баннер'!$Q:$Q, 'Генеральный баннер'!$B:$B=$A134,'Генеральный баннер'!$C:$C=$B134,'Генеральный баннер'!$I:$I=$C134)), 0) "),0.0)</f>
        <v>0</v>
      </c>
      <c r="R134" s="91">
        <f>IFERROR(__xludf.DUMMYFUNCTION("IFERROR(AVERAGE(filter('Генеральный баннер'!$AA:$AA, 'Генеральный баннер'!$B:$B=$A134,'Генеральный баннер'!$C:$C=$B134,'Генеральный баннер'!$I:$I=$C134)), 0) "),0.0)</f>
        <v>0</v>
      </c>
      <c r="S134" s="91">
        <f>IFERROR(__xludf.DUMMYFUNCTION("IFERROR(SUM(filter('Генеральный баннер'!$AH:$AH, 'Генеральный баннер'!$B:$B=$A134,'Генеральный баннер'!$C:$C=$B134,'Генеральный баннер'!$I:$I=$C134)), 0) "),0.0)</f>
        <v>0</v>
      </c>
      <c r="T134" s="91" t="str">
        <f>IFERROR(__xludf.DUMMYFUNCTION("IFERROR(REGEXREPLACE(unique(filter('Генеральный баннер'!$A:$A, 'Генеральный баннер'!$B:$B=$A134,'Генеральный баннер'!$C:$C=$B134,'Генеральный баннер'!$I:$I=$C134)), ""\d+"", """"),"""")"),"")</f>
        <v/>
      </c>
      <c r="U134" s="91" t="str">
        <f>IFERROR(__xludf.DUMMYFUNCTION("IFERROR(unique(filter('Генеральный баннер'!$F:$F, 'Генеральный баннер'!$B:$B=$A134,'Генеральный баннер'!$C:$C=$B134,'Генеральный баннер'!$I:$I=$C134)),"""")"),"")</f>
        <v/>
      </c>
      <c r="V134" s="92" t="str">
        <f t="shared" si="3"/>
        <v/>
      </c>
      <c r="W134" s="93">
        <f>IFERROR(__xludf.DUMMYFUNCTION("IFERROR(SWITCH(lower(join("" "",U134:V134)),""а миллионник"", 62.5,""б миллионник"", 75,""а мск"", 50, ""б мск"", 62.5, ""a остальное"", 70, ""б остальное"", 80)/100,0)"),0.0)</f>
        <v>0</v>
      </c>
      <c r="X134" s="91">
        <f t="shared" si="4"/>
        <v>0</v>
      </c>
    </row>
    <row r="135">
      <c r="A135" s="90"/>
      <c r="B135" s="90"/>
      <c r="C135" s="90"/>
      <c r="D135" s="91">
        <f>IFERROR(__xludf.DUMMYFUNCTION("IFERROR(sum(filter('Основной эфир'!$AA:$AA, 'Основной эфир'!$B:$B=$A135,'Основной эфир'!$C:$C=$B135,'Основной эфир'!$I:$I=$C135)), 0) "),0.0)</f>
        <v>0</v>
      </c>
      <c r="E135" s="91">
        <f>IFERROR(__xludf.DUMMYFUNCTION("IFERROR(sum(filter('Основной эфир'!$AC:$AC, 'Основной эфир'!$B:$B=$A135,'Основной эфир'!$C:$C=$B135,'Основной эфир'!$I:$I=$C135)), 0) "),0.0)</f>
        <v>0</v>
      </c>
      <c r="F135" s="91">
        <f>IFERROR(__xludf.DUMMYFUNCTION("IFERROR(sum(filter('Основной эфир'!$O:$O, 'Основной эфир'!$B:$B=$A135,'Основной эфир'!$C:$C=$B135,'Основной эфир'!$I:$I=$C135)), 0) "),0.0)</f>
        <v>0</v>
      </c>
      <c r="G135" s="91">
        <f>IFERROR(__xludf.DUMMYFUNCTION("IFERROR(sum(filter('Основной эфир'!$Q:$Q, 'Основной эфир'!$B:$B=$A135,'Основной эфир'!$C:$C=$B135,'Основной эфир'!$I:$I=$C135)), 0) "),0.0)</f>
        <v>0</v>
      </c>
      <c r="H135" s="91">
        <f>IFERROR(__xludf.DUMMYFUNCTION("IFERROR(AVERAGE(filter('Основной эфир'!$Y:$Y, 'Основной эфир'!$B:$B=$A135,'Основной эфир'!$C:$C=$B135,'Основной эфир'!$I:$I=$C135)), 0) "),0.0)</f>
        <v>0</v>
      </c>
      <c r="I135" s="91">
        <f>IFERROR(__xludf.DUMMYFUNCTION("IFERROR(AVERAGE(filter('Основной эфир'!$AE:$AE, 'Основной эфир'!$B:$B=$A135,'Основной эфир'!$C:$C=$B135,'Основной эфир'!$I:$I=$C135)), 0) "),0.0)</f>
        <v>0</v>
      </c>
      <c r="J135" s="91">
        <f>IFERROR(__xludf.DUMMYFUNCTION("IFERROR(SUM(filter('Основной эфир'!$AL:$AL, 'Основной эфир'!$B:$B=$A135,'Основной эфир'!$C:$C=$B135,'Основной эфир'!$I:$I=$C135)), 0) "),0.0)</f>
        <v>0</v>
      </c>
      <c r="K135" s="91" t="str">
        <f>IFERROR(__xludf.DUMMYFUNCTION("IFERROR(REGEXREPLACE(unique(filter('Основной эфир'!$A:$A, 'Основной эфир'!$B:$B=$A135,'Основной эфир'!$C:$C=$B135,'Основной эфир'!$I:$I=$C135)), ""\d+"", """"),"""")"),"")</f>
        <v/>
      </c>
      <c r="L135" s="91" t="str">
        <f>IFERROR(__xludf.DUMMYFUNCTION("IFERROR(unique(filter('Основной эфир'!$F:$F, 'Основной эфир'!$B:$B=$A135,'Основной эфир'!$C:$C=$B135,'Основной эфир'!$I:$I=$C135)),"""")"),"")</f>
        <v/>
      </c>
      <c r="M135" s="92" t="str">
        <f t="shared" si="1"/>
        <v/>
      </c>
      <c r="N135" s="93">
        <f>IFERROR(__xludf.DUMMYFUNCTION("IFERROR(SWITCH(lower(join("" "",L135:M135)),""а миллионник"", 62.5,""б миллионник"", 75,""а мск"", 50, ""б мск"", 62.5, ""a остальное"", 70, ""б остальное"", 80)/100,0)"),0.0)</f>
        <v>0</v>
      </c>
      <c r="O135" s="91">
        <f t="shared" si="2"/>
        <v>0</v>
      </c>
      <c r="P135" s="91">
        <f>IFERROR(__xludf.DUMMYFUNCTION("IFERROR(sum(filter('Генеральный баннер'!$O:$O, 'Генеральный баннер'!$B:$B=$A135,'Генеральный баннер'!$C:$C=$B135,'Генеральный баннер'!$I:$I=$C135)), 0) "),0.0)</f>
        <v>0</v>
      </c>
      <c r="Q135" s="91">
        <f>IFERROR(__xludf.DUMMYFUNCTION("IFERROR(sum(filter('Генеральный баннер'!$Q:$Q, 'Генеральный баннер'!$B:$B=$A135,'Генеральный баннер'!$C:$C=$B135,'Генеральный баннер'!$I:$I=$C135)), 0) "),0.0)</f>
        <v>0</v>
      </c>
      <c r="R135" s="91">
        <f>IFERROR(__xludf.DUMMYFUNCTION("IFERROR(AVERAGE(filter('Генеральный баннер'!$AA:$AA, 'Генеральный баннер'!$B:$B=$A135,'Генеральный баннер'!$C:$C=$B135,'Генеральный баннер'!$I:$I=$C135)), 0) "),0.0)</f>
        <v>0</v>
      </c>
      <c r="S135" s="91">
        <f>IFERROR(__xludf.DUMMYFUNCTION("IFERROR(SUM(filter('Генеральный баннер'!$AH:$AH, 'Генеральный баннер'!$B:$B=$A135,'Генеральный баннер'!$C:$C=$B135,'Генеральный баннер'!$I:$I=$C135)), 0) "),0.0)</f>
        <v>0</v>
      </c>
      <c r="T135" s="91" t="str">
        <f>IFERROR(__xludf.DUMMYFUNCTION("IFERROR(REGEXREPLACE(unique(filter('Генеральный баннер'!$A:$A, 'Генеральный баннер'!$B:$B=$A135,'Генеральный баннер'!$C:$C=$B135,'Генеральный баннер'!$I:$I=$C135)), ""\d+"", """"),"""")"),"")</f>
        <v/>
      </c>
      <c r="U135" s="91" t="str">
        <f>IFERROR(__xludf.DUMMYFUNCTION("IFERROR(unique(filter('Генеральный баннер'!$F:$F, 'Генеральный баннер'!$B:$B=$A135,'Генеральный баннер'!$C:$C=$B135,'Генеральный баннер'!$I:$I=$C135)),"""")"),"")</f>
        <v/>
      </c>
      <c r="V135" s="92" t="str">
        <f t="shared" si="3"/>
        <v/>
      </c>
      <c r="W135" s="93">
        <f>IFERROR(__xludf.DUMMYFUNCTION("IFERROR(SWITCH(lower(join("" "",U135:V135)),""а миллионник"", 62.5,""б миллионник"", 75,""а мск"", 50, ""б мск"", 62.5, ""a остальное"", 70, ""б остальное"", 80)/100,0)"),0.0)</f>
        <v>0</v>
      </c>
      <c r="X135" s="91">
        <f t="shared" si="4"/>
        <v>0</v>
      </c>
    </row>
    <row r="136">
      <c r="A136" s="90"/>
      <c r="B136" s="90"/>
      <c r="C136" s="90"/>
      <c r="D136" s="91">
        <f>IFERROR(__xludf.DUMMYFUNCTION("IFERROR(sum(filter('Основной эфир'!$AA:$AA, 'Основной эфир'!$B:$B=$A136,'Основной эфир'!$C:$C=$B136,'Основной эфир'!$I:$I=$C136)), 0) "),0.0)</f>
        <v>0</v>
      </c>
      <c r="E136" s="91">
        <f>IFERROR(__xludf.DUMMYFUNCTION("IFERROR(sum(filter('Основной эфир'!$AC:$AC, 'Основной эфир'!$B:$B=$A136,'Основной эфир'!$C:$C=$B136,'Основной эфир'!$I:$I=$C136)), 0) "),0.0)</f>
        <v>0</v>
      </c>
      <c r="F136" s="91">
        <f>IFERROR(__xludf.DUMMYFUNCTION("IFERROR(sum(filter('Основной эфир'!$O:$O, 'Основной эфир'!$B:$B=$A136,'Основной эфир'!$C:$C=$B136,'Основной эфир'!$I:$I=$C136)), 0) "),0.0)</f>
        <v>0</v>
      </c>
      <c r="G136" s="91">
        <f>IFERROR(__xludf.DUMMYFUNCTION("IFERROR(sum(filter('Основной эфир'!$Q:$Q, 'Основной эфир'!$B:$B=$A136,'Основной эфир'!$C:$C=$B136,'Основной эфир'!$I:$I=$C136)), 0) "),0.0)</f>
        <v>0</v>
      </c>
      <c r="H136" s="91">
        <f>IFERROR(__xludf.DUMMYFUNCTION("IFERROR(AVERAGE(filter('Основной эфир'!$Y:$Y, 'Основной эфир'!$B:$B=$A136,'Основной эфир'!$C:$C=$B136,'Основной эфир'!$I:$I=$C136)), 0) "),0.0)</f>
        <v>0</v>
      </c>
      <c r="I136" s="91">
        <f>IFERROR(__xludf.DUMMYFUNCTION("IFERROR(AVERAGE(filter('Основной эфир'!$AE:$AE, 'Основной эфир'!$B:$B=$A136,'Основной эфир'!$C:$C=$B136,'Основной эфир'!$I:$I=$C136)), 0) "),0.0)</f>
        <v>0</v>
      </c>
      <c r="J136" s="91">
        <f>IFERROR(__xludf.DUMMYFUNCTION("IFERROR(SUM(filter('Основной эфир'!$AL:$AL, 'Основной эфир'!$B:$B=$A136,'Основной эфир'!$C:$C=$B136,'Основной эфир'!$I:$I=$C136)), 0) "),0.0)</f>
        <v>0</v>
      </c>
      <c r="K136" s="91" t="str">
        <f>IFERROR(__xludf.DUMMYFUNCTION("IFERROR(REGEXREPLACE(unique(filter('Основной эфир'!$A:$A, 'Основной эфир'!$B:$B=$A136,'Основной эфир'!$C:$C=$B136,'Основной эфир'!$I:$I=$C136)), ""\d+"", """"),"""")"),"")</f>
        <v/>
      </c>
      <c r="L136" s="91" t="str">
        <f>IFERROR(__xludf.DUMMYFUNCTION("IFERROR(unique(filter('Основной эфир'!$F:$F, 'Основной эфир'!$B:$B=$A136,'Основной эфир'!$C:$C=$B136,'Основной эфир'!$I:$I=$C136)),"""")"),"")</f>
        <v/>
      </c>
      <c r="M136" s="92" t="str">
        <f t="shared" si="1"/>
        <v/>
      </c>
      <c r="N136" s="93">
        <f>IFERROR(__xludf.DUMMYFUNCTION("IFERROR(SWITCH(lower(join("" "",L136:M136)),""а миллионник"", 62.5,""б миллионник"", 75,""а мск"", 50, ""б мск"", 62.5, ""a остальное"", 70, ""б остальное"", 80)/100,0)"),0.0)</f>
        <v>0</v>
      </c>
      <c r="O136" s="91">
        <f t="shared" si="2"/>
        <v>0</v>
      </c>
      <c r="P136" s="91">
        <f>IFERROR(__xludf.DUMMYFUNCTION("IFERROR(sum(filter('Генеральный баннер'!$O:$O, 'Генеральный баннер'!$B:$B=$A136,'Генеральный баннер'!$C:$C=$B136,'Генеральный баннер'!$I:$I=$C136)), 0) "),0.0)</f>
        <v>0</v>
      </c>
      <c r="Q136" s="91">
        <f>IFERROR(__xludf.DUMMYFUNCTION("IFERROR(sum(filter('Генеральный баннер'!$Q:$Q, 'Генеральный баннер'!$B:$B=$A136,'Генеральный баннер'!$C:$C=$B136,'Генеральный баннер'!$I:$I=$C136)), 0) "),0.0)</f>
        <v>0</v>
      </c>
      <c r="R136" s="91">
        <f>IFERROR(__xludf.DUMMYFUNCTION("IFERROR(AVERAGE(filter('Генеральный баннер'!$AA:$AA, 'Генеральный баннер'!$B:$B=$A136,'Генеральный баннер'!$C:$C=$B136,'Генеральный баннер'!$I:$I=$C136)), 0) "),0.0)</f>
        <v>0</v>
      </c>
      <c r="S136" s="91">
        <f>IFERROR(__xludf.DUMMYFUNCTION("IFERROR(SUM(filter('Генеральный баннер'!$AH:$AH, 'Генеральный баннер'!$B:$B=$A136,'Генеральный баннер'!$C:$C=$B136,'Генеральный баннер'!$I:$I=$C136)), 0) "),0.0)</f>
        <v>0</v>
      </c>
      <c r="T136" s="91" t="str">
        <f>IFERROR(__xludf.DUMMYFUNCTION("IFERROR(REGEXREPLACE(unique(filter('Генеральный баннер'!$A:$A, 'Генеральный баннер'!$B:$B=$A136,'Генеральный баннер'!$C:$C=$B136,'Генеральный баннер'!$I:$I=$C136)), ""\d+"", """"),"""")"),"")</f>
        <v/>
      </c>
      <c r="U136" s="91" t="str">
        <f>IFERROR(__xludf.DUMMYFUNCTION("IFERROR(unique(filter('Генеральный баннер'!$F:$F, 'Генеральный баннер'!$B:$B=$A136,'Генеральный баннер'!$C:$C=$B136,'Генеральный баннер'!$I:$I=$C136)),"""")"),"")</f>
        <v/>
      </c>
      <c r="V136" s="92" t="str">
        <f t="shared" si="3"/>
        <v/>
      </c>
      <c r="W136" s="93">
        <f>IFERROR(__xludf.DUMMYFUNCTION("IFERROR(SWITCH(lower(join("" "",U136:V136)),""а миллионник"", 62.5,""б миллионник"", 75,""а мск"", 50, ""б мск"", 62.5, ""a остальное"", 70, ""б остальное"", 80)/100,0)"),0.0)</f>
        <v>0</v>
      </c>
      <c r="X136" s="91">
        <f t="shared" si="4"/>
        <v>0</v>
      </c>
    </row>
    <row r="137">
      <c r="A137" s="90"/>
      <c r="B137" s="90"/>
      <c r="C137" s="90"/>
      <c r="D137" s="91">
        <f>IFERROR(__xludf.DUMMYFUNCTION("IFERROR(sum(filter('Основной эфир'!$AA:$AA, 'Основной эфир'!$B:$B=$A137,'Основной эфир'!$C:$C=$B137,'Основной эфир'!$I:$I=$C137)), 0) "),0.0)</f>
        <v>0</v>
      </c>
      <c r="E137" s="91">
        <f>IFERROR(__xludf.DUMMYFUNCTION("IFERROR(sum(filter('Основной эфир'!$AC:$AC, 'Основной эфир'!$B:$B=$A137,'Основной эфир'!$C:$C=$B137,'Основной эфир'!$I:$I=$C137)), 0) "),0.0)</f>
        <v>0</v>
      </c>
      <c r="F137" s="91">
        <f>IFERROR(__xludf.DUMMYFUNCTION("IFERROR(sum(filter('Основной эфир'!$O:$O, 'Основной эфир'!$B:$B=$A137,'Основной эфир'!$C:$C=$B137,'Основной эфир'!$I:$I=$C137)), 0) "),0.0)</f>
        <v>0</v>
      </c>
      <c r="G137" s="91">
        <f>IFERROR(__xludf.DUMMYFUNCTION("IFERROR(sum(filter('Основной эфир'!$Q:$Q, 'Основной эфир'!$B:$B=$A137,'Основной эфир'!$C:$C=$B137,'Основной эфир'!$I:$I=$C137)), 0) "),0.0)</f>
        <v>0</v>
      </c>
      <c r="H137" s="91">
        <f>IFERROR(__xludf.DUMMYFUNCTION("IFERROR(AVERAGE(filter('Основной эфир'!$Y:$Y, 'Основной эфир'!$B:$B=$A137,'Основной эфир'!$C:$C=$B137,'Основной эфир'!$I:$I=$C137)), 0) "),0.0)</f>
        <v>0</v>
      </c>
      <c r="I137" s="91">
        <f>IFERROR(__xludf.DUMMYFUNCTION("IFERROR(AVERAGE(filter('Основной эфир'!$AE:$AE, 'Основной эфир'!$B:$B=$A137,'Основной эфир'!$C:$C=$B137,'Основной эфир'!$I:$I=$C137)), 0) "),0.0)</f>
        <v>0</v>
      </c>
      <c r="J137" s="91">
        <f>IFERROR(__xludf.DUMMYFUNCTION("IFERROR(SUM(filter('Основной эфир'!$AL:$AL, 'Основной эфир'!$B:$B=$A137,'Основной эфир'!$C:$C=$B137,'Основной эфир'!$I:$I=$C137)), 0) "),0.0)</f>
        <v>0</v>
      </c>
      <c r="K137" s="91" t="str">
        <f>IFERROR(__xludf.DUMMYFUNCTION("IFERROR(REGEXREPLACE(unique(filter('Основной эфир'!$A:$A, 'Основной эфир'!$B:$B=$A137,'Основной эфир'!$C:$C=$B137,'Основной эфир'!$I:$I=$C137)), ""\d+"", """"),"""")"),"")</f>
        <v/>
      </c>
      <c r="L137" s="91" t="str">
        <f>IFERROR(__xludf.DUMMYFUNCTION("IFERROR(unique(filter('Основной эфир'!$F:$F, 'Основной эфир'!$B:$B=$A137,'Основной эфир'!$C:$C=$B137,'Основной эфир'!$I:$I=$C137)),"""")"),"")</f>
        <v/>
      </c>
      <c r="M137" s="92" t="str">
        <f t="shared" si="1"/>
        <v/>
      </c>
      <c r="N137" s="93">
        <f>IFERROR(__xludf.DUMMYFUNCTION("IFERROR(SWITCH(lower(join("" "",L137:M137)),""а миллионник"", 62.5,""б миллионник"", 75,""а мск"", 50, ""б мск"", 62.5, ""a остальное"", 70, ""б остальное"", 80)/100,0)"),0.0)</f>
        <v>0</v>
      </c>
      <c r="O137" s="91">
        <f t="shared" si="2"/>
        <v>0</v>
      </c>
      <c r="P137" s="91">
        <f>IFERROR(__xludf.DUMMYFUNCTION("IFERROR(sum(filter('Генеральный баннер'!$O:$O, 'Генеральный баннер'!$B:$B=$A137,'Генеральный баннер'!$C:$C=$B137,'Генеральный баннер'!$I:$I=$C137)), 0) "),0.0)</f>
        <v>0</v>
      </c>
      <c r="Q137" s="91">
        <f>IFERROR(__xludf.DUMMYFUNCTION("IFERROR(sum(filter('Генеральный баннер'!$Q:$Q, 'Генеральный баннер'!$B:$B=$A137,'Генеральный баннер'!$C:$C=$B137,'Генеральный баннер'!$I:$I=$C137)), 0) "),0.0)</f>
        <v>0</v>
      </c>
      <c r="R137" s="91">
        <f>IFERROR(__xludf.DUMMYFUNCTION("IFERROR(AVERAGE(filter('Генеральный баннер'!$AA:$AA, 'Генеральный баннер'!$B:$B=$A137,'Генеральный баннер'!$C:$C=$B137,'Генеральный баннер'!$I:$I=$C137)), 0) "),0.0)</f>
        <v>0</v>
      </c>
      <c r="S137" s="91">
        <f>IFERROR(__xludf.DUMMYFUNCTION("IFERROR(SUM(filter('Генеральный баннер'!$AH:$AH, 'Генеральный баннер'!$B:$B=$A137,'Генеральный баннер'!$C:$C=$B137,'Генеральный баннер'!$I:$I=$C137)), 0) "),0.0)</f>
        <v>0</v>
      </c>
      <c r="T137" s="91" t="str">
        <f>IFERROR(__xludf.DUMMYFUNCTION("IFERROR(REGEXREPLACE(unique(filter('Генеральный баннер'!$A:$A, 'Генеральный баннер'!$B:$B=$A137,'Генеральный баннер'!$C:$C=$B137,'Генеральный баннер'!$I:$I=$C137)), ""\d+"", """"),"""")"),"")</f>
        <v/>
      </c>
      <c r="U137" s="91" t="str">
        <f>IFERROR(__xludf.DUMMYFUNCTION("IFERROR(unique(filter('Генеральный баннер'!$F:$F, 'Генеральный баннер'!$B:$B=$A137,'Генеральный баннер'!$C:$C=$B137,'Генеральный баннер'!$I:$I=$C137)),"""")"),"")</f>
        <v/>
      </c>
      <c r="V137" s="92" t="str">
        <f t="shared" si="3"/>
        <v/>
      </c>
      <c r="W137" s="93">
        <f>IFERROR(__xludf.DUMMYFUNCTION("IFERROR(SWITCH(lower(join("" "",U137:V137)),""а миллионник"", 62.5,""б миллионник"", 75,""а мск"", 50, ""б мск"", 62.5, ""a остальное"", 70, ""б остальное"", 80)/100,0)"),0.0)</f>
        <v>0</v>
      </c>
      <c r="X137" s="91">
        <f t="shared" si="4"/>
        <v>0</v>
      </c>
    </row>
    <row r="138">
      <c r="A138" s="90"/>
      <c r="B138" s="90"/>
      <c r="C138" s="90"/>
      <c r="D138" s="91">
        <f>IFERROR(__xludf.DUMMYFUNCTION("IFERROR(sum(filter('Основной эфир'!$AA:$AA, 'Основной эфир'!$B:$B=$A138,'Основной эфир'!$C:$C=$B138,'Основной эфир'!$I:$I=$C138)), 0) "),0.0)</f>
        <v>0</v>
      </c>
      <c r="E138" s="91">
        <f>IFERROR(__xludf.DUMMYFUNCTION("IFERROR(sum(filter('Основной эфир'!$AC:$AC, 'Основной эфир'!$B:$B=$A138,'Основной эфир'!$C:$C=$B138,'Основной эфир'!$I:$I=$C138)), 0) "),0.0)</f>
        <v>0</v>
      </c>
      <c r="F138" s="91">
        <f>IFERROR(__xludf.DUMMYFUNCTION("IFERROR(sum(filter('Основной эфир'!$O:$O, 'Основной эфир'!$B:$B=$A138,'Основной эфир'!$C:$C=$B138,'Основной эфир'!$I:$I=$C138)), 0) "),0.0)</f>
        <v>0</v>
      </c>
      <c r="G138" s="91">
        <f>IFERROR(__xludf.DUMMYFUNCTION("IFERROR(sum(filter('Основной эфир'!$Q:$Q, 'Основной эфир'!$B:$B=$A138,'Основной эфир'!$C:$C=$B138,'Основной эфир'!$I:$I=$C138)), 0) "),0.0)</f>
        <v>0</v>
      </c>
      <c r="H138" s="91">
        <f>IFERROR(__xludf.DUMMYFUNCTION("IFERROR(AVERAGE(filter('Основной эфир'!$Y:$Y, 'Основной эфир'!$B:$B=$A138,'Основной эфир'!$C:$C=$B138,'Основной эфир'!$I:$I=$C138)), 0) "),0.0)</f>
        <v>0</v>
      </c>
      <c r="I138" s="91">
        <f>IFERROR(__xludf.DUMMYFUNCTION("IFERROR(AVERAGE(filter('Основной эфир'!$AE:$AE, 'Основной эфир'!$B:$B=$A138,'Основной эфир'!$C:$C=$B138,'Основной эфир'!$I:$I=$C138)), 0) "),0.0)</f>
        <v>0</v>
      </c>
      <c r="J138" s="91">
        <f>IFERROR(__xludf.DUMMYFUNCTION("IFERROR(SUM(filter('Основной эфир'!$AL:$AL, 'Основной эфир'!$B:$B=$A138,'Основной эфир'!$C:$C=$B138,'Основной эфир'!$I:$I=$C138)), 0) "),0.0)</f>
        <v>0</v>
      </c>
      <c r="K138" s="91" t="str">
        <f>IFERROR(__xludf.DUMMYFUNCTION("IFERROR(REGEXREPLACE(unique(filter('Основной эфир'!$A:$A, 'Основной эфир'!$B:$B=$A138,'Основной эфир'!$C:$C=$B138,'Основной эфир'!$I:$I=$C138)), ""\d+"", """"),"""")"),"")</f>
        <v/>
      </c>
      <c r="L138" s="91" t="str">
        <f>IFERROR(__xludf.DUMMYFUNCTION("IFERROR(unique(filter('Основной эфир'!$F:$F, 'Основной эфир'!$B:$B=$A138,'Основной эфир'!$C:$C=$B138,'Основной эфир'!$I:$I=$C138)),"""")"),"")</f>
        <v/>
      </c>
      <c r="M138" s="92" t="str">
        <f t="shared" si="1"/>
        <v/>
      </c>
      <c r="N138" s="93">
        <f>IFERROR(__xludf.DUMMYFUNCTION("IFERROR(SWITCH(lower(join("" "",L138:M138)),""а миллионник"", 62.5,""б миллионник"", 75,""а мск"", 50, ""б мск"", 62.5, ""a остальное"", 70, ""б остальное"", 80)/100,0)"),0.0)</f>
        <v>0</v>
      </c>
      <c r="O138" s="91">
        <f t="shared" si="2"/>
        <v>0</v>
      </c>
      <c r="P138" s="91">
        <f>IFERROR(__xludf.DUMMYFUNCTION("IFERROR(sum(filter('Генеральный баннер'!$O:$O, 'Генеральный баннер'!$B:$B=$A138,'Генеральный баннер'!$C:$C=$B138,'Генеральный баннер'!$I:$I=$C138)), 0) "),0.0)</f>
        <v>0</v>
      </c>
      <c r="Q138" s="91">
        <f>IFERROR(__xludf.DUMMYFUNCTION("IFERROR(sum(filter('Генеральный баннер'!$Q:$Q, 'Генеральный баннер'!$B:$B=$A138,'Генеральный баннер'!$C:$C=$B138,'Генеральный баннер'!$I:$I=$C138)), 0) "),0.0)</f>
        <v>0</v>
      </c>
      <c r="R138" s="91">
        <f>IFERROR(__xludf.DUMMYFUNCTION("IFERROR(AVERAGE(filter('Генеральный баннер'!$AA:$AA, 'Генеральный баннер'!$B:$B=$A138,'Генеральный баннер'!$C:$C=$B138,'Генеральный баннер'!$I:$I=$C138)), 0) "),0.0)</f>
        <v>0</v>
      </c>
      <c r="S138" s="91">
        <f>IFERROR(__xludf.DUMMYFUNCTION("IFERROR(SUM(filter('Генеральный баннер'!$AH:$AH, 'Генеральный баннер'!$B:$B=$A138,'Генеральный баннер'!$C:$C=$B138,'Генеральный баннер'!$I:$I=$C138)), 0) "),0.0)</f>
        <v>0</v>
      </c>
      <c r="T138" s="91" t="str">
        <f>IFERROR(__xludf.DUMMYFUNCTION("IFERROR(REGEXREPLACE(unique(filter('Генеральный баннер'!$A:$A, 'Генеральный баннер'!$B:$B=$A138,'Генеральный баннер'!$C:$C=$B138,'Генеральный баннер'!$I:$I=$C138)), ""\d+"", """"),"""")"),"")</f>
        <v/>
      </c>
      <c r="U138" s="91" t="str">
        <f>IFERROR(__xludf.DUMMYFUNCTION("IFERROR(unique(filter('Генеральный баннер'!$F:$F, 'Генеральный баннер'!$B:$B=$A138,'Генеральный баннер'!$C:$C=$B138,'Генеральный баннер'!$I:$I=$C138)),"""")"),"")</f>
        <v/>
      </c>
      <c r="V138" s="92" t="str">
        <f t="shared" si="3"/>
        <v/>
      </c>
      <c r="W138" s="93">
        <f>IFERROR(__xludf.DUMMYFUNCTION("IFERROR(SWITCH(lower(join("" "",U138:V138)),""а миллионник"", 62.5,""б миллионник"", 75,""а мск"", 50, ""б мск"", 62.5, ""a остальное"", 70, ""б остальное"", 80)/100,0)"),0.0)</f>
        <v>0</v>
      </c>
      <c r="X138" s="91">
        <f t="shared" si="4"/>
        <v>0</v>
      </c>
    </row>
    <row r="139">
      <c r="A139" s="90"/>
      <c r="B139" s="90"/>
      <c r="C139" s="90"/>
      <c r="D139" s="91">
        <f>IFERROR(__xludf.DUMMYFUNCTION("IFERROR(sum(filter('Основной эфир'!$AA:$AA, 'Основной эфир'!$B:$B=$A139,'Основной эфир'!$C:$C=$B139,'Основной эфир'!$I:$I=$C139)), 0) "),0.0)</f>
        <v>0</v>
      </c>
      <c r="E139" s="91">
        <f>IFERROR(__xludf.DUMMYFUNCTION("IFERROR(sum(filter('Основной эфир'!$AC:$AC, 'Основной эфир'!$B:$B=$A139,'Основной эфир'!$C:$C=$B139,'Основной эфир'!$I:$I=$C139)), 0) "),0.0)</f>
        <v>0</v>
      </c>
      <c r="F139" s="91">
        <f>IFERROR(__xludf.DUMMYFUNCTION("IFERROR(sum(filter('Основной эфир'!$O:$O, 'Основной эфир'!$B:$B=$A139,'Основной эфир'!$C:$C=$B139,'Основной эфир'!$I:$I=$C139)), 0) "),0.0)</f>
        <v>0</v>
      </c>
      <c r="G139" s="91">
        <f>IFERROR(__xludf.DUMMYFUNCTION("IFERROR(sum(filter('Основной эфир'!$Q:$Q, 'Основной эфир'!$B:$B=$A139,'Основной эфир'!$C:$C=$B139,'Основной эфир'!$I:$I=$C139)), 0) "),0.0)</f>
        <v>0</v>
      </c>
      <c r="H139" s="91">
        <f>IFERROR(__xludf.DUMMYFUNCTION("IFERROR(AVERAGE(filter('Основной эфир'!$Y:$Y, 'Основной эфир'!$B:$B=$A139,'Основной эфир'!$C:$C=$B139,'Основной эфир'!$I:$I=$C139)), 0) "),0.0)</f>
        <v>0</v>
      </c>
      <c r="I139" s="91">
        <f>IFERROR(__xludf.DUMMYFUNCTION("IFERROR(AVERAGE(filter('Основной эфир'!$AE:$AE, 'Основной эфир'!$B:$B=$A139,'Основной эфир'!$C:$C=$B139,'Основной эфир'!$I:$I=$C139)), 0) "),0.0)</f>
        <v>0</v>
      </c>
      <c r="J139" s="91">
        <f>IFERROR(__xludf.DUMMYFUNCTION("IFERROR(SUM(filter('Основной эфир'!$AL:$AL, 'Основной эфир'!$B:$B=$A139,'Основной эфир'!$C:$C=$B139,'Основной эфир'!$I:$I=$C139)), 0) "),0.0)</f>
        <v>0</v>
      </c>
      <c r="K139" s="91" t="str">
        <f>IFERROR(__xludf.DUMMYFUNCTION("IFERROR(REGEXREPLACE(unique(filter('Основной эфир'!$A:$A, 'Основной эфир'!$B:$B=$A139,'Основной эфир'!$C:$C=$B139,'Основной эфир'!$I:$I=$C139)), ""\d+"", """"),"""")"),"")</f>
        <v/>
      </c>
      <c r="L139" s="91" t="str">
        <f>IFERROR(__xludf.DUMMYFUNCTION("IFERROR(unique(filter('Основной эфир'!$F:$F, 'Основной эфир'!$B:$B=$A139,'Основной эфир'!$C:$C=$B139,'Основной эфир'!$I:$I=$C139)),"""")"),"")</f>
        <v/>
      </c>
      <c r="M139" s="92" t="str">
        <f t="shared" si="1"/>
        <v/>
      </c>
      <c r="N139" s="93">
        <f>IFERROR(__xludf.DUMMYFUNCTION("IFERROR(SWITCH(lower(join("" "",L139:M139)),""а миллионник"", 62.5,""б миллионник"", 75,""а мск"", 50, ""б мск"", 62.5, ""a остальное"", 70, ""б остальное"", 80)/100,0)"),0.0)</f>
        <v>0</v>
      </c>
      <c r="O139" s="91">
        <f t="shared" si="2"/>
        <v>0</v>
      </c>
      <c r="P139" s="91">
        <f>IFERROR(__xludf.DUMMYFUNCTION("IFERROR(sum(filter('Генеральный баннер'!$O:$O, 'Генеральный баннер'!$B:$B=$A139,'Генеральный баннер'!$C:$C=$B139,'Генеральный баннер'!$I:$I=$C139)), 0) "),0.0)</f>
        <v>0</v>
      </c>
      <c r="Q139" s="91">
        <f>IFERROR(__xludf.DUMMYFUNCTION("IFERROR(sum(filter('Генеральный баннер'!$Q:$Q, 'Генеральный баннер'!$B:$B=$A139,'Генеральный баннер'!$C:$C=$B139,'Генеральный баннер'!$I:$I=$C139)), 0) "),0.0)</f>
        <v>0</v>
      </c>
      <c r="R139" s="91">
        <f>IFERROR(__xludf.DUMMYFUNCTION("IFERROR(AVERAGE(filter('Генеральный баннер'!$AA:$AA, 'Генеральный баннер'!$B:$B=$A139,'Генеральный баннер'!$C:$C=$B139,'Генеральный баннер'!$I:$I=$C139)), 0) "),0.0)</f>
        <v>0</v>
      </c>
      <c r="S139" s="91">
        <f>IFERROR(__xludf.DUMMYFUNCTION("IFERROR(SUM(filter('Генеральный баннер'!$AH:$AH, 'Генеральный баннер'!$B:$B=$A139,'Генеральный баннер'!$C:$C=$B139,'Генеральный баннер'!$I:$I=$C139)), 0) "),0.0)</f>
        <v>0</v>
      </c>
      <c r="T139" s="91" t="str">
        <f>IFERROR(__xludf.DUMMYFUNCTION("IFERROR(REGEXREPLACE(unique(filter('Генеральный баннер'!$A:$A, 'Генеральный баннер'!$B:$B=$A139,'Генеральный баннер'!$C:$C=$B139,'Генеральный баннер'!$I:$I=$C139)), ""\d+"", """"),"""")"),"")</f>
        <v/>
      </c>
      <c r="U139" s="91" t="str">
        <f>IFERROR(__xludf.DUMMYFUNCTION("IFERROR(unique(filter('Генеральный баннер'!$F:$F, 'Генеральный баннер'!$B:$B=$A139,'Генеральный баннер'!$C:$C=$B139,'Генеральный баннер'!$I:$I=$C139)),"""")"),"")</f>
        <v/>
      </c>
      <c r="V139" s="92" t="str">
        <f t="shared" si="3"/>
        <v/>
      </c>
      <c r="W139" s="93">
        <f>IFERROR(__xludf.DUMMYFUNCTION("IFERROR(SWITCH(lower(join("" "",U139:V139)),""а миллионник"", 62.5,""б миллионник"", 75,""а мск"", 50, ""б мск"", 62.5, ""a остальное"", 70, ""б остальное"", 80)/100,0)"),0.0)</f>
        <v>0</v>
      </c>
      <c r="X139" s="91">
        <f t="shared" si="4"/>
        <v>0</v>
      </c>
    </row>
    <row r="140">
      <c r="A140" s="90"/>
      <c r="B140" s="90"/>
      <c r="C140" s="90"/>
      <c r="D140" s="91">
        <f>IFERROR(__xludf.DUMMYFUNCTION("IFERROR(sum(filter('Основной эфир'!$AA:$AA, 'Основной эфир'!$B:$B=$A140,'Основной эфир'!$C:$C=$B140,'Основной эфир'!$I:$I=$C140)), 0) "),0.0)</f>
        <v>0</v>
      </c>
      <c r="E140" s="91">
        <f>IFERROR(__xludf.DUMMYFUNCTION("IFERROR(sum(filter('Основной эфир'!$AC:$AC, 'Основной эфир'!$B:$B=$A140,'Основной эфир'!$C:$C=$B140,'Основной эфир'!$I:$I=$C140)), 0) "),0.0)</f>
        <v>0</v>
      </c>
      <c r="F140" s="91">
        <f>IFERROR(__xludf.DUMMYFUNCTION("IFERROR(sum(filter('Основной эфир'!$O:$O, 'Основной эфир'!$B:$B=$A140,'Основной эфир'!$C:$C=$B140,'Основной эфир'!$I:$I=$C140)), 0) "),0.0)</f>
        <v>0</v>
      </c>
      <c r="G140" s="91">
        <f>IFERROR(__xludf.DUMMYFUNCTION("IFERROR(sum(filter('Основной эфир'!$Q:$Q, 'Основной эфир'!$B:$B=$A140,'Основной эфир'!$C:$C=$B140,'Основной эфир'!$I:$I=$C140)), 0) "),0.0)</f>
        <v>0</v>
      </c>
      <c r="H140" s="91">
        <f>IFERROR(__xludf.DUMMYFUNCTION("IFERROR(AVERAGE(filter('Основной эфир'!$Y:$Y, 'Основной эфир'!$B:$B=$A140,'Основной эфир'!$C:$C=$B140,'Основной эфир'!$I:$I=$C140)), 0) "),0.0)</f>
        <v>0</v>
      </c>
      <c r="I140" s="91">
        <f>IFERROR(__xludf.DUMMYFUNCTION("IFERROR(AVERAGE(filter('Основной эфир'!$AE:$AE, 'Основной эфир'!$B:$B=$A140,'Основной эфир'!$C:$C=$B140,'Основной эфир'!$I:$I=$C140)), 0) "),0.0)</f>
        <v>0</v>
      </c>
      <c r="J140" s="91">
        <f>IFERROR(__xludf.DUMMYFUNCTION("IFERROR(SUM(filter('Основной эфир'!$AL:$AL, 'Основной эфир'!$B:$B=$A140,'Основной эфир'!$C:$C=$B140,'Основной эфир'!$I:$I=$C140)), 0) "),0.0)</f>
        <v>0</v>
      </c>
      <c r="K140" s="91" t="str">
        <f>IFERROR(__xludf.DUMMYFUNCTION("IFERROR(REGEXREPLACE(unique(filter('Основной эфир'!$A:$A, 'Основной эфир'!$B:$B=$A140,'Основной эфир'!$C:$C=$B140,'Основной эфир'!$I:$I=$C140)), ""\d+"", """"),"""")"),"")</f>
        <v/>
      </c>
      <c r="L140" s="91" t="str">
        <f>IFERROR(__xludf.DUMMYFUNCTION("IFERROR(unique(filter('Основной эфир'!$F:$F, 'Основной эфир'!$B:$B=$A140,'Основной эфир'!$C:$C=$B140,'Основной эфир'!$I:$I=$C140)),"""")"),"")</f>
        <v/>
      </c>
      <c r="M140" s="92" t="str">
        <f t="shared" si="1"/>
        <v/>
      </c>
      <c r="N140" s="93">
        <f>IFERROR(__xludf.DUMMYFUNCTION("IFERROR(SWITCH(lower(join("" "",L140:M140)),""а миллионник"", 62.5,""б миллионник"", 75,""а мск"", 50, ""б мск"", 62.5, ""a остальное"", 70, ""б остальное"", 80)/100,0)"),0.0)</f>
        <v>0</v>
      </c>
      <c r="O140" s="91">
        <f t="shared" si="2"/>
        <v>0</v>
      </c>
      <c r="P140" s="91">
        <f>IFERROR(__xludf.DUMMYFUNCTION("IFERROR(sum(filter('Генеральный баннер'!$O:$O, 'Генеральный баннер'!$B:$B=$A140,'Генеральный баннер'!$C:$C=$B140,'Генеральный баннер'!$I:$I=$C140)), 0) "),0.0)</f>
        <v>0</v>
      </c>
      <c r="Q140" s="91">
        <f>IFERROR(__xludf.DUMMYFUNCTION("IFERROR(sum(filter('Генеральный баннер'!$Q:$Q, 'Генеральный баннер'!$B:$B=$A140,'Генеральный баннер'!$C:$C=$B140,'Генеральный баннер'!$I:$I=$C140)), 0) "),0.0)</f>
        <v>0</v>
      </c>
      <c r="R140" s="91">
        <f>IFERROR(__xludf.DUMMYFUNCTION("IFERROR(AVERAGE(filter('Генеральный баннер'!$AA:$AA, 'Генеральный баннер'!$B:$B=$A140,'Генеральный баннер'!$C:$C=$B140,'Генеральный баннер'!$I:$I=$C140)), 0) "),0.0)</f>
        <v>0</v>
      </c>
      <c r="S140" s="91">
        <f>IFERROR(__xludf.DUMMYFUNCTION("IFERROR(SUM(filter('Генеральный баннер'!$AH:$AH, 'Генеральный баннер'!$B:$B=$A140,'Генеральный баннер'!$C:$C=$B140,'Генеральный баннер'!$I:$I=$C140)), 0) "),0.0)</f>
        <v>0</v>
      </c>
      <c r="T140" s="91" t="str">
        <f>IFERROR(__xludf.DUMMYFUNCTION("IFERROR(REGEXREPLACE(unique(filter('Генеральный баннер'!$A:$A, 'Генеральный баннер'!$B:$B=$A140,'Генеральный баннер'!$C:$C=$B140,'Генеральный баннер'!$I:$I=$C140)), ""\d+"", """"),"""")"),"")</f>
        <v/>
      </c>
      <c r="U140" s="91" t="str">
        <f>IFERROR(__xludf.DUMMYFUNCTION("IFERROR(unique(filter('Генеральный баннер'!$F:$F, 'Генеральный баннер'!$B:$B=$A140,'Генеральный баннер'!$C:$C=$B140,'Генеральный баннер'!$I:$I=$C140)),"""")"),"")</f>
        <v/>
      </c>
      <c r="V140" s="92" t="str">
        <f t="shared" si="3"/>
        <v/>
      </c>
      <c r="W140" s="93">
        <f>IFERROR(__xludf.DUMMYFUNCTION("IFERROR(SWITCH(lower(join("" "",U140:V140)),""а миллионник"", 62.5,""б миллионник"", 75,""а мск"", 50, ""б мск"", 62.5, ""a остальное"", 70, ""б остальное"", 80)/100,0)"),0.0)</f>
        <v>0</v>
      </c>
      <c r="X140" s="91">
        <f t="shared" si="4"/>
        <v>0</v>
      </c>
    </row>
    <row r="141">
      <c r="A141" s="90"/>
      <c r="B141" s="90"/>
      <c r="C141" s="90"/>
      <c r="D141" s="91">
        <f>IFERROR(__xludf.DUMMYFUNCTION("IFERROR(sum(filter('Основной эфир'!$AA:$AA, 'Основной эфир'!$B:$B=$A141,'Основной эфир'!$C:$C=$B141,'Основной эфир'!$I:$I=$C141)), 0) "),0.0)</f>
        <v>0</v>
      </c>
      <c r="E141" s="91">
        <f>IFERROR(__xludf.DUMMYFUNCTION("IFERROR(sum(filter('Основной эфир'!$AC:$AC, 'Основной эфир'!$B:$B=$A141,'Основной эфир'!$C:$C=$B141,'Основной эфир'!$I:$I=$C141)), 0) "),0.0)</f>
        <v>0</v>
      </c>
      <c r="F141" s="91">
        <f>IFERROR(__xludf.DUMMYFUNCTION("IFERROR(sum(filter('Основной эфир'!$O:$O, 'Основной эфир'!$B:$B=$A141,'Основной эфир'!$C:$C=$B141,'Основной эфир'!$I:$I=$C141)), 0) "),0.0)</f>
        <v>0</v>
      </c>
      <c r="G141" s="91">
        <f>IFERROR(__xludf.DUMMYFUNCTION("IFERROR(sum(filter('Основной эфир'!$Q:$Q, 'Основной эфир'!$B:$B=$A141,'Основной эфир'!$C:$C=$B141,'Основной эфир'!$I:$I=$C141)), 0) "),0.0)</f>
        <v>0</v>
      </c>
      <c r="H141" s="91">
        <f>IFERROR(__xludf.DUMMYFUNCTION("IFERROR(AVERAGE(filter('Основной эфир'!$Y:$Y, 'Основной эфир'!$B:$B=$A141,'Основной эфир'!$C:$C=$B141,'Основной эфир'!$I:$I=$C141)), 0) "),0.0)</f>
        <v>0</v>
      </c>
      <c r="I141" s="91">
        <f>IFERROR(__xludf.DUMMYFUNCTION("IFERROR(AVERAGE(filter('Основной эфир'!$AE:$AE, 'Основной эфир'!$B:$B=$A141,'Основной эфир'!$C:$C=$B141,'Основной эфир'!$I:$I=$C141)), 0) "),0.0)</f>
        <v>0</v>
      </c>
      <c r="J141" s="91">
        <f>IFERROR(__xludf.DUMMYFUNCTION("IFERROR(SUM(filter('Основной эфир'!$AL:$AL, 'Основной эфир'!$B:$B=$A141,'Основной эфир'!$C:$C=$B141,'Основной эфир'!$I:$I=$C141)), 0) "),0.0)</f>
        <v>0</v>
      </c>
      <c r="K141" s="91" t="str">
        <f>IFERROR(__xludf.DUMMYFUNCTION("IFERROR(REGEXREPLACE(unique(filter('Основной эфир'!$A:$A, 'Основной эфир'!$B:$B=$A141,'Основной эфир'!$C:$C=$B141,'Основной эфир'!$I:$I=$C141)), ""\d+"", """"),"""")"),"")</f>
        <v/>
      </c>
      <c r="L141" s="91" t="str">
        <f>IFERROR(__xludf.DUMMYFUNCTION("IFERROR(unique(filter('Основной эфир'!$F:$F, 'Основной эфир'!$B:$B=$A141,'Основной эфир'!$C:$C=$B141,'Основной эфир'!$I:$I=$C141)),"""")"),"")</f>
        <v/>
      </c>
      <c r="M141" s="92" t="str">
        <f t="shared" si="1"/>
        <v/>
      </c>
      <c r="N141" s="93">
        <f>IFERROR(__xludf.DUMMYFUNCTION("IFERROR(SWITCH(lower(join("" "",L141:M141)),""а миллионник"", 62.5,""б миллионник"", 75,""а мск"", 50, ""б мск"", 62.5, ""a остальное"", 70, ""б остальное"", 80)/100,0)"),0.0)</f>
        <v>0</v>
      </c>
      <c r="O141" s="91">
        <f t="shared" si="2"/>
        <v>0</v>
      </c>
      <c r="P141" s="91">
        <f>IFERROR(__xludf.DUMMYFUNCTION("IFERROR(sum(filter('Генеральный баннер'!$O:$O, 'Генеральный баннер'!$B:$B=$A141,'Генеральный баннер'!$C:$C=$B141,'Генеральный баннер'!$I:$I=$C141)), 0) "),0.0)</f>
        <v>0</v>
      </c>
      <c r="Q141" s="91">
        <f>IFERROR(__xludf.DUMMYFUNCTION("IFERROR(sum(filter('Генеральный баннер'!$Q:$Q, 'Генеральный баннер'!$B:$B=$A141,'Генеральный баннер'!$C:$C=$B141,'Генеральный баннер'!$I:$I=$C141)), 0) "),0.0)</f>
        <v>0</v>
      </c>
      <c r="R141" s="91">
        <f>IFERROR(__xludf.DUMMYFUNCTION("IFERROR(AVERAGE(filter('Генеральный баннер'!$AA:$AA, 'Генеральный баннер'!$B:$B=$A141,'Генеральный баннер'!$C:$C=$B141,'Генеральный баннер'!$I:$I=$C141)), 0) "),0.0)</f>
        <v>0</v>
      </c>
      <c r="S141" s="91">
        <f>IFERROR(__xludf.DUMMYFUNCTION("IFERROR(SUM(filter('Генеральный баннер'!$AH:$AH, 'Генеральный баннер'!$B:$B=$A141,'Генеральный баннер'!$C:$C=$B141,'Генеральный баннер'!$I:$I=$C141)), 0) "),0.0)</f>
        <v>0</v>
      </c>
      <c r="T141" s="91" t="str">
        <f>IFERROR(__xludf.DUMMYFUNCTION("IFERROR(REGEXREPLACE(unique(filter('Генеральный баннер'!$A:$A, 'Генеральный баннер'!$B:$B=$A141,'Генеральный баннер'!$C:$C=$B141,'Генеральный баннер'!$I:$I=$C141)), ""\d+"", """"),"""")"),"")</f>
        <v/>
      </c>
      <c r="U141" s="91" t="str">
        <f>IFERROR(__xludf.DUMMYFUNCTION("IFERROR(unique(filter('Генеральный баннер'!$F:$F, 'Генеральный баннер'!$B:$B=$A141,'Генеральный баннер'!$C:$C=$B141,'Генеральный баннер'!$I:$I=$C141)),"""")"),"")</f>
        <v/>
      </c>
      <c r="V141" s="92" t="str">
        <f t="shared" si="3"/>
        <v/>
      </c>
      <c r="W141" s="93">
        <f>IFERROR(__xludf.DUMMYFUNCTION("IFERROR(SWITCH(lower(join("" "",U141:V141)),""а миллионник"", 62.5,""б миллионник"", 75,""а мск"", 50, ""б мск"", 62.5, ""a остальное"", 70, ""б остальное"", 80)/100,0)"),0.0)</f>
        <v>0</v>
      </c>
      <c r="X141" s="91">
        <f t="shared" si="4"/>
        <v>0</v>
      </c>
    </row>
    <row r="142">
      <c r="A142" s="90"/>
      <c r="B142" s="90"/>
      <c r="C142" s="90"/>
      <c r="D142" s="91">
        <f>IFERROR(__xludf.DUMMYFUNCTION("IFERROR(sum(filter('Основной эфир'!$AA:$AA, 'Основной эфир'!$B:$B=$A142,'Основной эфир'!$C:$C=$B142,'Основной эфир'!$I:$I=$C142)), 0) "),0.0)</f>
        <v>0</v>
      </c>
      <c r="E142" s="91">
        <f>IFERROR(__xludf.DUMMYFUNCTION("IFERROR(sum(filter('Основной эфир'!$AC:$AC, 'Основной эфир'!$B:$B=$A142,'Основной эфир'!$C:$C=$B142,'Основной эфир'!$I:$I=$C142)), 0) "),0.0)</f>
        <v>0</v>
      </c>
      <c r="F142" s="91">
        <f>IFERROR(__xludf.DUMMYFUNCTION("IFERROR(sum(filter('Основной эфир'!$O:$O, 'Основной эфир'!$B:$B=$A142,'Основной эфир'!$C:$C=$B142,'Основной эфир'!$I:$I=$C142)), 0) "),0.0)</f>
        <v>0</v>
      </c>
      <c r="G142" s="91">
        <f>IFERROR(__xludf.DUMMYFUNCTION("IFERROR(sum(filter('Основной эфир'!$Q:$Q, 'Основной эфир'!$B:$B=$A142,'Основной эфир'!$C:$C=$B142,'Основной эфир'!$I:$I=$C142)), 0) "),0.0)</f>
        <v>0</v>
      </c>
      <c r="H142" s="91">
        <f>IFERROR(__xludf.DUMMYFUNCTION("IFERROR(AVERAGE(filter('Основной эфир'!$Y:$Y, 'Основной эфир'!$B:$B=$A142,'Основной эфир'!$C:$C=$B142,'Основной эфир'!$I:$I=$C142)), 0) "),0.0)</f>
        <v>0</v>
      </c>
      <c r="I142" s="91">
        <f>IFERROR(__xludf.DUMMYFUNCTION("IFERROR(AVERAGE(filter('Основной эфир'!$AE:$AE, 'Основной эфир'!$B:$B=$A142,'Основной эфир'!$C:$C=$B142,'Основной эфир'!$I:$I=$C142)), 0) "),0.0)</f>
        <v>0</v>
      </c>
      <c r="J142" s="91">
        <f>IFERROR(__xludf.DUMMYFUNCTION("IFERROR(SUM(filter('Основной эфир'!$AL:$AL, 'Основной эфир'!$B:$B=$A142,'Основной эфир'!$C:$C=$B142,'Основной эфир'!$I:$I=$C142)), 0) "),0.0)</f>
        <v>0</v>
      </c>
      <c r="K142" s="91" t="str">
        <f>IFERROR(__xludf.DUMMYFUNCTION("IFERROR(REGEXREPLACE(unique(filter('Основной эфир'!$A:$A, 'Основной эфир'!$B:$B=$A142,'Основной эфир'!$C:$C=$B142,'Основной эфир'!$I:$I=$C142)), ""\d+"", """"),"""")"),"")</f>
        <v/>
      </c>
      <c r="L142" s="91" t="str">
        <f>IFERROR(__xludf.DUMMYFUNCTION("IFERROR(unique(filter('Основной эфир'!$F:$F, 'Основной эфир'!$B:$B=$A142,'Основной эфир'!$C:$C=$B142,'Основной эфир'!$I:$I=$C142)),"""")"),"")</f>
        <v/>
      </c>
      <c r="M142" s="92" t="str">
        <f t="shared" si="1"/>
        <v/>
      </c>
      <c r="N142" s="93">
        <f>IFERROR(__xludf.DUMMYFUNCTION("IFERROR(SWITCH(lower(join("" "",L142:M142)),""а миллионник"", 62.5,""б миллионник"", 75,""а мск"", 50, ""б мск"", 62.5, ""a остальное"", 70, ""б остальное"", 80)/100,0)"),0.0)</f>
        <v>0</v>
      </c>
      <c r="O142" s="91">
        <f t="shared" si="2"/>
        <v>0</v>
      </c>
      <c r="P142" s="91">
        <f>IFERROR(__xludf.DUMMYFUNCTION("IFERROR(sum(filter('Генеральный баннер'!$O:$O, 'Генеральный баннер'!$B:$B=$A142,'Генеральный баннер'!$C:$C=$B142,'Генеральный баннер'!$I:$I=$C142)), 0) "),0.0)</f>
        <v>0</v>
      </c>
      <c r="Q142" s="91">
        <f>IFERROR(__xludf.DUMMYFUNCTION("IFERROR(sum(filter('Генеральный баннер'!$Q:$Q, 'Генеральный баннер'!$B:$B=$A142,'Генеральный баннер'!$C:$C=$B142,'Генеральный баннер'!$I:$I=$C142)), 0) "),0.0)</f>
        <v>0</v>
      </c>
      <c r="R142" s="91">
        <f>IFERROR(__xludf.DUMMYFUNCTION("IFERROR(AVERAGE(filter('Генеральный баннер'!$AA:$AA, 'Генеральный баннер'!$B:$B=$A142,'Генеральный баннер'!$C:$C=$B142,'Генеральный баннер'!$I:$I=$C142)), 0) "),0.0)</f>
        <v>0</v>
      </c>
      <c r="S142" s="91">
        <f>IFERROR(__xludf.DUMMYFUNCTION("IFERROR(SUM(filter('Генеральный баннер'!$AH:$AH, 'Генеральный баннер'!$B:$B=$A142,'Генеральный баннер'!$C:$C=$B142,'Генеральный баннер'!$I:$I=$C142)), 0) "),0.0)</f>
        <v>0</v>
      </c>
      <c r="T142" s="91" t="str">
        <f>IFERROR(__xludf.DUMMYFUNCTION("IFERROR(REGEXREPLACE(unique(filter('Генеральный баннер'!$A:$A, 'Генеральный баннер'!$B:$B=$A142,'Генеральный баннер'!$C:$C=$B142,'Генеральный баннер'!$I:$I=$C142)), ""\d+"", """"),"""")"),"")</f>
        <v/>
      </c>
      <c r="U142" s="91" t="str">
        <f>IFERROR(__xludf.DUMMYFUNCTION("IFERROR(unique(filter('Генеральный баннер'!$F:$F, 'Генеральный баннер'!$B:$B=$A142,'Генеральный баннер'!$C:$C=$B142,'Генеральный баннер'!$I:$I=$C142)),"""")"),"")</f>
        <v/>
      </c>
      <c r="V142" s="92" t="str">
        <f t="shared" si="3"/>
        <v/>
      </c>
      <c r="W142" s="93">
        <f>IFERROR(__xludf.DUMMYFUNCTION("IFERROR(SWITCH(lower(join("" "",U142:V142)),""а миллионник"", 62.5,""б миллионник"", 75,""а мск"", 50, ""б мск"", 62.5, ""a остальное"", 70, ""б остальное"", 80)/100,0)"),0.0)</f>
        <v>0</v>
      </c>
      <c r="X142" s="91">
        <f t="shared" si="4"/>
        <v>0</v>
      </c>
    </row>
    <row r="143">
      <c r="A143" s="90"/>
      <c r="B143" s="90"/>
      <c r="C143" s="90"/>
      <c r="D143" s="91">
        <f>IFERROR(__xludf.DUMMYFUNCTION("IFERROR(sum(filter('Основной эфир'!$AA:$AA, 'Основной эфир'!$B:$B=$A143,'Основной эфир'!$C:$C=$B143,'Основной эфир'!$I:$I=$C143)), 0) "),0.0)</f>
        <v>0</v>
      </c>
      <c r="E143" s="91">
        <f>IFERROR(__xludf.DUMMYFUNCTION("IFERROR(sum(filter('Основной эфир'!$AC:$AC, 'Основной эфир'!$B:$B=$A143,'Основной эфир'!$C:$C=$B143,'Основной эфир'!$I:$I=$C143)), 0) "),0.0)</f>
        <v>0</v>
      </c>
      <c r="F143" s="91">
        <f>IFERROR(__xludf.DUMMYFUNCTION("IFERROR(sum(filter('Основной эфир'!$O:$O, 'Основной эфир'!$B:$B=$A143,'Основной эфир'!$C:$C=$B143,'Основной эфир'!$I:$I=$C143)), 0) "),0.0)</f>
        <v>0</v>
      </c>
      <c r="G143" s="91">
        <f>IFERROR(__xludf.DUMMYFUNCTION("IFERROR(sum(filter('Основной эфир'!$Q:$Q, 'Основной эфир'!$B:$B=$A143,'Основной эфир'!$C:$C=$B143,'Основной эфир'!$I:$I=$C143)), 0) "),0.0)</f>
        <v>0</v>
      </c>
      <c r="H143" s="91">
        <f>IFERROR(__xludf.DUMMYFUNCTION("IFERROR(AVERAGE(filter('Основной эфир'!$Y:$Y, 'Основной эфир'!$B:$B=$A143,'Основной эфир'!$C:$C=$B143,'Основной эфир'!$I:$I=$C143)), 0) "),0.0)</f>
        <v>0</v>
      </c>
      <c r="I143" s="91">
        <f>IFERROR(__xludf.DUMMYFUNCTION("IFERROR(AVERAGE(filter('Основной эфир'!$AE:$AE, 'Основной эфир'!$B:$B=$A143,'Основной эфир'!$C:$C=$B143,'Основной эфир'!$I:$I=$C143)), 0) "),0.0)</f>
        <v>0</v>
      </c>
      <c r="J143" s="91">
        <f>IFERROR(__xludf.DUMMYFUNCTION("IFERROR(SUM(filter('Основной эфир'!$AL:$AL, 'Основной эфир'!$B:$B=$A143,'Основной эфир'!$C:$C=$B143,'Основной эфир'!$I:$I=$C143)), 0) "),0.0)</f>
        <v>0</v>
      </c>
      <c r="K143" s="91" t="str">
        <f>IFERROR(__xludf.DUMMYFUNCTION("IFERROR(REGEXREPLACE(unique(filter('Основной эфир'!$A:$A, 'Основной эфир'!$B:$B=$A143,'Основной эфир'!$C:$C=$B143,'Основной эфир'!$I:$I=$C143)), ""\d+"", """"),"""")"),"")</f>
        <v/>
      </c>
      <c r="L143" s="91" t="str">
        <f>IFERROR(__xludf.DUMMYFUNCTION("IFERROR(unique(filter('Основной эфир'!$F:$F, 'Основной эфир'!$B:$B=$A143,'Основной эфир'!$C:$C=$B143,'Основной эфир'!$I:$I=$C143)),"""")"),"")</f>
        <v/>
      </c>
      <c r="M143" s="92" t="str">
        <f t="shared" si="1"/>
        <v/>
      </c>
      <c r="N143" s="93">
        <f>IFERROR(__xludf.DUMMYFUNCTION("IFERROR(SWITCH(lower(join("" "",L143:M143)),""а миллионник"", 62.5,""б миллионник"", 75,""а мск"", 50, ""б мск"", 62.5, ""a остальное"", 70, ""б остальное"", 80)/100,0)"),0.0)</f>
        <v>0</v>
      </c>
      <c r="O143" s="91">
        <f t="shared" si="2"/>
        <v>0</v>
      </c>
      <c r="P143" s="91">
        <f>IFERROR(__xludf.DUMMYFUNCTION("IFERROR(sum(filter('Генеральный баннер'!$O:$O, 'Генеральный баннер'!$B:$B=$A143,'Генеральный баннер'!$C:$C=$B143,'Генеральный баннер'!$I:$I=$C143)), 0) "),0.0)</f>
        <v>0</v>
      </c>
      <c r="Q143" s="91">
        <f>IFERROR(__xludf.DUMMYFUNCTION("IFERROR(sum(filter('Генеральный баннер'!$Q:$Q, 'Генеральный баннер'!$B:$B=$A143,'Генеральный баннер'!$C:$C=$B143,'Генеральный баннер'!$I:$I=$C143)), 0) "),0.0)</f>
        <v>0</v>
      </c>
      <c r="R143" s="91">
        <f>IFERROR(__xludf.DUMMYFUNCTION("IFERROR(AVERAGE(filter('Генеральный баннер'!$AA:$AA, 'Генеральный баннер'!$B:$B=$A143,'Генеральный баннер'!$C:$C=$B143,'Генеральный баннер'!$I:$I=$C143)), 0) "),0.0)</f>
        <v>0</v>
      </c>
      <c r="S143" s="91">
        <f>IFERROR(__xludf.DUMMYFUNCTION("IFERROR(SUM(filter('Генеральный баннер'!$AH:$AH, 'Генеральный баннер'!$B:$B=$A143,'Генеральный баннер'!$C:$C=$B143,'Генеральный баннер'!$I:$I=$C143)), 0) "),0.0)</f>
        <v>0</v>
      </c>
      <c r="T143" s="91" t="str">
        <f>IFERROR(__xludf.DUMMYFUNCTION("IFERROR(REGEXREPLACE(unique(filter('Генеральный баннер'!$A:$A, 'Генеральный баннер'!$B:$B=$A143,'Генеральный баннер'!$C:$C=$B143,'Генеральный баннер'!$I:$I=$C143)), ""\d+"", """"),"""")"),"")</f>
        <v/>
      </c>
      <c r="U143" s="91" t="str">
        <f>IFERROR(__xludf.DUMMYFUNCTION("IFERROR(unique(filter('Генеральный баннер'!$F:$F, 'Генеральный баннер'!$B:$B=$A143,'Генеральный баннер'!$C:$C=$B143,'Генеральный баннер'!$I:$I=$C143)),"""")"),"")</f>
        <v/>
      </c>
      <c r="V143" s="92" t="str">
        <f t="shared" si="3"/>
        <v/>
      </c>
      <c r="W143" s="93">
        <f>IFERROR(__xludf.DUMMYFUNCTION("IFERROR(SWITCH(lower(join("" "",U143:V143)),""а миллионник"", 62.5,""б миллионник"", 75,""а мск"", 50, ""б мск"", 62.5, ""a остальное"", 70, ""б остальное"", 80)/100,0)"),0.0)</f>
        <v>0</v>
      </c>
      <c r="X143" s="91">
        <f t="shared" si="4"/>
        <v>0</v>
      </c>
    </row>
    <row r="144">
      <c r="A144" s="90"/>
      <c r="B144" s="90"/>
      <c r="C144" s="90"/>
      <c r="D144" s="91">
        <f>IFERROR(__xludf.DUMMYFUNCTION("IFERROR(sum(filter('Основной эфир'!$AA:$AA, 'Основной эфир'!$B:$B=$A144,'Основной эфир'!$C:$C=$B144,'Основной эфир'!$I:$I=$C144)), 0) "),0.0)</f>
        <v>0</v>
      </c>
      <c r="E144" s="91">
        <f>IFERROR(__xludf.DUMMYFUNCTION("IFERROR(sum(filter('Основной эфир'!$AC:$AC, 'Основной эфир'!$B:$B=$A144,'Основной эфир'!$C:$C=$B144,'Основной эфир'!$I:$I=$C144)), 0) "),0.0)</f>
        <v>0</v>
      </c>
      <c r="F144" s="91">
        <f>IFERROR(__xludf.DUMMYFUNCTION("IFERROR(sum(filter('Основной эфир'!$O:$O, 'Основной эфир'!$B:$B=$A144,'Основной эфир'!$C:$C=$B144,'Основной эфир'!$I:$I=$C144)), 0) "),0.0)</f>
        <v>0</v>
      </c>
      <c r="G144" s="91">
        <f>IFERROR(__xludf.DUMMYFUNCTION("IFERROR(sum(filter('Основной эфир'!$Q:$Q, 'Основной эфир'!$B:$B=$A144,'Основной эфир'!$C:$C=$B144,'Основной эфир'!$I:$I=$C144)), 0) "),0.0)</f>
        <v>0</v>
      </c>
      <c r="H144" s="91">
        <f>IFERROR(__xludf.DUMMYFUNCTION("IFERROR(AVERAGE(filter('Основной эфир'!$Y:$Y, 'Основной эфир'!$B:$B=$A144,'Основной эфир'!$C:$C=$B144,'Основной эфир'!$I:$I=$C144)), 0) "),0.0)</f>
        <v>0</v>
      </c>
      <c r="I144" s="91">
        <f>IFERROR(__xludf.DUMMYFUNCTION("IFERROR(AVERAGE(filter('Основной эфир'!$AE:$AE, 'Основной эфир'!$B:$B=$A144,'Основной эфир'!$C:$C=$B144,'Основной эфир'!$I:$I=$C144)), 0) "),0.0)</f>
        <v>0</v>
      </c>
      <c r="J144" s="91">
        <f>IFERROR(__xludf.DUMMYFUNCTION("IFERROR(SUM(filter('Основной эфир'!$AL:$AL, 'Основной эфир'!$B:$B=$A144,'Основной эфир'!$C:$C=$B144,'Основной эфир'!$I:$I=$C144)), 0) "),0.0)</f>
        <v>0</v>
      </c>
      <c r="K144" s="91" t="str">
        <f>IFERROR(__xludf.DUMMYFUNCTION("IFERROR(REGEXREPLACE(unique(filter('Основной эфир'!$A:$A, 'Основной эфир'!$B:$B=$A144,'Основной эфир'!$C:$C=$B144,'Основной эфир'!$I:$I=$C144)), ""\d+"", """"),"""")"),"")</f>
        <v/>
      </c>
      <c r="L144" s="91" t="str">
        <f>IFERROR(__xludf.DUMMYFUNCTION("IFERROR(unique(filter('Основной эфир'!$F:$F, 'Основной эфир'!$B:$B=$A144,'Основной эфир'!$C:$C=$B144,'Основной эфир'!$I:$I=$C144)),"""")"),"")</f>
        <v/>
      </c>
      <c r="M144" s="92" t="str">
        <f t="shared" si="1"/>
        <v/>
      </c>
      <c r="N144" s="93">
        <f>IFERROR(__xludf.DUMMYFUNCTION("IFERROR(SWITCH(lower(join("" "",L144:M144)),""а миллионник"", 62.5,""б миллионник"", 75,""а мск"", 50, ""б мск"", 62.5, ""a остальное"", 70, ""б остальное"", 80)/100,0)"),0.0)</f>
        <v>0</v>
      </c>
      <c r="O144" s="91">
        <f t="shared" si="2"/>
        <v>0</v>
      </c>
      <c r="P144" s="91">
        <f>IFERROR(__xludf.DUMMYFUNCTION("IFERROR(sum(filter('Генеральный баннер'!$O:$O, 'Генеральный баннер'!$B:$B=$A144,'Генеральный баннер'!$C:$C=$B144,'Генеральный баннер'!$I:$I=$C144)), 0) "),0.0)</f>
        <v>0</v>
      </c>
      <c r="Q144" s="91">
        <f>IFERROR(__xludf.DUMMYFUNCTION("IFERROR(sum(filter('Генеральный баннер'!$Q:$Q, 'Генеральный баннер'!$B:$B=$A144,'Генеральный баннер'!$C:$C=$B144,'Генеральный баннер'!$I:$I=$C144)), 0) "),0.0)</f>
        <v>0</v>
      </c>
      <c r="R144" s="91">
        <f>IFERROR(__xludf.DUMMYFUNCTION("IFERROR(AVERAGE(filter('Генеральный баннер'!$AA:$AA, 'Генеральный баннер'!$B:$B=$A144,'Генеральный баннер'!$C:$C=$B144,'Генеральный баннер'!$I:$I=$C144)), 0) "),0.0)</f>
        <v>0</v>
      </c>
      <c r="S144" s="91">
        <f>IFERROR(__xludf.DUMMYFUNCTION("IFERROR(SUM(filter('Генеральный баннер'!$AH:$AH, 'Генеральный баннер'!$B:$B=$A144,'Генеральный баннер'!$C:$C=$B144,'Генеральный баннер'!$I:$I=$C144)), 0) "),0.0)</f>
        <v>0</v>
      </c>
      <c r="T144" s="91" t="str">
        <f>IFERROR(__xludf.DUMMYFUNCTION("IFERROR(REGEXREPLACE(unique(filter('Генеральный баннер'!$A:$A, 'Генеральный баннер'!$B:$B=$A144,'Генеральный баннер'!$C:$C=$B144,'Генеральный баннер'!$I:$I=$C144)), ""\d+"", """"),"""")"),"")</f>
        <v/>
      </c>
      <c r="U144" s="91" t="str">
        <f>IFERROR(__xludf.DUMMYFUNCTION("IFERROR(unique(filter('Генеральный баннер'!$F:$F, 'Генеральный баннер'!$B:$B=$A144,'Генеральный баннер'!$C:$C=$B144,'Генеральный баннер'!$I:$I=$C144)),"""")"),"")</f>
        <v/>
      </c>
      <c r="V144" s="92" t="str">
        <f t="shared" si="3"/>
        <v/>
      </c>
      <c r="W144" s="93">
        <f>IFERROR(__xludf.DUMMYFUNCTION("IFERROR(SWITCH(lower(join("" "",U144:V144)),""а миллионник"", 62.5,""б миллионник"", 75,""а мск"", 50, ""б мск"", 62.5, ""a остальное"", 70, ""б остальное"", 80)/100,0)"),0.0)</f>
        <v>0</v>
      </c>
      <c r="X144" s="91">
        <f t="shared" si="4"/>
        <v>0</v>
      </c>
    </row>
    <row r="145">
      <c r="A145" s="90"/>
      <c r="B145" s="90"/>
      <c r="C145" s="90"/>
      <c r="D145" s="91">
        <f>IFERROR(__xludf.DUMMYFUNCTION("IFERROR(sum(filter('Основной эфир'!$AA:$AA, 'Основной эфир'!$B:$B=$A145,'Основной эфир'!$C:$C=$B145,'Основной эфир'!$I:$I=$C145)), 0) "),0.0)</f>
        <v>0</v>
      </c>
      <c r="E145" s="91">
        <f>IFERROR(__xludf.DUMMYFUNCTION("IFERROR(sum(filter('Основной эфир'!$AC:$AC, 'Основной эфир'!$B:$B=$A145,'Основной эфир'!$C:$C=$B145,'Основной эфир'!$I:$I=$C145)), 0) "),0.0)</f>
        <v>0</v>
      </c>
      <c r="F145" s="91">
        <f>IFERROR(__xludf.DUMMYFUNCTION("IFERROR(sum(filter('Основной эфир'!$O:$O, 'Основной эфир'!$B:$B=$A145,'Основной эфир'!$C:$C=$B145,'Основной эфир'!$I:$I=$C145)), 0) "),0.0)</f>
        <v>0</v>
      </c>
      <c r="G145" s="91">
        <f>IFERROR(__xludf.DUMMYFUNCTION("IFERROR(sum(filter('Основной эфир'!$Q:$Q, 'Основной эфир'!$B:$B=$A145,'Основной эфир'!$C:$C=$B145,'Основной эфир'!$I:$I=$C145)), 0) "),0.0)</f>
        <v>0</v>
      </c>
      <c r="H145" s="91">
        <f>IFERROR(__xludf.DUMMYFUNCTION("IFERROR(AVERAGE(filter('Основной эфир'!$Y:$Y, 'Основной эфир'!$B:$B=$A145,'Основной эфир'!$C:$C=$B145,'Основной эфир'!$I:$I=$C145)), 0) "),0.0)</f>
        <v>0</v>
      </c>
      <c r="I145" s="91">
        <f>IFERROR(__xludf.DUMMYFUNCTION("IFERROR(AVERAGE(filter('Основной эфир'!$AE:$AE, 'Основной эфир'!$B:$B=$A145,'Основной эфир'!$C:$C=$B145,'Основной эфир'!$I:$I=$C145)), 0) "),0.0)</f>
        <v>0</v>
      </c>
      <c r="J145" s="91">
        <f>IFERROR(__xludf.DUMMYFUNCTION("IFERROR(SUM(filter('Основной эфир'!$AL:$AL, 'Основной эфир'!$B:$B=$A145,'Основной эфир'!$C:$C=$B145,'Основной эфир'!$I:$I=$C145)), 0) "),0.0)</f>
        <v>0</v>
      </c>
      <c r="K145" s="91" t="str">
        <f>IFERROR(__xludf.DUMMYFUNCTION("IFERROR(REGEXREPLACE(unique(filter('Основной эфир'!$A:$A, 'Основной эфир'!$B:$B=$A145,'Основной эфир'!$C:$C=$B145,'Основной эфир'!$I:$I=$C145)), ""\d+"", """"),"""")"),"")</f>
        <v/>
      </c>
      <c r="L145" s="91" t="str">
        <f>IFERROR(__xludf.DUMMYFUNCTION("IFERROR(unique(filter('Основной эфир'!$F:$F, 'Основной эфир'!$B:$B=$A145,'Основной эфир'!$C:$C=$B145,'Основной эфир'!$I:$I=$C145)),"""")"),"")</f>
        <v/>
      </c>
      <c r="M145" s="92" t="str">
        <f t="shared" si="1"/>
        <v/>
      </c>
      <c r="N145" s="93">
        <f>IFERROR(__xludf.DUMMYFUNCTION("IFERROR(SWITCH(lower(join("" "",L145:M145)),""а миллионник"", 62.5,""б миллионник"", 75,""а мск"", 50, ""б мск"", 62.5, ""a остальное"", 70, ""б остальное"", 80)/100,0)"),0.0)</f>
        <v>0</v>
      </c>
      <c r="O145" s="91">
        <f t="shared" si="2"/>
        <v>0</v>
      </c>
      <c r="P145" s="91">
        <f>IFERROR(__xludf.DUMMYFUNCTION("IFERROR(sum(filter('Генеральный баннер'!$O:$O, 'Генеральный баннер'!$B:$B=$A145,'Генеральный баннер'!$C:$C=$B145,'Генеральный баннер'!$I:$I=$C145)), 0) "),0.0)</f>
        <v>0</v>
      </c>
      <c r="Q145" s="91">
        <f>IFERROR(__xludf.DUMMYFUNCTION("IFERROR(sum(filter('Генеральный баннер'!$Q:$Q, 'Генеральный баннер'!$B:$B=$A145,'Генеральный баннер'!$C:$C=$B145,'Генеральный баннер'!$I:$I=$C145)), 0) "),0.0)</f>
        <v>0</v>
      </c>
      <c r="R145" s="91">
        <f>IFERROR(__xludf.DUMMYFUNCTION("IFERROR(AVERAGE(filter('Генеральный баннер'!$AA:$AA, 'Генеральный баннер'!$B:$B=$A145,'Генеральный баннер'!$C:$C=$B145,'Генеральный баннер'!$I:$I=$C145)), 0) "),0.0)</f>
        <v>0</v>
      </c>
      <c r="S145" s="91">
        <f>IFERROR(__xludf.DUMMYFUNCTION("IFERROR(SUM(filter('Генеральный баннер'!$AH:$AH, 'Генеральный баннер'!$B:$B=$A145,'Генеральный баннер'!$C:$C=$B145,'Генеральный баннер'!$I:$I=$C145)), 0) "),0.0)</f>
        <v>0</v>
      </c>
      <c r="T145" s="91" t="str">
        <f>IFERROR(__xludf.DUMMYFUNCTION("IFERROR(REGEXREPLACE(unique(filter('Генеральный баннер'!$A:$A, 'Генеральный баннер'!$B:$B=$A145,'Генеральный баннер'!$C:$C=$B145,'Генеральный баннер'!$I:$I=$C145)), ""\d+"", """"),"""")"),"")</f>
        <v/>
      </c>
      <c r="U145" s="91" t="str">
        <f>IFERROR(__xludf.DUMMYFUNCTION("IFERROR(unique(filter('Генеральный баннер'!$F:$F, 'Генеральный баннер'!$B:$B=$A145,'Генеральный баннер'!$C:$C=$B145,'Генеральный баннер'!$I:$I=$C145)),"""")"),"")</f>
        <v/>
      </c>
      <c r="V145" s="92" t="str">
        <f t="shared" si="3"/>
        <v/>
      </c>
      <c r="W145" s="93">
        <f>IFERROR(__xludf.DUMMYFUNCTION("IFERROR(SWITCH(lower(join("" "",U145:V145)),""а миллионник"", 62.5,""б миллионник"", 75,""а мск"", 50, ""б мск"", 62.5, ""a остальное"", 70, ""б остальное"", 80)/100,0)"),0.0)</f>
        <v>0</v>
      </c>
      <c r="X145" s="91">
        <f t="shared" si="4"/>
        <v>0</v>
      </c>
    </row>
    <row r="146">
      <c r="A146" s="90"/>
      <c r="B146" s="90"/>
      <c r="C146" s="90"/>
      <c r="D146" s="91">
        <f>IFERROR(__xludf.DUMMYFUNCTION("IFERROR(sum(filter('Основной эфир'!$AA:$AA, 'Основной эфир'!$B:$B=$A146,'Основной эфир'!$C:$C=$B146,'Основной эфир'!$I:$I=$C146)), 0) "),0.0)</f>
        <v>0</v>
      </c>
      <c r="E146" s="91">
        <f>IFERROR(__xludf.DUMMYFUNCTION("IFERROR(sum(filter('Основной эфир'!$AC:$AC, 'Основной эфир'!$B:$B=$A146,'Основной эфир'!$C:$C=$B146,'Основной эфир'!$I:$I=$C146)), 0) "),0.0)</f>
        <v>0</v>
      </c>
      <c r="F146" s="91">
        <f>IFERROR(__xludf.DUMMYFUNCTION("IFERROR(sum(filter('Основной эфир'!$O:$O, 'Основной эфир'!$B:$B=$A146,'Основной эфир'!$C:$C=$B146,'Основной эфир'!$I:$I=$C146)), 0) "),0.0)</f>
        <v>0</v>
      </c>
      <c r="G146" s="91">
        <f>IFERROR(__xludf.DUMMYFUNCTION("IFERROR(sum(filter('Основной эфир'!$Q:$Q, 'Основной эфир'!$B:$B=$A146,'Основной эфир'!$C:$C=$B146,'Основной эфир'!$I:$I=$C146)), 0) "),0.0)</f>
        <v>0</v>
      </c>
      <c r="H146" s="91">
        <f>IFERROR(__xludf.DUMMYFUNCTION("IFERROR(AVERAGE(filter('Основной эфир'!$Y:$Y, 'Основной эфир'!$B:$B=$A146,'Основной эфир'!$C:$C=$B146,'Основной эфир'!$I:$I=$C146)), 0) "),0.0)</f>
        <v>0</v>
      </c>
      <c r="I146" s="91">
        <f>IFERROR(__xludf.DUMMYFUNCTION("IFERROR(AVERAGE(filter('Основной эфир'!$AE:$AE, 'Основной эфир'!$B:$B=$A146,'Основной эфир'!$C:$C=$B146,'Основной эфир'!$I:$I=$C146)), 0) "),0.0)</f>
        <v>0</v>
      </c>
      <c r="J146" s="91">
        <f>IFERROR(__xludf.DUMMYFUNCTION("IFERROR(SUM(filter('Основной эфир'!$AL:$AL, 'Основной эфир'!$B:$B=$A146,'Основной эфир'!$C:$C=$B146,'Основной эфир'!$I:$I=$C146)), 0) "),0.0)</f>
        <v>0</v>
      </c>
      <c r="K146" s="91" t="str">
        <f>IFERROR(__xludf.DUMMYFUNCTION("IFERROR(REGEXREPLACE(unique(filter('Основной эфир'!$A:$A, 'Основной эфир'!$B:$B=$A146,'Основной эфир'!$C:$C=$B146,'Основной эфир'!$I:$I=$C146)), ""\d+"", """"),"""")"),"")</f>
        <v/>
      </c>
      <c r="L146" s="91" t="str">
        <f>IFERROR(__xludf.DUMMYFUNCTION("IFERROR(unique(filter('Основной эфир'!$F:$F, 'Основной эфир'!$B:$B=$A146,'Основной эфир'!$C:$C=$B146,'Основной эфир'!$I:$I=$C146)),"""")"),"")</f>
        <v/>
      </c>
      <c r="M146" s="92" t="str">
        <f t="shared" si="1"/>
        <v/>
      </c>
      <c r="N146" s="93">
        <f>IFERROR(__xludf.DUMMYFUNCTION("IFERROR(SWITCH(lower(join("" "",L146:M146)),""а миллионник"", 62.5,""б миллионник"", 75,""а мск"", 50, ""б мск"", 62.5, ""a остальное"", 70, ""б остальное"", 80)/100,0)"),0.0)</f>
        <v>0</v>
      </c>
      <c r="O146" s="91">
        <f t="shared" si="2"/>
        <v>0</v>
      </c>
      <c r="P146" s="91">
        <f>IFERROR(__xludf.DUMMYFUNCTION("IFERROR(sum(filter('Генеральный баннер'!$O:$O, 'Генеральный баннер'!$B:$B=$A146,'Генеральный баннер'!$C:$C=$B146,'Генеральный баннер'!$I:$I=$C146)), 0) "),0.0)</f>
        <v>0</v>
      </c>
      <c r="Q146" s="91">
        <f>IFERROR(__xludf.DUMMYFUNCTION("IFERROR(sum(filter('Генеральный баннер'!$Q:$Q, 'Генеральный баннер'!$B:$B=$A146,'Генеральный баннер'!$C:$C=$B146,'Генеральный баннер'!$I:$I=$C146)), 0) "),0.0)</f>
        <v>0</v>
      </c>
      <c r="R146" s="91">
        <f>IFERROR(__xludf.DUMMYFUNCTION("IFERROR(AVERAGE(filter('Генеральный баннер'!$AA:$AA, 'Генеральный баннер'!$B:$B=$A146,'Генеральный баннер'!$C:$C=$B146,'Генеральный баннер'!$I:$I=$C146)), 0) "),0.0)</f>
        <v>0</v>
      </c>
      <c r="S146" s="91">
        <f>IFERROR(__xludf.DUMMYFUNCTION("IFERROR(SUM(filter('Генеральный баннер'!$AH:$AH, 'Генеральный баннер'!$B:$B=$A146,'Генеральный баннер'!$C:$C=$B146,'Генеральный баннер'!$I:$I=$C146)), 0) "),0.0)</f>
        <v>0</v>
      </c>
      <c r="T146" s="91" t="str">
        <f>IFERROR(__xludf.DUMMYFUNCTION("IFERROR(REGEXREPLACE(unique(filter('Генеральный баннер'!$A:$A, 'Генеральный баннер'!$B:$B=$A146,'Генеральный баннер'!$C:$C=$B146,'Генеральный баннер'!$I:$I=$C146)), ""\d+"", """"),"""")"),"")</f>
        <v/>
      </c>
      <c r="U146" s="91" t="str">
        <f>IFERROR(__xludf.DUMMYFUNCTION("IFERROR(unique(filter('Генеральный баннер'!$F:$F, 'Генеральный баннер'!$B:$B=$A146,'Генеральный баннер'!$C:$C=$B146,'Генеральный баннер'!$I:$I=$C146)),"""")"),"")</f>
        <v/>
      </c>
      <c r="V146" s="92" t="str">
        <f t="shared" si="3"/>
        <v/>
      </c>
      <c r="W146" s="93">
        <f>IFERROR(__xludf.DUMMYFUNCTION("IFERROR(SWITCH(lower(join("" "",U146:V146)),""а миллионник"", 62.5,""б миллионник"", 75,""а мск"", 50, ""б мск"", 62.5, ""a остальное"", 70, ""б остальное"", 80)/100,0)"),0.0)</f>
        <v>0</v>
      </c>
      <c r="X146" s="91">
        <f t="shared" si="4"/>
        <v>0</v>
      </c>
    </row>
    <row r="147">
      <c r="A147" s="90"/>
      <c r="B147" s="90"/>
      <c r="C147" s="90"/>
      <c r="D147" s="91">
        <f>IFERROR(__xludf.DUMMYFUNCTION("IFERROR(sum(filter('Основной эфир'!$AA:$AA, 'Основной эфир'!$B:$B=$A147,'Основной эфир'!$C:$C=$B147,'Основной эфир'!$I:$I=$C147)), 0) "),0.0)</f>
        <v>0</v>
      </c>
      <c r="E147" s="91">
        <f>IFERROR(__xludf.DUMMYFUNCTION("IFERROR(sum(filter('Основной эфир'!$AC:$AC, 'Основной эфир'!$B:$B=$A147,'Основной эфир'!$C:$C=$B147,'Основной эфир'!$I:$I=$C147)), 0) "),0.0)</f>
        <v>0</v>
      </c>
      <c r="F147" s="91">
        <f>IFERROR(__xludf.DUMMYFUNCTION("IFERROR(sum(filter('Основной эфир'!$O:$O, 'Основной эфир'!$B:$B=$A147,'Основной эфир'!$C:$C=$B147,'Основной эфир'!$I:$I=$C147)), 0) "),0.0)</f>
        <v>0</v>
      </c>
      <c r="G147" s="91">
        <f>IFERROR(__xludf.DUMMYFUNCTION("IFERROR(sum(filter('Основной эфир'!$Q:$Q, 'Основной эфир'!$B:$B=$A147,'Основной эфир'!$C:$C=$B147,'Основной эфир'!$I:$I=$C147)), 0) "),0.0)</f>
        <v>0</v>
      </c>
      <c r="H147" s="91">
        <f>IFERROR(__xludf.DUMMYFUNCTION("IFERROR(AVERAGE(filter('Основной эфир'!$Y:$Y, 'Основной эфир'!$B:$B=$A147,'Основной эфир'!$C:$C=$B147,'Основной эфир'!$I:$I=$C147)), 0) "),0.0)</f>
        <v>0</v>
      </c>
      <c r="I147" s="91">
        <f>IFERROR(__xludf.DUMMYFUNCTION("IFERROR(AVERAGE(filter('Основной эфир'!$AE:$AE, 'Основной эфир'!$B:$B=$A147,'Основной эфир'!$C:$C=$B147,'Основной эфир'!$I:$I=$C147)), 0) "),0.0)</f>
        <v>0</v>
      </c>
      <c r="J147" s="91">
        <f>IFERROR(__xludf.DUMMYFUNCTION("IFERROR(SUM(filter('Основной эфир'!$AL:$AL, 'Основной эфир'!$B:$B=$A147,'Основной эфир'!$C:$C=$B147,'Основной эфир'!$I:$I=$C147)), 0) "),0.0)</f>
        <v>0</v>
      </c>
      <c r="K147" s="91" t="str">
        <f>IFERROR(__xludf.DUMMYFUNCTION("IFERROR(REGEXREPLACE(unique(filter('Основной эфир'!$A:$A, 'Основной эфир'!$B:$B=$A147,'Основной эфир'!$C:$C=$B147,'Основной эфир'!$I:$I=$C147)), ""\d+"", """"),"""")"),"")</f>
        <v/>
      </c>
      <c r="L147" s="91" t="str">
        <f>IFERROR(__xludf.DUMMYFUNCTION("IFERROR(unique(filter('Основной эфир'!$F:$F, 'Основной эфир'!$B:$B=$A147,'Основной эфир'!$C:$C=$B147,'Основной эфир'!$I:$I=$C147)),"""")"),"")</f>
        <v/>
      </c>
      <c r="M147" s="92" t="str">
        <f t="shared" si="1"/>
        <v/>
      </c>
      <c r="N147" s="93">
        <f>IFERROR(__xludf.DUMMYFUNCTION("IFERROR(SWITCH(lower(join("" "",L147:M147)),""а миллионник"", 62.5,""б миллионник"", 75,""а мск"", 50, ""б мск"", 62.5, ""a остальное"", 70, ""б остальное"", 80)/100,0)"),0.0)</f>
        <v>0</v>
      </c>
      <c r="O147" s="91">
        <f t="shared" si="2"/>
        <v>0</v>
      </c>
      <c r="P147" s="91">
        <f>IFERROR(__xludf.DUMMYFUNCTION("IFERROR(sum(filter('Генеральный баннер'!$O:$O, 'Генеральный баннер'!$B:$B=$A147,'Генеральный баннер'!$C:$C=$B147,'Генеральный баннер'!$I:$I=$C147)), 0) "),0.0)</f>
        <v>0</v>
      </c>
      <c r="Q147" s="91">
        <f>IFERROR(__xludf.DUMMYFUNCTION("IFERROR(sum(filter('Генеральный баннер'!$Q:$Q, 'Генеральный баннер'!$B:$B=$A147,'Генеральный баннер'!$C:$C=$B147,'Генеральный баннер'!$I:$I=$C147)), 0) "),0.0)</f>
        <v>0</v>
      </c>
      <c r="R147" s="91">
        <f>IFERROR(__xludf.DUMMYFUNCTION("IFERROR(AVERAGE(filter('Генеральный баннер'!$AA:$AA, 'Генеральный баннер'!$B:$B=$A147,'Генеральный баннер'!$C:$C=$B147,'Генеральный баннер'!$I:$I=$C147)), 0) "),0.0)</f>
        <v>0</v>
      </c>
      <c r="S147" s="91">
        <f>IFERROR(__xludf.DUMMYFUNCTION("IFERROR(SUM(filter('Генеральный баннер'!$AH:$AH, 'Генеральный баннер'!$B:$B=$A147,'Генеральный баннер'!$C:$C=$B147,'Генеральный баннер'!$I:$I=$C147)), 0) "),0.0)</f>
        <v>0</v>
      </c>
      <c r="T147" s="91" t="str">
        <f>IFERROR(__xludf.DUMMYFUNCTION("IFERROR(REGEXREPLACE(unique(filter('Генеральный баннер'!$A:$A, 'Генеральный баннер'!$B:$B=$A147,'Генеральный баннер'!$C:$C=$B147,'Генеральный баннер'!$I:$I=$C147)), ""\d+"", """"),"""")"),"")</f>
        <v/>
      </c>
      <c r="U147" s="91" t="str">
        <f>IFERROR(__xludf.DUMMYFUNCTION("IFERROR(unique(filter('Генеральный баннер'!$F:$F, 'Генеральный баннер'!$B:$B=$A147,'Генеральный баннер'!$C:$C=$B147,'Генеральный баннер'!$I:$I=$C147)),"""")"),"")</f>
        <v/>
      </c>
      <c r="V147" s="92" t="str">
        <f t="shared" si="3"/>
        <v/>
      </c>
      <c r="W147" s="93">
        <f>IFERROR(__xludf.DUMMYFUNCTION("IFERROR(SWITCH(lower(join("" "",U147:V147)),""а миллионник"", 62.5,""б миллионник"", 75,""а мск"", 50, ""б мск"", 62.5, ""a остальное"", 70, ""б остальное"", 80)/100,0)"),0.0)</f>
        <v>0</v>
      </c>
      <c r="X147" s="91">
        <f t="shared" si="4"/>
        <v>0</v>
      </c>
    </row>
    <row r="148">
      <c r="A148" s="90"/>
      <c r="B148" s="90"/>
      <c r="C148" s="90"/>
      <c r="D148" s="91">
        <f>IFERROR(__xludf.DUMMYFUNCTION("IFERROR(sum(filter('Основной эфир'!$AA:$AA, 'Основной эфир'!$B:$B=$A148,'Основной эфир'!$C:$C=$B148,'Основной эфир'!$I:$I=$C148)), 0) "),0.0)</f>
        <v>0</v>
      </c>
      <c r="E148" s="91">
        <f>IFERROR(__xludf.DUMMYFUNCTION("IFERROR(sum(filter('Основной эфир'!$AC:$AC, 'Основной эфир'!$B:$B=$A148,'Основной эфир'!$C:$C=$B148,'Основной эфир'!$I:$I=$C148)), 0) "),0.0)</f>
        <v>0</v>
      </c>
      <c r="F148" s="91">
        <f>IFERROR(__xludf.DUMMYFUNCTION("IFERROR(sum(filter('Основной эфир'!$O:$O, 'Основной эфир'!$B:$B=$A148,'Основной эфир'!$C:$C=$B148,'Основной эфир'!$I:$I=$C148)), 0) "),0.0)</f>
        <v>0</v>
      </c>
      <c r="G148" s="91">
        <f>IFERROR(__xludf.DUMMYFUNCTION("IFERROR(sum(filter('Основной эфир'!$Q:$Q, 'Основной эфир'!$B:$B=$A148,'Основной эфир'!$C:$C=$B148,'Основной эфир'!$I:$I=$C148)), 0) "),0.0)</f>
        <v>0</v>
      </c>
      <c r="H148" s="91">
        <f>IFERROR(__xludf.DUMMYFUNCTION("IFERROR(AVERAGE(filter('Основной эфир'!$Y:$Y, 'Основной эфир'!$B:$B=$A148,'Основной эфир'!$C:$C=$B148,'Основной эфир'!$I:$I=$C148)), 0) "),0.0)</f>
        <v>0</v>
      </c>
      <c r="I148" s="91">
        <f>IFERROR(__xludf.DUMMYFUNCTION("IFERROR(AVERAGE(filter('Основной эфир'!$AE:$AE, 'Основной эфир'!$B:$B=$A148,'Основной эфир'!$C:$C=$B148,'Основной эфир'!$I:$I=$C148)), 0) "),0.0)</f>
        <v>0</v>
      </c>
      <c r="J148" s="91">
        <f>IFERROR(__xludf.DUMMYFUNCTION("IFERROR(SUM(filter('Основной эфир'!$AL:$AL, 'Основной эфир'!$B:$B=$A148,'Основной эфир'!$C:$C=$B148,'Основной эфир'!$I:$I=$C148)), 0) "),0.0)</f>
        <v>0</v>
      </c>
      <c r="K148" s="91" t="str">
        <f>IFERROR(__xludf.DUMMYFUNCTION("IFERROR(REGEXREPLACE(unique(filter('Основной эфир'!$A:$A, 'Основной эфир'!$B:$B=$A148,'Основной эфир'!$C:$C=$B148,'Основной эфир'!$I:$I=$C148)), ""\d+"", """"),"""")"),"")</f>
        <v/>
      </c>
      <c r="L148" s="91" t="str">
        <f>IFERROR(__xludf.DUMMYFUNCTION("IFERROR(unique(filter('Основной эфир'!$F:$F, 'Основной эфир'!$B:$B=$A148,'Основной эфир'!$C:$C=$B148,'Основной эфир'!$I:$I=$C148)),"""")"),"")</f>
        <v/>
      </c>
      <c r="M148" s="92" t="str">
        <f t="shared" si="1"/>
        <v/>
      </c>
      <c r="N148" s="93">
        <f>IFERROR(__xludf.DUMMYFUNCTION("IFERROR(SWITCH(lower(join("" "",L148:M148)),""а миллионник"", 62.5,""б миллионник"", 75,""а мск"", 50, ""б мск"", 62.5, ""a остальное"", 70, ""б остальное"", 80)/100,0)"),0.0)</f>
        <v>0</v>
      </c>
      <c r="O148" s="91">
        <f t="shared" si="2"/>
        <v>0</v>
      </c>
      <c r="P148" s="91">
        <f>IFERROR(__xludf.DUMMYFUNCTION("IFERROR(sum(filter('Генеральный баннер'!$O:$O, 'Генеральный баннер'!$B:$B=$A148,'Генеральный баннер'!$C:$C=$B148,'Генеральный баннер'!$I:$I=$C148)), 0) "),0.0)</f>
        <v>0</v>
      </c>
      <c r="Q148" s="91">
        <f>IFERROR(__xludf.DUMMYFUNCTION("IFERROR(sum(filter('Генеральный баннер'!$Q:$Q, 'Генеральный баннер'!$B:$B=$A148,'Генеральный баннер'!$C:$C=$B148,'Генеральный баннер'!$I:$I=$C148)), 0) "),0.0)</f>
        <v>0</v>
      </c>
      <c r="R148" s="91">
        <f>IFERROR(__xludf.DUMMYFUNCTION("IFERROR(AVERAGE(filter('Генеральный баннер'!$AA:$AA, 'Генеральный баннер'!$B:$B=$A148,'Генеральный баннер'!$C:$C=$B148,'Генеральный баннер'!$I:$I=$C148)), 0) "),0.0)</f>
        <v>0</v>
      </c>
      <c r="S148" s="91">
        <f>IFERROR(__xludf.DUMMYFUNCTION("IFERROR(SUM(filter('Генеральный баннер'!$AH:$AH, 'Генеральный баннер'!$B:$B=$A148,'Генеральный баннер'!$C:$C=$B148,'Генеральный баннер'!$I:$I=$C148)), 0) "),0.0)</f>
        <v>0</v>
      </c>
      <c r="T148" s="91" t="str">
        <f>IFERROR(__xludf.DUMMYFUNCTION("IFERROR(REGEXREPLACE(unique(filter('Генеральный баннер'!$A:$A, 'Генеральный баннер'!$B:$B=$A148,'Генеральный баннер'!$C:$C=$B148,'Генеральный баннер'!$I:$I=$C148)), ""\d+"", """"),"""")"),"")</f>
        <v/>
      </c>
      <c r="U148" s="91" t="str">
        <f>IFERROR(__xludf.DUMMYFUNCTION("IFERROR(unique(filter('Генеральный баннер'!$F:$F, 'Генеральный баннер'!$B:$B=$A148,'Генеральный баннер'!$C:$C=$B148,'Генеральный баннер'!$I:$I=$C148)),"""")"),"")</f>
        <v/>
      </c>
      <c r="V148" s="92" t="str">
        <f t="shared" si="3"/>
        <v/>
      </c>
      <c r="W148" s="93">
        <f>IFERROR(__xludf.DUMMYFUNCTION("IFERROR(SWITCH(lower(join("" "",U148:V148)),""а миллионник"", 62.5,""б миллионник"", 75,""а мск"", 50, ""б мск"", 62.5, ""a остальное"", 70, ""б остальное"", 80)/100,0)"),0.0)</f>
        <v>0</v>
      </c>
      <c r="X148" s="91">
        <f t="shared" si="4"/>
        <v>0</v>
      </c>
    </row>
    <row r="149">
      <c r="A149" s="90"/>
      <c r="B149" s="90"/>
      <c r="C149" s="90"/>
      <c r="D149" s="91">
        <f>IFERROR(__xludf.DUMMYFUNCTION("IFERROR(sum(filter('Основной эфир'!$AA:$AA, 'Основной эфир'!$B:$B=$A149,'Основной эфир'!$C:$C=$B149,'Основной эфир'!$I:$I=$C149)), 0) "),0.0)</f>
        <v>0</v>
      </c>
      <c r="E149" s="91">
        <f>IFERROR(__xludf.DUMMYFUNCTION("IFERROR(sum(filter('Основной эфир'!$AC:$AC, 'Основной эфир'!$B:$B=$A149,'Основной эфир'!$C:$C=$B149,'Основной эфир'!$I:$I=$C149)), 0) "),0.0)</f>
        <v>0</v>
      </c>
      <c r="F149" s="91">
        <f>IFERROR(__xludf.DUMMYFUNCTION("IFERROR(sum(filter('Основной эфир'!$O:$O, 'Основной эфир'!$B:$B=$A149,'Основной эфир'!$C:$C=$B149,'Основной эфир'!$I:$I=$C149)), 0) "),0.0)</f>
        <v>0</v>
      </c>
      <c r="G149" s="91">
        <f>IFERROR(__xludf.DUMMYFUNCTION("IFERROR(sum(filter('Основной эфир'!$Q:$Q, 'Основной эфир'!$B:$B=$A149,'Основной эфир'!$C:$C=$B149,'Основной эфир'!$I:$I=$C149)), 0) "),0.0)</f>
        <v>0</v>
      </c>
      <c r="H149" s="91">
        <f>IFERROR(__xludf.DUMMYFUNCTION("IFERROR(AVERAGE(filter('Основной эфир'!$Y:$Y, 'Основной эфир'!$B:$B=$A149,'Основной эфир'!$C:$C=$B149,'Основной эфир'!$I:$I=$C149)), 0) "),0.0)</f>
        <v>0</v>
      </c>
      <c r="I149" s="91">
        <f>IFERROR(__xludf.DUMMYFUNCTION("IFERROR(AVERAGE(filter('Основной эфир'!$AE:$AE, 'Основной эфир'!$B:$B=$A149,'Основной эфир'!$C:$C=$B149,'Основной эфир'!$I:$I=$C149)), 0) "),0.0)</f>
        <v>0</v>
      </c>
      <c r="J149" s="91">
        <f>IFERROR(__xludf.DUMMYFUNCTION("IFERROR(SUM(filter('Основной эфир'!$AL:$AL, 'Основной эфир'!$B:$B=$A149,'Основной эфир'!$C:$C=$B149,'Основной эфир'!$I:$I=$C149)), 0) "),0.0)</f>
        <v>0</v>
      </c>
      <c r="K149" s="91" t="str">
        <f>IFERROR(__xludf.DUMMYFUNCTION("IFERROR(REGEXREPLACE(unique(filter('Основной эфир'!$A:$A, 'Основной эфир'!$B:$B=$A149,'Основной эфир'!$C:$C=$B149,'Основной эфир'!$I:$I=$C149)), ""\d+"", """"),"""")"),"")</f>
        <v/>
      </c>
      <c r="L149" s="91" t="str">
        <f>IFERROR(__xludf.DUMMYFUNCTION("IFERROR(unique(filter('Основной эфир'!$F:$F, 'Основной эфир'!$B:$B=$A149,'Основной эфир'!$C:$C=$B149,'Основной эфир'!$I:$I=$C149)),"""")"),"")</f>
        <v/>
      </c>
      <c r="M149" s="92" t="str">
        <f t="shared" si="1"/>
        <v/>
      </c>
      <c r="N149" s="93">
        <f>IFERROR(__xludf.DUMMYFUNCTION("IFERROR(SWITCH(lower(join("" "",L149:M149)),""а миллионник"", 62.5,""б миллионник"", 75,""а мск"", 50, ""б мск"", 62.5, ""a остальное"", 70, ""б остальное"", 80)/100,0)"),0.0)</f>
        <v>0</v>
      </c>
      <c r="O149" s="91">
        <f t="shared" si="2"/>
        <v>0</v>
      </c>
      <c r="P149" s="91">
        <f>IFERROR(__xludf.DUMMYFUNCTION("IFERROR(sum(filter('Генеральный баннер'!$O:$O, 'Генеральный баннер'!$B:$B=$A149,'Генеральный баннер'!$C:$C=$B149,'Генеральный баннер'!$I:$I=$C149)), 0) "),0.0)</f>
        <v>0</v>
      </c>
      <c r="Q149" s="91">
        <f>IFERROR(__xludf.DUMMYFUNCTION("IFERROR(sum(filter('Генеральный баннер'!$Q:$Q, 'Генеральный баннер'!$B:$B=$A149,'Генеральный баннер'!$C:$C=$B149,'Генеральный баннер'!$I:$I=$C149)), 0) "),0.0)</f>
        <v>0</v>
      </c>
      <c r="R149" s="91">
        <f>IFERROR(__xludf.DUMMYFUNCTION("IFERROR(AVERAGE(filter('Генеральный баннер'!$AA:$AA, 'Генеральный баннер'!$B:$B=$A149,'Генеральный баннер'!$C:$C=$B149,'Генеральный баннер'!$I:$I=$C149)), 0) "),0.0)</f>
        <v>0</v>
      </c>
      <c r="S149" s="91">
        <f>IFERROR(__xludf.DUMMYFUNCTION("IFERROR(SUM(filter('Генеральный баннер'!$AH:$AH, 'Генеральный баннер'!$B:$B=$A149,'Генеральный баннер'!$C:$C=$B149,'Генеральный баннер'!$I:$I=$C149)), 0) "),0.0)</f>
        <v>0</v>
      </c>
      <c r="T149" s="91" t="str">
        <f>IFERROR(__xludf.DUMMYFUNCTION("IFERROR(REGEXREPLACE(unique(filter('Генеральный баннер'!$A:$A, 'Генеральный баннер'!$B:$B=$A149,'Генеральный баннер'!$C:$C=$B149,'Генеральный баннер'!$I:$I=$C149)), ""\d+"", """"),"""")"),"")</f>
        <v/>
      </c>
      <c r="U149" s="91" t="str">
        <f>IFERROR(__xludf.DUMMYFUNCTION("IFERROR(unique(filter('Генеральный баннер'!$F:$F, 'Генеральный баннер'!$B:$B=$A149,'Генеральный баннер'!$C:$C=$B149,'Генеральный баннер'!$I:$I=$C149)),"""")"),"")</f>
        <v/>
      </c>
      <c r="V149" s="92" t="str">
        <f t="shared" si="3"/>
        <v/>
      </c>
      <c r="W149" s="93">
        <f>IFERROR(__xludf.DUMMYFUNCTION("IFERROR(SWITCH(lower(join("" "",U149:V149)),""а миллионник"", 62.5,""б миллионник"", 75,""а мск"", 50, ""б мск"", 62.5, ""a остальное"", 70, ""б остальное"", 80)/100,0)"),0.0)</f>
        <v>0</v>
      </c>
      <c r="X149" s="91">
        <f t="shared" si="4"/>
        <v>0</v>
      </c>
    </row>
    <row r="150">
      <c r="A150" s="90"/>
      <c r="B150" s="90"/>
      <c r="C150" s="90"/>
      <c r="D150" s="91">
        <f>IFERROR(__xludf.DUMMYFUNCTION("IFERROR(sum(filter('Основной эфир'!$AA:$AA, 'Основной эфир'!$B:$B=$A150,'Основной эфир'!$C:$C=$B150,'Основной эфир'!$I:$I=$C150)), 0) "),0.0)</f>
        <v>0</v>
      </c>
      <c r="E150" s="91">
        <f>IFERROR(__xludf.DUMMYFUNCTION("IFERROR(sum(filter('Основной эфир'!$AC:$AC, 'Основной эфир'!$B:$B=$A150,'Основной эфир'!$C:$C=$B150,'Основной эфир'!$I:$I=$C150)), 0) "),0.0)</f>
        <v>0</v>
      </c>
      <c r="F150" s="91">
        <f>IFERROR(__xludf.DUMMYFUNCTION("IFERROR(sum(filter('Основной эфир'!$O:$O, 'Основной эфир'!$B:$B=$A150,'Основной эфир'!$C:$C=$B150,'Основной эфир'!$I:$I=$C150)), 0) "),0.0)</f>
        <v>0</v>
      </c>
      <c r="G150" s="91">
        <f>IFERROR(__xludf.DUMMYFUNCTION("IFERROR(sum(filter('Основной эфир'!$Q:$Q, 'Основной эфир'!$B:$B=$A150,'Основной эфир'!$C:$C=$B150,'Основной эфир'!$I:$I=$C150)), 0) "),0.0)</f>
        <v>0</v>
      </c>
      <c r="H150" s="91">
        <f>IFERROR(__xludf.DUMMYFUNCTION("IFERROR(AVERAGE(filter('Основной эфир'!$Y:$Y, 'Основной эфир'!$B:$B=$A150,'Основной эфир'!$C:$C=$B150,'Основной эфир'!$I:$I=$C150)), 0) "),0.0)</f>
        <v>0</v>
      </c>
      <c r="I150" s="91">
        <f>IFERROR(__xludf.DUMMYFUNCTION("IFERROR(AVERAGE(filter('Основной эфир'!$AE:$AE, 'Основной эфир'!$B:$B=$A150,'Основной эфир'!$C:$C=$B150,'Основной эфир'!$I:$I=$C150)), 0) "),0.0)</f>
        <v>0</v>
      </c>
      <c r="J150" s="91">
        <f>IFERROR(__xludf.DUMMYFUNCTION("IFERROR(SUM(filter('Основной эфир'!$AL:$AL, 'Основной эфир'!$B:$B=$A150,'Основной эфир'!$C:$C=$B150,'Основной эфир'!$I:$I=$C150)), 0) "),0.0)</f>
        <v>0</v>
      </c>
      <c r="K150" s="91" t="str">
        <f>IFERROR(__xludf.DUMMYFUNCTION("IFERROR(REGEXREPLACE(unique(filter('Основной эфир'!$A:$A, 'Основной эфир'!$B:$B=$A150,'Основной эфир'!$C:$C=$B150,'Основной эфир'!$I:$I=$C150)), ""\d+"", """"),"""")"),"")</f>
        <v/>
      </c>
      <c r="L150" s="91" t="str">
        <f>IFERROR(__xludf.DUMMYFUNCTION("IFERROR(unique(filter('Основной эфир'!$F:$F, 'Основной эфир'!$B:$B=$A150,'Основной эфир'!$C:$C=$B150,'Основной эфир'!$I:$I=$C150)),"""")"),"")</f>
        <v/>
      </c>
      <c r="M150" s="92" t="str">
        <f t="shared" si="1"/>
        <v/>
      </c>
      <c r="N150" s="93">
        <f>IFERROR(__xludf.DUMMYFUNCTION("IFERROR(SWITCH(lower(join("" "",L150:M150)),""а миллионник"", 62.5,""б миллионник"", 75,""а мск"", 50, ""б мск"", 62.5, ""a остальное"", 70, ""б остальное"", 80)/100,0)"),0.0)</f>
        <v>0</v>
      </c>
      <c r="O150" s="91">
        <f t="shared" si="2"/>
        <v>0</v>
      </c>
      <c r="P150" s="91">
        <f>IFERROR(__xludf.DUMMYFUNCTION("IFERROR(sum(filter('Генеральный баннер'!$O:$O, 'Генеральный баннер'!$B:$B=$A150,'Генеральный баннер'!$C:$C=$B150,'Генеральный баннер'!$I:$I=$C150)), 0) "),0.0)</f>
        <v>0</v>
      </c>
      <c r="Q150" s="91">
        <f>IFERROR(__xludf.DUMMYFUNCTION("IFERROR(sum(filter('Генеральный баннер'!$Q:$Q, 'Генеральный баннер'!$B:$B=$A150,'Генеральный баннер'!$C:$C=$B150,'Генеральный баннер'!$I:$I=$C150)), 0) "),0.0)</f>
        <v>0</v>
      </c>
      <c r="R150" s="91">
        <f>IFERROR(__xludf.DUMMYFUNCTION("IFERROR(AVERAGE(filter('Генеральный баннер'!$AA:$AA, 'Генеральный баннер'!$B:$B=$A150,'Генеральный баннер'!$C:$C=$B150,'Генеральный баннер'!$I:$I=$C150)), 0) "),0.0)</f>
        <v>0</v>
      </c>
      <c r="S150" s="91">
        <f>IFERROR(__xludf.DUMMYFUNCTION("IFERROR(SUM(filter('Генеральный баннер'!$AH:$AH, 'Генеральный баннер'!$B:$B=$A150,'Генеральный баннер'!$C:$C=$B150,'Генеральный баннер'!$I:$I=$C150)), 0) "),0.0)</f>
        <v>0</v>
      </c>
      <c r="T150" s="91" t="str">
        <f>IFERROR(__xludf.DUMMYFUNCTION("IFERROR(REGEXREPLACE(unique(filter('Генеральный баннер'!$A:$A, 'Генеральный баннер'!$B:$B=$A150,'Генеральный баннер'!$C:$C=$B150,'Генеральный баннер'!$I:$I=$C150)), ""\d+"", """"),"""")"),"")</f>
        <v/>
      </c>
      <c r="U150" s="91" t="str">
        <f>IFERROR(__xludf.DUMMYFUNCTION("IFERROR(unique(filter('Генеральный баннер'!$F:$F, 'Генеральный баннер'!$B:$B=$A150,'Генеральный баннер'!$C:$C=$B150,'Генеральный баннер'!$I:$I=$C150)),"""")"),"")</f>
        <v/>
      </c>
      <c r="V150" s="92" t="str">
        <f t="shared" si="3"/>
        <v/>
      </c>
      <c r="W150" s="93">
        <f>IFERROR(__xludf.DUMMYFUNCTION("IFERROR(SWITCH(lower(join("" "",U150:V150)),""а миллионник"", 62.5,""б миллионник"", 75,""а мск"", 50, ""б мск"", 62.5, ""a остальное"", 70, ""б остальное"", 80)/100,0)"),0.0)</f>
        <v>0</v>
      </c>
      <c r="X150" s="91">
        <f t="shared" si="4"/>
        <v>0</v>
      </c>
    </row>
    <row r="151">
      <c r="A151" s="90"/>
      <c r="B151" s="90"/>
      <c r="C151" s="90"/>
      <c r="D151" s="91">
        <f>IFERROR(__xludf.DUMMYFUNCTION("IFERROR(sum(filter('Основной эфир'!$AA:$AA, 'Основной эфир'!$B:$B=$A151,'Основной эфир'!$C:$C=$B151,'Основной эфир'!$I:$I=$C151)), 0) "),0.0)</f>
        <v>0</v>
      </c>
      <c r="E151" s="91">
        <f>IFERROR(__xludf.DUMMYFUNCTION("IFERROR(sum(filter('Основной эфир'!$AC:$AC, 'Основной эфир'!$B:$B=$A151,'Основной эфир'!$C:$C=$B151,'Основной эфир'!$I:$I=$C151)), 0) "),0.0)</f>
        <v>0</v>
      </c>
      <c r="F151" s="91">
        <f>IFERROR(__xludf.DUMMYFUNCTION("IFERROR(sum(filter('Основной эфир'!$O:$O, 'Основной эфир'!$B:$B=$A151,'Основной эфир'!$C:$C=$B151,'Основной эфир'!$I:$I=$C151)), 0) "),0.0)</f>
        <v>0</v>
      </c>
      <c r="G151" s="91">
        <f>IFERROR(__xludf.DUMMYFUNCTION("IFERROR(sum(filter('Основной эфир'!$Q:$Q, 'Основной эфир'!$B:$B=$A151,'Основной эфир'!$C:$C=$B151,'Основной эфир'!$I:$I=$C151)), 0) "),0.0)</f>
        <v>0</v>
      </c>
      <c r="H151" s="91">
        <f>IFERROR(__xludf.DUMMYFUNCTION("IFERROR(AVERAGE(filter('Основной эфир'!$Y:$Y, 'Основной эфир'!$B:$B=$A151,'Основной эфир'!$C:$C=$B151,'Основной эфир'!$I:$I=$C151)), 0) "),0.0)</f>
        <v>0</v>
      </c>
      <c r="I151" s="91">
        <f>IFERROR(__xludf.DUMMYFUNCTION("IFERROR(AVERAGE(filter('Основной эфир'!$AE:$AE, 'Основной эфир'!$B:$B=$A151,'Основной эфир'!$C:$C=$B151,'Основной эфир'!$I:$I=$C151)), 0) "),0.0)</f>
        <v>0</v>
      </c>
      <c r="J151" s="91">
        <f>IFERROR(__xludf.DUMMYFUNCTION("IFERROR(SUM(filter('Основной эфир'!$AL:$AL, 'Основной эфир'!$B:$B=$A151,'Основной эфир'!$C:$C=$B151,'Основной эфир'!$I:$I=$C151)), 0) "),0.0)</f>
        <v>0</v>
      </c>
      <c r="K151" s="91" t="str">
        <f>IFERROR(__xludf.DUMMYFUNCTION("IFERROR(REGEXREPLACE(unique(filter('Основной эфир'!$A:$A, 'Основной эфир'!$B:$B=$A151,'Основной эфир'!$C:$C=$B151,'Основной эфир'!$I:$I=$C151)), ""\d+"", """"),"""")"),"")</f>
        <v/>
      </c>
      <c r="L151" s="91" t="str">
        <f>IFERROR(__xludf.DUMMYFUNCTION("IFERROR(unique(filter('Основной эфир'!$F:$F, 'Основной эфир'!$B:$B=$A151,'Основной эфир'!$C:$C=$B151,'Основной эфир'!$I:$I=$C151)),"""")"),"")</f>
        <v/>
      </c>
      <c r="M151" s="92" t="str">
        <f t="shared" si="1"/>
        <v/>
      </c>
      <c r="N151" s="93">
        <f>IFERROR(__xludf.DUMMYFUNCTION("IFERROR(SWITCH(lower(join("" "",L151:M151)),""а миллионник"", 62.5,""б миллионник"", 75,""а мск"", 50, ""б мск"", 62.5, ""a остальное"", 70, ""б остальное"", 80)/100,0)"),0.0)</f>
        <v>0</v>
      </c>
      <c r="O151" s="91">
        <f t="shared" si="2"/>
        <v>0</v>
      </c>
      <c r="P151" s="91">
        <f>IFERROR(__xludf.DUMMYFUNCTION("IFERROR(sum(filter('Генеральный баннер'!$O:$O, 'Генеральный баннер'!$B:$B=$A151,'Генеральный баннер'!$C:$C=$B151,'Генеральный баннер'!$I:$I=$C151)), 0) "),0.0)</f>
        <v>0</v>
      </c>
      <c r="Q151" s="91">
        <f>IFERROR(__xludf.DUMMYFUNCTION("IFERROR(sum(filter('Генеральный баннер'!$Q:$Q, 'Генеральный баннер'!$B:$B=$A151,'Генеральный баннер'!$C:$C=$B151,'Генеральный баннер'!$I:$I=$C151)), 0) "),0.0)</f>
        <v>0</v>
      </c>
      <c r="R151" s="91">
        <f>IFERROR(__xludf.DUMMYFUNCTION("IFERROR(AVERAGE(filter('Генеральный баннер'!$AA:$AA, 'Генеральный баннер'!$B:$B=$A151,'Генеральный баннер'!$C:$C=$B151,'Генеральный баннер'!$I:$I=$C151)), 0) "),0.0)</f>
        <v>0</v>
      </c>
      <c r="S151" s="91">
        <f>IFERROR(__xludf.DUMMYFUNCTION("IFERROR(SUM(filter('Генеральный баннер'!$AH:$AH, 'Генеральный баннер'!$B:$B=$A151,'Генеральный баннер'!$C:$C=$B151,'Генеральный баннер'!$I:$I=$C151)), 0) "),0.0)</f>
        <v>0</v>
      </c>
      <c r="T151" s="91" t="str">
        <f>IFERROR(__xludf.DUMMYFUNCTION("IFERROR(REGEXREPLACE(unique(filter('Генеральный баннер'!$A:$A, 'Генеральный баннер'!$B:$B=$A151,'Генеральный баннер'!$C:$C=$B151,'Генеральный баннер'!$I:$I=$C151)), ""\d+"", """"),"""")"),"")</f>
        <v/>
      </c>
      <c r="U151" s="91" t="str">
        <f>IFERROR(__xludf.DUMMYFUNCTION("IFERROR(unique(filter('Генеральный баннер'!$F:$F, 'Генеральный баннер'!$B:$B=$A151,'Генеральный баннер'!$C:$C=$B151,'Генеральный баннер'!$I:$I=$C151)),"""")"),"")</f>
        <v/>
      </c>
      <c r="V151" s="92" t="str">
        <f t="shared" si="3"/>
        <v/>
      </c>
      <c r="W151" s="93">
        <f>IFERROR(__xludf.DUMMYFUNCTION("IFERROR(SWITCH(lower(join("" "",U151:V151)),""а миллионник"", 62.5,""б миллионник"", 75,""а мск"", 50, ""б мск"", 62.5, ""a остальное"", 70, ""б остальное"", 80)/100,0)"),0.0)</f>
        <v>0</v>
      </c>
      <c r="X151" s="91">
        <f t="shared" si="4"/>
        <v>0</v>
      </c>
    </row>
    <row r="152">
      <c r="A152" s="90"/>
      <c r="B152" s="90"/>
      <c r="C152" s="90"/>
      <c r="D152" s="91">
        <f>IFERROR(__xludf.DUMMYFUNCTION("IFERROR(sum(filter('Основной эфир'!$AA:$AA, 'Основной эфир'!$B:$B=$A152,'Основной эфир'!$C:$C=$B152,'Основной эфир'!$I:$I=$C152)), 0) "),0.0)</f>
        <v>0</v>
      </c>
      <c r="E152" s="91">
        <f>IFERROR(__xludf.DUMMYFUNCTION("IFERROR(sum(filter('Основной эфир'!$AC:$AC, 'Основной эфир'!$B:$B=$A152,'Основной эфир'!$C:$C=$B152,'Основной эфир'!$I:$I=$C152)), 0) "),0.0)</f>
        <v>0</v>
      </c>
      <c r="F152" s="91">
        <f>IFERROR(__xludf.DUMMYFUNCTION("IFERROR(sum(filter('Основной эфир'!$O:$O, 'Основной эфир'!$B:$B=$A152,'Основной эфир'!$C:$C=$B152,'Основной эфир'!$I:$I=$C152)), 0) "),0.0)</f>
        <v>0</v>
      </c>
      <c r="G152" s="91">
        <f>IFERROR(__xludf.DUMMYFUNCTION("IFERROR(sum(filter('Основной эфир'!$Q:$Q, 'Основной эфир'!$B:$B=$A152,'Основной эфир'!$C:$C=$B152,'Основной эфир'!$I:$I=$C152)), 0) "),0.0)</f>
        <v>0</v>
      </c>
      <c r="H152" s="91">
        <f>IFERROR(__xludf.DUMMYFUNCTION("IFERROR(AVERAGE(filter('Основной эфир'!$Y:$Y, 'Основной эфир'!$B:$B=$A152,'Основной эфир'!$C:$C=$B152,'Основной эфир'!$I:$I=$C152)), 0) "),0.0)</f>
        <v>0</v>
      </c>
      <c r="I152" s="91">
        <f>IFERROR(__xludf.DUMMYFUNCTION("IFERROR(AVERAGE(filter('Основной эфир'!$AE:$AE, 'Основной эфир'!$B:$B=$A152,'Основной эфир'!$C:$C=$B152,'Основной эфир'!$I:$I=$C152)), 0) "),0.0)</f>
        <v>0</v>
      </c>
      <c r="J152" s="91">
        <f>IFERROR(__xludf.DUMMYFUNCTION("IFERROR(SUM(filter('Основной эфир'!$AL:$AL, 'Основной эфир'!$B:$B=$A152,'Основной эфир'!$C:$C=$B152,'Основной эфир'!$I:$I=$C152)), 0) "),0.0)</f>
        <v>0</v>
      </c>
      <c r="K152" s="91" t="str">
        <f>IFERROR(__xludf.DUMMYFUNCTION("IFERROR(REGEXREPLACE(unique(filter('Основной эфир'!$A:$A, 'Основной эфир'!$B:$B=$A152,'Основной эфир'!$C:$C=$B152,'Основной эфир'!$I:$I=$C152)), ""\d+"", """"),"""")"),"")</f>
        <v/>
      </c>
      <c r="L152" s="91" t="str">
        <f>IFERROR(__xludf.DUMMYFUNCTION("IFERROR(unique(filter('Основной эфир'!$F:$F, 'Основной эфир'!$B:$B=$A152,'Основной эфир'!$C:$C=$B152,'Основной эфир'!$I:$I=$C152)),"""")"),"")</f>
        <v/>
      </c>
      <c r="M152" s="92" t="str">
        <f t="shared" si="1"/>
        <v/>
      </c>
      <c r="N152" s="93">
        <f>IFERROR(__xludf.DUMMYFUNCTION("IFERROR(SWITCH(lower(join("" "",L152:M152)),""а миллионник"", 62.5,""б миллионник"", 75,""а мск"", 50, ""б мск"", 62.5, ""a остальное"", 70, ""б остальное"", 80)/100,0)"),0.0)</f>
        <v>0</v>
      </c>
      <c r="O152" s="91">
        <f t="shared" si="2"/>
        <v>0</v>
      </c>
      <c r="P152" s="91">
        <f>IFERROR(__xludf.DUMMYFUNCTION("IFERROR(sum(filter('Генеральный баннер'!$O:$O, 'Генеральный баннер'!$B:$B=$A152,'Генеральный баннер'!$C:$C=$B152,'Генеральный баннер'!$I:$I=$C152)), 0) "),0.0)</f>
        <v>0</v>
      </c>
      <c r="Q152" s="91">
        <f>IFERROR(__xludf.DUMMYFUNCTION("IFERROR(sum(filter('Генеральный баннер'!$Q:$Q, 'Генеральный баннер'!$B:$B=$A152,'Генеральный баннер'!$C:$C=$B152,'Генеральный баннер'!$I:$I=$C152)), 0) "),0.0)</f>
        <v>0</v>
      </c>
      <c r="R152" s="91">
        <f>IFERROR(__xludf.DUMMYFUNCTION("IFERROR(AVERAGE(filter('Генеральный баннер'!$AA:$AA, 'Генеральный баннер'!$B:$B=$A152,'Генеральный баннер'!$C:$C=$B152,'Генеральный баннер'!$I:$I=$C152)), 0) "),0.0)</f>
        <v>0</v>
      </c>
      <c r="S152" s="91">
        <f>IFERROR(__xludf.DUMMYFUNCTION("IFERROR(SUM(filter('Генеральный баннер'!$AH:$AH, 'Генеральный баннер'!$B:$B=$A152,'Генеральный баннер'!$C:$C=$B152,'Генеральный баннер'!$I:$I=$C152)), 0) "),0.0)</f>
        <v>0</v>
      </c>
      <c r="T152" s="91" t="str">
        <f>IFERROR(__xludf.DUMMYFUNCTION("IFERROR(REGEXREPLACE(unique(filter('Генеральный баннер'!$A:$A, 'Генеральный баннер'!$B:$B=$A152,'Генеральный баннер'!$C:$C=$B152,'Генеральный баннер'!$I:$I=$C152)), ""\d+"", """"),"""")"),"")</f>
        <v/>
      </c>
      <c r="U152" s="91" t="str">
        <f>IFERROR(__xludf.DUMMYFUNCTION("IFERROR(unique(filter('Генеральный баннер'!$F:$F, 'Генеральный баннер'!$B:$B=$A152,'Генеральный баннер'!$C:$C=$B152,'Генеральный баннер'!$I:$I=$C152)),"""")"),"")</f>
        <v/>
      </c>
      <c r="V152" s="92" t="str">
        <f t="shared" si="3"/>
        <v/>
      </c>
      <c r="W152" s="93">
        <f>IFERROR(__xludf.DUMMYFUNCTION("IFERROR(SWITCH(lower(join("" "",U152:V152)),""а миллионник"", 62.5,""б миллионник"", 75,""а мск"", 50, ""б мск"", 62.5, ""a остальное"", 70, ""б остальное"", 80)/100,0)"),0.0)</f>
        <v>0</v>
      </c>
      <c r="X152" s="91">
        <f t="shared" si="4"/>
        <v>0</v>
      </c>
    </row>
    <row r="153">
      <c r="A153" s="90"/>
      <c r="B153" s="90"/>
      <c r="C153" s="90"/>
      <c r="D153" s="91">
        <f>IFERROR(__xludf.DUMMYFUNCTION("IFERROR(sum(filter('Основной эфир'!$AA:$AA, 'Основной эфир'!$B:$B=$A153,'Основной эфир'!$C:$C=$B153,'Основной эфир'!$I:$I=$C153)), 0) "),0.0)</f>
        <v>0</v>
      </c>
      <c r="E153" s="91">
        <f>IFERROR(__xludf.DUMMYFUNCTION("IFERROR(sum(filter('Основной эфир'!$AC:$AC, 'Основной эфир'!$B:$B=$A153,'Основной эфир'!$C:$C=$B153,'Основной эфир'!$I:$I=$C153)), 0) "),0.0)</f>
        <v>0</v>
      </c>
      <c r="F153" s="91">
        <f>IFERROR(__xludf.DUMMYFUNCTION("IFERROR(sum(filter('Основной эфир'!$O:$O, 'Основной эфир'!$B:$B=$A153,'Основной эфир'!$C:$C=$B153,'Основной эфир'!$I:$I=$C153)), 0) "),0.0)</f>
        <v>0</v>
      </c>
      <c r="G153" s="91">
        <f>IFERROR(__xludf.DUMMYFUNCTION("IFERROR(sum(filter('Основной эфир'!$Q:$Q, 'Основной эфир'!$B:$B=$A153,'Основной эфир'!$C:$C=$B153,'Основной эфир'!$I:$I=$C153)), 0) "),0.0)</f>
        <v>0</v>
      </c>
      <c r="H153" s="91">
        <f>IFERROR(__xludf.DUMMYFUNCTION("IFERROR(AVERAGE(filter('Основной эфир'!$Y:$Y, 'Основной эфир'!$B:$B=$A153,'Основной эфир'!$C:$C=$B153,'Основной эфир'!$I:$I=$C153)), 0) "),0.0)</f>
        <v>0</v>
      </c>
      <c r="I153" s="91">
        <f>IFERROR(__xludf.DUMMYFUNCTION("IFERROR(AVERAGE(filter('Основной эфир'!$AE:$AE, 'Основной эфир'!$B:$B=$A153,'Основной эфир'!$C:$C=$B153,'Основной эфир'!$I:$I=$C153)), 0) "),0.0)</f>
        <v>0</v>
      </c>
      <c r="J153" s="91">
        <f>IFERROR(__xludf.DUMMYFUNCTION("IFERROR(SUM(filter('Основной эфир'!$AL:$AL, 'Основной эфир'!$B:$B=$A153,'Основной эфир'!$C:$C=$B153,'Основной эфир'!$I:$I=$C153)), 0) "),0.0)</f>
        <v>0</v>
      </c>
      <c r="K153" s="91" t="str">
        <f>IFERROR(__xludf.DUMMYFUNCTION("IFERROR(REGEXREPLACE(unique(filter('Основной эфир'!$A:$A, 'Основной эфир'!$B:$B=$A153,'Основной эфир'!$C:$C=$B153,'Основной эфир'!$I:$I=$C153)), ""\d+"", """"),"""")"),"")</f>
        <v/>
      </c>
      <c r="L153" s="91" t="str">
        <f>IFERROR(__xludf.DUMMYFUNCTION("IFERROR(unique(filter('Основной эфир'!$F:$F, 'Основной эфир'!$B:$B=$A153,'Основной эфир'!$C:$C=$B153,'Основной эфир'!$I:$I=$C153)),"""")"),"")</f>
        <v/>
      </c>
      <c r="M153" s="92" t="str">
        <f t="shared" si="1"/>
        <v/>
      </c>
      <c r="N153" s="93">
        <f>IFERROR(__xludf.DUMMYFUNCTION("IFERROR(SWITCH(lower(join("" "",L153:M153)),""а миллионник"", 62.5,""б миллионник"", 75,""а мск"", 50, ""б мск"", 62.5, ""a остальное"", 70, ""б остальное"", 80)/100,0)"),0.0)</f>
        <v>0</v>
      </c>
      <c r="O153" s="91">
        <f t="shared" si="2"/>
        <v>0</v>
      </c>
      <c r="P153" s="91">
        <f>IFERROR(__xludf.DUMMYFUNCTION("IFERROR(sum(filter('Генеральный баннер'!$O:$O, 'Генеральный баннер'!$B:$B=$A153,'Генеральный баннер'!$C:$C=$B153,'Генеральный баннер'!$I:$I=$C153)), 0) "),0.0)</f>
        <v>0</v>
      </c>
      <c r="Q153" s="91">
        <f>IFERROR(__xludf.DUMMYFUNCTION("IFERROR(sum(filter('Генеральный баннер'!$Q:$Q, 'Генеральный баннер'!$B:$B=$A153,'Генеральный баннер'!$C:$C=$B153,'Генеральный баннер'!$I:$I=$C153)), 0) "),0.0)</f>
        <v>0</v>
      </c>
      <c r="R153" s="91">
        <f>IFERROR(__xludf.DUMMYFUNCTION("IFERROR(AVERAGE(filter('Генеральный баннер'!$AA:$AA, 'Генеральный баннер'!$B:$B=$A153,'Генеральный баннер'!$C:$C=$B153,'Генеральный баннер'!$I:$I=$C153)), 0) "),0.0)</f>
        <v>0</v>
      </c>
      <c r="S153" s="91">
        <f>IFERROR(__xludf.DUMMYFUNCTION("IFERROR(SUM(filter('Генеральный баннер'!$AH:$AH, 'Генеральный баннер'!$B:$B=$A153,'Генеральный баннер'!$C:$C=$B153,'Генеральный баннер'!$I:$I=$C153)), 0) "),0.0)</f>
        <v>0</v>
      </c>
      <c r="T153" s="91" t="str">
        <f>IFERROR(__xludf.DUMMYFUNCTION("IFERROR(REGEXREPLACE(unique(filter('Генеральный баннер'!$A:$A, 'Генеральный баннер'!$B:$B=$A153,'Генеральный баннер'!$C:$C=$B153,'Генеральный баннер'!$I:$I=$C153)), ""\d+"", """"),"""")"),"")</f>
        <v/>
      </c>
      <c r="U153" s="91" t="str">
        <f>IFERROR(__xludf.DUMMYFUNCTION("IFERROR(unique(filter('Генеральный баннер'!$F:$F, 'Генеральный баннер'!$B:$B=$A153,'Генеральный баннер'!$C:$C=$B153,'Генеральный баннер'!$I:$I=$C153)),"""")"),"")</f>
        <v/>
      </c>
      <c r="V153" s="92" t="str">
        <f t="shared" si="3"/>
        <v/>
      </c>
      <c r="W153" s="93">
        <f>IFERROR(__xludf.DUMMYFUNCTION("IFERROR(SWITCH(lower(join("" "",U153:V153)),""а миллионник"", 62.5,""б миллионник"", 75,""а мск"", 50, ""б мск"", 62.5, ""a остальное"", 70, ""б остальное"", 80)/100,0)"),0.0)</f>
        <v>0</v>
      </c>
      <c r="X153" s="91">
        <f t="shared" si="4"/>
        <v>0</v>
      </c>
    </row>
    <row r="154">
      <c r="A154" s="90"/>
      <c r="B154" s="90"/>
      <c r="C154" s="90"/>
      <c r="D154" s="91">
        <f>IFERROR(__xludf.DUMMYFUNCTION("IFERROR(sum(filter('Основной эфир'!$AA:$AA, 'Основной эфир'!$B:$B=$A154,'Основной эфир'!$C:$C=$B154,'Основной эфир'!$I:$I=$C154)), 0) "),0.0)</f>
        <v>0</v>
      </c>
      <c r="E154" s="91">
        <f>IFERROR(__xludf.DUMMYFUNCTION("IFERROR(sum(filter('Основной эфир'!$AC:$AC, 'Основной эфир'!$B:$B=$A154,'Основной эфир'!$C:$C=$B154,'Основной эфир'!$I:$I=$C154)), 0) "),0.0)</f>
        <v>0</v>
      </c>
      <c r="F154" s="91">
        <f>IFERROR(__xludf.DUMMYFUNCTION("IFERROR(sum(filter('Основной эфир'!$O:$O, 'Основной эфир'!$B:$B=$A154,'Основной эфир'!$C:$C=$B154,'Основной эфир'!$I:$I=$C154)), 0) "),0.0)</f>
        <v>0</v>
      </c>
      <c r="G154" s="91">
        <f>IFERROR(__xludf.DUMMYFUNCTION("IFERROR(sum(filter('Основной эфир'!$Q:$Q, 'Основной эфир'!$B:$B=$A154,'Основной эфир'!$C:$C=$B154,'Основной эфир'!$I:$I=$C154)), 0) "),0.0)</f>
        <v>0</v>
      </c>
      <c r="H154" s="91">
        <f>IFERROR(__xludf.DUMMYFUNCTION("IFERROR(AVERAGE(filter('Основной эфир'!$Y:$Y, 'Основной эфир'!$B:$B=$A154,'Основной эфир'!$C:$C=$B154,'Основной эфир'!$I:$I=$C154)), 0) "),0.0)</f>
        <v>0</v>
      </c>
      <c r="I154" s="91">
        <f>IFERROR(__xludf.DUMMYFUNCTION("IFERROR(AVERAGE(filter('Основной эфир'!$AE:$AE, 'Основной эфир'!$B:$B=$A154,'Основной эфир'!$C:$C=$B154,'Основной эфир'!$I:$I=$C154)), 0) "),0.0)</f>
        <v>0</v>
      </c>
      <c r="J154" s="91">
        <f>IFERROR(__xludf.DUMMYFUNCTION("IFERROR(SUM(filter('Основной эфир'!$AL:$AL, 'Основной эфир'!$B:$B=$A154,'Основной эфир'!$C:$C=$B154,'Основной эфир'!$I:$I=$C154)), 0) "),0.0)</f>
        <v>0</v>
      </c>
      <c r="K154" s="91" t="str">
        <f>IFERROR(__xludf.DUMMYFUNCTION("IFERROR(REGEXREPLACE(unique(filter('Основной эфир'!$A:$A, 'Основной эфир'!$B:$B=$A154,'Основной эфир'!$C:$C=$B154,'Основной эфир'!$I:$I=$C154)), ""\d+"", """"),"""")"),"")</f>
        <v/>
      </c>
      <c r="L154" s="91" t="str">
        <f>IFERROR(__xludf.DUMMYFUNCTION("IFERROR(unique(filter('Основной эфир'!$F:$F, 'Основной эфир'!$B:$B=$A154,'Основной эфир'!$C:$C=$B154,'Основной эфир'!$I:$I=$C154)),"""")"),"")</f>
        <v/>
      </c>
      <c r="M154" s="92" t="str">
        <f t="shared" si="1"/>
        <v/>
      </c>
      <c r="N154" s="93">
        <f>IFERROR(__xludf.DUMMYFUNCTION("IFERROR(SWITCH(lower(join("" "",L154:M154)),""а миллионник"", 62.5,""б миллионник"", 75,""а мск"", 50, ""б мск"", 62.5, ""a остальное"", 70, ""б остальное"", 80)/100,0)"),0.0)</f>
        <v>0</v>
      </c>
      <c r="O154" s="91">
        <f t="shared" si="2"/>
        <v>0</v>
      </c>
      <c r="P154" s="91">
        <f>IFERROR(__xludf.DUMMYFUNCTION("IFERROR(sum(filter('Генеральный баннер'!$O:$O, 'Генеральный баннер'!$B:$B=$A154,'Генеральный баннер'!$C:$C=$B154,'Генеральный баннер'!$I:$I=$C154)), 0) "),0.0)</f>
        <v>0</v>
      </c>
      <c r="Q154" s="91">
        <f>IFERROR(__xludf.DUMMYFUNCTION("IFERROR(sum(filter('Генеральный баннер'!$Q:$Q, 'Генеральный баннер'!$B:$B=$A154,'Генеральный баннер'!$C:$C=$B154,'Генеральный баннер'!$I:$I=$C154)), 0) "),0.0)</f>
        <v>0</v>
      </c>
      <c r="R154" s="91">
        <f>IFERROR(__xludf.DUMMYFUNCTION("IFERROR(AVERAGE(filter('Генеральный баннер'!$AA:$AA, 'Генеральный баннер'!$B:$B=$A154,'Генеральный баннер'!$C:$C=$B154,'Генеральный баннер'!$I:$I=$C154)), 0) "),0.0)</f>
        <v>0</v>
      </c>
      <c r="S154" s="91">
        <f>IFERROR(__xludf.DUMMYFUNCTION("IFERROR(SUM(filter('Генеральный баннер'!$AH:$AH, 'Генеральный баннер'!$B:$B=$A154,'Генеральный баннер'!$C:$C=$B154,'Генеральный баннер'!$I:$I=$C154)), 0) "),0.0)</f>
        <v>0</v>
      </c>
      <c r="T154" s="91" t="str">
        <f>IFERROR(__xludf.DUMMYFUNCTION("IFERROR(REGEXREPLACE(unique(filter('Генеральный баннер'!$A:$A, 'Генеральный баннер'!$B:$B=$A154,'Генеральный баннер'!$C:$C=$B154,'Генеральный баннер'!$I:$I=$C154)), ""\d+"", """"),"""")"),"")</f>
        <v/>
      </c>
      <c r="U154" s="91" t="str">
        <f>IFERROR(__xludf.DUMMYFUNCTION("IFERROR(unique(filter('Генеральный баннер'!$F:$F, 'Генеральный баннер'!$B:$B=$A154,'Генеральный баннер'!$C:$C=$B154,'Генеральный баннер'!$I:$I=$C154)),"""")"),"")</f>
        <v/>
      </c>
      <c r="V154" s="92" t="str">
        <f t="shared" si="3"/>
        <v/>
      </c>
      <c r="W154" s="93">
        <f>IFERROR(__xludf.DUMMYFUNCTION("IFERROR(SWITCH(lower(join("" "",U154:V154)),""а миллионник"", 62.5,""б миллионник"", 75,""а мск"", 50, ""б мск"", 62.5, ""a остальное"", 70, ""б остальное"", 80)/100,0)"),0.0)</f>
        <v>0</v>
      </c>
      <c r="X154" s="91">
        <f t="shared" si="4"/>
        <v>0</v>
      </c>
    </row>
    <row r="155">
      <c r="A155" s="90"/>
      <c r="B155" s="90"/>
      <c r="C155" s="90"/>
      <c r="D155" s="91">
        <f>IFERROR(__xludf.DUMMYFUNCTION("IFERROR(sum(filter('Основной эфир'!$AA:$AA, 'Основной эфир'!$B:$B=$A155,'Основной эфир'!$C:$C=$B155,'Основной эфир'!$I:$I=$C155)), 0) "),0.0)</f>
        <v>0</v>
      </c>
      <c r="E155" s="91">
        <f>IFERROR(__xludf.DUMMYFUNCTION("IFERROR(sum(filter('Основной эфир'!$AC:$AC, 'Основной эфир'!$B:$B=$A155,'Основной эфир'!$C:$C=$B155,'Основной эфир'!$I:$I=$C155)), 0) "),0.0)</f>
        <v>0</v>
      </c>
      <c r="F155" s="91">
        <f>IFERROR(__xludf.DUMMYFUNCTION("IFERROR(sum(filter('Основной эфир'!$O:$O, 'Основной эфир'!$B:$B=$A155,'Основной эфир'!$C:$C=$B155,'Основной эфир'!$I:$I=$C155)), 0) "),0.0)</f>
        <v>0</v>
      </c>
      <c r="G155" s="91">
        <f>IFERROR(__xludf.DUMMYFUNCTION("IFERROR(sum(filter('Основной эфир'!$Q:$Q, 'Основной эфир'!$B:$B=$A155,'Основной эфир'!$C:$C=$B155,'Основной эфир'!$I:$I=$C155)), 0) "),0.0)</f>
        <v>0</v>
      </c>
      <c r="H155" s="91">
        <f>IFERROR(__xludf.DUMMYFUNCTION("IFERROR(AVERAGE(filter('Основной эфир'!$Y:$Y, 'Основной эфир'!$B:$B=$A155,'Основной эфир'!$C:$C=$B155,'Основной эфир'!$I:$I=$C155)), 0) "),0.0)</f>
        <v>0</v>
      </c>
      <c r="I155" s="91">
        <f>IFERROR(__xludf.DUMMYFUNCTION("IFERROR(AVERAGE(filter('Основной эфир'!$AE:$AE, 'Основной эфир'!$B:$B=$A155,'Основной эфир'!$C:$C=$B155,'Основной эфир'!$I:$I=$C155)), 0) "),0.0)</f>
        <v>0</v>
      </c>
      <c r="J155" s="91">
        <f>IFERROR(__xludf.DUMMYFUNCTION("IFERROR(SUM(filter('Основной эфир'!$AL:$AL, 'Основной эфир'!$B:$B=$A155,'Основной эфир'!$C:$C=$B155,'Основной эфир'!$I:$I=$C155)), 0) "),0.0)</f>
        <v>0</v>
      </c>
      <c r="K155" s="91" t="str">
        <f>IFERROR(__xludf.DUMMYFUNCTION("IFERROR(REGEXREPLACE(unique(filter('Основной эфир'!$A:$A, 'Основной эфир'!$B:$B=$A155,'Основной эфир'!$C:$C=$B155,'Основной эфир'!$I:$I=$C155)), ""\d+"", """"),"""")"),"")</f>
        <v/>
      </c>
      <c r="L155" s="91" t="str">
        <f>IFERROR(__xludf.DUMMYFUNCTION("IFERROR(unique(filter('Основной эфир'!$F:$F, 'Основной эфир'!$B:$B=$A155,'Основной эфир'!$C:$C=$B155,'Основной эфир'!$I:$I=$C155)),"""")"),"")</f>
        <v/>
      </c>
      <c r="M155" s="92" t="str">
        <f t="shared" si="1"/>
        <v/>
      </c>
      <c r="N155" s="93">
        <f>IFERROR(__xludf.DUMMYFUNCTION("IFERROR(SWITCH(lower(join("" "",L155:M155)),""а миллионник"", 62.5,""б миллионник"", 75,""а мск"", 50, ""б мск"", 62.5, ""a остальное"", 70, ""б остальное"", 80)/100,0)"),0.0)</f>
        <v>0</v>
      </c>
      <c r="O155" s="91">
        <f t="shared" si="2"/>
        <v>0</v>
      </c>
      <c r="P155" s="91">
        <f>IFERROR(__xludf.DUMMYFUNCTION("IFERROR(sum(filter('Генеральный баннер'!$O:$O, 'Генеральный баннер'!$B:$B=$A155,'Генеральный баннер'!$C:$C=$B155,'Генеральный баннер'!$I:$I=$C155)), 0) "),0.0)</f>
        <v>0</v>
      </c>
      <c r="Q155" s="91">
        <f>IFERROR(__xludf.DUMMYFUNCTION("IFERROR(sum(filter('Генеральный баннер'!$Q:$Q, 'Генеральный баннер'!$B:$B=$A155,'Генеральный баннер'!$C:$C=$B155,'Генеральный баннер'!$I:$I=$C155)), 0) "),0.0)</f>
        <v>0</v>
      </c>
      <c r="R155" s="91">
        <f>IFERROR(__xludf.DUMMYFUNCTION("IFERROR(AVERAGE(filter('Генеральный баннер'!$AA:$AA, 'Генеральный баннер'!$B:$B=$A155,'Генеральный баннер'!$C:$C=$B155,'Генеральный баннер'!$I:$I=$C155)), 0) "),0.0)</f>
        <v>0</v>
      </c>
      <c r="S155" s="91">
        <f>IFERROR(__xludf.DUMMYFUNCTION("IFERROR(SUM(filter('Генеральный баннер'!$AH:$AH, 'Генеральный баннер'!$B:$B=$A155,'Генеральный баннер'!$C:$C=$B155,'Генеральный баннер'!$I:$I=$C155)), 0) "),0.0)</f>
        <v>0</v>
      </c>
      <c r="T155" s="91" t="str">
        <f>IFERROR(__xludf.DUMMYFUNCTION("IFERROR(REGEXREPLACE(unique(filter('Генеральный баннер'!$A:$A, 'Генеральный баннер'!$B:$B=$A155,'Генеральный баннер'!$C:$C=$B155,'Генеральный баннер'!$I:$I=$C155)), ""\d+"", """"),"""")"),"")</f>
        <v/>
      </c>
      <c r="U155" s="91" t="str">
        <f>IFERROR(__xludf.DUMMYFUNCTION("IFERROR(unique(filter('Генеральный баннер'!$F:$F, 'Генеральный баннер'!$B:$B=$A155,'Генеральный баннер'!$C:$C=$B155,'Генеральный баннер'!$I:$I=$C155)),"""")"),"")</f>
        <v/>
      </c>
      <c r="V155" s="92" t="str">
        <f t="shared" si="3"/>
        <v/>
      </c>
      <c r="W155" s="93">
        <f>IFERROR(__xludf.DUMMYFUNCTION("IFERROR(SWITCH(lower(join("" "",U155:V155)),""а миллионник"", 62.5,""б миллионник"", 75,""а мск"", 50, ""б мск"", 62.5, ""a остальное"", 70, ""б остальное"", 80)/100,0)"),0.0)</f>
        <v>0</v>
      </c>
      <c r="X155" s="91">
        <f t="shared" si="4"/>
        <v>0</v>
      </c>
    </row>
    <row r="156">
      <c r="A156" s="90"/>
      <c r="B156" s="90"/>
      <c r="C156" s="90"/>
      <c r="D156" s="91">
        <f>IFERROR(__xludf.DUMMYFUNCTION("IFERROR(sum(filter('Основной эфир'!$AA:$AA, 'Основной эфир'!$B:$B=$A156,'Основной эфир'!$C:$C=$B156,'Основной эфир'!$I:$I=$C156)), 0) "),0.0)</f>
        <v>0</v>
      </c>
      <c r="E156" s="91">
        <f>IFERROR(__xludf.DUMMYFUNCTION("IFERROR(sum(filter('Основной эфир'!$AC:$AC, 'Основной эфир'!$B:$B=$A156,'Основной эфир'!$C:$C=$B156,'Основной эфир'!$I:$I=$C156)), 0) "),0.0)</f>
        <v>0</v>
      </c>
      <c r="F156" s="91">
        <f>IFERROR(__xludf.DUMMYFUNCTION("IFERROR(sum(filter('Основной эфир'!$O:$O, 'Основной эфир'!$B:$B=$A156,'Основной эфир'!$C:$C=$B156,'Основной эфир'!$I:$I=$C156)), 0) "),0.0)</f>
        <v>0</v>
      </c>
      <c r="G156" s="91">
        <f>IFERROR(__xludf.DUMMYFUNCTION("IFERROR(sum(filter('Основной эфир'!$Q:$Q, 'Основной эфир'!$B:$B=$A156,'Основной эфир'!$C:$C=$B156,'Основной эфир'!$I:$I=$C156)), 0) "),0.0)</f>
        <v>0</v>
      </c>
      <c r="H156" s="91">
        <f>IFERROR(__xludf.DUMMYFUNCTION("IFERROR(AVERAGE(filter('Основной эфир'!$Y:$Y, 'Основной эфир'!$B:$B=$A156,'Основной эфир'!$C:$C=$B156,'Основной эфир'!$I:$I=$C156)), 0) "),0.0)</f>
        <v>0</v>
      </c>
      <c r="I156" s="91">
        <f>IFERROR(__xludf.DUMMYFUNCTION("IFERROR(AVERAGE(filter('Основной эфир'!$AE:$AE, 'Основной эфир'!$B:$B=$A156,'Основной эфир'!$C:$C=$B156,'Основной эфир'!$I:$I=$C156)), 0) "),0.0)</f>
        <v>0</v>
      </c>
      <c r="J156" s="91">
        <f>IFERROR(__xludf.DUMMYFUNCTION("IFERROR(SUM(filter('Основной эфир'!$AL:$AL, 'Основной эфир'!$B:$B=$A156,'Основной эфир'!$C:$C=$B156,'Основной эфир'!$I:$I=$C156)), 0) "),0.0)</f>
        <v>0</v>
      </c>
      <c r="K156" s="91" t="str">
        <f>IFERROR(__xludf.DUMMYFUNCTION("IFERROR(REGEXREPLACE(unique(filter('Основной эфир'!$A:$A, 'Основной эфир'!$B:$B=$A156,'Основной эфир'!$C:$C=$B156,'Основной эфир'!$I:$I=$C156)), ""\d+"", """"),"""")"),"")</f>
        <v/>
      </c>
      <c r="L156" s="91" t="str">
        <f>IFERROR(__xludf.DUMMYFUNCTION("IFERROR(unique(filter('Основной эфир'!$F:$F, 'Основной эфир'!$B:$B=$A156,'Основной эфир'!$C:$C=$B156,'Основной эфир'!$I:$I=$C156)),"""")"),"")</f>
        <v/>
      </c>
      <c r="M156" s="92" t="str">
        <f t="shared" si="1"/>
        <v/>
      </c>
      <c r="N156" s="93">
        <f>IFERROR(__xludf.DUMMYFUNCTION("IFERROR(SWITCH(lower(join("" "",L156:M156)),""а миллионник"", 62.5,""б миллионник"", 75,""а мск"", 50, ""б мск"", 62.5, ""a остальное"", 70, ""б остальное"", 80)/100,0)"),0.0)</f>
        <v>0</v>
      </c>
      <c r="O156" s="91">
        <f t="shared" si="2"/>
        <v>0</v>
      </c>
      <c r="P156" s="91">
        <f>IFERROR(__xludf.DUMMYFUNCTION("IFERROR(sum(filter('Генеральный баннер'!$O:$O, 'Генеральный баннер'!$B:$B=$A156,'Генеральный баннер'!$C:$C=$B156,'Генеральный баннер'!$I:$I=$C156)), 0) "),0.0)</f>
        <v>0</v>
      </c>
      <c r="Q156" s="91">
        <f>IFERROR(__xludf.DUMMYFUNCTION("IFERROR(sum(filter('Генеральный баннер'!$Q:$Q, 'Генеральный баннер'!$B:$B=$A156,'Генеральный баннер'!$C:$C=$B156,'Генеральный баннер'!$I:$I=$C156)), 0) "),0.0)</f>
        <v>0</v>
      </c>
      <c r="R156" s="91">
        <f>IFERROR(__xludf.DUMMYFUNCTION("IFERROR(AVERAGE(filter('Генеральный баннер'!$AA:$AA, 'Генеральный баннер'!$B:$B=$A156,'Генеральный баннер'!$C:$C=$B156,'Генеральный баннер'!$I:$I=$C156)), 0) "),0.0)</f>
        <v>0</v>
      </c>
      <c r="S156" s="91">
        <f>IFERROR(__xludf.DUMMYFUNCTION("IFERROR(SUM(filter('Генеральный баннер'!$AH:$AH, 'Генеральный баннер'!$B:$B=$A156,'Генеральный баннер'!$C:$C=$B156,'Генеральный баннер'!$I:$I=$C156)), 0) "),0.0)</f>
        <v>0</v>
      </c>
      <c r="T156" s="91" t="str">
        <f>IFERROR(__xludf.DUMMYFUNCTION("IFERROR(REGEXREPLACE(unique(filter('Генеральный баннер'!$A:$A, 'Генеральный баннер'!$B:$B=$A156,'Генеральный баннер'!$C:$C=$B156,'Генеральный баннер'!$I:$I=$C156)), ""\d+"", """"),"""")"),"")</f>
        <v/>
      </c>
      <c r="U156" s="91" t="str">
        <f>IFERROR(__xludf.DUMMYFUNCTION("IFERROR(unique(filter('Генеральный баннер'!$F:$F, 'Генеральный баннер'!$B:$B=$A156,'Генеральный баннер'!$C:$C=$B156,'Генеральный баннер'!$I:$I=$C156)),"""")"),"")</f>
        <v/>
      </c>
      <c r="V156" s="92" t="str">
        <f t="shared" si="3"/>
        <v/>
      </c>
      <c r="W156" s="93">
        <f>IFERROR(__xludf.DUMMYFUNCTION("IFERROR(SWITCH(lower(join("" "",U156:V156)),""а миллионник"", 62.5,""б миллионник"", 75,""а мск"", 50, ""б мск"", 62.5, ""a остальное"", 70, ""б остальное"", 80)/100,0)"),0.0)</f>
        <v>0</v>
      </c>
      <c r="X156" s="91">
        <f t="shared" si="4"/>
        <v>0</v>
      </c>
    </row>
    <row r="157">
      <c r="A157" s="90"/>
      <c r="B157" s="90"/>
      <c r="C157" s="90"/>
      <c r="D157" s="91">
        <f>IFERROR(__xludf.DUMMYFUNCTION("IFERROR(sum(filter('Основной эфир'!$AA:$AA, 'Основной эфир'!$B:$B=$A157,'Основной эфир'!$C:$C=$B157,'Основной эфир'!$I:$I=$C157)), 0) "),0.0)</f>
        <v>0</v>
      </c>
      <c r="E157" s="91">
        <f>IFERROR(__xludf.DUMMYFUNCTION("IFERROR(sum(filter('Основной эфир'!$AC:$AC, 'Основной эфир'!$B:$B=$A157,'Основной эфир'!$C:$C=$B157,'Основной эфир'!$I:$I=$C157)), 0) "),0.0)</f>
        <v>0</v>
      </c>
      <c r="F157" s="91">
        <f>IFERROR(__xludf.DUMMYFUNCTION("IFERROR(sum(filter('Основной эфир'!$O:$O, 'Основной эфир'!$B:$B=$A157,'Основной эфир'!$C:$C=$B157,'Основной эфир'!$I:$I=$C157)), 0) "),0.0)</f>
        <v>0</v>
      </c>
      <c r="G157" s="91">
        <f>IFERROR(__xludf.DUMMYFUNCTION("IFERROR(sum(filter('Основной эфир'!$Q:$Q, 'Основной эфир'!$B:$B=$A157,'Основной эфир'!$C:$C=$B157,'Основной эфир'!$I:$I=$C157)), 0) "),0.0)</f>
        <v>0</v>
      </c>
      <c r="H157" s="91">
        <f>IFERROR(__xludf.DUMMYFUNCTION("IFERROR(AVERAGE(filter('Основной эфир'!$Y:$Y, 'Основной эфир'!$B:$B=$A157,'Основной эфир'!$C:$C=$B157,'Основной эфир'!$I:$I=$C157)), 0) "),0.0)</f>
        <v>0</v>
      </c>
      <c r="I157" s="91">
        <f>IFERROR(__xludf.DUMMYFUNCTION("IFERROR(AVERAGE(filter('Основной эфир'!$AE:$AE, 'Основной эфир'!$B:$B=$A157,'Основной эфир'!$C:$C=$B157,'Основной эфир'!$I:$I=$C157)), 0) "),0.0)</f>
        <v>0</v>
      </c>
      <c r="J157" s="91">
        <f>IFERROR(__xludf.DUMMYFUNCTION("IFERROR(SUM(filter('Основной эфир'!$AL:$AL, 'Основной эфир'!$B:$B=$A157,'Основной эфир'!$C:$C=$B157,'Основной эфир'!$I:$I=$C157)), 0) "),0.0)</f>
        <v>0</v>
      </c>
      <c r="K157" s="91" t="str">
        <f>IFERROR(__xludf.DUMMYFUNCTION("IFERROR(REGEXREPLACE(unique(filter('Основной эфир'!$A:$A, 'Основной эфир'!$B:$B=$A157,'Основной эфир'!$C:$C=$B157,'Основной эфир'!$I:$I=$C157)), ""\d+"", """"),"""")"),"")</f>
        <v/>
      </c>
      <c r="L157" s="91" t="str">
        <f>IFERROR(__xludf.DUMMYFUNCTION("IFERROR(unique(filter('Основной эфир'!$F:$F, 'Основной эфир'!$B:$B=$A157,'Основной эфир'!$C:$C=$B157,'Основной эфир'!$I:$I=$C157)),"""")"),"")</f>
        <v/>
      </c>
      <c r="M157" s="92" t="str">
        <f t="shared" si="1"/>
        <v/>
      </c>
      <c r="N157" s="93">
        <f>IFERROR(__xludf.DUMMYFUNCTION("IFERROR(SWITCH(lower(join("" "",L157:M157)),""а миллионник"", 62.5,""б миллионник"", 75,""а мск"", 50, ""б мск"", 62.5, ""a остальное"", 70, ""б остальное"", 80)/100,0)"),0.0)</f>
        <v>0</v>
      </c>
      <c r="O157" s="91">
        <f t="shared" si="2"/>
        <v>0</v>
      </c>
      <c r="P157" s="91">
        <f>IFERROR(__xludf.DUMMYFUNCTION("IFERROR(sum(filter('Генеральный баннер'!$O:$O, 'Генеральный баннер'!$B:$B=$A157,'Генеральный баннер'!$C:$C=$B157,'Генеральный баннер'!$I:$I=$C157)), 0) "),0.0)</f>
        <v>0</v>
      </c>
      <c r="Q157" s="91">
        <f>IFERROR(__xludf.DUMMYFUNCTION("IFERROR(sum(filter('Генеральный баннер'!$Q:$Q, 'Генеральный баннер'!$B:$B=$A157,'Генеральный баннер'!$C:$C=$B157,'Генеральный баннер'!$I:$I=$C157)), 0) "),0.0)</f>
        <v>0</v>
      </c>
      <c r="R157" s="91">
        <f>IFERROR(__xludf.DUMMYFUNCTION("IFERROR(AVERAGE(filter('Генеральный баннер'!$AA:$AA, 'Генеральный баннер'!$B:$B=$A157,'Генеральный баннер'!$C:$C=$B157,'Генеральный баннер'!$I:$I=$C157)), 0) "),0.0)</f>
        <v>0</v>
      </c>
      <c r="S157" s="91">
        <f>IFERROR(__xludf.DUMMYFUNCTION("IFERROR(SUM(filter('Генеральный баннер'!$AH:$AH, 'Генеральный баннер'!$B:$B=$A157,'Генеральный баннер'!$C:$C=$B157,'Генеральный баннер'!$I:$I=$C157)), 0) "),0.0)</f>
        <v>0</v>
      </c>
      <c r="T157" s="91" t="str">
        <f>IFERROR(__xludf.DUMMYFUNCTION("IFERROR(REGEXREPLACE(unique(filter('Генеральный баннер'!$A:$A, 'Генеральный баннер'!$B:$B=$A157,'Генеральный баннер'!$C:$C=$B157,'Генеральный баннер'!$I:$I=$C157)), ""\d+"", """"),"""")"),"")</f>
        <v/>
      </c>
      <c r="U157" s="91" t="str">
        <f>IFERROR(__xludf.DUMMYFUNCTION("IFERROR(unique(filter('Генеральный баннер'!$F:$F, 'Генеральный баннер'!$B:$B=$A157,'Генеральный баннер'!$C:$C=$B157,'Генеральный баннер'!$I:$I=$C157)),"""")"),"")</f>
        <v/>
      </c>
      <c r="V157" s="92" t="str">
        <f t="shared" si="3"/>
        <v/>
      </c>
      <c r="W157" s="93">
        <f>IFERROR(__xludf.DUMMYFUNCTION("IFERROR(SWITCH(lower(join("" "",U157:V157)),""а миллионник"", 62.5,""б миллионник"", 75,""а мск"", 50, ""б мск"", 62.5, ""a остальное"", 70, ""б остальное"", 80)/100,0)"),0.0)</f>
        <v>0</v>
      </c>
      <c r="X157" s="91">
        <f t="shared" si="4"/>
        <v>0</v>
      </c>
    </row>
    <row r="158">
      <c r="A158" s="90"/>
      <c r="B158" s="90"/>
      <c r="C158" s="90"/>
      <c r="D158" s="91">
        <f>IFERROR(__xludf.DUMMYFUNCTION("IFERROR(sum(filter('Основной эфир'!$AA:$AA, 'Основной эфир'!$B:$B=$A158,'Основной эфир'!$C:$C=$B158,'Основной эфир'!$I:$I=$C158)), 0) "),0.0)</f>
        <v>0</v>
      </c>
      <c r="E158" s="91">
        <f>IFERROR(__xludf.DUMMYFUNCTION("IFERROR(sum(filter('Основной эфир'!$AC:$AC, 'Основной эфир'!$B:$B=$A158,'Основной эфир'!$C:$C=$B158,'Основной эфир'!$I:$I=$C158)), 0) "),0.0)</f>
        <v>0</v>
      </c>
      <c r="F158" s="91">
        <f>IFERROR(__xludf.DUMMYFUNCTION("IFERROR(sum(filter('Основной эфир'!$O:$O, 'Основной эфир'!$B:$B=$A158,'Основной эфир'!$C:$C=$B158,'Основной эфир'!$I:$I=$C158)), 0) "),0.0)</f>
        <v>0</v>
      </c>
      <c r="G158" s="91">
        <f>IFERROR(__xludf.DUMMYFUNCTION("IFERROR(sum(filter('Основной эфир'!$Q:$Q, 'Основной эфир'!$B:$B=$A158,'Основной эфир'!$C:$C=$B158,'Основной эфир'!$I:$I=$C158)), 0) "),0.0)</f>
        <v>0</v>
      </c>
      <c r="H158" s="91">
        <f>IFERROR(__xludf.DUMMYFUNCTION("IFERROR(AVERAGE(filter('Основной эфир'!$Y:$Y, 'Основной эфир'!$B:$B=$A158,'Основной эфир'!$C:$C=$B158,'Основной эфир'!$I:$I=$C158)), 0) "),0.0)</f>
        <v>0</v>
      </c>
      <c r="I158" s="91">
        <f>IFERROR(__xludf.DUMMYFUNCTION("IFERROR(AVERAGE(filter('Основной эфир'!$AE:$AE, 'Основной эфир'!$B:$B=$A158,'Основной эфир'!$C:$C=$B158,'Основной эфир'!$I:$I=$C158)), 0) "),0.0)</f>
        <v>0</v>
      </c>
      <c r="J158" s="91">
        <f>IFERROR(__xludf.DUMMYFUNCTION("IFERROR(SUM(filter('Основной эфир'!$AL:$AL, 'Основной эфир'!$B:$B=$A158,'Основной эфир'!$C:$C=$B158,'Основной эфир'!$I:$I=$C158)), 0) "),0.0)</f>
        <v>0</v>
      </c>
      <c r="K158" s="91" t="str">
        <f>IFERROR(__xludf.DUMMYFUNCTION("IFERROR(REGEXREPLACE(unique(filter('Основной эфир'!$A:$A, 'Основной эфир'!$B:$B=$A158,'Основной эфир'!$C:$C=$B158,'Основной эфир'!$I:$I=$C158)), ""\d+"", """"),"""")"),"")</f>
        <v/>
      </c>
      <c r="L158" s="91" t="str">
        <f>IFERROR(__xludf.DUMMYFUNCTION("IFERROR(unique(filter('Основной эфир'!$F:$F, 'Основной эфир'!$B:$B=$A158,'Основной эфир'!$C:$C=$B158,'Основной эфир'!$I:$I=$C158)),"""")"),"")</f>
        <v/>
      </c>
      <c r="M158" s="92" t="str">
        <f t="shared" si="1"/>
        <v/>
      </c>
      <c r="N158" s="93">
        <f>IFERROR(__xludf.DUMMYFUNCTION("IFERROR(SWITCH(lower(join("" "",L158:M158)),""а миллионник"", 62.5,""б миллионник"", 75,""а мск"", 50, ""б мск"", 62.5, ""a остальное"", 70, ""б остальное"", 80)/100,0)"),0.0)</f>
        <v>0</v>
      </c>
      <c r="O158" s="91">
        <f t="shared" si="2"/>
        <v>0</v>
      </c>
      <c r="P158" s="91">
        <f>IFERROR(__xludf.DUMMYFUNCTION("IFERROR(sum(filter('Генеральный баннер'!$O:$O, 'Генеральный баннер'!$B:$B=$A158,'Генеральный баннер'!$C:$C=$B158,'Генеральный баннер'!$I:$I=$C158)), 0) "),0.0)</f>
        <v>0</v>
      </c>
      <c r="Q158" s="91">
        <f>IFERROR(__xludf.DUMMYFUNCTION("IFERROR(sum(filter('Генеральный баннер'!$Q:$Q, 'Генеральный баннер'!$B:$B=$A158,'Генеральный баннер'!$C:$C=$B158,'Генеральный баннер'!$I:$I=$C158)), 0) "),0.0)</f>
        <v>0</v>
      </c>
      <c r="R158" s="91">
        <f>IFERROR(__xludf.DUMMYFUNCTION("IFERROR(AVERAGE(filter('Генеральный баннер'!$AA:$AA, 'Генеральный баннер'!$B:$B=$A158,'Генеральный баннер'!$C:$C=$B158,'Генеральный баннер'!$I:$I=$C158)), 0) "),0.0)</f>
        <v>0</v>
      </c>
      <c r="S158" s="91">
        <f>IFERROR(__xludf.DUMMYFUNCTION("IFERROR(SUM(filter('Генеральный баннер'!$AH:$AH, 'Генеральный баннер'!$B:$B=$A158,'Генеральный баннер'!$C:$C=$B158,'Генеральный баннер'!$I:$I=$C158)), 0) "),0.0)</f>
        <v>0</v>
      </c>
      <c r="T158" s="91" t="str">
        <f>IFERROR(__xludf.DUMMYFUNCTION("IFERROR(REGEXREPLACE(unique(filter('Генеральный баннер'!$A:$A, 'Генеральный баннер'!$B:$B=$A158,'Генеральный баннер'!$C:$C=$B158,'Генеральный баннер'!$I:$I=$C158)), ""\d+"", """"),"""")"),"")</f>
        <v/>
      </c>
      <c r="U158" s="91" t="str">
        <f>IFERROR(__xludf.DUMMYFUNCTION("IFERROR(unique(filter('Генеральный баннер'!$F:$F, 'Генеральный баннер'!$B:$B=$A158,'Генеральный баннер'!$C:$C=$B158,'Генеральный баннер'!$I:$I=$C158)),"""")"),"")</f>
        <v/>
      </c>
      <c r="V158" s="92" t="str">
        <f t="shared" si="3"/>
        <v/>
      </c>
      <c r="W158" s="93">
        <f>IFERROR(__xludf.DUMMYFUNCTION("IFERROR(SWITCH(lower(join("" "",U158:V158)),""а миллионник"", 62.5,""б миллионник"", 75,""а мск"", 50, ""б мск"", 62.5, ""a остальное"", 70, ""б остальное"", 80)/100,0)"),0.0)</f>
        <v>0</v>
      </c>
      <c r="X158" s="91">
        <f t="shared" si="4"/>
        <v>0</v>
      </c>
    </row>
    <row r="159">
      <c r="A159" s="90"/>
      <c r="B159" s="90"/>
      <c r="C159" s="90"/>
      <c r="D159" s="91">
        <f>IFERROR(__xludf.DUMMYFUNCTION("IFERROR(sum(filter('Основной эфир'!$AA:$AA, 'Основной эфир'!$B:$B=$A159,'Основной эфир'!$C:$C=$B159,'Основной эфир'!$I:$I=$C159)), 0) "),0.0)</f>
        <v>0</v>
      </c>
      <c r="E159" s="91">
        <f>IFERROR(__xludf.DUMMYFUNCTION("IFERROR(sum(filter('Основной эфир'!$AC:$AC, 'Основной эфир'!$B:$B=$A159,'Основной эфир'!$C:$C=$B159,'Основной эфир'!$I:$I=$C159)), 0) "),0.0)</f>
        <v>0</v>
      </c>
      <c r="F159" s="91">
        <f>IFERROR(__xludf.DUMMYFUNCTION("IFERROR(sum(filter('Основной эфир'!$O:$O, 'Основной эфир'!$B:$B=$A159,'Основной эфир'!$C:$C=$B159,'Основной эфир'!$I:$I=$C159)), 0) "),0.0)</f>
        <v>0</v>
      </c>
      <c r="G159" s="91">
        <f>IFERROR(__xludf.DUMMYFUNCTION("IFERROR(sum(filter('Основной эфир'!$Q:$Q, 'Основной эфир'!$B:$B=$A159,'Основной эфир'!$C:$C=$B159,'Основной эфир'!$I:$I=$C159)), 0) "),0.0)</f>
        <v>0</v>
      </c>
      <c r="H159" s="91">
        <f>IFERROR(__xludf.DUMMYFUNCTION("IFERROR(AVERAGE(filter('Основной эфир'!$Y:$Y, 'Основной эфир'!$B:$B=$A159,'Основной эфир'!$C:$C=$B159,'Основной эфир'!$I:$I=$C159)), 0) "),0.0)</f>
        <v>0</v>
      </c>
      <c r="I159" s="91">
        <f>IFERROR(__xludf.DUMMYFUNCTION("IFERROR(AVERAGE(filter('Основной эфир'!$AE:$AE, 'Основной эфир'!$B:$B=$A159,'Основной эфир'!$C:$C=$B159,'Основной эфир'!$I:$I=$C159)), 0) "),0.0)</f>
        <v>0</v>
      </c>
      <c r="J159" s="91">
        <f>IFERROR(__xludf.DUMMYFUNCTION("IFERROR(SUM(filter('Основной эфир'!$AL:$AL, 'Основной эфир'!$B:$B=$A159,'Основной эфир'!$C:$C=$B159,'Основной эфир'!$I:$I=$C159)), 0) "),0.0)</f>
        <v>0</v>
      </c>
      <c r="K159" s="91" t="str">
        <f>IFERROR(__xludf.DUMMYFUNCTION("IFERROR(REGEXREPLACE(unique(filter('Основной эфир'!$A:$A, 'Основной эфир'!$B:$B=$A159,'Основной эфир'!$C:$C=$B159,'Основной эфир'!$I:$I=$C159)), ""\d+"", """"),"""")"),"")</f>
        <v/>
      </c>
      <c r="L159" s="91" t="str">
        <f>IFERROR(__xludf.DUMMYFUNCTION("IFERROR(unique(filter('Основной эфир'!$F:$F, 'Основной эфир'!$B:$B=$A159,'Основной эфир'!$C:$C=$B159,'Основной эфир'!$I:$I=$C159)),"""")"),"")</f>
        <v/>
      </c>
      <c r="M159" s="92" t="str">
        <f t="shared" si="1"/>
        <v/>
      </c>
      <c r="N159" s="93">
        <f>IFERROR(__xludf.DUMMYFUNCTION("IFERROR(SWITCH(lower(join("" "",L159:M159)),""а миллионник"", 62.5,""б миллионник"", 75,""а мск"", 50, ""б мск"", 62.5, ""a остальное"", 70, ""б остальное"", 80)/100,0)"),0.0)</f>
        <v>0</v>
      </c>
      <c r="O159" s="91">
        <f t="shared" si="2"/>
        <v>0</v>
      </c>
      <c r="P159" s="91">
        <f>IFERROR(__xludf.DUMMYFUNCTION("IFERROR(sum(filter('Генеральный баннер'!$O:$O, 'Генеральный баннер'!$B:$B=$A159,'Генеральный баннер'!$C:$C=$B159,'Генеральный баннер'!$I:$I=$C159)), 0) "),0.0)</f>
        <v>0</v>
      </c>
      <c r="Q159" s="91">
        <f>IFERROR(__xludf.DUMMYFUNCTION("IFERROR(sum(filter('Генеральный баннер'!$Q:$Q, 'Генеральный баннер'!$B:$B=$A159,'Генеральный баннер'!$C:$C=$B159,'Генеральный баннер'!$I:$I=$C159)), 0) "),0.0)</f>
        <v>0</v>
      </c>
      <c r="R159" s="91">
        <f>IFERROR(__xludf.DUMMYFUNCTION("IFERROR(AVERAGE(filter('Генеральный баннер'!$AA:$AA, 'Генеральный баннер'!$B:$B=$A159,'Генеральный баннер'!$C:$C=$B159,'Генеральный баннер'!$I:$I=$C159)), 0) "),0.0)</f>
        <v>0</v>
      </c>
      <c r="S159" s="91">
        <f>IFERROR(__xludf.DUMMYFUNCTION("IFERROR(SUM(filter('Генеральный баннер'!$AH:$AH, 'Генеральный баннер'!$B:$B=$A159,'Генеральный баннер'!$C:$C=$B159,'Генеральный баннер'!$I:$I=$C159)), 0) "),0.0)</f>
        <v>0</v>
      </c>
      <c r="T159" s="91" t="str">
        <f>IFERROR(__xludf.DUMMYFUNCTION("IFERROR(REGEXREPLACE(unique(filter('Генеральный баннер'!$A:$A, 'Генеральный баннер'!$B:$B=$A159,'Генеральный баннер'!$C:$C=$B159,'Генеральный баннер'!$I:$I=$C159)), ""\d+"", """"),"""")"),"")</f>
        <v/>
      </c>
      <c r="U159" s="91" t="str">
        <f>IFERROR(__xludf.DUMMYFUNCTION("IFERROR(unique(filter('Генеральный баннер'!$F:$F, 'Генеральный баннер'!$B:$B=$A159,'Генеральный баннер'!$C:$C=$B159,'Генеральный баннер'!$I:$I=$C159)),"""")"),"")</f>
        <v/>
      </c>
      <c r="V159" s="92" t="str">
        <f t="shared" si="3"/>
        <v/>
      </c>
      <c r="W159" s="93">
        <f>IFERROR(__xludf.DUMMYFUNCTION("IFERROR(SWITCH(lower(join("" "",U159:V159)),""а миллионник"", 62.5,""б миллионник"", 75,""а мск"", 50, ""б мск"", 62.5, ""a остальное"", 70, ""б остальное"", 80)/100,0)"),0.0)</f>
        <v>0</v>
      </c>
      <c r="X159" s="91">
        <f t="shared" si="4"/>
        <v>0</v>
      </c>
    </row>
    <row r="160">
      <c r="A160" s="90"/>
      <c r="B160" s="90"/>
      <c r="C160" s="90"/>
      <c r="D160" s="91">
        <f>IFERROR(__xludf.DUMMYFUNCTION("IFERROR(sum(filter('Основной эфир'!$AA:$AA, 'Основной эфир'!$B:$B=$A160,'Основной эфир'!$C:$C=$B160,'Основной эфир'!$I:$I=$C160)), 0) "),0.0)</f>
        <v>0</v>
      </c>
      <c r="E160" s="91">
        <f>IFERROR(__xludf.DUMMYFUNCTION("IFERROR(sum(filter('Основной эфир'!$AC:$AC, 'Основной эфир'!$B:$B=$A160,'Основной эфир'!$C:$C=$B160,'Основной эфир'!$I:$I=$C160)), 0) "),0.0)</f>
        <v>0</v>
      </c>
      <c r="F160" s="91">
        <f>IFERROR(__xludf.DUMMYFUNCTION("IFERROR(sum(filter('Основной эфир'!$O:$O, 'Основной эфир'!$B:$B=$A160,'Основной эфир'!$C:$C=$B160,'Основной эфир'!$I:$I=$C160)), 0) "),0.0)</f>
        <v>0</v>
      </c>
      <c r="G160" s="91">
        <f>IFERROR(__xludf.DUMMYFUNCTION("IFERROR(sum(filter('Основной эфир'!$Q:$Q, 'Основной эфир'!$B:$B=$A160,'Основной эфир'!$C:$C=$B160,'Основной эфир'!$I:$I=$C160)), 0) "),0.0)</f>
        <v>0</v>
      </c>
      <c r="H160" s="91">
        <f>IFERROR(__xludf.DUMMYFUNCTION("IFERROR(AVERAGE(filter('Основной эфир'!$Y:$Y, 'Основной эфир'!$B:$B=$A160,'Основной эфир'!$C:$C=$B160,'Основной эфир'!$I:$I=$C160)), 0) "),0.0)</f>
        <v>0</v>
      </c>
      <c r="I160" s="91">
        <f>IFERROR(__xludf.DUMMYFUNCTION("IFERROR(AVERAGE(filter('Основной эфир'!$AE:$AE, 'Основной эфир'!$B:$B=$A160,'Основной эфир'!$C:$C=$B160,'Основной эфир'!$I:$I=$C160)), 0) "),0.0)</f>
        <v>0</v>
      </c>
      <c r="J160" s="91">
        <f>IFERROR(__xludf.DUMMYFUNCTION("IFERROR(SUM(filter('Основной эфир'!$AL:$AL, 'Основной эфир'!$B:$B=$A160,'Основной эфир'!$C:$C=$B160,'Основной эфир'!$I:$I=$C160)), 0) "),0.0)</f>
        <v>0</v>
      </c>
      <c r="K160" s="91" t="str">
        <f>IFERROR(__xludf.DUMMYFUNCTION("IFERROR(REGEXREPLACE(unique(filter('Основной эфир'!$A:$A, 'Основной эфир'!$B:$B=$A160,'Основной эфир'!$C:$C=$B160,'Основной эфир'!$I:$I=$C160)), ""\d+"", """"),"""")"),"")</f>
        <v/>
      </c>
      <c r="L160" s="91" t="str">
        <f>IFERROR(__xludf.DUMMYFUNCTION("IFERROR(unique(filter('Основной эфир'!$F:$F, 'Основной эфир'!$B:$B=$A160,'Основной эфир'!$C:$C=$B160,'Основной эфир'!$I:$I=$C160)),"""")"),"")</f>
        <v/>
      </c>
      <c r="M160" s="92" t="str">
        <f t="shared" si="1"/>
        <v/>
      </c>
      <c r="N160" s="93">
        <f>IFERROR(__xludf.DUMMYFUNCTION("IFERROR(SWITCH(lower(join("" "",L160:M160)),""а миллионник"", 62.5,""б миллионник"", 75,""а мск"", 50, ""б мск"", 62.5, ""a остальное"", 70, ""б остальное"", 80)/100,0)"),0.0)</f>
        <v>0</v>
      </c>
      <c r="O160" s="91">
        <f t="shared" si="2"/>
        <v>0</v>
      </c>
      <c r="P160" s="91">
        <f>IFERROR(__xludf.DUMMYFUNCTION("IFERROR(sum(filter('Генеральный баннер'!$O:$O, 'Генеральный баннер'!$B:$B=$A160,'Генеральный баннер'!$C:$C=$B160,'Генеральный баннер'!$I:$I=$C160)), 0) "),0.0)</f>
        <v>0</v>
      </c>
      <c r="Q160" s="91">
        <f>IFERROR(__xludf.DUMMYFUNCTION("IFERROR(sum(filter('Генеральный баннер'!$Q:$Q, 'Генеральный баннер'!$B:$B=$A160,'Генеральный баннер'!$C:$C=$B160,'Генеральный баннер'!$I:$I=$C160)), 0) "),0.0)</f>
        <v>0</v>
      </c>
      <c r="R160" s="91">
        <f>IFERROR(__xludf.DUMMYFUNCTION("IFERROR(AVERAGE(filter('Генеральный баннер'!$AA:$AA, 'Генеральный баннер'!$B:$B=$A160,'Генеральный баннер'!$C:$C=$B160,'Генеральный баннер'!$I:$I=$C160)), 0) "),0.0)</f>
        <v>0</v>
      </c>
      <c r="S160" s="91">
        <f>IFERROR(__xludf.DUMMYFUNCTION("IFERROR(SUM(filter('Генеральный баннер'!$AH:$AH, 'Генеральный баннер'!$B:$B=$A160,'Генеральный баннер'!$C:$C=$B160,'Генеральный баннер'!$I:$I=$C160)), 0) "),0.0)</f>
        <v>0</v>
      </c>
      <c r="T160" s="91" t="str">
        <f>IFERROR(__xludf.DUMMYFUNCTION("IFERROR(REGEXREPLACE(unique(filter('Генеральный баннер'!$A:$A, 'Генеральный баннер'!$B:$B=$A160,'Генеральный баннер'!$C:$C=$B160,'Генеральный баннер'!$I:$I=$C160)), ""\d+"", """"),"""")"),"")</f>
        <v/>
      </c>
      <c r="U160" s="91" t="str">
        <f>IFERROR(__xludf.DUMMYFUNCTION("IFERROR(unique(filter('Генеральный баннер'!$F:$F, 'Генеральный баннер'!$B:$B=$A160,'Генеральный баннер'!$C:$C=$B160,'Генеральный баннер'!$I:$I=$C160)),"""")"),"")</f>
        <v/>
      </c>
      <c r="V160" s="92" t="str">
        <f t="shared" si="3"/>
        <v/>
      </c>
      <c r="W160" s="93">
        <f>IFERROR(__xludf.DUMMYFUNCTION("IFERROR(SWITCH(lower(join("" "",U160:V160)),""а миллионник"", 62.5,""б миллионник"", 75,""а мск"", 50, ""б мск"", 62.5, ""a остальное"", 70, ""б остальное"", 80)/100,0)"),0.0)</f>
        <v>0</v>
      </c>
      <c r="X160" s="91">
        <f t="shared" si="4"/>
        <v>0</v>
      </c>
    </row>
    <row r="161">
      <c r="A161" s="90"/>
      <c r="B161" s="90"/>
      <c r="C161" s="90"/>
      <c r="D161" s="91">
        <f>IFERROR(__xludf.DUMMYFUNCTION("IFERROR(sum(filter('Основной эфир'!$AA:$AA, 'Основной эфир'!$B:$B=$A161,'Основной эфир'!$C:$C=$B161,'Основной эфир'!$I:$I=$C161)), 0) "),0.0)</f>
        <v>0</v>
      </c>
      <c r="E161" s="91">
        <f>IFERROR(__xludf.DUMMYFUNCTION("IFERROR(sum(filter('Основной эфир'!$AC:$AC, 'Основной эфир'!$B:$B=$A161,'Основной эфир'!$C:$C=$B161,'Основной эфир'!$I:$I=$C161)), 0) "),0.0)</f>
        <v>0</v>
      </c>
      <c r="F161" s="91">
        <f>IFERROR(__xludf.DUMMYFUNCTION("IFERROR(sum(filter('Основной эфир'!$O:$O, 'Основной эфир'!$B:$B=$A161,'Основной эфир'!$C:$C=$B161,'Основной эфир'!$I:$I=$C161)), 0) "),0.0)</f>
        <v>0</v>
      </c>
      <c r="G161" s="91">
        <f>IFERROR(__xludf.DUMMYFUNCTION("IFERROR(sum(filter('Основной эфир'!$Q:$Q, 'Основной эфир'!$B:$B=$A161,'Основной эфир'!$C:$C=$B161,'Основной эфир'!$I:$I=$C161)), 0) "),0.0)</f>
        <v>0</v>
      </c>
      <c r="H161" s="91">
        <f>IFERROR(__xludf.DUMMYFUNCTION("IFERROR(AVERAGE(filter('Основной эфир'!$Y:$Y, 'Основной эфир'!$B:$B=$A161,'Основной эфир'!$C:$C=$B161,'Основной эфир'!$I:$I=$C161)), 0) "),0.0)</f>
        <v>0</v>
      </c>
      <c r="I161" s="91">
        <f>IFERROR(__xludf.DUMMYFUNCTION("IFERROR(AVERAGE(filter('Основной эфир'!$AE:$AE, 'Основной эфир'!$B:$B=$A161,'Основной эфир'!$C:$C=$B161,'Основной эфир'!$I:$I=$C161)), 0) "),0.0)</f>
        <v>0</v>
      </c>
      <c r="J161" s="91">
        <f>IFERROR(__xludf.DUMMYFUNCTION("IFERROR(SUM(filter('Основной эфир'!$AL:$AL, 'Основной эфир'!$B:$B=$A161,'Основной эфир'!$C:$C=$B161,'Основной эфир'!$I:$I=$C161)), 0) "),0.0)</f>
        <v>0</v>
      </c>
      <c r="K161" s="91" t="str">
        <f>IFERROR(__xludf.DUMMYFUNCTION("IFERROR(REGEXREPLACE(unique(filter('Основной эфир'!$A:$A, 'Основной эфир'!$B:$B=$A161,'Основной эфир'!$C:$C=$B161,'Основной эфир'!$I:$I=$C161)), ""\d+"", """"),"""")"),"")</f>
        <v/>
      </c>
      <c r="L161" s="91" t="str">
        <f>IFERROR(__xludf.DUMMYFUNCTION("IFERROR(unique(filter('Основной эфир'!$F:$F, 'Основной эфир'!$B:$B=$A161,'Основной эфир'!$C:$C=$B161,'Основной эфир'!$I:$I=$C161)),"""")"),"")</f>
        <v/>
      </c>
      <c r="M161" s="92" t="str">
        <f t="shared" si="1"/>
        <v/>
      </c>
      <c r="N161" s="93">
        <f>IFERROR(__xludf.DUMMYFUNCTION("IFERROR(SWITCH(lower(join("" "",L161:M161)),""а миллионник"", 62.5,""б миллионник"", 75,""а мск"", 50, ""б мск"", 62.5, ""a остальное"", 70, ""б остальное"", 80)/100,0)"),0.0)</f>
        <v>0</v>
      </c>
      <c r="O161" s="91">
        <f t="shared" si="2"/>
        <v>0</v>
      </c>
      <c r="P161" s="91">
        <f>IFERROR(__xludf.DUMMYFUNCTION("IFERROR(sum(filter('Генеральный баннер'!$O:$O, 'Генеральный баннер'!$B:$B=$A161,'Генеральный баннер'!$C:$C=$B161,'Генеральный баннер'!$I:$I=$C161)), 0) "),0.0)</f>
        <v>0</v>
      </c>
      <c r="Q161" s="91">
        <f>IFERROR(__xludf.DUMMYFUNCTION("IFERROR(sum(filter('Генеральный баннер'!$Q:$Q, 'Генеральный баннер'!$B:$B=$A161,'Генеральный баннер'!$C:$C=$B161,'Генеральный баннер'!$I:$I=$C161)), 0) "),0.0)</f>
        <v>0</v>
      </c>
      <c r="R161" s="91">
        <f>IFERROR(__xludf.DUMMYFUNCTION("IFERROR(AVERAGE(filter('Генеральный баннер'!$AA:$AA, 'Генеральный баннер'!$B:$B=$A161,'Генеральный баннер'!$C:$C=$B161,'Генеральный баннер'!$I:$I=$C161)), 0) "),0.0)</f>
        <v>0</v>
      </c>
      <c r="S161" s="91">
        <f>IFERROR(__xludf.DUMMYFUNCTION("IFERROR(SUM(filter('Генеральный баннер'!$AH:$AH, 'Генеральный баннер'!$B:$B=$A161,'Генеральный баннер'!$C:$C=$B161,'Генеральный баннер'!$I:$I=$C161)), 0) "),0.0)</f>
        <v>0</v>
      </c>
      <c r="T161" s="91" t="str">
        <f>IFERROR(__xludf.DUMMYFUNCTION("IFERROR(REGEXREPLACE(unique(filter('Генеральный баннер'!$A:$A, 'Генеральный баннер'!$B:$B=$A161,'Генеральный баннер'!$C:$C=$B161,'Генеральный баннер'!$I:$I=$C161)), ""\d+"", """"),"""")"),"")</f>
        <v/>
      </c>
      <c r="U161" s="91" t="str">
        <f>IFERROR(__xludf.DUMMYFUNCTION("IFERROR(unique(filter('Генеральный баннер'!$F:$F, 'Генеральный баннер'!$B:$B=$A161,'Генеральный баннер'!$C:$C=$B161,'Генеральный баннер'!$I:$I=$C161)),"""")"),"")</f>
        <v/>
      </c>
      <c r="V161" s="92" t="str">
        <f t="shared" si="3"/>
        <v/>
      </c>
      <c r="W161" s="93">
        <f>IFERROR(__xludf.DUMMYFUNCTION("IFERROR(SWITCH(lower(join("" "",U161:V161)),""а миллионник"", 62.5,""б миллионник"", 75,""а мск"", 50, ""б мск"", 62.5, ""a остальное"", 70, ""б остальное"", 80)/100,0)"),0.0)</f>
        <v>0</v>
      </c>
      <c r="X161" s="91">
        <f t="shared" si="4"/>
        <v>0</v>
      </c>
    </row>
    <row r="162">
      <c r="A162" s="90"/>
      <c r="B162" s="90"/>
      <c r="C162" s="90"/>
      <c r="D162" s="91">
        <f>IFERROR(__xludf.DUMMYFUNCTION("IFERROR(sum(filter('Основной эфир'!$AA:$AA, 'Основной эфир'!$B:$B=$A162,'Основной эфир'!$C:$C=$B162,'Основной эфир'!$I:$I=$C162)), 0) "),0.0)</f>
        <v>0</v>
      </c>
      <c r="E162" s="91">
        <f>IFERROR(__xludf.DUMMYFUNCTION("IFERROR(sum(filter('Основной эфир'!$AC:$AC, 'Основной эфир'!$B:$B=$A162,'Основной эфир'!$C:$C=$B162,'Основной эфир'!$I:$I=$C162)), 0) "),0.0)</f>
        <v>0</v>
      </c>
      <c r="F162" s="91">
        <f>IFERROR(__xludf.DUMMYFUNCTION("IFERROR(sum(filter('Основной эфир'!$O:$O, 'Основной эфир'!$B:$B=$A162,'Основной эфир'!$C:$C=$B162,'Основной эфир'!$I:$I=$C162)), 0) "),0.0)</f>
        <v>0</v>
      </c>
      <c r="G162" s="91">
        <f>IFERROR(__xludf.DUMMYFUNCTION("IFERROR(sum(filter('Основной эфир'!$Q:$Q, 'Основной эфир'!$B:$B=$A162,'Основной эфир'!$C:$C=$B162,'Основной эфир'!$I:$I=$C162)), 0) "),0.0)</f>
        <v>0</v>
      </c>
      <c r="H162" s="91">
        <f>IFERROR(__xludf.DUMMYFUNCTION("IFERROR(AVERAGE(filter('Основной эфир'!$Y:$Y, 'Основной эфир'!$B:$B=$A162,'Основной эфир'!$C:$C=$B162,'Основной эфир'!$I:$I=$C162)), 0) "),0.0)</f>
        <v>0</v>
      </c>
      <c r="I162" s="91">
        <f>IFERROR(__xludf.DUMMYFUNCTION("IFERROR(AVERAGE(filter('Основной эфир'!$AE:$AE, 'Основной эфир'!$B:$B=$A162,'Основной эфир'!$C:$C=$B162,'Основной эфир'!$I:$I=$C162)), 0) "),0.0)</f>
        <v>0</v>
      </c>
      <c r="J162" s="91">
        <f>IFERROR(__xludf.DUMMYFUNCTION("IFERROR(SUM(filter('Основной эфир'!$AL:$AL, 'Основной эфир'!$B:$B=$A162,'Основной эфир'!$C:$C=$B162,'Основной эфир'!$I:$I=$C162)), 0) "),0.0)</f>
        <v>0</v>
      </c>
      <c r="K162" s="91" t="str">
        <f>IFERROR(__xludf.DUMMYFUNCTION("IFERROR(REGEXREPLACE(unique(filter('Основной эфир'!$A:$A, 'Основной эфир'!$B:$B=$A162,'Основной эфир'!$C:$C=$B162,'Основной эфир'!$I:$I=$C162)), ""\d+"", """"),"""")"),"")</f>
        <v/>
      </c>
      <c r="L162" s="91" t="str">
        <f>IFERROR(__xludf.DUMMYFUNCTION("IFERROR(unique(filter('Основной эфир'!$F:$F, 'Основной эфир'!$B:$B=$A162,'Основной эфир'!$C:$C=$B162,'Основной эфир'!$I:$I=$C162)),"""")"),"")</f>
        <v/>
      </c>
      <c r="M162" s="92" t="str">
        <f t="shared" si="1"/>
        <v/>
      </c>
      <c r="N162" s="93">
        <f>IFERROR(__xludf.DUMMYFUNCTION("IFERROR(SWITCH(lower(join("" "",L162:M162)),""а миллионник"", 62.5,""б миллионник"", 75,""а мск"", 50, ""б мск"", 62.5, ""a остальное"", 70, ""б остальное"", 80)/100,0)"),0.0)</f>
        <v>0</v>
      </c>
      <c r="O162" s="91">
        <f t="shared" si="2"/>
        <v>0</v>
      </c>
      <c r="P162" s="91">
        <f>IFERROR(__xludf.DUMMYFUNCTION("IFERROR(sum(filter('Генеральный баннер'!$O:$O, 'Генеральный баннер'!$B:$B=$A162,'Генеральный баннер'!$C:$C=$B162,'Генеральный баннер'!$I:$I=$C162)), 0) "),0.0)</f>
        <v>0</v>
      </c>
      <c r="Q162" s="91">
        <f>IFERROR(__xludf.DUMMYFUNCTION("IFERROR(sum(filter('Генеральный баннер'!$Q:$Q, 'Генеральный баннер'!$B:$B=$A162,'Генеральный баннер'!$C:$C=$B162,'Генеральный баннер'!$I:$I=$C162)), 0) "),0.0)</f>
        <v>0</v>
      </c>
      <c r="R162" s="91">
        <f>IFERROR(__xludf.DUMMYFUNCTION("IFERROR(AVERAGE(filter('Генеральный баннер'!$AA:$AA, 'Генеральный баннер'!$B:$B=$A162,'Генеральный баннер'!$C:$C=$B162,'Генеральный баннер'!$I:$I=$C162)), 0) "),0.0)</f>
        <v>0</v>
      </c>
      <c r="S162" s="91">
        <f>IFERROR(__xludf.DUMMYFUNCTION("IFERROR(SUM(filter('Генеральный баннер'!$AH:$AH, 'Генеральный баннер'!$B:$B=$A162,'Генеральный баннер'!$C:$C=$B162,'Генеральный баннер'!$I:$I=$C162)), 0) "),0.0)</f>
        <v>0</v>
      </c>
      <c r="T162" s="91" t="str">
        <f>IFERROR(__xludf.DUMMYFUNCTION("IFERROR(REGEXREPLACE(unique(filter('Генеральный баннер'!$A:$A, 'Генеральный баннер'!$B:$B=$A162,'Генеральный баннер'!$C:$C=$B162,'Генеральный баннер'!$I:$I=$C162)), ""\d+"", """"),"""")"),"")</f>
        <v/>
      </c>
      <c r="U162" s="91" t="str">
        <f>IFERROR(__xludf.DUMMYFUNCTION("IFERROR(unique(filter('Генеральный баннер'!$F:$F, 'Генеральный баннер'!$B:$B=$A162,'Генеральный баннер'!$C:$C=$B162,'Генеральный баннер'!$I:$I=$C162)),"""")"),"")</f>
        <v/>
      </c>
      <c r="V162" s="92" t="str">
        <f t="shared" si="3"/>
        <v/>
      </c>
      <c r="W162" s="93">
        <f>IFERROR(__xludf.DUMMYFUNCTION("IFERROR(SWITCH(lower(join("" "",U162:V162)),""а миллионник"", 62.5,""б миллионник"", 75,""а мск"", 50, ""б мск"", 62.5, ""a остальное"", 70, ""б остальное"", 80)/100,0)"),0.0)</f>
        <v>0</v>
      </c>
      <c r="X162" s="91">
        <f t="shared" si="4"/>
        <v>0</v>
      </c>
    </row>
    <row r="163">
      <c r="A163" s="90"/>
      <c r="B163" s="90"/>
      <c r="C163" s="90"/>
      <c r="D163" s="91">
        <f>IFERROR(__xludf.DUMMYFUNCTION("IFERROR(sum(filter('Основной эфир'!$AA:$AA, 'Основной эфир'!$B:$B=$A163,'Основной эфир'!$C:$C=$B163,'Основной эфир'!$I:$I=$C163)), 0) "),0.0)</f>
        <v>0</v>
      </c>
      <c r="E163" s="91">
        <f>IFERROR(__xludf.DUMMYFUNCTION("IFERROR(sum(filter('Основной эфир'!$AC:$AC, 'Основной эфир'!$B:$B=$A163,'Основной эфир'!$C:$C=$B163,'Основной эфир'!$I:$I=$C163)), 0) "),0.0)</f>
        <v>0</v>
      </c>
      <c r="F163" s="91">
        <f>IFERROR(__xludf.DUMMYFUNCTION("IFERROR(sum(filter('Основной эфир'!$O:$O, 'Основной эфир'!$B:$B=$A163,'Основной эфир'!$C:$C=$B163,'Основной эфир'!$I:$I=$C163)), 0) "),0.0)</f>
        <v>0</v>
      </c>
      <c r="G163" s="91">
        <f>IFERROR(__xludf.DUMMYFUNCTION("IFERROR(sum(filter('Основной эфир'!$Q:$Q, 'Основной эфир'!$B:$B=$A163,'Основной эфир'!$C:$C=$B163,'Основной эфир'!$I:$I=$C163)), 0) "),0.0)</f>
        <v>0</v>
      </c>
      <c r="H163" s="91">
        <f>IFERROR(__xludf.DUMMYFUNCTION("IFERROR(AVERAGE(filter('Основной эфир'!$Y:$Y, 'Основной эфир'!$B:$B=$A163,'Основной эфир'!$C:$C=$B163,'Основной эфир'!$I:$I=$C163)), 0) "),0.0)</f>
        <v>0</v>
      </c>
      <c r="I163" s="91">
        <f>IFERROR(__xludf.DUMMYFUNCTION("IFERROR(AVERAGE(filter('Основной эфир'!$AE:$AE, 'Основной эфир'!$B:$B=$A163,'Основной эфир'!$C:$C=$B163,'Основной эфир'!$I:$I=$C163)), 0) "),0.0)</f>
        <v>0</v>
      </c>
      <c r="J163" s="91">
        <f>IFERROR(__xludf.DUMMYFUNCTION("IFERROR(SUM(filter('Основной эфир'!$AL:$AL, 'Основной эфир'!$B:$B=$A163,'Основной эфир'!$C:$C=$B163,'Основной эфир'!$I:$I=$C163)), 0) "),0.0)</f>
        <v>0</v>
      </c>
      <c r="K163" s="91" t="str">
        <f>IFERROR(__xludf.DUMMYFUNCTION("IFERROR(REGEXREPLACE(unique(filter('Основной эфир'!$A:$A, 'Основной эфир'!$B:$B=$A163,'Основной эфир'!$C:$C=$B163,'Основной эфир'!$I:$I=$C163)), ""\d+"", """"),"""")"),"")</f>
        <v/>
      </c>
      <c r="L163" s="91" t="str">
        <f>IFERROR(__xludf.DUMMYFUNCTION("IFERROR(unique(filter('Основной эфир'!$F:$F, 'Основной эфир'!$B:$B=$A163,'Основной эфир'!$C:$C=$B163,'Основной эфир'!$I:$I=$C163)),"""")"),"")</f>
        <v/>
      </c>
      <c r="M163" s="92" t="str">
        <f t="shared" si="1"/>
        <v/>
      </c>
      <c r="N163" s="93">
        <f>IFERROR(__xludf.DUMMYFUNCTION("IFERROR(SWITCH(lower(join("" "",L163:M163)),""а миллионник"", 62.5,""б миллионник"", 75,""а мск"", 50, ""б мск"", 62.5, ""a остальное"", 70, ""б остальное"", 80)/100,0)"),0.0)</f>
        <v>0</v>
      </c>
      <c r="O163" s="91">
        <f t="shared" si="2"/>
        <v>0</v>
      </c>
      <c r="P163" s="91">
        <f>IFERROR(__xludf.DUMMYFUNCTION("IFERROR(sum(filter('Генеральный баннер'!$O:$O, 'Генеральный баннер'!$B:$B=$A163,'Генеральный баннер'!$C:$C=$B163,'Генеральный баннер'!$I:$I=$C163)), 0) "),0.0)</f>
        <v>0</v>
      </c>
      <c r="Q163" s="91">
        <f>IFERROR(__xludf.DUMMYFUNCTION("IFERROR(sum(filter('Генеральный баннер'!$Q:$Q, 'Генеральный баннер'!$B:$B=$A163,'Генеральный баннер'!$C:$C=$B163,'Генеральный баннер'!$I:$I=$C163)), 0) "),0.0)</f>
        <v>0</v>
      </c>
      <c r="R163" s="91">
        <f>IFERROR(__xludf.DUMMYFUNCTION("IFERROR(AVERAGE(filter('Генеральный баннер'!$AA:$AA, 'Генеральный баннер'!$B:$B=$A163,'Генеральный баннер'!$C:$C=$B163,'Генеральный баннер'!$I:$I=$C163)), 0) "),0.0)</f>
        <v>0</v>
      </c>
      <c r="S163" s="91">
        <f>IFERROR(__xludf.DUMMYFUNCTION("IFERROR(SUM(filter('Генеральный баннер'!$AH:$AH, 'Генеральный баннер'!$B:$B=$A163,'Генеральный баннер'!$C:$C=$B163,'Генеральный баннер'!$I:$I=$C163)), 0) "),0.0)</f>
        <v>0</v>
      </c>
      <c r="T163" s="91" t="str">
        <f>IFERROR(__xludf.DUMMYFUNCTION("IFERROR(REGEXREPLACE(unique(filter('Генеральный баннер'!$A:$A, 'Генеральный баннер'!$B:$B=$A163,'Генеральный баннер'!$C:$C=$B163,'Генеральный баннер'!$I:$I=$C163)), ""\d+"", """"),"""")"),"")</f>
        <v/>
      </c>
      <c r="U163" s="91" t="str">
        <f>IFERROR(__xludf.DUMMYFUNCTION("IFERROR(unique(filter('Генеральный баннер'!$F:$F, 'Генеральный баннер'!$B:$B=$A163,'Генеральный баннер'!$C:$C=$B163,'Генеральный баннер'!$I:$I=$C163)),"""")"),"")</f>
        <v/>
      </c>
      <c r="V163" s="92" t="str">
        <f t="shared" si="3"/>
        <v/>
      </c>
      <c r="W163" s="93">
        <f>IFERROR(__xludf.DUMMYFUNCTION("IFERROR(SWITCH(lower(join("" "",U163:V163)),""а миллионник"", 62.5,""б миллионник"", 75,""а мск"", 50, ""б мск"", 62.5, ""a остальное"", 70, ""б остальное"", 80)/100,0)"),0.0)</f>
        <v>0</v>
      </c>
      <c r="X163" s="91">
        <f t="shared" si="4"/>
        <v>0</v>
      </c>
    </row>
    <row r="164">
      <c r="A164" s="90"/>
      <c r="B164" s="90"/>
      <c r="C164" s="90"/>
      <c r="D164" s="91">
        <f>IFERROR(__xludf.DUMMYFUNCTION("IFERROR(sum(filter('Основной эфир'!$AA:$AA, 'Основной эфир'!$B:$B=$A164,'Основной эфир'!$C:$C=$B164,'Основной эфир'!$I:$I=$C164)), 0) "),0.0)</f>
        <v>0</v>
      </c>
      <c r="E164" s="91">
        <f>IFERROR(__xludf.DUMMYFUNCTION("IFERROR(sum(filter('Основной эфир'!$AC:$AC, 'Основной эфир'!$B:$B=$A164,'Основной эфир'!$C:$C=$B164,'Основной эфир'!$I:$I=$C164)), 0) "),0.0)</f>
        <v>0</v>
      </c>
      <c r="F164" s="91">
        <f>IFERROR(__xludf.DUMMYFUNCTION("IFERROR(sum(filter('Основной эфир'!$O:$O, 'Основной эфир'!$B:$B=$A164,'Основной эфир'!$C:$C=$B164,'Основной эфир'!$I:$I=$C164)), 0) "),0.0)</f>
        <v>0</v>
      </c>
      <c r="G164" s="91">
        <f>IFERROR(__xludf.DUMMYFUNCTION("IFERROR(sum(filter('Основной эфир'!$Q:$Q, 'Основной эфир'!$B:$B=$A164,'Основной эфир'!$C:$C=$B164,'Основной эфир'!$I:$I=$C164)), 0) "),0.0)</f>
        <v>0</v>
      </c>
      <c r="H164" s="91">
        <f>IFERROR(__xludf.DUMMYFUNCTION("IFERROR(AVERAGE(filter('Основной эфир'!$Y:$Y, 'Основной эфир'!$B:$B=$A164,'Основной эфир'!$C:$C=$B164,'Основной эфир'!$I:$I=$C164)), 0) "),0.0)</f>
        <v>0</v>
      </c>
      <c r="I164" s="91">
        <f>IFERROR(__xludf.DUMMYFUNCTION("IFERROR(AVERAGE(filter('Основной эфир'!$AE:$AE, 'Основной эфир'!$B:$B=$A164,'Основной эфир'!$C:$C=$B164,'Основной эфир'!$I:$I=$C164)), 0) "),0.0)</f>
        <v>0</v>
      </c>
      <c r="J164" s="91">
        <f>IFERROR(__xludf.DUMMYFUNCTION("IFERROR(SUM(filter('Основной эфир'!$AL:$AL, 'Основной эфир'!$B:$B=$A164,'Основной эфир'!$C:$C=$B164,'Основной эфир'!$I:$I=$C164)), 0) "),0.0)</f>
        <v>0</v>
      </c>
      <c r="K164" s="91" t="str">
        <f>IFERROR(__xludf.DUMMYFUNCTION("IFERROR(REGEXREPLACE(unique(filter('Основной эфир'!$A:$A, 'Основной эфир'!$B:$B=$A164,'Основной эфир'!$C:$C=$B164,'Основной эфир'!$I:$I=$C164)), ""\d+"", """"),"""")"),"")</f>
        <v/>
      </c>
      <c r="L164" s="91" t="str">
        <f>IFERROR(__xludf.DUMMYFUNCTION("IFERROR(unique(filter('Основной эфир'!$F:$F, 'Основной эфир'!$B:$B=$A164,'Основной эфир'!$C:$C=$B164,'Основной эфир'!$I:$I=$C164)),"""")"),"")</f>
        <v/>
      </c>
      <c r="M164" s="92" t="str">
        <f t="shared" si="1"/>
        <v/>
      </c>
      <c r="N164" s="93">
        <f>IFERROR(__xludf.DUMMYFUNCTION("IFERROR(SWITCH(lower(join("" "",L164:M164)),""а миллионник"", 62.5,""б миллионник"", 75,""а мск"", 50, ""б мск"", 62.5, ""a остальное"", 70, ""б остальное"", 80)/100,0)"),0.0)</f>
        <v>0</v>
      </c>
      <c r="O164" s="91">
        <f t="shared" si="2"/>
        <v>0</v>
      </c>
      <c r="P164" s="91">
        <f>IFERROR(__xludf.DUMMYFUNCTION("IFERROR(sum(filter('Генеральный баннер'!$O:$O, 'Генеральный баннер'!$B:$B=$A164,'Генеральный баннер'!$C:$C=$B164,'Генеральный баннер'!$I:$I=$C164)), 0) "),0.0)</f>
        <v>0</v>
      </c>
      <c r="Q164" s="91">
        <f>IFERROR(__xludf.DUMMYFUNCTION("IFERROR(sum(filter('Генеральный баннер'!$Q:$Q, 'Генеральный баннер'!$B:$B=$A164,'Генеральный баннер'!$C:$C=$B164,'Генеральный баннер'!$I:$I=$C164)), 0) "),0.0)</f>
        <v>0</v>
      </c>
      <c r="R164" s="91">
        <f>IFERROR(__xludf.DUMMYFUNCTION("IFERROR(AVERAGE(filter('Генеральный баннер'!$AA:$AA, 'Генеральный баннер'!$B:$B=$A164,'Генеральный баннер'!$C:$C=$B164,'Генеральный баннер'!$I:$I=$C164)), 0) "),0.0)</f>
        <v>0</v>
      </c>
      <c r="S164" s="91">
        <f>IFERROR(__xludf.DUMMYFUNCTION("IFERROR(SUM(filter('Генеральный баннер'!$AH:$AH, 'Генеральный баннер'!$B:$B=$A164,'Генеральный баннер'!$C:$C=$B164,'Генеральный баннер'!$I:$I=$C164)), 0) "),0.0)</f>
        <v>0</v>
      </c>
      <c r="T164" s="91" t="str">
        <f>IFERROR(__xludf.DUMMYFUNCTION("IFERROR(REGEXREPLACE(unique(filter('Генеральный баннер'!$A:$A, 'Генеральный баннер'!$B:$B=$A164,'Генеральный баннер'!$C:$C=$B164,'Генеральный баннер'!$I:$I=$C164)), ""\d+"", """"),"""")"),"")</f>
        <v/>
      </c>
      <c r="U164" s="91" t="str">
        <f>IFERROR(__xludf.DUMMYFUNCTION("IFERROR(unique(filter('Генеральный баннер'!$F:$F, 'Генеральный баннер'!$B:$B=$A164,'Генеральный баннер'!$C:$C=$B164,'Генеральный баннер'!$I:$I=$C164)),"""")"),"")</f>
        <v/>
      </c>
      <c r="V164" s="92" t="str">
        <f t="shared" si="3"/>
        <v/>
      </c>
      <c r="W164" s="93">
        <f>IFERROR(__xludf.DUMMYFUNCTION("IFERROR(SWITCH(lower(join("" "",U164:V164)),""а миллионник"", 62.5,""б миллионник"", 75,""а мск"", 50, ""б мск"", 62.5, ""a остальное"", 70, ""б остальное"", 80)/100,0)"),0.0)</f>
        <v>0</v>
      </c>
      <c r="X164" s="91">
        <f t="shared" si="4"/>
        <v>0</v>
      </c>
    </row>
    <row r="165">
      <c r="A165" s="90"/>
      <c r="B165" s="90"/>
      <c r="C165" s="90"/>
      <c r="D165" s="91">
        <f>IFERROR(__xludf.DUMMYFUNCTION("IFERROR(sum(filter('Основной эфир'!$AA:$AA, 'Основной эфир'!$B:$B=$A165,'Основной эфир'!$C:$C=$B165,'Основной эфир'!$I:$I=$C165)), 0) "),0.0)</f>
        <v>0</v>
      </c>
      <c r="E165" s="91">
        <f>IFERROR(__xludf.DUMMYFUNCTION("IFERROR(sum(filter('Основной эфир'!$AC:$AC, 'Основной эфир'!$B:$B=$A165,'Основной эфир'!$C:$C=$B165,'Основной эфир'!$I:$I=$C165)), 0) "),0.0)</f>
        <v>0</v>
      </c>
      <c r="F165" s="91">
        <f>IFERROR(__xludf.DUMMYFUNCTION("IFERROR(sum(filter('Основной эфир'!$O:$O, 'Основной эфир'!$B:$B=$A165,'Основной эфир'!$C:$C=$B165,'Основной эфир'!$I:$I=$C165)), 0) "),0.0)</f>
        <v>0</v>
      </c>
      <c r="G165" s="91">
        <f>IFERROR(__xludf.DUMMYFUNCTION("IFERROR(sum(filter('Основной эфир'!$Q:$Q, 'Основной эфир'!$B:$B=$A165,'Основной эфир'!$C:$C=$B165,'Основной эфир'!$I:$I=$C165)), 0) "),0.0)</f>
        <v>0</v>
      </c>
      <c r="H165" s="91">
        <f>IFERROR(__xludf.DUMMYFUNCTION("IFERROR(AVERAGE(filter('Основной эфир'!$Y:$Y, 'Основной эфир'!$B:$B=$A165,'Основной эфир'!$C:$C=$B165,'Основной эфир'!$I:$I=$C165)), 0) "),0.0)</f>
        <v>0</v>
      </c>
      <c r="I165" s="91">
        <f>IFERROR(__xludf.DUMMYFUNCTION("IFERROR(AVERAGE(filter('Основной эфир'!$AE:$AE, 'Основной эфир'!$B:$B=$A165,'Основной эфир'!$C:$C=$B165,'Основной эфир'!$I:$I=$C165)), 0) "),0.0)</f>
        <v>0</v>
      </c>
      <c r="J165" s="91">
        <f>IFERROR(__xludf.DUMMYFUNCTION("IFERROR(SUM(filter('Основной эфир'!$AL:$AL, 'Основной эфир'!$B:$B=$A165,'Основной эфир'!$C:$C=$B165,'Основной эфир'!$I:$I=$C165)), 0) "),0.0)</f>
        <v>0</v>
      </c>
      <c r="K165" s="91" t="str">
        <f>IFERROR(__xludf.DUMMYFUNCTION("IFERROR(REGEXREPLACE(unique(filter('Основной эфир'!$A:$A, 'Основной эфир'!$B:$B=$A165,'Основной эфир'!$C:$C=$B165,'Основной эфир'!$I:$I=$C165)), ""\d+"", """"),"""")"),"")</f>
        <v/>
      </c>
      <c r="L165" s="91" t="str">
        <f>IFERROR(__xludf.DUMMYFUNCTION("IFERROR(unique(filter('Основной эфир'!$F:$F, 'Основной эфир'!$B:$B=$A165,'Основной эфир'!$C:$C=$B165,'Основной эфир'!$I:$I=$C165)),"""")"),"")</f>
        <v/>
      </c>
      <c r="M165" s="92" t="str">
        <f t="shared" si="1"/>
        <v/>
      </c>
      <c r="N165" s="93">
        <f>IFERROR(__xludf.DUMMYFUNCTION("IFERROR(SWITCH(lower(join("" "",L165:M165)),""а миллионник"", 62.5,""б миллионник"", 75,""а мск"", 50, ""б мск"", 62.5, ""a остальное"", 70, ""б остальное"", 80)/100,0)"),0.0)</f>
        <v>0</v>
      </c>
      <c r="O165" s="91">
        <f t="shared" si="2"/>
        <v>0</v>
      </c>
      <c r="P165" s="91">
        <f>IFERROR(__xludf.DUMMYFUNCTION("IFERROR(sum(filter('Генеральный баннер'!$O:$O, 'Генеральный баннер'!$B:$B=$A165,'Генеральный баннер'!$C:$C=$B165,'Генеральный баннер'!$I:$I=$C165)), 0) "),0.0)</f>
        <v>0</v>
      </c>
      <c r="Q165" s="91">
        <f>IFERROR(__xludf.DUMMYFUNCTION("IFERROR(sum(filter('Генеральный баннер'!$Q:$Q, 'Генеральный баннер'!$B:$B=$A165,'Генеральный баннер'!$C:$C=$B165,'Генеральный баннер'!$I:$I=$C165)), 0) "),0.0)</f>
        <v>0</v>
      </c>
      <c r="R165" s="91">
        <f>IFERROR(__xludf.DUMMYFUNCTION("IFERROR(AVERAGE(filter('Генеральный баннер'!$AA:$AA, 'Генеральный баннер'!$B:$B=$A165,'Генеральный баннер'!$C:$C=$B165,'Генеральный баннер'!$I:$I=$C165)), 0) "),0.0)</f>
        <v>0</v>
      </c>
      <c r="S165" s="91">
        <f>IFERROR(__xludf.DUMMYFUNCTION("IFERROR(SUM(filter('Генеральный баннер'!$AH:$AH, 'Генеральный баннер'!$B:$B=$A165,'Генеральный баннер'!$C:$C=$B165,'Генеральный баннер'!$I:$I=$C165)), 0) "),0.0)</f>
        <v>0</v>
      </c>
      <c r="T165" s="91" t="str">
        <f>IFERROR(__xludf.DUMMYFUNCTION("IFERROR(REGEXREPLACE(unique(filter('Генеральный баннер'!$A:$A, 'Генеральный баннер'!$B:$B=$A165,'Генеральный баннер'!$C:$C=$B165,'Генеральный баннер'!$I:$I=$C165)), ""\d+"", """"),"""")"),"")</f>
        <v/>
      </c>
      <c r="U165" s="91" t="str">
        <f>IFERROR(__xludf.DUMMYFUNCTION("IFERROR(unique(filter('Генеральный баннер'!$F:$F, 'Генеральный баннер'!$B:$B=$A165,'Генеральный баннер'!$C:$C=$B165,'Генеральный баннер'!$I:$I=$C165)),"""")"),"")</f>
        <v/>
      </c>
      <c r="V165" s="92" t="str">
        <f t="shared" si="3"/>
        <v/>
      </c>
      <c r="W165" s="93">
        <f>IFERROR(__xludf.DUMMYFUNCTION("IFERROR(SWITCH(lower(join("" "",U165:V165)),""а миллионник"", 62.5,""б миллионник"", 75,""а мск"", 50, ""б мск"", 62.5, ""a остальное"", 70, ""б остальное"", 80)/100,0)"),0.0)</f>
        <v>0</v>
      </c>
      <c r="X165" s="91">
        <f t="shared" si="4"/>
        <v>0</v>
      </c>
    </row>
    <row r="166">
      <c r="A166" s="90"/>
      <c r="B166" s="90"/>
      <c r="C166" s="90"/>
      <c r="D166" s="91">
        <f>IFERROR(__xludf.DUMMYFUNCTION("IFERROR(sum(filter('Основной эфир'!$AA:$AA, 'Основной эфир'!$B:$B=$A166,'Основной эфир'!$C:$C=$B166,'Основной эфир'!$I:$I=$C166)), 0) "),0.0)</f>
        <v>0</v>
      </c>
      <c r="E166" s="91">
        <f>IFERROR(__xludf.DUMMYFUNCTION("IFERROR(sum(filter('Основной эфир'!$AC:$AC, 'Основной эфир'!$B:$B=$A166,'Основной эфир'!$C:$C=$B166,'Основной эфир'!$I:$I=$C166)), 0) "),0.0)</f>
        <v>0</v>
      </c>
      <c r="F166" s="91">
        <f>IFERROR(__xludf.DUMMYFUNCTION("IFERROR(sum(filter('Основной эфир'!$O:$O, 'Основной эфир'!$B:$B=$A166,'Основной эфир'!$C:$C=$B166,'Основной эфир'!$I:$I=$C166)), 0) "),0.0)</f>
        <v>0</v>
      </c>
      <c r="G166" s="91">
        <f>IFERROR(__xludf.DUMMYFUNCTION("IFERROR(sum(filter('Основной эфир'!$Q:$Q, 'Основной эфир'!$B:$B=$A166,'Основной эфир'!$C:$C=$B166,'Основной эфир'!$I:$I=$C166)), 0) "),0.0)</f>
        <v>0</v>
      </c>
      <c r="H166" s="91">
        <f>IFERROR(__xludf.DUMMYFUNCTION("IFERROR(AVERAGE(filter('Основной эфир'!$Y:$Y, 'Основной эфир'!$B:$B=$A166,'Основной эфир'!$C:$C=$B166,'Основной эфир'!$I:$I=$C166)), 0) "),0.0)</f>
        <v>0</v>
      </c>
      <c r="I166" s="91">
        <f>IFERROR(__xludf.DUMMYFUNCTION("IFERROR(AVERAGE(filter('Основной эфир'!$AE:$AE, 'Основной эфир'!$B:$B=$A166,'Основной эфир'!$C:$C=$B166,'Основной эфир'!$I:$I=$C166)), 0) "),0.0)</f>
        <v>0</v>
      </c>
      <c r="J166" s="91">
        <f>IFERROR(__xludf.DUMMYFUNCTION("IFERROR(SUM(filter('Основной эфир'!$AL:$AL, 'Основной эфир'!$B:$B=$A166,'Основной эфир'!$C:$C=$B166,'Основной эфир'!$I:$I=$C166)), 0) "),0.0)</f>
        <v>0</v>
      </c>
      <c r="K166" s="91" t="str">
        <f>IFERROR(__xludf.DUMMYFUNCTION("IFERROR(REGEXREPLACE(unique(filter('Основной эфир'!$A:$A, 'Основной эфир'!$B:$B=$A166,'Основной эфир'!$C:$C=$B166,'Основной эфир'!$I:$I=$C166)), ""\d+"", """"),"""")"),"")</f>
        <v/>
      </c>
      <c r="L166" s="91" t="str">
        <f>IFERROR(__xludf.DUMMYFUNCTION("IFERROR(unique(filter('Основной эфир'!$F:$F, 'Основной эфир'!$B:$B=$A166,'Основной эфир'!$C:$C=$B166,'Основной эфир'!$I:$I=$C166)),"""")"),"")</f>
        <v/>
      </c>
      <c r="M166" s="92" t="str">
        <f t="shared" si="1"/>
        <v/>
      </c>
      <c r="N166" s="93">
        <f>IFERROR(__xludf.DUMMYFUNCTION("IFERROR(SWITCH(lower(join("" "",L166:M166)),""а миллионник"", 62.5,""б миллионник"", 75,""а мск"", 50, ""б мск"", 62.5, ""a остальное"", 70, ""б остальное"", 80)/100,0)"),0.0)</f>
        <v>0</v>
      </c>
      <c r="O166" s="91">
        <f t="shared" si="2"/>
        <v>0</v>
      </c>
      <c r="P166" s="91">
        <f>IFERROR(__xludf.DUMMYFUNCTION("IFERROR(sum(filter('Генеральный баннер'!$O:$O, 'Генеральный баннер'!$B:$B=$A166,'Генеральный баннер'!$C:$C=$B166,'Генеральный баннер'!$I:$I=$C166)), 0) "),0.0)</f>
        <v>0</v>
      </c>
      <c r="Q166" s="91">
        <f>IFERROR(__xludf.DUMMYFUNCTION("IFERROR(sum(filter('Генеральный баннер'!$Q:$Q, 'Генеральный баннер'!$B:$B=$A166,'Генеральный баннер'!$C:$C=$B166,'Генеральный баннер'!$I:$I=$C166)), 0) "),0.0)</f>
        <v>0</v>
      </c>
      <c r="R166" s="91">
        <f>IFERROR(__xludf.DUMMYFUNCTION("IFERROR(AVERAGE(filter('Генеральный баннер'!$AA:$AA, 'Генеральный баннер'!$B:$B=$A166,'Генеральный баннер'!$C:$C=$B166,'Генеральный баннер'!$I:$I=$C166)), 0) "),0.0)</f>
        <v>0</v>
      </c>
      <c r="S166" s="91">
        <f>IFERROR(__xludf.DUMMYFUNCTION("IFERROR(SUM(filter('Генеральный баннер'!$AH:$AH, 'Генеральный баннер'!$B:$B=$A166,'Генеральный баннер'!$C:$C=$B166,'Генеральный баннер'!$I:$I=$C166)), 0) "),0.0)</f>
        <v>0</v>
      </c>
      <c r="T166" s="91" t="str">
        <f>IFERROR(__xludf.DUMMYFUNCTION("IFERROR(REGEXREPLACE(unique(filter('Генеральный баннер'!$A:$A, 'Генеральный баннер'!$B:$B=$A166,'Генеральный баннер'!$C:$C=$B166,'Генеральный баннер'!$I:$I=$C166)), ""\d+"", """"),"""")"),"")</f>
        <v/>
      </c>
      <c r="U166" s="91" t="str">
        <f>IFERROR(__xludf.DUMMYFUNCTION("IFERROR(unique(filter('Генеральный баннер'!$F:$F, 'Генеральный баннер'!$B:$B=$A166,'Генеральный баннер'!$C:$C=$B166,'Генеральный баннер'!$I:$I=$C166)),"""")"),"")</f>
        <v/>
      </c>
      <c r="V166" s="92" t="str">
        <f t="shared" si="3"/>
        <v/>
      </c>
      <c r="W166" s="93">
        <f>IFERROR(__xludf.DUMMYFUNCTION("IFERROR(SWITCH(lower(join("" "",U166:V166)),""а миллионник"", 62.5,""б миллионник"", 75,""а мск"", 50, ""б мск"", 62.5, ""a остальное"", 70, ""б остальное"", 80)/100,0)"),0.0)</f>
        <v>0</v>
      </c>
      <c r="X166" s="91">
        <f t="shared" si="4"/>
        <v>0</v>
      </c>
    </row>
    <row r="167">
      <c r="A167" s="90"/>
      <c r="B167" s="90"/>
      <c r="C167" s="90"/>
      <c r="D167" s="91">
        <f>IFERROR(__xludf.DUMMYFUNCTION("IFERROR(sum(filter('Основной эфир'!$AA:$AA, 'Основной эфир'!$B:$B=$A167,'Основной эфир'!$C:$C=$B167,'Основной эфир'!$I:$I=$C167)), 0) "),0.0)</f>
        <v>0</v>
      </c>
      <c r="E167" s="91">
        <f>IFERROR(__xludf.DUMMYFUNCTION("IFERROR(sum(filter('Основной эфир'!$AC:$AC, 'Основной эфир'!$B:$B=$A167,'Основной эфир'!$C:$C=$B167,'Основной эфир'!$I:$I=$C167)), 0) "),0.0)</f>
        <v>0</v>
      </c>
      <c r="F167" s="91">
        <f>IFERROR(__xludf.DUMMYFUNCTION("IFERROR(sum(filter('Основной эфир'!$O:$O, 'Основной эфир'!$B:$B=$A167,'Основной эфир'!$C:$C=$B167,'Основной эфир'!$I:$I=$C167)), 0) "),0.0)</f>
        <v>0</v>
      </c>
      <c r="G167" s="91">
        <f>IFERROR(__xludf.DUMMYFUNCTION("IFERROR(sum(filter('Основной эфир'!$Q:$Q, 'Основной эфир'!$B:$B=$A167,'Основной эфир'!$C:$C=$B167,'Основной эфир'!$I:$I=$C167)), 0) "),0.0)</f>
        <v>0</v>
      </c>
      <c r="H167" s="91">
        <f>IFERROR(__xludf.DUMMYFUNCTION("IFERROR(AVERAGE(filter('Основной эфир'!$Y:$Y, 'Основной эфир'!$B:$B=$A167,'Основной эфир'!$C:$C=$B167,'Основной эфир'!$I:$I=$C167)), 0) "),0.0)</f>
        <v>0</v>
      </c>
      <c r="I167" s="91">
        <f>IFERROR(__xludf.DUMMYFUNCTION("IFERROR(AVERAGE(filter('Основной эфир'!$AE:$AE, 'Основной эфир'!$B:$B=$A167,'Основной эфир'!$C:$C=$B167,'Основной эфир'!$I:$I=$C167)), 0) "),0.0)</f>
        <v>0</v>
      </c>
      <c r="J167" s="91">
        <f>IFERROR(__xludf.DUMMYFUNCTION("IFERROR(SUM(filter('Основной эфир'!$AL:$AL, 'Основной эфир'!$B:$B=$A167,'Основной эфир'!$C:$C=$B167,'Основной эфир'!$I:$I=$C167)), 0) "),0.0)</f>
        <v>0</v>
      </c>
      <c r="K167" s="91" t="str">
        <f>IFERROR(__xludf.DUMMYFUNCTION("IFERROR(REGEXREPLACE(unique(filter('Основной эфир'!$A:$A, 'Основной эфир'!$B:$B=$A167,'Основной эфир'!$C:$C=$B167,'Основной эфир'!$I:$I=$C167)), ""\d+"", """"),"""")"),"")</f>
        <v/>
      </c>
      <c r="L167" s="91" t="str">
        <f>IFERROR(__xludf.DUMMYFUNCTION("IFERROR(unique(filter('Основной эфир'!$F:$F, 'Основной эфир'!$B:$B=$A167,'Основной эфир'!$C:$C=$B167,'Основной эфир'!$I:$I=$C167)),"""")"),"")</f>
        <v/>
      </c>
      <c r="M167" s="92" t="str">
        <f t="shared" si="1"/>
        <v/>
      </c>
      <c r="N167" s="93">
        <f>IFERROR(__xludf.DUMMYFUNCTION("IFERROR(SWITCH(lower(join("" "",L167:M167)),""а миллионник"", 62.5,""б миллионник"", 75,""а мск"", 50, ""б мск"", 62.5, ""a остальное"", 70, ""б остальное"", 80)/100,0)"),0.0)</f>
        <v>0</v>
      </c>
      <c r="O167" s="91">
        <f t="shared" si="2"/>
        <v>0</v>
      </c>
      <c r="P167" s="91">
        <f>IFERROR(__xludf.DUMMYFUNCTION("IFERROR(sum(filter('Генеральный баннер'!$O:$O, 'Генеральный баннер'!$B:$B=$A167,'Генеральный баннер'!$C:$C=$B167,'Генеральный баннер'!$I:$I=$C167)), 0) "),0.0)</f>
        <v>0</v>
      </c>
      <c r="Q167" s="91">
        <f>IFERROR(__xludf.DUMMYFUNCTION("IFERROR(sum(filter('Генеральный баннер'!$Q:$Q, 'Генеральный баннер'!$B:$B=$A167,'Генеральный баннер'!$C:$C=$B167,'Генеральный баннер'!$I:$I=$C167)), 0) "),0.0)</f>
        <v>0</v>
      </c>
      <c r="R167" s="91">
        <f>IFERROR(__xludf.DUMMYFUNCTION("IFERROR(AVERAGE(filter('Генеральный баннер'!$AA:$AA, 'Генеральный баннер'!$B:$B=$A167,'Генеральный баннер'!$C:$C=$B167,'Генеральный баннер'!$I:$I=$C167)), 0) "),0.0)</f>
        <v>0</v>
      </c>
      <c r="S167" s="91">
        <f>IFERROR(__xludf.DUMMYFUNCTION("IFERROR(SUM(filter('Генеральный баннер'!$AH:$AH, 'Генеральный баннер'!$B:$B=$A167,'Генеральный баннер'!$C:$C=$B167,'Генеральный баннер'!$I:$I=$C167)), 0) "),0.0)</f>
        <v>0</v>
      </c>
      <c r="T167" s="91" t="str">
        <f>IFERROR(__xludf.DUMMYFUNCTION("IFERROR(REGEXREPLACE(unique(filter('Генеральный баннер'!$A:$A, 'Генеральный баннер'!$B:$B=$A167,'Генеральный баннер'!$C:$C=$B167,'Генеральный баннер'!$I:$I=$C167)), ""\d+"", """"),"""")"),"")</f>
        <v/>
      </c>
      <c r="U167" s="91" t="str">
        <f>IFERROR(__xludf.DUMMYFUNCTION("IFERROR(unique(filter('Генеральный баннер'!$F:$F, 'Генеральный баннер'!$B:$B=$A167,'Генеральный баннер'!$C:$C=$B167,'Генеральный баннер'!$I:$I=$C167)),"""")"),"")</f>
        <v/>
      </c>
      <c r="V167" s="92" t="str">
        <f t="shared" si="3"/>
        <v/>
      </c>
      <c r="W167" s="93">
        <f>IFERROR(__xludf.DUMMYFUNCTION("IFERROR(SWITCH(lower(join("" "",U167:V167)),""а миллионник"", 62.5,""б миллионник"", 75,""а мск"", 50, ""б мск"", 62.5, ""a остальное"", 70, ""б остальное"", 80)/100,0)"),0.0)</f>
        <v>0</v>
      </c>
      <c r="X167" s="91">
        <f t="shared" si="4"/>
        <v>0</v>
      </c>
    </row>
    <row r="168">
      <c r="A168" s="90"/>
      <c r="B168" s="90"/>
      <c r="C168" s="90"/>
      <c r="D168" s="91">
        <f>IFERROR(__xludf.DUMMYFUNCTION("IFERROR(sum(filter('Основной эфир'!$AA:$AA, 'Основной эфир'!$B:$B=$A168,'Основной эфир'!$C:$C=$B168,'Основной эфир'!$I:$I=$C168)), 0) "),0.0)</f>
        <v>0</v>
      </c>
      <c r="E168" s="91">
        <f>IFERROR(__xludf.DUMMYFUNCTION("IFERROR(sum(filter('Основной эфир'!$AC:$AC, 'Основной эфир'!$B:$B=$A168,'Основной эфир'!$C:$C=$B168,'Основной эфир'!$I:$I=$C168)), 0) "),0.0)</f>
        <v>0</v>
      </c>
      <c r="F168" s="91">
        <f>IFERROR(__xludf.DUMMYFUNCTION("IFERROR(sum(filter('Основной эфир'!$O:$O, 'Основной эфир'!$B:$B=$A168,'Основной эфир'!$C:$C=$B168,'Основной эфир'!$I:$I=$C168)), 0) "),0.0)</f>
        <v>0</v>
      </c>
      <c r="G168" s="91">
        <f>IFERROR(__xludf.DUMMYFUNCTION("IFERROR(sum(filter('Основной эфир'!$Q:$Q, 'Основной эфир'!$B:$B=$A168,'Основной эфир'!$C:$C=$B168,'Основной эфир'!$I:$I=$C168)), 0) "),0.0)</f>
        <v>0</v>
      </c>
      <c r="H168" s="91">
        <f>IFERROR(__xludf.DUMMYFUNCTION("IFERROR(AVERAGE(filter('Основной эфир'!$Y:$Y, 'Основной эфир'!$B:$B=$A168,'Основной эфир'!$C:$C=$B168,'Основной эфир'!$I:$I=$C168)), 0) "),0.0)</f>
        <v>0</v>
      </c>
      <c r="I168" s="91">
        <f>IFERROR(__xludf.DUMMYFUNCTION("IFERROR(AVERAGE(filter('Основной эфир'!$AE:$AE, 'Основной эфир'!$B:$B=$A168,'Основной эфир'!$C:$C=$B168,'Основной эфир'!$I:$I=$C168)), 0) "),0.0)</f>
        <v>0</v>
      </c>
      <c r="J168" s="91">
        <f>IFERROR(__xludf.DUMMYFUNCTION("IFERROR(SUM(filter('Основной эфир'!$AL:$AL, 'Основной эфир'!$B:$B=$A168,'Основной эфир'!$C:$C=$B168,'Основной эфир'!$I:$I=$C168)), 0) "),0.0)</f>
        <v>0</v>
      </c>
      <c r="K168" s="91" t="str">
        <f>IFERROR(__xludf.DUMMYFUNCTION("IFERROR(REGEXREPLACE(unique(filter('Основной эфир'!$A:$A, 'Основной эфир'!$B:$B=$A168,'Основной эфир'!$C:$C=$B168,'Основной эфир'!$I:$I=$C168)), ""\d+"", """"),"""")"),"")</f>
        <v/>
      </c>
      <c r="L168" s="91" t="str">
        <f>IFERROR(__xludf.DUMMYFUNCTION("IFERROR(unique(filter('Основной эфир'!$F:$F, 'Основной эфир'!$B:$B=$A168,'Основной эфир'!$C:$C=$B168,'Основной эфир'!$I:$I=$C168)),"""")"),"")</f>
        <v/>
      </c>
      <c r="M168" s="92" t="str">
        <f t="shared" si="1"/>
        <v/>
      </c>
      <c r="N168" s="93">
        <f>IFERROR(__xludf.DUMMYFUNCTION("IFERROR(SWITCH(lower(join("" "",L168:M168)),""а миллионник"", 62.5,""б миллионник"", 75,""а мск"", 50, ""б мск"", 62.5, ""a остальное"", 70, ""б остальное"", 80)/100,0)"),0.0)</f>
        <v>0</v>
      </c>
      <c r="O168" s="91">
        <f t="shared" si="2"/>
        <v>0</v>
      </c>
      <c r="P168" s="91">
        <f>IFERROR(__xludf.DUMMYFUNCTION("IFERROR(sum(filter('Генеральный баннер'!$O:$O, 'Генеральный баннер'!$B:$B=$A168,'Генеральный баннер'!$C:$C=$B168,'Генеральный баннер'!$I:$I=$C168)), 0) "),0.0)</f>
        <v>0</v>
      </c>
      <c r="Q168" s="91">
        <f>IFERROR(__xludf.DUMMYFUNCTION("IFERROR(sum(filter('Генеральный баннер'!$Q:$Q, 'Генеральный баннер'!$B:$B=$A168,'Генеральный баннер'!$C:$C=$B168,'Генеральный баннер'!$I:$I=$C168)), 0) "),0.0)</f>
        <v>0</v>
      </c>
      <c r="R168" s="91">
        <f>IFERROR(__xludf.DUMMYFUNCTION("IFERROR(AVERAGE(filter('Генеральный баннер'!$AA:$AA, 'Генеральный баннер'!$B:$B=$A168,'Генеральный баннер'!$C:$C=$B168,'Генеральный баннер'!$I:$I=$C168)), 0) "),0.0)</f>
        <v>0</v>
      </c>
      <c r="S168" s="91">
        <f>IFERROR(__xludf.DUMMYFUNCTION("IFERROR(SUM(filter('Генеральный баннер'!$AH:$AH, 'Генеральный баннер'!$B:$B=$A168,'Генеральный баннер'!$C:$C=$B168,'Генеральный баннер'!$I:$I=$C168)), 0) "),0.0)</f>
        <v>0</v>
      </c>
      <c r="T168" s="91" t="str">
        <f>IFERROR(__xludf.DUMMYFUNCTION("IFERROR(REGEXREPLACE(unique(filter('Генеральный баннер'!$A:$A, 'Генеральный баннер'!$B:$B=$A168,'Генеральный баннер'!$C:$C=$B168,'Генеральный баннер'!$I:$I=$C168)), ""\d+"", """"),"""")"),"")</f>
        <v/>
      </c>
      <c r="U168" s="91" t="str">
        <f>IFERROR(__xludf.DUMMYFUNCTION("IFERROR(unique(filter('Генеральный баннер'!$F:$F, 'Генеральный баннер'!$B:$B=$A168,'Генеральный баннер'!$C:$C=$B168,'Генеральный баннер'!$I:$I=$C168)),"""")"),"")</f>
        <v/>
      </c>
      <c r="V168" s="92" t="str">
        <f t="shared" si="3"/>
        <v/>
      </c>
      <c r="W168" s="93">
        <f>IFERROR(__xludf.DUMMYFUNCTION("IFERROR(SWITCH(lower(join("" "",U168:V168)),""а миллионник"", 62.5,""б миллионник"", 75,""а мск"", 50, ""б мск"", 62.5, ""a остальное"", 70, ""б остальное"", 80)/100,0)"),0.0)</f>
        <v>0</v>
      </c>
      <c r="X168" s="91">
        <f t="shared" si="4"/>
        <v>0</v>
      </c>
    </row>
    <row r="169">
      <c r="A169" s="90"/>
      <c r="B169" s="90"/>
      <c r="C169" s="90"/>
      <c r="D169" s="91">
        <f>IFERROR(__xludf.DUMMYFUNCTION("IFERROR(sum(filter('Основной эфир'!$AA:$AA, 'Основной эфир'!$B:$B=$A169,'Основной эфир'!$C:$C=$B169,'Основной эфир'!$I:$I=$C169)), 0) "),0.0)</f>
        <v>0</v>
      </c>
      <c r="E169" s="91">
        <f>IFERROR(__xludf.DUMMYFUNCTION("IFERROR(sum(filter('Основной эфир'!$AC:$AC, 'Основной эфир'!$B:$B=$A169,'Основной эфир'!$C:$C=$B169,'Основной эфир'!$I:$I=$C169)), 0) "),0.0)</f>
        <v>0</v>
      </c>
      <c r="F169" s="91">
        <f>IFERROR(__xludf.DUMMYFUNCTION("IFERROR(sum(filter('Основной эфир'!$O:$O, 'Основной эфир'!$B:$B=$A169,'Основной эфир'!$C:$C=$B169,'Основной эфир'!$I:$I=$C169)), 0) "),0.0)</f>
        <v>0</v>
      </c>
      <c r="G169" s="91">
        <f>IFERROR(__xludf.DUMMYFUNCTION("IFERROR(sum(filter('Основной эфир'!$Q:$Q, 'Основной эфир'!$B:$B=$A169,'Основной эфир'!$C:$C=$B169,'Основной эфир'!$I:$I=$C169)), 0) "),0.0)</f>
        <v>0</v>
      </c>
      <c r="H169" s="91">
        <f>IFERROR(__xludf.DUMMYFUNCTION("IFERROR(AVERAGE(filter('Основной эфир'!$Y:$Y, 'Основной эфир'!$B:$B=$A169,'Основной эфир'!$C:$C=$B169,'Основной эфир'!$I:$I=$C169)), 0) "),0.0)</f>
        <v>0</v>
      </c>
      <c r="I169" s="91">
        <f>IFERROR(__xludf.DUMMYFUNCTION("IFERROR(AVERAGE(filter('Основной эфир'!$AE:$AE, 'Основной эфир'!$B:$B=$A169,'Основной эфир'!$C:$C=$B169,'Основной эфир'!$I:$I=$C169)), 0) "),0.0)</f>
        <v>0</v>
      </c>
      <c r="J169" s="91">
        <f>IFERROR(__xludf.DUMMYFUNCTION("IFERROR(SUM(filter('Основной эфир'!$AL:$AL, 'Основной эфир'!$B:$B=$A169,'Основной эфир'!$C:$C=$B169,'Основной эфир'!$I:$I=$C169)), 0) "),0.0)</f>
        <v>0</v>
      </c>
      <c r="K169" s="91" t="str">
        <f>IFERROR(__xludf.DUMMYFUNCTION("IFERROR(REGEXREPLACE(unique(filter('Основной эфир'!$A:$A, 'Основной эфир'!$B:$B=$A169,'Основной эфир'!$C:$C=$B169,'Основной эфир'!$I:$I=$C169)), ""\d+"", """"),"""")"),"")</f>
        <v/>
      </c>
      <c r="L169" s="91" t="str">
        <f>IFERROR(__xludf.DUMMYFUNCTION("IFERROR(unique(filter('Основной эфир'!$F:$F, 'Основной эфир'!$B:$B=$A169,'Основной эфир'!$C:$C=$B169,'Основной эфир'!$I:$I=$C169)),"""")"),"")</f>
        <v/>
      </c>
      <c r="M169" s="92" t="str">
        <f t="shared" si="1"/>
        <v/>
      </c>
      <c r="N169" s="93">
        <f>IFERROR(__xludf.DUMMYFUNCTION("IFERROR(SWITCH(lower(join("" "",L169:M169)),""а миллионник"", 62.5,""б миллионник"", 75,""а мск"", 50, ""б мск"", 62.5, ""a остальное"", 70, ""б остальное"", 80)/100,0)"),0.0)</f>
        <v>0</v>
      </c>
      <c r="O169" s="91">
        <f t="shared" si="2"/>
        <v>0</v>
      </c>
      <c r="P169" s="91">
        <f>IFERROR(__xludf.DUMMYFUNCTION("IFERROR(sum(filter('Генеральный баннер'!$O:$O, 'Генеральный баннер'!$B:$B=$A169,'Генеральный баннер'!$C:$C=$B169,'Генеральный баннер'!$I:$I=$C169)), 0) "),0.0)</f>
        <v>0</v>
      </c>
      <c r="Q169" s="91">
        <f>IFERROR(__xludf.DUMMYFUNCTION("IFERROR(sum(filter('Генеральный баннер'!$Q:$Q, 'Генеральный баннер'!$B:$B=$A169,'Генеральный баннер'!$C:$C=$B169,'Генеральный баннер'!$I:$I=$C169)), 0) "),0.0)</f>
        <v>0</v>
      </c>
      <c r="R169" s="91">
        <f>IFERROR(__xludf.DUMMYFUNCTION("IFERROR(AVERAGE(filter('Генеральный баннер'!$AA:$AA, 'Генеральный баннер'!$B:$B=$A169,'Генеральный баннер'!$C:$C=$B169,'Генеральный баннер'!$I:$I=$C169)), 0) "),0.0)</f>
        <v>0</v>
      </c>
      <c r="S169" s="91">
        <f>IFERROR(__xludf.DUMMYFUNCTION("IFERROR(SUM(filter('Генеральный баннер'!$AH:$AH, 'Генеральный баннер'!$B:$B=$A169,'Генеральный баннер'!$C:$C=$B169,'Генеральный баннер'!$I:$I=$C169)), 0) "),0.0)</f>
        <v>0</v>
      </c>
      <c r="T169" s="91" t="str">
        <f>IFERROR(__xludf.DUMMYFUNCTION("IFERROR(REGEXREPLACE(unique(filter('Генеральный баннер'!$A:$A, 'Генеральный баннер'!$B:$B=$A169,'Генеральный баннер'!$C:$C=$B169,'Генеральный баннер'!$I:$I=$C169)), ""\d+"", """"),"""")"),"")</f>
        <v/>
      </c>
      <c r="U169" s="91" t="str">
        <f>IFERROR(__xludf.DUMMYFUNCTION("IFERROR(unique(filter('Генеральный баннер'!$F:$F, 'Генеральный баннер'!$B:$B=$A169,'Генеральный баннер'!$C:$C=$B169,'Генеральный баннер'!$I:$I=$C169)),"""")"),"")</f>
        <v/>
      </c>
      <c r="V169" s="92" t="str">
        <f t="shared" si="3"/>
        <v/>
      </c>
      <c r="W169" s="93">
        <f>IFERROR(__xludf.DUMMYFUNCTION("IFERROR(SWITCH(lower(join("" "",U169:V169)),""а миллионник"", 62.5,""б миллионник"", 75,""а мск"", 50, ""б мск"", 62.5, ""a остальное"", 70, ""б остальное"", 80)/100,0)"),0.0)</f>
        <v>0</v>
      </c>
      <c r="X169" s="91">
        <f t="shared" si="4"/>
        <v>0</v>
      </c>
    </row>
    <row r="170">
      <c r="A170" s="90"/>
      <c r="B170" s="90"/>
      <c r="C170" s="90"/>
      <c r="D170" s="91">
        <f>IFERROR(__xludf.DUMMYFUNCTION("IFERROR(sum(filter('Основной эфир'!$AA:$AA, 'Основной эфир'!$B:$B=$A170,'Основной эфир'!$C:$C=$B170,'Основной эфир'!$I:$I=$C170)), 0) "),0.0)</f>
        <v>0</v>
      </c>
      <c r="E170" s="91">
        <f>IFERROR(__xludf.DUMMYFUNCTION("IFERROR(sum(filter('Основной эфир'!$AC:$AC, 'Основной эфир'!$B:$B=$A170,'Основной эфир'!$C:$C=$B170,'Основной эфир'!$I:$I=$C170)), 0) "),0.0)</f>
        <v>0</v>
      </c>
      <c r="F170" s="91">
        <f>IFERROR(__xludf.DUMMYFUNCTION("IFERROR(sum(filter('Основной эфир'!$O:$O, 'Основной эфир'!$B:$B=$A170,'Основной эфир'!$C:$C=$B170,'Основной эфир'!$I:$I=$C170)), 0) "),0.0)</f>
        <v>0</v>
      </c>
      <c r="G170" s="91">
        <f>IFERROR(__xludf.DUMMYFUNCTION("IFERROR(sum(filter('Основной эфир'!$Q:$Q, 'Основной эфир'!$B:$B=$A170,'Основной эфир'!$C:$C=$B170,'Основной эфир'!$I:$I=$C170)), 0) "),0.0)</f>
        <v>0</v>
      </c>
      <c r="H170" s="91">
        <f>IFERROR(__xludf.DUMMYFUNCTION("IFERROR(AVERAGE(filter('Основной эфир'!$Y:$Y, 'Основной эфир'!$B:$B=$A170,'Основной эфир'!$C:$C=$B170,'Основной эфир'!$I:$I=$C170)), 0) "),0.0)</f>
        <v>0</v>
      </c>
      <c r="I170" s="91">
        <f>IFERROR(__xludf.DUMMYFUNCTION("IFERROR(AVERAGE(filter('Основной эфир'!$AE:$AE, 'Основной эфир'!$B:$B=$A170,'Основной эфир'!$C:$C=$B170,'Основной эфир'!$I:$I=$C170)), 0) "),0.0)</f>
        <v>0</v>
      </c>
      <c r="J170" s="91">
        <f>IFERROR(__xludf.DUMMYFUNCTION("IFERROR(SUM(filter('Основной эфир'!$AL:$AL, 'Основной эфир'!$B:$B=$A170,'Основной эфир'!$C:$C=$B170,'Основной эфир'!$I:$I=$C170)), 0) "),0.0)</f>
        <v>0</v>
      </c>
      <c r="K170" s="91" t="str">
        <f>IFERROR(__xludf.DUMMYFUNCTION("IFERROR(REGEXREPLACE(unique(filter('Основной эфир'!$A:$A, 'Основной эфир'!$B:$B=$A170,'Основной эфир'!$C:$C=$B170,'Основной эфир'!$I:$I=$C170)), ""\d+"", """"),"""")"),"")</f>
        <v/>
      </c>
      <c r="L170" s="91" t="str">
        <f>IFERROR(__xludf.DUMMYFUNCTION("IFERROR(unique(filter('Основной эфир'!$F:$F, 'Основной эфир'!$B:$B=$A170,'Основной эфир'!$C:$C=$B170,'Основной эфир'!$I:$I=$C170)),"""")"),"")</f>
        <v/>
      </c>
      <c r="M170" s="92" t="str">
        <f t="shared" si="1"/>
        <v/>
      </c>
      <c r="N170" s="93">
        <f>IFERROR(__xludf.DUMMYFUNCTION("IFERROR(SWITCH(lower(join("" "",L170:M170)),""а миллионник"", 62.5,""б миллионник"", 75,""а мск"", 50, ""б мск"", 62.5, ""a остальное"", 70, ""б остальное"", 80)/100,0)"),0.0)</f>
        <v>0</v>
      </c>
      <c r="O170" s="91">
        <f t="shared" si="2"/>
        <v>0</v>
      </c>
      <c r="P170" s="91">
        <f>IFERROR(__xludf.DUMMYFUNCTION("IFERROR(sum(filter('Генеральный баннер'!$O:$O, 'Генеральный баннер'!$B:$B=$A170,'Генеральный баннер'!$C:$C=$B170,'Генеральный баннер'!$I:$I=$C170)), 0) "),0.0)</f>
        <v>0</v>
      </c>
      <c r="Q170" s="91">
        <f>IFERROR(__xludf.DUMMYFUNCTION("IFERROR(sum(filter('Генеральный баннер'!$Q:$Q, 'Генеральный баннер'!$B:$B=$A170,'Генеральный баннер'!$C:$C=$B170,'Генеральный баннер'!$I:$I=$C170)), 0) "),0.0)</f>
        <v>0</v>
      </c>
      <c r="R170" s="91">
        <f>IFERROR(__xludf.DUMMYFUNCTION("IFERROR(AVERAGE(filter('Генеральный баннер'!$AA:$AA, 'Генеральный баннер'!$B:$B=$A170,'Генеральный баннер'!$C:$C=$B170,'Генеральный баннер'!$I:$I=$C170)), 0) "),0.0)</f>
        <v>0</v>
      </c>
      <c r="S170" s="91">
        <f>IFERROR(__xludf.DUMMYFUNCTION("IFERROR(SUM(filter('Генеральный баннер'!$AH:$AH, 'Генеральный баннер'!$B:$B=$A170,'Генеральный баннер'!$C:$C=$B170,'Генеральный баннер'!$I:$I=$C170)), 0) "),0.0)</f>
        <v>0</v>
      </c>
      <c r="T170" s="91" t="str">
        <f>IFERROR(__xludf.DUMMYFUNCTION("IFERROR(REGEXREPLACE(unique(filter('Генеральный баннер'!$A:$A, 'Генеральный баннер'!$B:$B=$A170,'Генеральный баннер'!$C:$C=$B170,'Генеральный баннер'!$I:$I=$C170)), ""\d+"", """"),"""")"),"")</f>
        <v/>
      </c>
      <c r="U170" s="91" t="str">
        <f>IFERROR(__xludf.DUMMYFUNCTION("IFERROR(unique(filter('Генеральный баннер'!$F:$F, 'Генеральный баннер'!$B:$B=$A170,'Генеральный баннер'!$C:$C=$B170,'Генеральный баннер'!$I:$I=$C170)),"""")"),"")</f>
        <v/>
      </c>
      <c r="V170" s="92" t="str">
        <f t="shared" si="3"/>
        <v/>
      </c>
      <c r="W170" s="93">
        <f>IFERROR(__xludf.DUMMYFUNCTION("IFERROR(SWITCH(lower(join("" "",U170:V170)),""а миллионник"", 62.5,""б миллионник"", 75,""а мск"", 50, ""б мск"", 62.5, ""a остальное"", 70, ""б остальное"", 80)/100,0)"),0.0)</f>
        <v>0</v>
      </c>
      <c r="X170" s="91">
        <f t="shared" si="4"/>
        <v>0</v>
      </c>
    </row>
    <row r="171">
      <c r="A171" s="90"/>
      <c r="B171" s="90"/>
      <c r="C171" s="90"/>
      <c r="D171" s="91">
        <f>IFERROR(__xludf.DUMMYFUNCTION("IFERROR(sum(filter('Основной эфир'!$AA:$AA, 'Основной эфир'!$B:$B=$A171,'Основной эфир'!$C:$C=$B171,'Основной эфир'!$I:$I=$C171)), 0) "),0.0)</f>
        <v>0</v>
      </c>
      <c r="E171" s="91">
        <f>IFERROR(__xludf.DUMMYFUNCTION("IFERROR(sum(filter('Основной эфир'!$AC:$AC, 'Основной эфир'!$B:$B=$A171,'Основной эфир'!$C:$C=$B171,'Основной эфир'!$I:$I=$C171)), 0) "),0.0)</f>
        <v>0</v>
      </c>
      <c r="F171" s="91">
        <f>IFERROR(__xludf.DUMMYFUNCTION("IFERROR(sum(filter('Основной эфир'!$O:$O, 'Основной эфир'!$B:$B=$A171,'Основной эфир'!$C:$C=$B171,'Основной эфир'!$I:$I=$C171)), 0) "),0.0)</f>
        <v>0</v>
      </c>
      <c r="G171" s="91">
        <f>IFERROR(__xludf.DUMMYFUNCTION("IFERROR(sum(filter('Основной эфир'!$Q:$Q, 'Основной эфир'!$B:$B=$A171,'Основной эфир'!$C:$C=$B171,'Основной эфир'!$I:$I=$C171)), 0) "),0.0)</f>
        <v>0</v>
      </c>
      <c r="H171" s="91">
        <f>IFERROR(__xludf.DUMMYFUNCTION("IFERROR(AVERAGE(filter('Основной эфир'!$Y:$Y, 'Основной эфир'!$B:$B=$A171,'Основной эфир'!$C:$C=$B171,'Основной эфир'!$I:$I=$C171)), 0) "),0.0)</f>
        <v>0</v>
      </c>
      <c r="I171" s="91">
        <f>IFERROR(__xludf.DUMMYFUNCTION("IFERROR(AVERAGE(filter('Основной эфир'!$AE:$AE, 'Основной эфир'!$B:$B=$A171,'Основной эфир'!$C:$C=$B171,'Основной эфир'!$I:$I=$C171)), 0) "),0.0)</f>
        <v>0</v>
      </c>
      <c r="J171" s="91">
        <f>IFERROR(__xludf.DUMMYFUNCTION("IFERROR(SUM(filter('Основной эфир'!$AL:$AL, 'Основной эфир'!$B:$B=$A171,'Основной эфир'!$C:$C=$B171,'Основной эфир'!$I:$I=$C171)), 0) "),0.0)</f>
        <v>0</v>
      </c>
      <c r="K171" s="91" t="str">
        <f>IFERROR(__xludf.DUMMYFUNCTION("IFERROR(REGEXREPLACE(unique(filter('Основной эфир'!$A:$A, 'Основной эфир'!$B:$B=$A171,'Основной эфир'!$C:$C=$B171,'Основной эфир'!$I:$I=$C171)), ""\d+"", """"),"""")"),"")</f>
        <v/>
      </c>
      <c r="L171" s="91" t="str">
        <f>IFERROR(__xludf.DUMMYFUNCTION("IFERROR(unique(filter('Основной эфир'!$F:$F, 'Основной эфир'!$B:$B=$A171,'Основной эфир'!$C:$C=$B171,'Основной эфир'!$I:$I=$C171)),"""")"),"")</f>
        <v/>
      </c>
      <c r="M171" s="92" t="str">
        <f t="shared" si="1"/>
        <v/>
      </c>
      <c r="N171" s="93">
        <f>IFERROR(__xludf.DUMMYFUNCTION("IFERROR(SWITCH(lower(join("" "",L171:M171)),""а миллионник"", 62.5,""б миллионник"", 75,""а мск"", 50, ""б мск"", 62.5, ""a остальное"", 70, ""б остальное"", 80)/100,0)"),0.0)</f>
        <v>0</v>
      </c>
      <c r="O171" s="91">
        <f t="shared" si="2"/>
        <v>0</v>
      </c>
      <c r="P171" s="91">
        <f>IFERROR(__xludf.DUMMYFUNCTION("IFERROR(sum(filter('Генеральный баннер'!$O:$O, 'Генеральный баннер'!$B:$B=$A171,'Генеральный баннер'!$C:$C=$B171,'Генеральный баннер'!$I:$I=$C171)), 0) "),0.0)</f>
        <v>0</v>
      </c>
      <c r="Q171" s="91">
        <f>IFERROR(__xludf.DUMMYFUNCTION("IFERROR(sum(filter('Генеральный баннер'!$Q:$Q, 'Генеральный баннер'!$B:$B=$A171,'Генеральный баннер'!$C:$C=$B171,'Генеральный баннер'!$I:$I=$C171)), 0) "),0.0)</f>
        <v>0</v>
      </c>
      <c r="R171" s="91">
        <f>IFERROR(__xludf.DUMMYFUNCTION("IFERROR(AVERAGE(filter('Генеральный баннер'!$AA:$AA, 'Генеральный баннер'!$B:$B=$A171,'Генеральный баннер'!$C:$C=$B171,'Генеральный баннер'!$I:$I=$C171)), 0) "),0.0)</f>
        <v>0</v>
      </c>
      <c r="S171" s="91">
        <f>IFERROR(__xludf.DUMMYFUNCTION("IFERROR(SUM(filter('Генеральный баннер'!$AH:$AH, 'Генеральный баннер'!$B:$B=$A171,'Генеральный баннер'!$C:$C=$B171,'Генеральный баннер'!$I:$I=$C171)), 0) "),0.0)</f>
        <v>0</v>
      </c>
      <c r="T171" s="91" t="str">
        <f>IFERROR(__xludf.DUMMYFUNCTION("IFERROR(REGEXREPLACE(unique(filter('Генеральный баннер'!$A:$A, 'Генеральный баннер'!$B:$B=$A171,'Генеральный баннер'!$C:$C=$B171,'Генеральный баннер'!$I:$I=$C171)), ""\d+"", """"),"""")"),"")</f>
        <v/>
      </c>
      <c r="U171" s="91" t="str">
        <f>IFERROR(__xludf.DUMMYFUNCTION("IFERROR(unique(filter('Генеральный баннер'!$F:$F, 'Генеральный баннер'!$B:$B=$A171,'Генеральный баннер'!$C:$C=$B171,'Генеральный баннер'!$I:$I=$C171)),"""")"),"")</f>
        <v/>
      </c>
      <c r="V171" s="92" t="str">
        <f t="shared" si="3"/>
        <v/>
      </c>
      <c r="W171" s="93">
        <f>IFERROR(__xludf.DUMMYFUNCTION("IFERROR(SWITCH(lower(join("" "",U171:V171)),""а миллионник"", 62.5,""б миллионник"", 75,""а мск"", 50, ""б мск"", 62.5, ""a остальное"", 70, ""б остальное"", 80)/100,0)"),0.0)</f>
        <v>0</v>
      </c>
      <c r="X171" s="91">
        <f t="shared" si="4"/>
        <v>0</v>
      </c>
    </row>
    <row r="172">
      <c r="A172" s="90"/>
      <c r="B172" s="90"/>
      <c r="C172" s="90"/>
      <c r="D172" s="91">
        <f>IFERROR(__xludf.DUMMYFUNCTION("IFERROR(sum(filter('Основной эфир'!$AA:$AA, 'Основной эфир'!$B:$B=$A172,'Основной эфир'!$C:$C=$B172,'Основной эфир'!$I:$I=$C172)), 0) "),0.0)</f>
        <v>0</v>
      </c>
      <c r="E172" s="91">
        <f>IFERROR(__xludf.DUMMYFUNCTION("IFERROR(sum(filter('Основной эфир'!$AC:$AC, 'Основной эфир'!$B:$B=$A172,'Основной эфир'!$C:$C=$B172,'Основной эфир'!$I:$I=$C172)), 0) "),0.0)</f>
        <v>0</v>
      </c>
      <c r="F172" s="91">
        <f>IFERROR(__xludf.DUMMYFUNCTION("IFERROR(sum(filter('Основной эфир'!$O:$O, 'Основной эфир'!$B:$B=$A172,'Основной эфир'!$C:$C=$B172,'Основной эфир'!$I:$I=$C172)), 0) "),0.0)</f>
        <v>0</v>
      </c>
      <c r="G172" s="91">
        <f>IFERROR(__xludf.DUMMYFUNCTION("IFERROR(sum(filter('Основной эфир'!$Q:$Q, 'Основной эфир'!$B:$B=$A172,'Основной эфир'!$C:$C=$B172,'Основной эфир'!$I:$I=$C172)), 0) "),0.0)</f>
        <v>0</v>
      </c>
      <c r="H172" s="91">
        <f>IFERROR(__xludf.DUMMYFUNCTION("IFERROR(AVERAGE(filter('Основной эфир'!$Y:$Y, 'Основной эфир'!$B:$B=$A172,'Основной эфир'!$C:$C=$B172,'Основной эфир'!$I:$I=$C172)), 0) "),0.0)</f>
        <v>0</v>
      </c>
      <c r="I172" s="91">
        <f>IFERROR(__xludf.DUMMYFUNCTION("IFERROR(AVERAGE(filter('Основной эфир'!$AE:$AE, 'Основной эфир'!$B:$B=$A172,'Основной эфир'!$C:$C=$B172,'Основной эфир'!$I:$I=$C172)), 0) "),0.0)</f>
        <v>0</v>
      </c>
      <c r="J172" s="91">
        <f>IFERROR(__xludf.DUMMYFUNCTION("IFERROR(SUM(filter('Основной эфир'!$AL:$AL, 'Основной эфир'!$B:$B=$A172,'Основной эфир'!$C:$C=$B172,'Основной эфир'!$I:$I=$C172)), 0) "),0.0)</f>
        <v>0</v>
      </c>
      <c r="K172" s="91" t="str">
        <f>IFERROR(__xludf.DUMMYFUNCTION("IFERROR(REGEXREPLACE(unique(filter('Основной эфир'!$A:$A, 'Основной эфир'!$B:$B=$A172,'Основной эфир'!$C:$C=$B172,'Основной эфир'!$I:$I=$C172)), ""\d+"", """"),"""")"),"")</f>
        <v/>
      </c>
      <c r="L172" s="91" t="str">
        <f>IFERROR(__xludf.DUMMYFUNCTION("IFERROR(unique(filter('Основной эфир'!$F:$F, 'Основной эфир'!$B:$B=$A172,'Основной эфир'!$C:$C=$B172,'Основной эфир'!$I:$I=$C172)),"""")"),"")</f>
        <v/>
      </c>
      <c r="M172" s="92" t="str">
        <f t="shared" si="1"/>
        <v/>
      </c>
      <c r="N172" s="93">
        <f>IFERROR(__xludf.DUMMYFUNCTION("IFERROR(SWITCH(lower(join("" "",L172:M172)),""а миллионник"", 62.5,""б миллионник"", 75,""а мск"", 50, ""б мск"", 62.5, ""a остальное"", 70, ""б остальное"", 80)/100,0)"),0.0)</f>
        <v>0</v>
      </c>
      <c r="O172" s="91">
        <f t="shared" si="2"/>
        <v>0</v>
      </c>
      <c r="P172" s="91">
        <f>IFERROR(__xludf.DUMMYFUNCTION("IFERROR(sum(filter('Генеральный баннер'!$O:$O, 'Генеральный баннер'!$B:$B=$A172,'Генеральный баннер'!$C:$C=$B172,'Генеральный баннер'!$I:$I=$C172)), 0) "),0.0)</f>
        <v>0</v>
      </c>
      <c r="Q172" s="91">
        <f>IFERROR(__xludf.DUMMYFUNCTION("IFERROR(sum(filter('Генеральный баннер'!$Q:$Q, 'Генеральный баннер'!$B:$B=$A172,'Генеральный баннер'!$C:$C=$B172,'Генеральный баннер'!$I:$I=$C172)), 0) "),0.0)</f>
        <v>0</v>
      </c>
      <c r="R172" s="91">
        <f>IFERROR(__xludf.DUMMYFUNCTION("IFERROR(AVERAGE(filter('Генеральный баннер'!$AA:$AA, 'Генеральный баннер'!$B:$B=$A172,'Генеральный баннер'!$C:$C=$B172,'Генеральный баннер'!$I:$I=$C172)), 0) "),0.0)</f>
        <v>0</v>
      </c>
      <c r="S172" s="91">
        <f>IFERROR(__xludf.DUMMYFUNCTION("IFERROR(SUM(filter('Генеральный баннер'!$AH:$AH, 'Генеральный баннер'!$B:$B=$A172,'Генеральный баннер'!$C:$C=$B172,'Генеральный баннер'!$I:$I=$C172)), 0) "),0.0)</f>
        <v>0</v>
      </c>
      <c r="T172" s="91" t="str">
        <f>IFERROR(__xludf.DUMMYFUNCTION("IFERROR(REGEXREPLACE(unique(filter('Генеральный баннер'!$A:$A, 'Генеральный баннер'!$B:$B=$A172,'Генеральный баннер'!$C:$C=$B172,'Генеральный баннер'!$I:$I=$C172)), ""\d+"", """"),"""")"),"")</f>
        <v/>
      </c>
      <c r="U172" s="91" t="str">
        <f>IFERROR(__xludf.DUMMYFUNCTION("IFERROR(unique(filter('Генеральный баннер'!$F:$F, 'Генеральный баннер'!$B:$B=$A172,'Генеральный баннер'!$C:$C=$B172,'Генеральный баннер'!$I:$I=$C172)),"""")"),"")</f>
        <v/>
      </c>
      <c r="V172" s="92" t="str">
        <f t="shared" si="3"/>
        <v/>
      </c>
      <c r="W172" s="93">
        <f>IFERROR(__xludf.DUMMYFUNCTION("IFERROR(SWITCH(lower(join("" "",U172:V172)),""а миллионник"", 62.5,""б миллионник"", 75,""а мск"", 50, ""б мск"", 62.5, ""a остальное"", 70, ""б остальное"", 80)/100,0)"),0.0)</f>
        <v>0</v>
      </c>
      <c r="X172" s="91">
        <f t="shared" si="4"/>
        <v>0</v>
      </c>
    </row>
    <row r="173">
      <c r="A173" s="90"/>
      <c r="B173" s="90"/>
      <c r="C173" s="90"/>
      <c r="D173" s="91">
        <f>IFERROR(__xludf.DUMMYFUNCTION("IFERROR(sum(filter('Основной эфир'!$AA:$AA, 'Основной эфир'!$B:$B=$A173,'Основной эфир'!$C:$C=$B173,'Основной эфир'!$I:$I=$C173)), 0) "),0.0)</f>
        <v>0</v>
      </c>
      <c r="E173" s="91">
        <f>IFERROR(__xludf.DUMMYFUNCTION("IFERROR(sum(filter('Основной эфир'!$AC:$AC, 'Основной эфир'!$B:$B=$A173,'Основной эфир'!$C:$C=$B173,'Основной эфир'!$I:$I=$C173)), 0) "),0.0)</f>
        <v>0</v>
      </c>
      <c r="F173" s="91">
        <f>IFERROR(__xludf.DUMMYFUNCTION("IFERROR(sum(filter('Основной эфир'!$O:$O, 'Основной эфир'!$B:$B=$A173,'Основной эфир'!$C:$C=$B173,'Основной эфир'!$I:$I=$C173)), 0) "),0.0)</f>
        <v>0</v>
      </c>
      <c r="G173" s="91">
        <f>IFERROR(__xludf.DUMMYFUNCTION("IFERROR(sum(filter('Основной эфир'!$Q:$Q, 'Основной эфир'!$B:$B=$A173,'Основной эфир'!$C:$C=$B173,'Основной эфир'!$I:$I=$C173)), 0) "),0.0)</f>
        <v>0</v>
      </c>
      <c r="H173" s="91">
        <f>IFERROR(__xludf.DUMMYFUNCTION("IFERROR(AVERAGE(filter('Основной эфир'!$Y:$Y, 'Основной эфир'!$B:$B=$A173,'Основной эфир'!$C:$C=$B173,'Основной эфир'!$I:$I=$C173)), 0) "),0.0)</f>
        <v>0</v>
      </c>
      <c r="I173" s="91">
        <f>IFERROR(__xludf.DUMMYFUNCTION("IFERROR(AVERAGE(filter('Основной эфир'!$AE:$AE, 'Основной эфир'!$B:$B=$A173,'Основной эфир'!$C:$C=$B173,'Основной эфир'!$I:$I=$C173)), 0) "),0.0)</f>
        <v>0</v>
      </c>
      <c r="J173" s="91">
        <f>IFERROR(__xludf.DUMMYFUNCTION("IFERROR(SUM(filter('Основной эфир'!$AL:$AL, 'Основной эфир'!$B:$B=$A173,'Основной эфир'!$C:$C=$B173,'Основной эфир'!$I:$I=$C173)), 0) "),0.0)</f>
        <v>0</v>
      </c>
      <c r="K173" s="91" t="str">
        <f>IFERROR(__xludf.DUMMYFUNCTION("IFERROR(REGEXREPLACE(unique(filter('Основной эфир'!$A:$A, 'Основной эфир'!$B:$B=$A173,'Основной эфир'!$C:$C=$B173,'Основной эфир'!$I:$I=$C173)), ""\d+"", """"),"""")"),"")</f>
        <v/>
      </c>
      <c r="L173" s="91" t="str">
        <f>IFERROR(__xludf.DUMMYFUNCTION("IFERROR(unique(filter('Основной эфир'!$F:$F, 'Основной эфир'!$B:$B=$A173,'Основной эфир'!$C:$C=$B173,'Основной эфир'!$I:$I=$C173)),"""")"),"")</f>
        <v/>
      </c>
      <c r="M173" s="92" t="str">
        <f t="shared" si="1"/>
        <v/>
      </c>
      <c r="N173" s="93">
        <f>IFERROR(__xludf.DUMMYFUNCTION("IFERROR(SWITCH(lower(join("" "",L173:M173)),""а миллионник"", 62.5,""б миллионник"", 75,""а мск"", 50, ""б мск"", 62.5, ""a остальное"", 70, ""б остальное"", 80)/100,0)"),0.0)</f>
        <v>0</v>
      </c>
      <c r="O173" s="91">
        <f t="shared" si="2"/>
        <v>0</v>
      </c>
      <c r="P173" s="91">
        <f>IFERROR(__xludf.DUMMYFUNCTION("IFERROR(sum(filter('Генеральный баннер'!$O:$O, 'Генеральный баннер'!$B:$B=$A173,'Генеральный баннер'!$C:$C=$B173,'Генеральный баннер'!$I:$I=$C173)), 0) "),0.0)</f>
        <v>0</v>
      </c>
      <c r="Q173" s="91">
        <f>IFERROR(__xludf.DUMMYFUNCTION("IFERROR(sum(filter('Генеральный баннер'!$Q:$Q, 'Генеральный баннер'!$B:$B=$A173,'Генеральный баннер'!$C:$C=$B173,'Генеральный баннер'!$I:$I=$C173)), 0) "),0.0)</f>
        <v>0</v>
      </c>
      <c r="R173" s="91">
        <f>IFERROR(__xludf.DUMMYFUNCTION("IFERROR(AVERAGE(filter('Генеральный баннер'!$AA:$AA, 'Генеральный баннер'!$B:$B=$A173,'Генеральный баннер'!$C:$C=$B173,'Генеральный баннер'!$I:$I=$C173)), 0) "),0.0)</f>
        <v>0</v>
      </c>
      <c r="S173" s="91">
        <f>IFERROR(__xludf.DUMMYFUNCTION("IFERROR(SUM(filter('Генеральный баннер'!$AH:$AH, 'Генеральный баннер'!$B:$B=$A173,'Генеральный баннер'!$C:$C=$B173,'Генеральный баннер'!$I:$I=$C173)), 0) "),0.0)</f>
        <v>0</v>
      </c>
      <c r="T173" s="91" t="str">
        <f>IFERROR(__xludf.DUMMYFUNCTION("IFERROR(REGEXREPLACE(unique(filter('Генеральный баннер'!$A:$A, 'Генеральный баннер'!$B:$B=$A173,'Генеральный баннер'!$C:$C=$B173,'Генеральный баннер'!$I:$I=$C173)), ""\d+"", """"),"""")"),"")</f>
        <v/>
      </c>
      <c r="U173" s="91" t="str">
        <f>IFERROR(__xludf.DUMMYFUNCTION("IFERROR(unique(filter('Генеральный баннер'!$F:$F, 'Генеральный баннер'!$B:$B=$A173,'Генеральный баннер'!$C:$C=$B173,'Генеральный баннер'!$I:$I=$C173)),"""")"),"")</f>
        <v/>
      </c>
      <c r="V173" s="92" t="str">
        <f t="shared" si="3"/>
        <v/>
      </c>
      <c r="W173" s="93">
        <f>IFERROR(__xludf.DUMMYFUNCTION("IFERROR(SWITCH(lower(join("" "",U173:V173)),""а миллионник"", 62.5,""б миллионник"", 75,""а мск"", 50, ""б мск"", 62.5, ""a остальное"", 70, ""б остальное"", 80)/100,0)"),0.0)</f>
        <v>0</v>
      </c>
      <c r="X173" s="91">
        <f t="shared" si="4"/>
        <v>0</v>
      </c>
    </row>
    <row r="174">
      <c r="A174" s="90"/>
      <c r="B174" s="90"/>
      <c r="C174" s="90"/>
      <c r="D174" s="91">
        <f>IFERROR(__xludf.DUMMYFUNCTION("IFERROR(sum(filter('Основной эфир'!$AA:$AA, 'Основной эфир'!$B:$B=$A174,'Основной эфир'!$C:$C=$B174,'Основной эфир'!$I:$I=$C174)), 0) "),0.0)</f>
        <v>0</v>
      </c>
      <c r="E174" s="91">
        <f>IFERROR(__xludf.DUMMYFUNCTION("IFERROR(sum(filter('Основной эфир'!$AC:$AC, 'Основной эфир'!$B:$B=$A174,'Основной эфир'!$C:$C=$B174,'Основной эфир'!$I:$I=$C174)), 0) "),0.0)</f>
        <v>0</v>
      </c>
      <c r="F174" s="91">
        <f>IFERROR(__xludf.DUMMYFUNCTION("IFERROR(sum(filter('Основной эфир'!$O:$O, 'Основной эфир'!$B:$B=$A174,'Основной эфир'!$C:$C=$B174,'Основной эфир'!$I:$I=$C174)), 0) "),0.0)</f>
        <v>0</v>
      </c>
      <c r="G174" s="91">
        <f>IFERROR(__xludf.DUMMYFUNCTION("IFERROR(sum(filter('Основной эфир'!$Q:$Q, 'Основной эфир'!$B:$B=$A174,'Основной эфир'!$C:$C=$B174,'Основной эфир'!$I:$I=$C174)), 0) "),0.0)</f>
        <v>0</v>
      </c>
      <c r="H174" s="91">
        <f>IFERROR(__xludf.DUMMYFUNCTION("IFERROR(AVERAGE(filter('Основной эфир'!$Y:$Y, 'Основной эфир'!$B:$B=$A174,'Основной эфир'!$C:$C=$B174,'Основной эфир'!$I:$I=$C174)), 0) "),0.0)</f>
        <v>0</v>
      </c>
      <c r="I174" s="91">
        <f>IFERROR(__xludf.DUMMYFUNCTION("IFERROR(AVERAGE(filter('Основной эфир'!$AE:$AE, 'Основной эфир'!$B:$B=$A174,'Основной эфир'!$C:$C=$B174,'Основной эфир'!$I:$I=$C174)), 0) "),0.0)</f>
        <v>0</v>
      </c>
      <c r="J174" s="91">
        <f>IFERROR(__xludf.DUMMYFUNCTION("IFERROR(SUM(filter('Основной эфир'!$AL:$AL, 'Основной эфир'!$B:$B=$A174,'Основной эфир'!$C:$C=$B174,'Основной эфир'!$I:$I=$C174)), 0) "),0.0)</f>
        <v>0</v>
      </c>
      <c r="K174" s="91" t="str">
        <f>IFERROR(__xludf.DUMMYFUNCTION("IFERROR(REGEXREPLACE(unique(filter('Основной эфир'!$A:$A, 'Основной эфир'!$B:$B=$A174,'Основной эфир'!$C:$C=$B174,'Основной эфир'!$I:$I=$C174)), ""\d+"", """"),"""")"),"")</f>
        <v/>
      </c>
      <c r="L174" s="91" t="str">
        <f>IFERROR(__xludf.DUMMYFUNCTION("IFERROR(unique(filter('Основной эфир'!$F:$F, 'Основной эфир'!$B:$B=$A174,'Основной эфир'!$C:$C=$B174,'Основной эфир'!$I:$I=$C174)),"""")"),"")</f>
        <v/>
      </c>
      <c r="M174" s="92" t="str">
        <f t="shared" si="1"/>
        <v/>
      </c>
      <c r="N174" s="93">
        <f>IFERROR(__xludf.DUMMYFUNCTION("IFERROR(SWITCH(lower(join("" "",L174:M174)),""а миллионник"", 62.5,""б миллионник"", 75,""а мск"", 50, ""б мск"", 62.5, ""a остальное"", 70, ""б остальное"", 80)/100,0)"),0.0)</f>
        <v>0</v>
      </c>
      <c r="O174" s="91">
        <f t="shared" si="2"/>
        <v>0</v>
      </c>
      <c r="P174" s="91">
        <f>IFERROR(__xludf.DUMMYFUNCTION("IFERROR(sum(filter('Генеральный баннер'!$O:$O, 'Генеральный баннер'!$B:$B=$A174,'Генеральный баннер'!$C:$C=$B174,'Генеральный баннер'!$I:$I=$C174)), 0) "),0.0)</f>
        <v>0</v>
      </c>
      <c r="Q174" s="91">
        <f>IFERROR(__xludf.DUMMYFUNCTION("IFERROR(sum(filter('Генеральный баннер'!$Q:$Q, 'Генеральный баннер'!$B:$B=$A174,'Генеральный баннер'!$C:$C=$B174,'Генеральный баннер'!$I:$I=$C174)), 0) "),0.0)</f>
        <v>0</v>
      </c>
      <c r="R174" s="91">
        <f>IFERROR(__xludf.DUMMYFUNCTION("IFERROR(AVERAGE(filter('Генеральный баннер'!$AA:$AA, 'Генеральный баннер'!$B:$B=$A174,'Генеральный баннер'!$C:$C=$B174,'Генеральный баннер'!$I:$I=$C174)), 0) "),0.0)</f>
        <v>0</v>
      </c>
      <c r="S174" s="91">
        <f>IFERROR(__xludf.DUMMYFUNCTION("IFERROR(SUM(filter('Генеральный баннер'!$AH:$AH, 'Генеральный баннер'!$B:$B=$A174,'Генеральный баннер'!$C:$C=$B174,'Генеральный баннер'!$I:$I=$C174)), 0) "),0.0)</f>
        <v>0</v>
      </c>
      <c r="T174" s="91" t="str">
        <f>IFERROR(__xludf.DUMMYFUNCTION("IFERROR(REGEXREPLACE(unique(filter('Генеральный баннер'!$A:$A, 'Генеральный баннер'!$B:$B=$A174,'Генеральный баннер'!$C:$C=$B174,'Генеральный баннер'!$I:$I=$C174)), ""\d+"", """"),"""")"),"")</f>
        <v/>
      </c>
      <c r="U174" s="91" t="str">
        <f>IFERROR(__xludf.DUMMYFUNCTION("IFERROR(unique(filter('Генеральный баннер'!$F:$F, 'Генеральный баннер'!$B:$B=$A174,'Генеральный баннер'!$C:$C=$B174,'Генеральный баннер'!$I:$I=$C174)),"""")"),"")</f>
        <v/>
      </c>
      <c r="V174" s="92" t="str">
        <f t="shared" si="3"/>
        <v/>
      </c>
      <c r="W174" s="93">
        <f>IFERROR(__xludf.DUMMYFUNCTION("IFERROR(SWITCH(lower(join("" "",U174:V174)),""а миллионник"", 62.5,""б миллионник"", 75,""а мск"", 50, ""б мск"", 62.5, ""a остальное"", 70, ""б остальное"", 80)/100,0)"),0.0)</f>
        <v>0</v>
      </c>
      <c r="X174" s="91">
        <f t="shared" si="4"/>
        <v>0</v>
      </c>
    </row>
    <row r="175">
      <c r="A175" s="90"/>
      <c r="B175" s="90"/>
      <c r="C175" s="90"/>
      <c r="D175" s="91">
        <f>IFERROR(__xludf.DUMMYFUNCTION("IFERROR(sum(filter('Основной эфир'!$AA:$AA, 'Основной эфир'!$B:$B=$A175,'Основной эфир'!$C:$C=$B175,'Основной эфир'!$I:$I=$C175)), 0) "),0.0)</f>
        <v>0</v>
      </c>
      <c r="E175" s="91">
        <f>IFERROR(__xludf.DUMMYFUNCTION("IFERROR(sum(filter('Основной эфир'!$AC:$AC, 'Основной эфир'!$B:$B=$A175,'Основной эфир'!$C:$C=$B175,'Основной эфир'!$I:$I=$C175)), 0) "),0.0)</f>
        <v>0</v>
      </c>
      <c r="F175" s="91">
        <f>IFERROR(__xludf.DUMMYFUNCTION("IFERROR(sum(filter('Основной эфир'!$O:$O, 'Основной эфир'!$B:$B=$A175,'Основной эфир'!$C:$C=$B175,'Основной эфир'!$I:$I=$C175)), 0) "),0.0)</f>
        <v>0</v>
      </c>
      <c r="G175" s="91">
        <f>IFERROR(__xludf.DUMMYFUNCTION("IFERROR(sum(filter('Основной эфир'!$Q:$Q, 'Основной эфир'!$B:$B=$A175,'Основной эфир'!$C:$C=$B175,'Основной эфир'!$I:$I=$C175)), 0) "),0.0)</f>
        <v>0</v>
      </c>
      <c r="H175" s="91">
        <f>IFERROR(__xludf.DUMMYFUNCTION("IFERROR(AVERAGE(filter('Основной эфир'!$Y:$Y, 'Основной эфир'!$B:$B=$A175,'Основной эфир'!$C:$C=$B175,'Основной эфир'!$I:$I=$C175)), 0) "),0.0)</f>
        <v>0</v>
      </c>
      <c r="I175" s="91">
        <f>IFERROR(__xludf.DUMMYFUNCTION("IFERROR(AVERAGE(filter('Основной эфир'!$AE:$AE, 'Основной эфир'!$B:$B=$A175,'Основной эфир'!$C:$C=$B175,'Основной эфир'!$I:$I=$C175)), 0) "),0.0)</f>
        <v>0</v>
      </c>
      <c r="J175" s="91">
        <f>IFERROR(__xludf.DUMMYFUNCTION("IFERROR(SUM(filter('Основной эфир'!$AL:$AL, 'Основной эфир'!$B:$B=$A175,'Основной эфир'!$C:$C=$B175,'Основной эфир'!$I:$I=$C175)), 0) "),0.0)</f>
        <v>0</v>
      </c>
      <c r="K175" s="91" t="str">
        <f>IFERROR(__xludf.DUMMYFUNCTION("IFERROR(REGEXREPLACE(unique(filter('Основной эфир'!$A:$A, 'Основной эфир'!$B:$B=$A175,'Основной эфир'!$C:$C=$B175,'Основной эфир'!$I:$I=$C175)), ""\d+"", """"),"""")"),"")</f>
        <v/>
      </c>
      <c r="L175" s="91" t="str">
        <f>IFERROR(__xludf.DUMMYFUNCTION("IFERROR(unique(filter('Основной эфир'!$F:$F, 'Основной эфир'!$B:$B=$A175,'Основной эфир'!$C:$C=$B175,'Основной эфир'!$I:$I=$C175)),"""")"),"")</f>
        <v/>
      </c>
      <c r="M175" s="92" t="str">
        <f t="shared" si="1"/>
        <v/>
      </c>
      <c r="N175" s="93">
        <f>IFERROR(__xludf.DUMMYFUNCTION("IFERROR(SWITCH(lower(join("" "",L175:M175)),""а миллионник"", 62.5,""б миллионник"", 75,""а мск"", 50, ""б мск"", 62.5, ""a остальное"", 70, ""б остальное"", 80)/100,0)"),0.0)</f>
        <v>0</v>
      </c>
      <c r="O175" s="91">
        <f t="shared" si="2"/>
        <v>0</v>
      </c>
      <c r="P175" s="91">
        <f>IFERROR(__xludf.DUMMYFUNCTION("IFERROR(sum(filter('Генеральный баннер'!$O:$O, 'Генеральный баннер'!$B:$B=$A175,'Генеральный баннер'!$C:$C=$B175,'Генеральный баннер'!$I:$I=$C175)), 0) "),0.0)</f>
        <v>0</v>
      </c>
      <c r="Q175" s="91">
        <f>IFERROR(__xludf.DUMMYFUNCTION("IFERROR(sum(filter('Генеральный баннер'!$Q:$Q, 'Генеральный баннер'!$B:$B=$A175,'Генеральный баннер'!$C:$C=$B175,'Генеральный баннер'!$I:$I=$C175)), 0) "),0.0)</f>
        <v>0</v>
      </c>
      <c r="R175" s="91">
        <f>IFERROR(__xludf.DUMMYFUNCTION("IFERROR(AVERAGE(filter('Генеральный баннер'!$AA:$AA, 'Генеральный баннер'!$B:$B=$A175,'Генеральный баннер'!$C:$C=$B175,'Генеральный баннер'!$I:$I=$C175)), 0) "),0.0)</f>
        <v>0</v>
      </c>
      <c r="S175" s="91">
        <f>IFERROR(__xludf.DUMMYFUNCTION("IFERROR(SUM(filter('Генеральный баннер'!$AH:$AH, 'Генеральный баннер'!$B:$B=$A175,'Генеральный баннер'!$C:$C=$B175,'Генеральный баннер'!$I:$I=$C175)), 0) "),0.0)</f>
        <v>0</v>
      </c>
      <c r="T175" s="91" t="str">
        <f>IFERROR(__xludf.DUMMYFUNCTION("IFERROR(REGEXREPLACE(unique(filter('Генеральный баннер'!$A:$A, 'Генеральный баннер'!$B:$B=$A175,'Генеральный баннер'!$C:$C=$B175,'Генеральный баннер'!$I:$I=$C175)), ""\d+"", """"),"""")"),"")</f>
        <v/>
      </c>
      <c r="U175" s="91" t="str">
        <f>IFERROR(__xludf.DUMMYFUNCTION("IFERROR(unique(filter('Генеральный баннер'!$F:$F, 'Генеральный баннер'!$B:$B=$A175,'Генеральный баннер'!$C:$C=$B175,'Генеральный баннер'!$I:$I=$C175)),"""")"),"")</f>
        <v/>
      </c>
      <c r="V175" s="92" t="str">
        <f t="shared" si="3"/>
        <v/>
      </c>
      <c r="W175" s="93">
        <f>IFERROR(__xludf.DUMMYFUNCTION("IFERROR(SWITCH(lower(join("" "",U175:V175)),""а миллионник"", 62.5,""б миллионник"", 75,""а мск"", 50, ""б мск"", 62.5, ""a остальное"", 70, ""б остальное"", 80)/100,0)"),0.0)</f>
        <v>0</v>
      </c>
      <c r="X175" s="91">
        <f t="shared" si="4"/>
        <v>0</v>
      </c>
    </row>
    <row r="176">
      <c r="A176" s="12"/>
      <c r="B176" s="12"/>
      <c r="C176" s="12"/>
      <c r="D176" s="91">
        <f>IFERROR(__xludf.DUMMYFUNCTION("IFERROR(sum(filter('Основной эфир'!$AA:$AA, 'Основной эфир'!$B:$B=$A176,'Основной эфир'!$C:$C=$B176,'Основной эфир'!$I:$I=$C176)), 0) "),0.0)</f>
        <v>0</v>
      </c>
      <c r="E176" s="91">
        <f>IFERROR(__xludf.DUMMYFUNCTION("IFERROR(sum(filter('Основной эфир'!$AC:$AC, 'Основной эфир'!$B:$B=$A176,'Основной эфир'!$C:$C=$B176,'Основной эфир'!$I:$I=$C176)), 0) "),0.0)</f>
        <v>0</v>
      </c>
      <c r="F176" s="91">
        <f>IFERROR(__xludf.DUMMYFUNCTION("IFERROR(sum(filter('Основной эфир'!$O:$O, 'Основной эфир'!$B:$B=$A176,'Основной эфир'!$C:$C=$B176,'Основной эфир'!$I:$I=$C176)), 0) "),0.0)</f>
        <v>0</v>
      </c>
      <c r="G176" s="91">
        <f>IFERROR(__xludf.DUMMYFUNCTION("IFERROR(sum(filter('Основной эфир'!$Q:$Q, 'Основной эфир'!$B:$B=$A176,'Основной эфир'!$C:$C=$B176,'Основной эфир'!$I:$I=$C176)), 0) "),0.0)</f>
        <v>0</v>
      </c>
      <c r="H176" s="91">
        <f>IFERROR(__xludf.DUMMYFUNCTION("IFERROR(AVERAGE(filter('Основной эфир'!$Y:$Y, 'Основной эфир'!$B:$B=$A176,'Основной эфир'!$C:$C=$B176,'Основной эфир'!$I:$I=$C176)), 0) "),0.0)</f>
        <v>0</v>
      </c>
      <c r="I176" s="91">
        <f>IFERROR(__xludf.DUMMYFUNCTION("IFERROR(AVERAGE(filter('Основной эфир'!$AE:$AE, 'Основной эфир'!$B:$B=$A176,'Основной эфир'!$C:$C=$B176,'Основной эфир'!$I:$I=$C176)), 0) "),0.0)</f>
        <v>0</v>
      </c>
      <c r="J176" s="91">
        <f>IFERROR(__xludf.DUMMYFUNCTION("IFERROR(SUM(filter('Основной эфир'!$AL:$AL, 'Основной эфир'!$B:$B=$A176,'Основной эфир'!$C:$C=$B176,'Основной эфир'!$I:$I=$C176)), 0) "),0.0)</f>
        <v>0</v>
      </c>
      <c r="K176" s="91" t="str">
        <f>IFERROR(__xludf.DUMMYFUNCTION("IFERROR(REGEXREPLACE(unique(filter('Основной эфир'!$A:$A, 'Основной эфир'!$B:$B=$A176,'Основной эфир'!$C:$C=$B176,'Основной эфир'!$I:$I=$C176)), ""\d+"", """"),"""")"),"")</f>
        <v/>
      </c>
      <c r="L176" s="91" t="str">
        <f>IFERROR(__xludf.DUMMYFUNCTION("IFERROR(unique(filter('Основной эфир'!$F:$F, 'Основной эфир'!$B:$B=$A176,'Основной эфир'!$C:$C=$B176,'Основной эфир'!$I:$I=$C176)),"""")"),"")</f>
        <v/>
      </c>
      <c r="M176" s="92" t="str">
        <f t="shared" si="1"/>
        <v/>
      </c>
      <c r="N176" s="93">
        <f>IFERROR(__xludf.DUMMYFUNCTION("IFERROR(SWITCH(lower(join("" "",L176:M176)),""а миллионник"", 62.5,""б миллионник"", 75,""а мск"", 50, ""б мск"", 62.5, ""a остальное"", 70, ""б остальное"", 80)/100,0)"),0.0)</f>
        <v>0</v>
      </c>
      <c r="O176" s="91">
        <f t="shared" si="2"/>
        <v>0</v>
      </c>
      <c r="P176" s="91">
        <f>IFERROR(__xludf.DUMMYFUNCTION("IFERROR(sum(filter('Генеральный баннер'!$O:$O, 'Генеральный баннер'!$B:$B=$A176,'Генеральный баннер'!$C:$C=$B176,'Генеральный баннер'!$I:$I=$C176)), 0) "),0.0)</f>
        <v>0</v>
      </c>
      <c r="Q176" s="91">
        <f>IFERROR(__xludf.DUMMYFUNCTION("IFERROR(sum(filter('Генеральный баннер'!$Q:$Q, 'Генеральный баннер'!$B:$B=$A176,'Генеральный баннер'!$C:$C=$B176,'Генеральный баннер'!$I:$I=$C176)), 0) "),0.0)</f>
        <v>0</v>
      </c>
      <c r="R176" s="91">
        <f>IFERROR(__xludf.DUMMYFUNCTION("IFERROR(AVERAGE(filter('Генеральный баннер'!$AA:$AA, 'Генеральный баннер'!$B:$B=$A176,'Генеральный баннер'!$C:$C=$B176,'Генеральный баннер'!$I:$I=$C176)), 0) "),0.0)</f>
        <v>0</v>
      </c>
      <c r="S176" s="91">
        <f>IFERROR(__xludf.DUMMYFUNCTION("IFERROR(SUM(filter('Генеральный баннер'!$AH:$AH, 'Генеральный баннер'!$B:$B=$A176,'Генеральный баннер'!$C:$C=$B176,'Генеральный баннер'!$I:$I=$C176)), 0) "),0.0)</f>
        <v>0</v>
      </c>
      <c r="T176" s="91" t="str">
        <f>IFERROR(__xludf.DUMMYFUNCTION("IFERROR(REGEXREPLACE(unique(filter('Генеральный баннер'!$A:$A, 'Генеральный баннер'!$B:$B=$A176,'Генеральный баннер'!$C:$C=$B176,'Генеральный баннер'!$I:$I=$C176)), ""\d+"", """"),"""")"),"")</f>
        <v/>
      </c>
      <c r="U176" s="91" t="str">
        <f>IFERROR(__xludf.DUMMYFUNCTION("IFERROR(unique(filter('Генеральный баннер'!$F:$F, 'Генеральный баннер'!$B:$B=$A176,'Генеральный баннер'!$C:$C=$B176,'Генеральный баннер'!$I:$I=$C176)),"""")"),"")</f>
        <v/>
      </c>
      <c r="V176" s="92" t="str">
        <f t="shared" si="3"/>
        <v/>
      </c>
      <c r="W176" s="93">
        <f>IFERROR(__xludf.DUMMYFUNCTION("IFERROR(SWITCH(lower(join("" "",U176:V176)),""а миллионник"", 62.5,""б миллионник"", 75,""а мск"", 50, ""б мск"", 62.5, ""a остальное"", 70, ""б остальное"", 80)/100,0)"),0.0)</f>
        <v>0</v>
      </c>
      <c r="X176" s="91">
        <f t="shared" si="4"/>
        <v>0</v>
      </c>
    </row>
    <row r="177">
      <c r="A177" s="12"/>
      <c r="B177" s="12"/>
      <c r="C177" s="12"/>
      <c r="D177" s="91">
        <f>IFERROR(__xludf.DUMMYFUNCTION("IFERROR(sum(filter('Основной эфир'!$AA:$AA, 'Основной эфир'!$B:$B=$A177,'Основной эфир'!$C:$C=$B177,'Основной эфир'!$I:$I=$C177)), 0) "),0.0)</f>
        <v>0</v>
      </c>
      <c r="E177" s="91">
        <f>IFERROR(__xludf.DUMMYFUNCTION("IFERROR(sum(filter('Основной эфир'!$AC:$AC, 'Основной эфир'!$B:$B=$A177,'Основной эфир'!$C:$C=$B177,'Основной эфир'!$I:$I=$C177)), 0) "),0.0)</f>
        <v>0</v>
      </c>
      <c r="F177" s="91">
        <f>IFERROR(__xludf.DUMMYFUNCTION("IFERROR(sum(filter('Основной эфир'!$O:$O, 'Основной эфир'!$B:$B=$A177,'Основной эфир'!$C:$C=$B177,'Основной эфир'!$I:$I=$C177)), 0) "),0.0)</f>
        <v>0</v>
      </c>
      <c r="G177" s="91">
        <f>IFERROR(__xludf.DUMMYFUNCTION("IFERROR(sum(filter('Основной эфир'!$Q:$Q, 'Основной эфир'!$B:$B=$A177,'Основной эфир'!$C:$C=$B177,'Основной эфир'!$I:$I=$C177)), 0) "),0.0)</f>
        <v>0</v>
      </c>
      <c r="H177" s="91">
        <f>IFERROR(__xludf.DUMMYFUNCTION("IFERROR(AVERAGE(filter('Основной эфир'!$Y:$Y, 'Основной эфир'!$B:$B=$A177,'Основной эфир'!$C:$C=$B177,'Основной эфир'!$I:$I=$C177)), 0) "),0.0)</f>
        <v>0</v>
      </c>
      <c r="I177" s="91">
        <f>IFERROR(__xludf.DUMMYFUNCTION("IFERROR(AVERAGE(filter('Основной эфир'!$AE:$AE, 'Основной эфир'!$B:$B=$A177,'Основной эфир'!$C:$C=$B177,'Основной эфир'!$I:$I=$C177)), 0) "),0.0)</f>
        <v>0</v>
      </c>
      <c r="J177" s="91">
        <f>IFERROR(__xludf.DUMMYFUNCTION("IFERROR(SUM(filter('Основной эфир'!$AL:$AL, 'Основной эфир'!$B:$B=$A177,'Основной эфир'!$C:$C=$B177,'Основной эфир'!$I:$I=$C177)), 0) "),0.0)</f>
        <v>0</v>
      </c>
      <c r="K177" s="91" t="str">
        <f>IFERROR(__xludf.DUMMYFUNCTION("IFERROR(REGEXREPLACE(unique(filter('Основной эфир'!$A:$A, 'Основной эфир'!$B:$B=$A177,'Основной эфир'!$C:$C=$B177,'Основной эфир'!$I:$I=$C177)), ""\d+"", """"),"""")"),"")</f>
        <v/>
      </c>
      <c r="L177" s="91" t="str">
        <f>IFERROR(__xludf.DUMMYFUNCTION("IFERROR(unique(filter('Основной эфир'!$F:$F, 'Основной эфир'!$B:$B=$A177,'Основной эфир'!$C:$C=$B177,'Основной эфир'!$I:$I=$C177)),"""")"),"")</f>
        <v/>
      </c>
      <c r="M177" s="92" t="str">
        <f t="shared" si="1"/>
        <v/>
      </c>
      <c r="N177" s="93">
        <f>IFERROR(__xludf.DUMMYFUNCTION("IFERROR(SWITCH(lower(join("" "",L177:M177)),""а миллионник"", 62.5,""б миллионник"", 75,""а мск"", 50, ""б мск"", 62.5, ""a остальное"", 70, ""б остальное"", 80)/100,0)"),0.0)</f>
        <v>0</v>
      </c>
      <c r="O177" s="91">
        <f t="shared" si="2"/>
        <v>0</v>
      </c>
      <c r="P177" s="91">
        <f>IFERROR(__xludf.DUMMYFUNCTION("IFERROR(sum(filter('Генеральный баннер'!$O:$O, 'Генеральный баннер'!$B:$B=$A177,'Генеральный баннер'!$C:$C=$B177,'Генеральный баннер'!$I:$I=$C177)), 0) "),0.0)</f>
        <v>0</v>
      </c>
      <c r="Q177" s="91">
        <f>IFERROR(__xludf.DUMMYFUNCTION("IFERROR(sum(filter('Генеральный баннер'!$Q:$Q, 'Генеральный баннер'!$B:$B=$A177,'Генеральный баннер'!$C:$C=$B177,'Генеральный баннер'!$I:$I=$C177)), 0) "),0.0)</f>
        <v>0</v>
      </c>
      <c r="R177" s="91">
        <f>IFERROR(__xludf.DUMMYFUNCTION("IFERROR(AVERAGE(filter('Генеральный баннер'!$AA:$AA, 'Генеральный баннер'!$B:$B=$A177,'Генеральный баннер'!$C:$C=$B177,'Генеральный баннер'!$I:$I=$C177)), 0) "),0.0)</f>
        <v>0</v>
      </c>
      <c r="S177" s="91">
        <f>IFERROR(__xludf.DUMMYFUNCTION("IFERROR(SUM(filter('Генеральный баннер'!$AH:$AH, 'Генеральный баннер'!$B:$B=$A177,'Генеральный баннер'!$C:$C=$B177,'Генеральный баннер'!$I:$I=$C177)), 0) "),0.0)</f>
        <v>0</v>
      </c>
      <c r="T177" s="91" t="str">
        <f>IFERROR(__xludf.DUMMYFUNCTION("IFERROR(REGEXREPLACE(unique(filter('Генеральный баннер'!$A:$A, 'Генеральный баннер'!$B:$B=$A177,'Генеральный баннер'!$C:$C=$B177,'Генеральный баннер'!$I:$I=$C177)), ""\d+"", """"),"""")"),"")</f>
        <v/>
      </c>
      <c r="U177" s="91" t="str">
        <f>IFERROR(__xludf.DUMMYFUNCTION("IFERROR(unique(filter('Генеральный баннер'!$F:$F, 'Генеральный баннер'!$B:$B=$A177,'Генеральный баннер'!$C:$C=$B177,'Генеральный баннер'!$I:$I=$C177)),"""")"),"")</f>
        <v/>
      </c>
      <c r="V177" s="92" t="str">
        <f t="shared" si="3"/>
        <v/>
      </c>
      <c r="W177" s="93">
        <f>IFERROR(__xludf.DUMMYFUNCTION("IFERROR(SWITCH(lower(join("" "",U177:V177)),""а миллионник"", 62.5,""б миллионник"", 75,""а мск"", 50, ""б мск"", 62.5, ""a остальное"", 70, ""б остальное"", 80)/100,0)"),0.0)</f>
        <v>0</v>
      </c>
      <c r="X177" s="91">
        <f t="shared" si="4"/>
        <v>0</v>
      </c>
    </row>
    <row r="178">
      <c r="A178" s="12"/>
      <c r="B178" s="12"/>
      <c r="C178" s="12"/>
      <c r="D178" s="91">
        <f>IFERROR(__xludf.DUMMYFUNCTION("IFERROR(sum(filter('Основной эфир'!$AA:$AA, 'Основной эфир'!$B:$B=$A178,'Основной эфир'!$C:$C=$B178,'Основной эфир'!$I:$I=$C178)), 0) "),0.0)</f>
        <v>0</v>
      </c>
      <c r="E178" s="91">
        <f>IFERROR(__xludf.DUMMYFUNCTION("IFERROR(sum(filter('Основной эфир'!$AC:$AC, 'Основной эфир'!$B:$B=$A178,'Основной эфир'!$C:$C=$B178,'Основной эфир'!$I:$I=$C178)), 0) "),0.0)</f>
        <v>0</v>
      </c>
      <c r="F178" s="91">
        <f>IFERROR(__xludf.DUMMYFUNCTION("IFERROR(sum(filter('Основной эфир'!$O:$O, 'Основной эфир'!$B:$B=$A178,'Основной эфир'!$C:$C=$B178,'Основной эфир'!$I:$I=$C178)), 0) "),0.0)</f>
        <v>0</v>
      </c>
      <c r="G178" s="91">
        <f>IFERROR(__xludf.DUMMYFUNCTION("IFERROR(sum(filter('Основной эфир'!$Q:$Q, 'Основной эфир'!$B:$B=$A178,'Основной эфир'!$C:$C=$B178,'Основной эфир'!$I:$I=$C178)), 0) "),0.0)</f>
        <v>0</v>
      </c>
      <c r="H178" s="91">
        <f>IFERROR(__xludf.DUMMYFUNCTION("IFERROR(AVERAGE(filter('Основной эфир'!$Y:$Y, 'Основной эфир'!$B:$B=$A178,'Основной эфир'!$C:$C=$B178,'Основной эфир'!$I:$I=$C178)), 0) "),0.0)</f>
        <v>0</v>
      </c>
      <c r="I178" s="91">
        <f>IFERROR(__xludf.DUMMYFUNCTION("IFERROR(AVERAGE(filter('Основной эфир'!$AE:$AE, 'Основной эфир'!$B:$B=$A178,'Основной эфир'!$C:$C=$B178,'Основной эфир'!$I:$I=$C178)), 0) "),0.0)</f>
        <v>0</v>
      </c>
      <c r="J178" s="91">
        <f>IFERROR(__xludf.DUMMYFUNCTION("IFERROR(SUM(filter('Основной эфир'!$AL:$AL, 'Основной эфир'!$B:$B=$A178,'Основной эфир'!$C:$C=$B178,'Основной эфир'!$I:$I=$C178)), 0) "),0.0)</f>
        <v>0</v>
      </c>
      <c r="K178" s="91" t="str">
        <f>IFERROR(__xludf.DUMMYFUNCTION("IFERROR(REGEXREPLACE(unique(filter('Основной эфир'!$A:$A, 'Основной эфир'!$B:$B=$A178,'Основной эфир'!$C:$C=$B178,'Основной эфир'!$I:$I=$C178)), ""\d+"", """"),"""")"),"")</f>
        <v/>
      </c>
      <c r="L178" s="91" t="str">
        <f>IFERROR(__xludf.DUMMYFUNCTION("IFERROR(unique(filter('Основной эфир'!$F:$F, 'Основной эфир'!$B:$B=$A178,'Основной эфир'!$C:$C=$B178,'Основной эфир'!$I:$I=$C178)),"""")"),"")</f>
        <v/>
      </c>
      <c r="M178" s="92" t="str">
        <f t="shared" si="1"/>
        <v/>
      </c>
      <c r="N178" s="93">
        <f>IFERROR(__xludf.DUMMYFUNCTION("IFERROR(SWITCH(lower(join("" "",L178:M178)),""а миллионник"", 62.5,""б миллионник"", 75,""а мск"", 50, ""б мск"", 62.5, ""a остальное"", 70, ""б остальное"", 80)/100,0)"),0.0)</f>
        <v>0</v>
      </c>
      <c r="O178" s="91">
        <f t="shared" si="2"/>
        <v>0</v>
      </c>
      <c r="P178" s="91">
        <f>IFERROR(__xludf.DUMMYFUNCTION("IFERROR(sum(filter('Генеральный баннер'!$O:$O, 'Генеральный баннер'!$B:$B=$A178,'Генеральный баннер'!$C:$C=$B178,'Генеральный баннер'!$I:$I=$C178)), 0) "),0.0)</f>
        <v>0</v>
      </c>
      <c r="Q178" s="91">
        <f>IFERROR(__xludf.DUMMYFUNCTION("IFERROR(sum(filter('Генеральный баннер'!$Q:$Q, 'Генеральный баннер'!$B:$B=$A178,'Генеральный баннер'!$C:$C=$B178,'Генеральный баннер'!$I:$I=$C178)), 0) "),0.0)</f>
        <v>0</v>
      </c>
      <c r="R178" s="91">
        <f>IFERROR(__xludf.DUMMYFUNCTION("IFERROR(AVERAGE(filter('Генеральный баннер'!$AA:$AA, 'Генеральный баннер'!$B:$B=$A178,'Генеральный баннер'!$C:$C=$B178,'Генеральный баннер'!$I:$I=$C178)), 0) "),0.0)</f>
        <v>0</v>
      </c>
      <c r="S178" s="91">
        <f>IFERROR(__xludf.DUMMYFUNCTION("IFERROR(SUM(filter('Генеральный баннер'!$AH:$AH, 'Генеральный баннер'!$B:$B=$A178,'Генеральный баннер'!$C:$C=$B178,'Генеральный баннер'!$I:$I=$C178)), 0) "),0.0)</f>
        <v>0</v>
      </c>
      <c r="T178" s="91" t="str">
        <f>IFERROR(__xludf.DUMMYFUNCTION("IFERROR(REGEXREPLACE(unique(filter('Генеральный баннер'!$A:$A, 'Генеральный баннер'!$B:$B=$A178,'Генеральный баннер'!$C:$C=$B178,'Генеральный баннер'!$I:$I=$C178)), ""\d+"", """"),"""")"),"")</f>
        <v/>
      </c>
      <c r="U178" s="91" t="str">
        <f>IFERROR(__xludf.DUMMYFUNCTION("IFERROR(unique(filter('Генеральный баннер'!$F:$F, 'Генеральный баннер'!$B:$B=$A178,'Генеральный баннер'!$C:$C=$B178,'Генеральный баннер'!$I:$I=$C178)),"""")"),"")</f>
        <v/>
      </c>
      <c r="V178" s="92" t="str">
        <f t="shared" si="3"/>
        <v/>
      </c>
      <c r="W178" s="93">
        <f>IFERROR(__xludf.DUMMYFUNCTION("IFERROR(SWITCH(lower(join("" "",U178:V178)),""а миллионник"", 62.5,""б миллионник"", 75,""а мск"", 50, ""б мск"", 62.5, ""a остальное"", 70, ""б остальное"", 80)/100,0)"),0.0)</f>
        <v>0</v>
      </c>
      <c r="X178" s="91">
        <f t="shared" si="4"/>
        <v>0</v>
      </c>
    </row>
    <row r="179">
      <c r="A179" s="12"/>
      <c r="B179" s="12"/>
      <c r="C179" s="12"/>
      <c r="D179" s="91">
        <f>IFERROR(__xludf.DUMMYFUNCTION("IFERROR(sum(filter('Основной эфир'!$AA:$AA, 'Основной эфир'!$B:$B=$A179,'Основной эфир'!$C:$C=$B179,'Основной эфир'!$I:$I=$C179)), 0) "),0.0)</f>
        <v>0</v>
      </c>
      <c r="E179" s="91">
        <f>IFERROR(__xludf.DUMMYFUNCTION("IFERROR(sum(filter('Основной эфир'!$AC:$AC, 'Основной эфир'!$B:$B=$A179,'Основной эфир'!$C:$C=$B179,'Основной эфир'!$I:$I=$C179)), 0) "),0.0)</f>
        <v>0</v>
      </c>
      <c r="F179" s="91">
        <f>IFERROR(__xludf.DUMMYFUNCTION("IFERROR(sum(filter('Основной эфир'!$O:$O, 'Основной эфир'!$B:$B=$A179,'Основной эфир'!$C:$C=$B179,'Основной эфир'!$I:$I=$C179)), 0) "),0.0)</f>
        <v>0</v>
      </c>
      <c r="G179" s="91">
        <f>IFERROR(__xludf.DUMMYFUNCTION("IFERROR(sum(filter('Основной эфир'!$Q:$Q, 'Основной эфир'!$B:$B=$A179,'Основной эфир'!$C:$C=$B179,'Основной эфир'!$I:$I=$C179)), 0) "),0.0)</f>
        <v>0</v>
      </c>
      <c r="H179" s="91">
        <f>IFERROR(__xludf.DUMMYFUNCTION("IFERROR(AVERAGE(filter('Основной эфир'!$Y:$Y, 'Основной эфир'!$B:$B=$A179,'Основной эфир'!$C:$C=$B179,'Основной эфир'!$I:$I=$C179)), 0) "),0.0)</f>
        <v>0</v>
      </c>
      <c r="I179" s="91">
        <f>IFERROR(__xludf.DUMMYFUNCTION("IFERROR(AVERAGE(filter('Основной эфир'!$AE:$AE, 'Основной эфир'!$B:$B=$A179,'Основной эфир'!$C:$C=$B179,'Основной эфир'!$I:$I=$C179)), 0) "),0.0)</f>
        <v>0</v>
      </c>
      <c r="J179" s="91">
        <f>IFERROR(__xludf.DUMMYFUNCTION("IFERROR(SUM(filter('Основной эфир'!$AL:$AL, 'Основной эфир'!$B:$B=$A179,'Основной эфир'!$C:$C=$B179,'Основной эфир'!$I:$I=$C179)), 0) "),0.0)</f>
        <v>0</v>
      </c>
      <c r="K179" s="91" t="str">
        <f>IFERROR(__xludf.DUMMYFUNCTION("IFERROR(REGEXREPLACE(unique(filter('Основной эфир'!$A:$A, 'Основной эфир'!$B:$B=$A179,'Основной эфир'!$C:$C=$B179,'Основной эфир'!$I:$I=$C179)), ""\d+"", """"),"""")"),"")</f>
        <v/>
      </c>
      <c r="L179" s="91" t="str">
        <f>IFERROR(__xludf.DUMMYFUNCTION("IFERROR(unique(filter('Основной эфир'!$F:$F, 'Основной эфир'!$B:$B=$A179,'Основной эфир'!$C:$C=$B179,'Основной эфир'!$I:$I=$C179)),"""")"),"")</f>
        <v/>
      </c>
      <c r="M179" s="92" t="str">
        <f t="shared" si="1"/>
        <v/>
      </c>
      <c r="N179" s="93">
        <f>IFERROR(__xludf.DUMMYFUNCTION("IFERROR(SWITCH(lower(join("" "",L179:M179)),""а миллионник"", 62.5,""б миллионник"", 75,""а мск"", 50, ""б мск"", 62.5, ""a остальное"", 70, ""б остальное"", 80)/100,0)"),0.0)</f>
        <v>0</v>
      </c>
      <c r="O179" s="91">
        <f t="shared" si="2"/>
        <v>0</v>
      </c>
      <c r="P179" s="91">
        <f>IFERROR(__xludf.DUMMYFUNCTION("IFERROR(sum(filter('Генеральный баннер'!$O:$O, 'Генеральный баннер'!$B:$B=$A179,'Генеральный баннер'!$C:$C=$B179,'Генеральный баннер'!$I:$I=$C179)), 0) "),0.0)</f>
        <v>0</v>
      </c>
      <c r="Q179" s="91">
        <f>IFERROR(__xludf.DUMMYFUNCTION("IFERROR(sum(filter('Генеральный баннер'!$Q:$Q, 'Генеральный баннер'!$B:$B=$A179,'Генеральный баннер'!$C:$C=$B179,'Генеральный баннер'!$I:$I=$C179)), 0) "),0.0)</f>
        <v>0</v>
      </c>
      <c r="R179" s="91">
        <f>IFERROR(__xludf.DUMMYFUNCTION("IFERROR(AVERAGE(filter('Генеральный баннер'!$AA:$AA, 'Генеральный баннер'!$B:$B=$A179,'Генеральный баннер'!$C:$C=$B179,'Генеральный баннер'!$I:$I=$C179)), 0) "),0.0)</f>
        <v>0</v>
      </c>
      <c r="S179" s="91">
        <f>IFERROR(__xludf.DUMMYFUNCTION("IFERROR(SUM(filter('Генеральный баннер'!$AH:$AH, 'Генеральный баннер'!$B:$B=$A179,'Генеральный баннер'!$C:$C=$B179,'Генеральный баннер'!$I:$I=$C179)), 0) "),0.0)</f>
        <v>0</v>
      </c>
      <c r="T179" s="91" t="str">
        <f>IFERROR(__xludf.DUMMYFUNCTION("IFERROR(REGEXREPLACE(unique(filter('Генеральный баннер'!$A:$A, 'Генеральный баннер'!$B:$B=$A179,'Генеральный баннер'!$C:$C=$B179,'Генеральный баннер'!$I:$I=$C179)), ""\d+"", """"),"""")"),"")</f>
        <v/>
      </c>
      <c r="U179" s="91" t="str">
        <f>IFERROR(__xludf.DUMMYFUNCTION("IFERROR(unique(filter('Генеральный баннер'!$F:$F, 'Генеральный баннер'!$B:$B=$A179,'Генеральный баннер'!$C:$C=$B179,'Генеральный баннер'!$I:$I=$C179)),"""")"),"")</f>
        <v/>
      </c>
      <c r="V179" s="92" t="str">
        <f t="shared" si="3"/>
        <v/>
      </c>
      <c r="W179" s="93">
        <f>IFERROR(__xludf.DUMMYFUNCTION("IFERROR(SWITCH(lower(join("" "",U179:V179)),""а миллионник"", 62.5,""б миллионник"", 75,""а мск"", 50, ""б мск"", 62.5, ""a остальное"", 70, ""б остальное"", 80)/100,0)"),0.0)</f>
        <v>0</v>
      </c>
      <c r="X179" s="91">
        <f t="shared" si="4"/>
        <v>0</v>
      </c>
    </row>
    <row r="180">
      <c r="A180" s="12"/>
      <c r="B180" s="12"/>
      <c r="C180" s="12"/>
      <c r="D180" s="91">
        <f>IFERROR(__xludf.DUMMYFUNCTION("IFERROR(sum(filter('Основной эфир'!$AA:$AA, 'Основной эфир'!$B:$B=$A180,'Основной эфир'!$C:$C=$B180,'Основной эфир'!$I:$I=$C180)), 0) "),0.0)</f>
        <v>0</v>
      </c>
      <c r="E180" s="91">
        <f>IFERROR(__xludf.DUMMYFUNCTION("IFERROR(sum(filter('Основной эфир'!$AC:$AC, 'Основной эфир'!$B:$B=$A180,'Основной эфир'!$C:$C=$B180,'Основной эфир'!$I:$I=$C180)), 0) "),0.0)</f>
        <v>0</v>
      </c>
      <c r="F180" s="91">
        <f>IFERROR(__xludf.DUMMYFUNCTION("IFERROR(sum(filter('Основной эфир'!$O:$O, 'Основной эфир'!$B:$B=$A180,'Основной эфир'!$C:$C=$B180,'Основной эфир'!$I:$I=$C180)), 0) "),0.0)</f>
        <v>0</v>
      </c>
      <c r="G180" s="91">
        <f>IFERROR(__xludf.DUMMYFUNCTION("IFERROR(sum(filter('Основной эфир'!$Q:$Q, 'Основной эфир'!$B:$B=$A180,'Основной эфир'!$C:$C=$B180,'Основной эфир'!$I:$I=$C180)), 0) "),0.0)</f>
        <v>0</v>
      </c>
      <c r="H180" s="91">
        <f>IFERROR(__xludf.DUMMYFUNCTION("IFERROR(AVERAGE(filter('Основной эфир'!$Y:$Y, 'Основной эфир'!$B:$B=$A180,'Основной эфир'!$C:$C=$B180,'Основной эфир'!$I:$I=$C180)), 0) "),0.0)</f>
        <v>0</v>
      </c>
      <c r="I180" s="91">
        <f>IFERROR(__xludf.DUMMYFUNCTION("IFERROR(AVERAGE(filter('Основной эфир'!$AE:$AE, 'Основной эфир'!$B:$B=$A180,'Основной эфир'!$C:$C=$B180,'Основной эфир'!$I:$I=$C180)), 0) "),0.0)</f>
        <v>0</v>
      </c>
      <c r="J180" s="91">
        <f>IFERROR(__xludf.DUMMYFUNCTION("IFERROR(SUM(filter('Основной эфир'!$AL:$AL, 'Основной эфир'!$B:$B=$A180,'Основной эфир'!$C:$C=$B180,'Основной эфир'!$I:$I=$C180)), 0) "),0.0)</f>
        <v>0</v>
      </c>
      <c r="K180" s="91" t="str">
        <f>IFERROR(__xludf.DUMMYFUNCTION("IFERROR(REGEXREPLACE(unique(filter('Основной эфир'!$A:$A, 'Основной эфир'!$B:$B=$A180,'Основной эфир'!$C:$C=$B180,'Основной эфир'!$I:$I=$C180)), ""\d+"", """"),"""")"),"")</f>
        <v/>
      </c>
      <c r="L180" s="91" t="str">
        <f>IFERROR(__xludf.DUMMYFUNCTION("IFERROR(unique(filter('Основной эфир'!$F:$F, 'Основной эфир'!$B:$B=$A180,'Основной эфир'!$C:$C=$B180,'Основной эфир'!$I:$I=$C180)),"""")"),"")</f>
        <v/>
      </c>
      <c r="M180" s="92" t="str">
        <f t="shared" si="1"/>
        <v/>
      </c>
      <c r="N180" s="93">
        <f>IFERROR(__xludf.DUMMYFUNCTION("IFERROR(SWITCH(lower(join("" "",L180:M180)),""а миллионник"", 62.5,""б миллионник"", 75,""а мск"", 50, ""б мск"", 62.5, ""a остальное"", 70, ""б остальное"", 80)/100,0)"),0.0)</f>
        <v>0</v>
      </c>
      <c r="O180" s="91">
        <f t="shared" si="2"/>
        <v>0</v>
      </c>
      <c r="P180" s="91">
        <f>IFERROR(__xludf.DUMMYFUNCTION("IFERROR(sum(filter('Генеральный баннер'!$O:$O, 'Генеральный баннер'!$B:$B=$A180,'Генеральный баннер'!$C:$C=$B180,'Генеральный баннер'!$I:$I=$C180)), 0) "),0.0)</f>
        <v>0</v>
      </c>
      <c r="Q180" s="91">
        <f>IFERROR(__xludf.DUMMYFUNCTION("IFERROR(sum(filter('Генеральный баннер'!$Q:$Q, 'Генеральный баннер'!$B:$B=$A180,'Генеральный баннер'!$C:$C=$B180,'Генеральный баннер'!$I:$I=$C180)), 0) "),0.0)</f>
        <v>0</v>
      </c>
      <c r="R180" s="91">
        <f>IFERROR(__xludf.DUMMYFUNCTION("IFERROR(AVERAGE(filter('Генеральный баннер'!$AA:$AA, 'Генеральный баннер'!$B:$B=$A180,'Генеральный баннер'!$C:$C=$B180,'Генеральный баннер'!$I:$I=$C180)), 0) "),0.0)</f>
        <v>0</v>
      </c>
      <c r="S180" s="91">
        <f>IFERROR(__xludf.DUMMYFUNCTION("IFERROR(SUM(filter('Генеральный баннер'!$AH:$AH, 'Генеральный баннер'!$B:$B=$A180,'Генеральный баннер'!$C:$C=$B180,'Генеральный баннер'!$I:$I=$C180)), 0) "),0.0)</f>
        <v>0</v>
      </c>
      <c r="T180" s="91" t="str">
        <f>IFERROR(__xludf.DUMMYFUNCTION("IFERROR(REGEXREPLACE(unique(filter('Генеральный баннер'!$A:$A, 'Генеральный баннер'!$B:$B=$A180,'Генеральный баннер'!$C:$C=$B180,'Генеральный баннер'!$I:$I=$C180)), ""\d+"", """"),"""")"),"")</f>
        <v/>
      </c>
      <c r="U180" s="91" t="str">
        <f>IFERROR(__xludf.DUMMYFUNCTION("IFERROR(unique(filter('Генеральный баннер'!$F:$F, 'Генеральный баннер'!$B:$B=$A180,'Генеральный баннер'!$C:$C=$B180,'Генеральный баннер'!$I:$I=$C180)),"""")"),"")</f>
        <v/>
      </c>
      <c r="V180" s="92" t="str">
        <f t="shared" si="3"/>
        <v/>
      </c>
      <c r="W180" s="93">
        <f>IFERROR(__xludf.DUMMYFUNCTION("IFERROR(SWITCH(lower(join("" "",U180:V180)),""а миллионник"", 62.5,""б миллионник"", 75,""а мск"", 50, ""б мск"", 62.5, ""a остальное"", 70, ""б остальное"", 80)/100,0)"),0.0)</f>
        <v>0</v>
      </c>
      <c r="X180" s="91">
        <f t="shared" si="4"/>
        <v>0</v>
      </c>
    </row>
    <row r="181">
      <c r="A181" s="12"/>
      <c r="B181" s="12"/>
      <c r="C181" s="12"/>
      <c r="D181" s="91">
        <f>IFERROR(__xludf.DUMMYFUNCTION("IFERROR(sum(filter('Основной эфир'!$AA:$AA, 'Основной эфир'!$B:$B=$A181,'Основной эфир'!$C:$C=$B181,'Основной эфир'!$I:$I=$C181)), 0) "),0.0)</f>
        <v>0</v>
      </c>
      <c r="E181" s="91">
        <f>IFERROR(__xludf.DUMMYFUNCTION("IFERROR(sum(filter('Основной эфир'!$AC:$AC, 'Основной эфир'!$B:$B=$A181,'Основной эфир'!$C:$C=$B181,'Основной эфир'!$I:$I=$C181)), 0) "),0.0)</f>
        <v>0</v>
      </c>
      <c r="F181" s="91">
        <f>IFERROR(__xludf.DUMMYFUNCTION("IFERROR(sum(filter('Основной эфир'!$O:$O, 'Основной эфир'!$B:$B=$A181,'Основной эфир'!$C:$C=$B181,'Основной эфир'!$I:$I=$C181)), 0) "),0.0)</f>
        <v>0</v>
      </c>
      <c r="G181" s="91">
        <f>IFERROR(__xludf.DUMMYFUNCTION("IFERROR(sum(filter('Основной эфир'!$Q:$Q, 'Основной эфир'!$B:$B=$A181,'Основной эфир'!$C:$C=$B181,'Основной эфир'!$I:$I=$C181)), 0) "),0.0)</f>
        <v>0</v>
      </c>
      <c r="H181" s="91">
        <f>IFERROR(__xludf.DUMMYFUNCTION("IFERROR(AVERAGE(filter('Основной эфир'!$Y:$Y, 'Основной эфир'!$B:$B=$A181,'Основной эфир'!$C:$C=$B181,'Основной эфир'!$I:$I=$C181)), 0) "),0.0)</f>
        <v>0</v>
      </c>
      <c r="I181" s="91">
        <f>IFERROR(__xludf.DUMMYFUNCTION("IFERROR(AVERAGE(filter('Основной эфир'!$AE:$AE, 'Основной эфир'!$B:$B=$A181,'Основной эфир'!$C:$C=$B181,'Основной эфир'!$I:$I=$C181)), 0) "),0.0)</f>
        <v>0</v>
      </c>
      <c r="J181" s="91">
        <f>IFERROR(__xludf.DUMMYFUNCTION("IFERROR(SUM(filter('Основной эфир'!$AL:$AL, 'Основной эфир'!$B:$B=$A181,'Основной эфир'!$C:$C=$B181,'Основной эфир'!$I:$I=$C181)), 0) "),0.0)</f>
        <v>0</v>
      </c>
      <c r="K181" s="91" t="str">
        <f>IFERROR(__xludf.DUMMYFUNCTION("IFERROR(REGEXREPLACE(unique(filter('Основной эфир'!$A:$A, 'Основной эфир'!$B:$B=$A181,'Основной эфир'!$C:$C=$B181,'Основной эфир'!$I:$I=$C181)), ""\d+"", """"),"""")"),"")</f>
        <v/>
      </c>
      <c r="L181" s="91" t="str">
        <f>IFERROR(__xludf.DUMMYFUNCTION("IFERROR(unique(filter('Основной эфир'!$F:$F, 'Основной эфир'!$B:$B=$A181,'Основной эфир'!$C:$C=$B181,'Основной эфир'!$I:$I=$C181)),"""")"),"")</f>
        <v/>
      </c>
      <c r="M181" s="92" t="str">
        <f t="shared" si="1"/>
        <v/>
      </c>
      <c r="N181" s="93">
        <f>IFERROR(__xludf.DUMMYFUNCTION("IFERROR(SWITCH(lower(join("" "",L181:M181)),""а миллионник"", 62.5,""б миллионник"", 75,""а мск"", 50, ""б мск"", 62.5, ""a остальное"", 70, ""б остальное"", 80)/100,0)"),0.0)</f>
        <v>0</v>
      </c>
      <c r="O181" s="91">
        <f t="shared" si="2"/>
        <v>0</v>
      </c>
      <c r="P181" s="91">
        <f>IFERROR(__xludf.DUMMYFUNCTION("IFERROR(sum(filter('Генеральный баннер'!$O:$O, 'Генеральный баннер'!$B:$B=$A181,'Генеральный баннер'!$C:$C=$B181,'Генеральный баннер'!$I:$I=$C181)), 0) "),0.0)</f>
        <v>0</v>
      </c>
      <c r="Q181" s="91">
        <f>IFERROR(__xludf.DUMMYFUNCTION("IFERROR(sum(filter('Генеральный баннер'!$Q:$Q, 'Генеральный баннер'!$B:$B=$A181,'Генеральный баннер'!$C:$C=$B181,'Генеральный баннер'!$I:$I=$C181)), 0) "),0.0)</f>
        <v>0</v>
      </c>
      <c r="R181" s="91">
        <f>IFERROR(__xludf.DUMMYFUNCTION("IFERROR(AVERAGE(filter('Генеральный баннер'!$AA:$AA, 'Генеральный баннер'!$B:$B=$A181,'Генеральный баннер'!$C:$C=$B181,'Генеральный баннер'!$I:$I=$C181)), 0) "),0.0)</f>
        <v>0</v>
      </c>
      <c r="S181" s="91">
        <f>IFERROR(__xludf.DUMMYFUNCTION("IFERROR(SUM(filter('Генеральный баннер'!$AH:$AH, 'Генеральный баннер'!$B:$B=$A181,'Генеральный баннер'!$C:$C=$B181,'Генеральный баннер'!$I:$I=$C181)), 0) "),0.0)</f>
        <v>0</v>
      </c>
      <c r="T181" s="91" t="str">
        <f>IFERROR(__xludf.DUMMYFUNCTION("IFERROR(REGEXREPLACE(unique(filter('Генеральный баннер'!$A:$A, 'Генеральный баннер'!$B:$B=$A181,'Генеральный баннер'!$C:$C=$B181,'Генеральный баннер'!$I:$I=$C181)), ""\d+"", """"),"""")"),"")</f>
        <v/>
      </c>
      <c r="U181" s="91" t="str">
        <f>IFERROR(__xludf.DUMMYFUNCTION("IFERROR(unique(filter('Генеральный баннер'!$F:$F, 'Генеральный баннер'!$B:$B=$A181,'Генеральный баннер'!$C:$C=$B181,'Генеральный баннер'!$I:$I=$C181)),"""")"),"")</f>
        <v/>
      </c>
      <c r="V181" s="92" t="str">
        <f t="shared" si="3"/>
        <v/>
      </c>
      <c r="W181" s="93">
        <f>IFERROR(__xludf.DUMMYFUNCTION("IFERROR(SWITCH(lower(join("" "",U181:V181)),""а миллионник"", 62.5,""б миллионник"", 75,""а мск"", 50, ""б мск"", 62.5, ""a остальное"", 70, ""б остальное"", 80)/100,0)"),0.0)</f>
        <v>0</v>
      </c>
      <c r="X181" s="91">
        <f t="shared" si="4"/>
        <v>0</v>
      </c>
    </row>
    <row r="182">
      <c r="A182" s="12"/>
      <c r="B182" s="12"/>
      <c r="C182" s="12"/>
      <c r="D182" s="91">
        <f>IFERROR(__xludf.DUMMYFUNCTION("IFERROR(sum(filter('Основной эфир'!$AA:$AA, 'Основной эфир'!$B:$B=$A182,'Основной эфир'!$C:$C=$B182,'Основной эфир'!$I:$I=$C182)), 0) "),0.0)</f>
        <v>0</v>
      </c>
      <c r="E182" s="91">
        <f>IFERROR(__xludf.DUMMYFUNCTION("IFERROR(sum(filter('Основной эфир'!$AC:$AC, 'Основной эфир'!$B:$B=$A182,'Основной эфир'!$C:$C=$B182,'Основной эфир'!$I:$I=$C182)), 0) "),0.0)</f>
        <v>0</v>
      </c>
      <c r="F182" s="91">
        <f>IFERROR(__xludf.DUMMYFUNCTION("IFERROR(sum(filter('Основной эфир'!$O:$O, 'Основной эфир'!$B:$B=$A182,'Основной эфир'!$C:$C=$B182,'Основной эфир'!$I:$I=$C182)), 0) "),0.0)</f>
        <v>0</v>
      </c>
      <c r="G182" s="91">
        <f>IFERROR(__xludf.DUMMYFUNCTION("IFERROR(sum(filter('Основной эфир'!$Q:$Q, 'Основной эфир'!$B:$B=$A182,'Основной эфир'!$C:$C=$B182,'Основной эфир'!$I:$I=$C182)), 0) "),0.0)</f>
        <v>0</v>
      </c>
      <c r="H182" s="91">
        <f>IFERROR(__xludf.DUMMYFUNCTION("IFERROR(AVERAGE(filter('Основной эфир'!$Y:$Y, 'Основной эфир'!$B:$B=$A182,'Основной эфир'!$C:$C=$B182,'Основной эфир'!$I:$I=$C182)), 0) "),0.0)</f>
        <v>0</v>
      </c>
      <c r="I182" s="91">
        <f>IFERROR(__xludf.DUMMYFUNCTION("IFERROR(AVERAGE(filter('Основной эфир'!$AE:$AE, 'Основной эфир'!$B:$B=$A182,'Основной эфир'!$C:$C=$B182,'Основной эфир'!$I:$I=$C182)), 0) "),0.0)</f>
        <v>0</v>
      </c>
      <c r="J182" s="91">
        <f>IFERROR(__xludf.DUMMYFUNCTION("IFERROR(SUM(filter('Основной эфир'!$AL:$AL, 'Основной эфир'!$B:$B=$A182,'Основной эфир'!$C:$C=$B182,'Основной эфир'!$I:$I=$C182)), 0) "),0.0)</f>
        <v>0</v>
      </c>
      <c r="K182" s="91" t="str">
        <f>IFERROR(__xludf.DUMMYFUNCTION("IFERROR(REGEXREPLACE(unique(filter('Основной эфир'!$A:$A, 'Основной эфир'!$B:$B=$A182,'Основной эфир'!$C:$C=$B182,'Основной эфир'!$I:$I=$C182)), ""\d+"", """"),"""")"),"")</f>
        <v/>
      </c>
      <c r="L182" s="91" t="str">
        <f>IFERROR(__xludf.DUMMYFUNCTION("IFERROR(unique(filter('Основной эфир'!$F:$F, 'Основной эфир'!$B:$B=$A182,'Основной эфир'!$C:$C=$B182,'Основной эфир'!$I:$I=$C182)),"""")"),"")</f>
        <v/>
      </c>
      <c r="M182" s="92" t="str">
        <f t="shared" si="1"/>
        <v/>
      </c>
      <c r="N182" s="93">
        <f>IFERROR(__xludf.DUMMYFUNCTION("IFERROR(SWITCH(lower(join("" "",L182:M182)),""а миллионник"", 62.5,""б миллионник"", 75,""а мск"", 50, ""б мск"", 62.5, ""a остальное"", 70, ""б остальное"", 80)/100,0)"),0.0)</f>
        <v>0</v>
      </c>
      <c r="O182" s="91">
        <f t="shared" si="2"/>
        <v>0</v>
      </c>
      <c r="P182" s="91">
        <f>IFERROR(__xludf.DUMMYFUNCTION("IFERROR(sum(filter('Генеральный баннер'!$O:$O, 'Генеральный баннер'!$B:$B=$A182,'Генеральный баннер'!$C:$C=$B182,'Генеральный баннер'!$I:$I=$C182)), 0) "),0.0)</f>
        <v>0</v>
      </c>
      <c r="Q182" s="91">
        <f>IFERROR(__xludf.DUMMYFUNCTION("IFERROR(sum(filter('Генеральный баннер'!$Q:$Q, 'Генеральный баннер'!$B:$B=$A182,'Генеральный баннер'!$C:$C=$B182,'Генеральный баннер'!$I:$I=$C182)), 0) "),0.0)</f>
        <v>0</v>
      </c>
      <c r="R182" s="91">
        <f>IFERROR(__xludf.DUMMYFUNCTION("IFERROR(AVERAGE(filter('Генеральный баннер'!$AA:$AA, 'Генеральный баннер'!$B:$B=$A182,'Генеральный баннер'!$C:$C=$B182,'Генеральный баннер'!$I:$I=$C182)), 0) "),0.0)</f>
        <v>0</v>
      </c>
      <c r="S182" s="91">
        <f>IFERROR(__xludf.DUMMYFUNCTION("IFERROR(SUM(filter('Генеральный баннер'!$AH:$AH, 'Генеральный баннер'!$B:$B=$A182,'Генеральный баннер'!$C:$C=$B182,'Генеральный баннер'!$I:$I=$C182)), 0) "),0.0)</f>
        <v>0</v>
      </c>
      <c r="T182" s="91" t="str">
        <f>IFERROR(__xludf.DUMMYFUNCTION("IFERROR(REGEXREPLACE(unique(filter('Генеральный баннер'!$A:$A, 'Генеральный баннер'!$B:$B=$A182,'Генеральный баннер'!$C:$C=$B182,'Генеральный баннер'!$I:$I=$C182)), ""\d+"", """"),"""")"),"")</f>
        <v/>
      </c>
      <c r="U182" s="91" t="str">
        <f>IFERROR(__xludf.DUMMYFUNCTION("IFERROR(unique(filter('Генеральный баннер'!$F:$F, 'Генеральный баннер'!$B:$B=$A182,'Генеральный баннер'!$C:$C=$B182,'Генеральный баннер'!$I:$I=$C182)),"""")"),"")</f>
        <v/>
      </c>
      <c r="V182" s="92" t="str">
        <f t="shared" si="3"/>
        <v/>
      </c>
      <c r="W182" s="93">
        <f>IFERROR(__xludf.DUMMYFUNCTION("IFERROR(SWITCH(lower(join("" "",U182:V182)),""а миллионник"", 62.5,""б миллионник"", 75,""а мск"", 50, ""б мск"", 62.5, ""a остальное"", 70, ""б остальное"", 80)/100,0)"),0.0)</f>
        <v>0</v>
      </c>
      <c r="X182" s="91">
        <f t="shared" si="4"/>
        <v>0</v>
      </c>
    </row>
    <row r="183">
      <c r="A183" s="12"/>
      <c r="B183" s="12"/>
      <c r="C183" s="12"/>
      <c r="D183" s="91">
        <f>IFERROR(__xludf.DUMMYFUNCTION("IFERROR(sum(filter('Основной эфир'!$AA:$AA, 'Основной эфир'!$B:$B=$A183,'Основной эфир'!$C:$C=$B183,'Основной эфир'!$I:$I=$C183)), 0) "),0.0)</f>
        <v>0</v>
      </c>
      <c r="E183" s="91">
        <f>IFERROR(__xludf.DUMMYFUNCTION("IFERROR(sum(filter('Основной эфир'!$AC:$AC, 'Основной эфир'!$B:$B=$A183,'Основной эфир'!$C:$C=$B183,'Основной эфир'!$I:$I=$C183)), 0) "),0.0)</f>
        <v>0</v>
      </c>
      <c r="F183" s="91">
        <f>IFERROR(__xludf.DUMMYFUNCTION("IFERROR(sum(filter('Основной эфир'!$O:$O, 'Основной эфир'!$B:$B=$A183,'Основной эфир'!$C:$C=$B183,'Основной эфир'!$I:$I=$C183)), 0) "),0.0)</f>
        <v>0</v>
      </c>
      <c r="G183" s="91">
        <f>IFERROR(__xludf.DUMMYFUNCTION("IFERROR(sum(filter('Основной эфир'!$Q:$Q, 'Основной эфир'!$B:$B=$A183,'Основной эфир'!$C:$C=$B183,'Основной эфир'!$I:$I=$C183)), 0) "),0.0)</f>
        <v>0</v>
      </c>
      <c r="H183" s="91">
        <f>IFERROR(__xludf.DUMMYFUNCTION("IFERROR(AVERAGE(filter('Основной эфир'!$Y:$Y, 'Основной эфир'!$B:$B=$A183,'Основной эфир'!$C:$C=$B183,'Основной эфир'!$I:$I=$C183)), 0) "),0.0)</f>
        <v>0</v>
      </c>
      <c r="I183" s="91">
        <f>IFERROR(__xludf.DUMMYFUNCTION("IFERROR(AVERAGE(filter('Основной эфир'!$AE:$AE, 'Основной эфир'!$B:$B=$A183,'Основной эфир'!$C:$C=$B183,'Основной эфир'!$I:$I=$C183)), 0) "),0.0)</f>
        <v>0</v>
      </c>
      <c r="J183" s="91">
        <f>IFERROR(__xludf.DUMMYFUNCTION("IFERROR(SUM(filter('Основной эфир'!$AL:$AL, 'Основной эфир'!$B:$B=$A183,'Основной эфир'!$C:$C=$B183,'Основной эфир'!$I:$I=$C183)), 0) "),0.0)</f>
        <v>0</v>
      </c>
      <c r="K183" s="91" t="str">
        <f>IFERROR(__xludf.DUMMYFUNCTION("IFERROR(REGEXREPLACE(unique(filter('Основной эфир'!$A:$A, 'Основной эфир'!$B:$B=$A183,'Основной эфир'!$C:$C=$B183,'Основной эфир'!$I:$I=$C183)), ""\d+"", """"),"""")"),"")</f>
        <v/>
      </c>
      <c r="L183" s="91" t="str">
        <f>IFERROR(__xludf.DUMMYFUNCTION("IFERROR(unique(filter('Основной эфир'!$F:$F, 'Основной эфир'!$B:$B=$A183,'Основной эфир'!$C:$C=$B183,'Основной эфир'!$I:$I=$C183)),"""")"),"")</f>
        <v/>
      </c>
      <c r="M183" s="92" t="str">
        <f t="shared" si="1"/>
        <v/>
      </c>
      <c r="N183" s="93">
        <f>IFERROR(__xludf.DUMMYFUNCTION("IFERROR(SWITCH(lower(join("" "",L183:M183)),""а миллионник"", 62.5,""б миллионник"", 75,""а мск"", 50, ""б мск"", 62.5, ""a остальное"", 70, ""б остальное"", 80)/100,0)"),0.0)</f>
        <v>0</v>
      </c>
      <c r="O183" s="91">
        <f t="shared" si="2"/>
        <v>0</v>
      </c>
      <c r="P183" s="91">
        <f>IFERROR(__xludf.DUMMYFUNCTION("IFERROR(sum(filter('Генеральный баннер'!$O:$O, 'Генеральный баннер'!$B:$B=$A183,'Генеральный баннер'!$C:$C=$B183,'Генеральный баннер'!$I:$I=$C183)), 0) "),0.0)</f>
        <v>0</v>
      </c>
      <c r="Q183" s="91">
        <f>IFERROR(__xludf.DUMMYFUNCTION("IFERROR(sum(filter('Генеральный баннер'!$Q:$Q, 'Генеральный баннер'!$B:$B=$A183,'Генеральный баннер'!$C:$C=$B183,'Генеральный баннер'!$I:$I=$C183)), 0) "),0.0)</f>
        <v>0</v>
      </c>
      <c r="R183" s="91">
        <f>IFERROR(__xludf.DUMMYFUNCTION("IFERROR(AVERAGE(filter('Генеральный баннер'!$AA:$AA, 'Генеральный баннер'!$B:$B=$A183,'Генеральный баннер'!$C:$C=$B183,'Генеральный баннер'!$I:$I=$C183)), 0) "),0.0)</f>
        <v>0</v>
      </c>
      <c r="S183" s="91">
        <f>IFERROR(__xludf.DUMMYFUNCTION("IFERROR(SUM(filter('Генеральный баннер'!$AH:$AH, 'Генеральный баннер'!$B:$B=$A183,'Генеральный баннер'!$C:$C=$B183,'Генеральный баннер'!$I:$I=$C183)), 0) "),0.0)</f>
        <v>0</v>
      </c>
      <c r="T183" s="91" t="str">
        <f>IFERROR(__xludf.DUMMYFUNCTION("IFERROR(REGEXREPLACE(unique(filter('Генеральный баннер'!$A:$A, 'Генеральный баннер'!$B:$B=$A183,'Генеральный баннер'!$C:$C=$B183,'Генеральный баннер'!$I:$I=$C183)), ""\d+"", """"),"""")"),"")</f>
        <v/>
      </c>
      <c r="U183" s="91" t="str">
        <f>IFERROR(__xludf.DUMMYFUNCTION("IFERROR(unique(filter('Генеральный баннер'!$F:$F, 'Генеральный баннер'!$B:$B=$A183,'Генеральный баннер'!$C:$C=$B183,'Генеральный баннер'!$I:$I=$C183)),"""")"),"")</f>
        <v/>
      </c>
      <c r="V183" s="92" t="str">
        <f t="shared" si="3"/>
        <v/>
      </c>
      <c r="W183" s="93">
        <f>IFERROR(__xludf.DUMMYFUNCTION("IFERROR(SWITCH(lower(join("" "",U183:V183)),""а миллионник"", 62.5,""б миллионник"", 75,""а мск"", 50, ""б мск"", 62.5, ""a остальное"", 70, ""б остальное"", 80)/100,0)"),0.0)</f>
        <v>0</v>
      </c>
      <c r="X183" s="91">
        <f t="shared" si="4"/>
        <v>0</v>
      </c>
    </row>
    <row r="184">
      <c r="A184" s="12"/>
      <c r="B184" s="12"/>
      <c r="C184" s="12"/>
      <c r="D184" s="91">
        <f>IFERROR(__xludf.DUMMYFUNCTION("IFERROR(sum(filter('Основной эфир'!$AA:$AA, 'Основной эфир'!$B:$B=$A184,'Основной эфир'!$C:$C=$B184,'Основной эфир'!$I:$I=$C184)), 0) "),0.0)</f>
        <v>0</v>
      </c>
      <c r="E184" s="91">
        <f>IFERROR(__xludf.DUMMYFUNCTION("IFERROR(sum(filter('Основной эфир'!$AC:$AC, 'Основной эфир'!$B:$B=$A184,'Основной эфир'!$C:$C=$B184,'Основной эфир'!$I:$I=$C184)), 0) "),0.0)</f>
        <v>0</v>
      </c>
      <c r="F184" s="91">
        <f>IFERROR(__xludf.DUMMYFUNCTION("IFERROR(sum(filter('Основной эфир'!$O:$O, 'Основной эфир'!$B:$B=$A184,'Основной эфир'!$C:$C=$B184,'Основной эфир'!$I:$I=$C184)), 0) "),0.0)</f>
        <v>0</v>
      </c>
      <c r="G184" s="91">
        <f>IFERROR(__xludf.DUMMYFUNCTION("IFERROR(sum(filter('Основной эфир'!$Q:$Q, 'Основной эфир'!$B:$B=$A184,'Основной эфир'!$C:$C=$B184,'Основной эфир'!$I:$I=$C184)), 0) "),0.0)</f>
        <v>0</v>
      </c>
      <c r="H184" s="91">
        <f>IFERROR(__xludf.DUMMYFUNCTION("IFERROR(AVERAGE(filter('Основной эфир'!$Y:$Y, 'Основной эфир'!$B:$B=$A184,'Основной эфир'!$C:$C=$B184,'Основной эфир'!$I:$I=$C184)), 0) "),0.0)</f>
        <v>0</v>
      </c>
      <c r="I184" s="91">
        <f>IFERROR(__xludf.DUMMYFUNCTION("IFERROR(AVERAGE(filter('Основной эфир'!$AE:$AE, 'Основной эфир'!$B:$B=$A184,'Основной эфир'!$C:$C=$B184,'Основной эфир'!$I:$I=$C184)), 0) "),0.0)</f>
        <v>0</v>
      </c>
      <c r="J184" s="91">
        <f>IFERROR(__xludf.DUMMYFUNCTION("IFERROR(SUM(filter('Основной эфир'!$AL:$AL, 'Основной эфир'!$B:$B=$A184,'Основной эфир'!$C:$C=$B184,'Основной эфир'!$I:$I=$C184)), 0) "),0.0)</f>
        <v>0</v>
      </c>
      <c r="K184" s="91" t="str">
        <f>IFERROR(__xludf.DUMMYFUNCTION("IFERROR(REGEXREPLACE(unique(filter('Основной эфир'!$A:$A, 'Основной эфир'!$B:$B=$A184,'Основной эфир'!$C:$C=$B184,'Основной эфир'!$I:$I=$C184)), ""\d+"", """"),"""")"),"")</f>
        <v/>
      </c>
      <c r="L184" s="91" t="str">
        <f>IFERROR(__xludf.DUMMYFUNCTION("IFERROR(unique(filter('Основной эфир'!$F:$F, 'Основной эфир'!$B:$B=$A184,'Основной эфир'!$C:$C=$B184,'Основной эфир'!$I:$I=$C184)),"""")"),"")</f>
        <v/>
      </c>
      <c r="M184" s="92" t="str">
        <f t="shared" si="1"/>
        <v/>
      </c>
      <c r="N184" s="93">
        <f>IFERROR(__xludf.DUMMYFUNCTION("IFERROR(SWITCH(lower(join("" "",L184:M184)),""а миллионник"", 62.5,""б миллионник"", 75,""а мск"", 50, ""б мск"", 62.5, ""a остальное"", 70, ""б остальное"", 80)/100,0)"),0.0)</f>
        <v>0</v>
      </c>
      <c r="O184" s="91">
        <f t="shared" si="2"/>
        <v>0</v>
      </c>
      <c r="P184" s="91">
        <f>IFERROR(__xludf.DUMMYFUNCTION("IFERROR(sum(filter('Генеральный баннер'!$O:$O, 'Генеральный баннер'!$B:$B=$A184,'Генеральный баннер'!$C:$C=$B184,'Генеральный баннер'!$I:$I=$C184)), 0) "),0.0)</f>
        <v>0</v>
      </c>
      <c r="Q184" s="91">
        <f>IFERROR(__xludf.DUMMYFUNCTION("IFERROR(sum(filter('Генеральный баннер'!$Q:$Q, 'Генеральный баннер'!$B:$B=$A184,'Генеральный баннер'!$C:$C=$B184,'Генеральный баннер'!$I:$I=$C184)), 0) "),0.0)</f>
        <v>0</v>
      </c>
      <c r="R184" s="91">
        <f>IFERROR(__xludf.DUMMYFUNCTION("IFERROR(AVERAGE(filter('Генеральный баннер'!$AA:$AA, 'Генеральный баннер'!$B:$B=$A184,'Генеральный баннер'!$C:$C=$B184,'Генеральный баннер'!$I:$I=$C184)), 0) "),0.0)</f>
        <v>0</v>
      </c>
      <c r="S184" s="91">
        <f>IFERROR(__xludf.DUMMYFUNCTION("IFERROR(SUM(filter('Генеральный баннер'!$AH:$AH, 'Генеральный баннер'!$B:$B=$A184,'Генеральный баннер'!$C:$C=$B184,'Генеральный баннер'!$I:$I=$C184)), 0) "),0.0)</f>
        <v>0</v>
      </c>
      <c r="T184" s="91" t="str">
        <f>IFERROR(__xludf.DUMMYFUNCTION("IFERROR(REGEXREPLACE(unique(filter('Генеральный баннер'!$A:$A, 'Генеральный баннер'!$B:$B=$A184,'Генеральный баннер'!$C:$C=$B184,'Генеральный баннер'!$I:$I=$C184)), ""\d+"", """"),"""")"),"")</f>
        <v/>
      </c>
      <c r="U184" s="91" t="str">
        <f>IFERROR(__xludf.DUMMYFUNCTION("IFERROR(unique(filter('Генеральный баннер'!$F:$F, 'Генеральный баннер'!$B:$B=$A184,'Генеральный баннер'!$C:$C=$B184,'Генеральный баннер'!$I:$I=$C184)),"""")"),"")</f>
        <v/>
      </c>
      <c r="V184" s="92" t="str">
        <f t="shared" si="3"/>
        <v/>
      </c>
      <c r="W184" s="93">
        <f>IFERROR(__xludf.DUMMYFUNCTION("IFERROR(SWITCH(lower(join("" "",U184:V184)),""а миллионник"", 62.5,""б миллионник"", 75,""а мск"", 50, ""б мск"", 62.5, ""a остальное"", 70, ""б остальное"", 80)/100,0)"),0.0)</f>
        <v>0</v>
      </c>
      <c r="X184" s="91">
        <f t="shared" si="4"/>
        <v>0</v>
      </c>
    </row>
    <row r="185">
      <c r="A185" s="12"/>
      <c r="B185" s="12"/>
      <c r="C185" s="12"/>
      <c r="D185" s="91">
        <f>IFERROR(__xludf.DUMMYFUNCTION("IFERROR(sum(filter('Основной эфир'!$AA:$AA, 'Основной эфир'!$B:$B=$A185,'Основной эфир'!$C:$C=$B185,'Основной эфир'!$I:$I=$C185)), 0) "),0.0)</f>
        <v>0</v>
      </c>
      <c r="E185" s="91">
        <f>IFERROR(__xludf.DUMMYFUNCTION("IFERROR(sum(filter('Основной эфир'!$AC:$AC, 'Основной эфир'!$B:$B=$A185,'Основной эфир'!$C:$C=$B185,'Основной эфир'!$I:$I=$C185)), 0) "),0.0)</f>
        <v>0</v>
      </c>
      <c r="F185" s="91">
        <f>IFERROR(__xludf.DUMMYFUNCTION("IFERROR(sum(filter('Основной эфир'!$O:$O, 'Основной эфир'!$B:$B=$A185,'Основной эфир'!$C:$C=$B185,'Основной эфир'!$I:$I=$C185)), 0) "),0.0)</f>
        <v>0</v>
      </c>
      <c r="G185" s="91">
        <f>IFERROR(__xludf.DUMMYFUNCTION("IFERROR(sum(filter('Основной эфир'!$Q:$Q, 'Основной эфир'!$B:$B=$A185,'Основной эфир'!$C:$C=$B185,'Основной эфир'!$I:$I=$C185)), 0) "),0.0)</f>
        <v>0</v>
      </c>
      <c r="H185" s="91">
        <f>IFERROR(__xludf.DUMMYFUNCTION("IFERROR(AVERAGE(filter('Основной эфир'!$Y:$Y, 'Основной эфир'!$B:$B=$A185,'Основной эфир'!$C:$C=$B185,'Основной эфир'!$I:$I=$C185)), 0) "),0.0)</f>
        <v>0</v>
      </c>
      <c r="I185" s="91">
        <f>IFERROR(__xludf.DUMMYFUNCTION("IFERROR(AVERAGE(filter('Основной эфир'!$AE:$AE, 'Основной эфир'!$B:$B=$A185,'Основной эфир'!$C:$C=$B185,'Основной эфир'!$I:$I=$C185)), 0) "),0.0)</f>
        <v>0</v>
      </c>
      <c r="J185" s="91">
        <f>IFERROR(__xludf.DUMMYFUNCTION("IFERROR(SUM(filter('Основной эфир'!$AL:$AL, 'Основной эфир'!$B:$B=$A185,'Основной эфир'!$C:$C=$B185,'Основной эфир'!$I:$I=$C185)), 0) "),0.0)</f>
        <v>0</v>
      </c>
      <c r="K185" s="91" t="str">
        <f>IFERROR(__xludf.DUMMYFUNCTION("IFERROR(REGEXREPLACE(unique(filter('Основной эфир'!$A:$A, 'Основной эфир'!$B:$B=$A185,'Основной эфир'!$C:$C=$B185,'Основной эфир'!$I:$I=$C185)), ""\d+"", """"),"""")"),"")</f>
        <v/>
      </c>
      <c r="L185" s="91" t="str">
        <f>IFERROR(__xludf.DUMMYFUNCTION("IFERROR(unique(filter('Основной эфир'!$F:$F, 'Основной эфир'!$B:$B=$A185,'Основной эфир'!$C:$C=$B185,'Основной эфир'!$I:$I=$C185)),"""")"),"")</f>
        <v/>
      </c>
      <c r="M185" s="92" t="str">
        <f t="shared" si="1"/>
        <v/>
      </c>
      <c r="N185" s="93">
        <f>IFERROR(__xludf.DUMMYFUNCTION("IFERROR(SWITCH(lower(join("" "",L185:M185)),""а миллионник"", 62.5,""б миллионник"", 75,""а мск"", 50, ""б мск"", 62.5, ""a остальное"", 70, ""б остальное"", 80)/100,0)"),0.0)</f>
        <v>0</v>
      </c>
      <c r="O185" s="91">
        <f t="shared" si="2"/>
        <v>0</v>
      </c>
      <c r="P185" s="91">
        <f>IFERROR(__xludf.DUMMYFUNCTION("IFERROR(sum(filter('Генеральный баннер'!$O:$O, 'Генеральный баннер'!$B:$B=$A185,'Генеральный баннер'!$C:$C=$B185,'Генеральный баннер'!$I:$I=$C185)), 0) "),0.0)</f>
        <v>0</v>
      </c>
      <c r="Q185" s="91">
        <f>IFERROR(__xludf.DUMMYFUNCTION("IFERROR(sum(filter('Генеральный баннер'!$Q:$Q, 'Генеральный баннер'!$B:$B=$A185,'Генеральный баннер'!$C:$C=$B185,'Генеральный баннер'!$I:$I=$C185)), 0) "),0.0)</f>
        <v>0</v>
      </c>
      <c r="R185" s="91">
        <f>IFERROR(__xludf.DUMMYFUNCTION("IFERROR(AVERAGE(filter('Генеральный баннер'!$AA:$AA, 'Генеральный баннер'!$B:$B=$A185,'Генеральный баннер'!$C:$C=$B185,'Генеральный баннер'!$I:$I=$C185)), 0) "),0.0)</f>
        <v>0</v>
      </c>
      <c r="S185" s="91">
        <f>IFERROR(__xludf.DUMMYFUNCTION("IFERROR(SUM(filter('Генеральный баннер'!$AH:$AH, 'Генеральный баннер'!$B:$B=$A185,'Генеральный баннер'!$C:$C=$B185,'Генеральный баннер'!$I:$I=$C185)), 0) "),0.0)</f>
        <v>0</v>
      </c>
      <c r="T185" s="91" t="str">
        <f>IFERROR(__xludf.DUMMYFUNCTION("IFERROR(REGEXREPLACE(unique(filter('Генеральный баннер'!$A:$A, 'Генеральный баннер'!$B:$B=$A185,'Генеральный баннер'!$C:$C=$B185,'Генеральный баннер'!$I:$I=$C185)), ""\d+"", """"),"""")"),"")</f>
        <v/>
      </c>
      <c r="U185" s="91" t="str">
        <f>IFERROR(__xludf.DUMMYFUNCTION("IFERROR(unique(filter('Генеральный баннер'!$F:$F, 'Генеральный баннер'!$B:$B=$A185,'Генеральный баннер'!$C:$C=$B185,'Генеральный баннер'!$I:$I=$C185)),"""")"),"")</f>
        <v/>
      </c>
      <c r="V185" s="92" t="str">
        <f t="shared" si="3"/>
        <v/>
      </c>
      <c r="W185" s="93">
        <f>IFERROR(__xludf.DUMMYFUNCTION("IFERROR(SWITCH(lower(join("" "",U185:V185)),""а миллионник"", 62.5,""б миллионник"", 75,""а мск"", 50, ""б мск"", 62.5, ""a остальное"", 70, ""б остальное"", 80)/100,0)"),0.0)</f>
        <v>0</v>
      </c>
      <c r="X185" s="91">
        <f t="shared" si="4"/>
        <v>0</v>
      </c>
    </row>
    <row r="186">
      <c r="A186" s="12"/>
      <c r="B186" s="12"/>
      <c r="C186" s="12"/>
      <c r="D186" s="91">
        <f>IFERROR(__xludf.DUMMYFUNCTION("IFERROR(sum(filter('Основной эфир'!$AA:$AA, 'Основной эфир'!$B:$B=$A186,'Основной эфир'!$C:$C=$B186,'Основной эфир'!$I:$I=$C186)), 0) "),0.0)</f>
        <v>0</v>
      </c>
      <c r="E186" s="91">
        <f>IFERROR(__xludf.DUMMYFUNCTION("IFERROR(sum(filter('Основной эфир'!$AC:$AC, 'Основной эфир'!$B:$B=$A186,'Основной эфир'!$C:$C=$B186,'Основной эфир'!$I:$I=$C186)), 0) "),0.0)</f>
        <v>0</v>
      </c>
      <c r="F186" s="91">
        <f>IFERROR(__xludf.DUMMYFUNCTION("IFERROR(sum(filter('Основной эфир'!$O:$O, 'Основной эфир'!$B:$B=$A186,'Основной эфир'!$C:$C=$B186,'Основной эфир'!$I:$I=$C186)), 0) "),0.0)</f>
        <v>0</v>
      </c>
      <c r="G186" s="91">
        <f>IFERROR(__xludf.DUMMYFUNCTION("IFERROR(sum(filter('Основной эфир'!$Q:$Q, 'Основной эфир'!$B:$B=$A186,'Основной эфир'!$C:$C=$B186,'Основной эфир'!$I:$I=$C186)), 0) "),0.0)</f>
        <v>0</v>
      </c>
      <c r="H186" s="91">
        <f>IFERROR(__xludf.DUMMYFUNCTION("IFERROR(AVERAGE(filter('Основной эфир'!$Y:$Y, 'Основной эфир'!$B:$B=$A186,'Основной эфир'!$C:$C=$B186,'Основной эфир'!$I:$I=$C186)), 0) "),0.0)</f>
        <v>0</v>
      </c>
      <c r="I186" s="91">
        <f>IFERROR(__xludf.DUMMYFUNCTION("IFERROR(AVERAGE(filter('Основной эфир'!$AE:$AE, 'Основной эфир'!$B:$B=$A186,'Основной эфир'!$C:$C=$B186,'Основной эфир'!$I:$I=$C186)), 0) "),0.0)</f>
        <v>0</v>
      </c>
      <c r="J186" s="91">
        <f>IFERROR(__xludf.DUMMYFUNCTION("IFERROR(SUM(filter('Основной эфир'!$AL:$AL, 'Основной эфир'!$B:$B=$A186,'Основной эфир'!$C:$C=$B186,'Основной эфир'!$I:$I=$C186)), 0) "),0.0)</f>
        <v>0</v>
      </c>
      <c r="K186" s="91" t="str">
        <f>IFERROR(__xludf.DUMMYFUNCTION("IFERROR(REGEXREPLACE(unique(filter('Основной эфир'!$A:$A, 'Основной эфир'!$B:$B=$A186,'Основной эфир'!$C:$C=$B186,'Основной эфир'!$I:$I=$C186)), ""\d+"", """"),"""")"),"")</f>
        <v/>
      </c>
      <c r="L186" s="91" t="str">
        <f>IFERROR(__xludf.DUMMYFUNCTION("IFERROR(unique(filter('Основной эфир'!$F:$F, 'Основной эфир'!$B:$B=$A186,'Основной эфир'!$C:$C=$B186,'Основной эфир'!$I:$I=$C186)),"""")"),"")</f>
        <v/>
      </c>
      <c r="M186" s="92" t="str">
        <f t="shared" si="1"/>
        <v/>
      </c>
      <c r="N186" s="93">
        <f>IFERROR(__xludf.DUMMYFUNCTION("IFERROR(SWITCH(lower(join("" "",L186:M186)),""а миллионник"", 62.5,""б миллионник"", 75,""а мск"", 50, ""б мск"", 62.5, ""a остальное"", 70, ""б остальное"", 80)/100,0)"),0.0)</f>
        <v>0</v>
      </c>
      <c r="O186" s="91">
        <f t="shared" si="2"/>
        <v>0</v>
      </c>
      <c r="P186" s="91">
        <f>IFERROR(__xludf.DUMMYFUNCTION("IFERROR(sum(filter('Генеральный баннер'!$O:$O, 'Генеральный баннер'!$B:$B=$A186,'Генеральный баннер'!$C:$C=$B186,'Генеральный баннер'!$I:$I=$C186)), 0) "),0.0)</f>
        <v>0</v>
      </c>
      <c r="Q186" s="91">
        <f>IFERROR(__xludf.DUMMYFUNCTION("IFERROR(sum(filter('Генеральный баннер'!$Q:$Q, 'Генеральный баннер'!$B:$B=$A186,'Генеральный баннер'!$C:$C=$B186,'Генеральный баннер'!$I:$I=$C186)), 0) "),0.0)</f>
        <v>0</v>
      </c>
      <c r="R186" s="91">
        <f>IFERROR(__xludf.DUMMYFUNCTION("IFERROR(AVERAGE(filter('Генеральный баннер'!$AA:$AA, 'Генеральный баннер'!$B:$B=$A186,'Генеральный баннер'!$C:$C=$B186,'Генеральный баннер'!$I:$I=$C186)), 0) "),0.0)</f>
        <v>0</v>
      </c>
      <c r="S186" s="91">
        <f>IFERROR(__xludf.DUMMYFUNCTION("IFERROR(SUM(filter('Генеральный баннер'!$AH:$AH, 'Генеральный баннер'!$B:$B=$A186,'Генеральный баннер'!$C:$C=$B186,'Генеральный баннер'!$I:$I=$C186)), 0) "),0.0)</f>
        <v>0</v>
      </c>
      <c r="T186" s="91" t="str">
        <f>IFERROR(__xludf.DUMMYFUNCTION("IFERROR(REGEXREPLACE(unique(filter('Генеральный баннер'!$A:$A, 'Генеральный баннер'!$B:$B=$A186,'Генеральный баннер'!$C:$C=$B186,'Генеральный баннер'!$I:$I=$C186)), ""\d+"", """"),"""")"),"")</f>
        <v/>
      </c>
      <c r="U186" s="91" t="str">
        <f>IFERROR(__xludf.DUMMYFUNCTION("IFERROR(unique(filter('Генеральный баннер'!$F:$F, 'Генеральный баннер'!$B:$B=$A186,'Генеральный баннер'!$C:$C=$B186,'Генеральный баннер'!$I:$I=$C186)),"""")"),"")</f>
        <v/>
      </c>
      <c r="V186" s="92" t="str">
        <f t="shared" si="3"/>
        <v/>
      </c>
      <c r="W186" s="93">
        <f>IFERROR(__xludf.DUMMYFUNCTION("IFERROR(SWITCH(lower(join("" "",U186:V186)),""а миллионник"", 62.5,""б миллионник"", 75,""а мск"", 50, ""б мск"", 62.5, ""a остальное"", 70, ""б остальное"", 80)/100,0)"),0.0)</f>
        <v>0</v>
      </c>
      <c r="X186" s="91">
        <f t="shared" si="4"/>
        <v>0</v>
      </c>
    </row>
    <row r="187">
      <c r="A187" s="12"/>
      <c r="B187" s="12"/>
      <c r="C187" s="12"/>
      <c r="D187" s="91">
        <f>IFERROR(__xludf.DUMMYFUNCTION("IFERROR(sum(filter('Основной эфир'!$AA:$AA, 'Основной эфир'!$B:$B=$A187,'Основной эфир'!$C:$C=$B187,'Основной эфир'!$I:$I=$C187)), 0) "),0.0)</f>
        <v>0</v>
      </c>
      <c r="E187" s="91">
        <f>IFERROR(__xludf.DUMMYFUNCTION("IFERROR(sum(filter('Основной эфир'!$AC:$AC, 'Основной эфир'!$B:$B=$A187,'Основной эфир'!$C:$C=$B187,'Основной эфир'!$I:$I=$C187)), 0) "),0.0)</f>
        <v>0</v>
      </c>
      <c r="F187" s="91">
        <f>IFERROR(__xludf.DUMMYFUNCTION("IFERROR(sum(filter('Основной эфир'!$O:$O, 'Основной эфир'!$B:$B=$A187,'Основной эфир'!$C:$C=$B187,'Основной эфир'!$I:$I=$C187)), 0) "),0.0)</f>
        <v>0</v>
      </c>
      <c r="G187" s="91">
        <f>IFERROR(__xludf.DUMMYFUNCTION("IFERROR(sum(filter('Основной эфир'!$Q:$Q, 'Основной эфир'!$B:$B=$A187,'Основной эфир'!$C:$C=$B187,'Основной эфир'!$I:$I=$C187)), 0) "),0.0)</f>
        <v>0</v>
      </c>
      <c r="H187" s="91">
        <f>IFERROR(__xludf.DUMMYFUNCTION("IFERROR(AVERAGE(filter('Основной эфир'!$Y:$Y, 'Основной эфир'!$B:$B=$A187,'Основной эфир'!$C:$C=$B187,'Основной эфир'!$I:$I=$C187)), 0) "),0.0)</f>
        <v>0</v>
      </c>
      <c r="I187" s="91">
        <f>IFERROR(__xludf.DUMMYFUNCTION("IFERROR(AVERAGE(filter('Основной эфир'!$AE:$AE, 'Основной эфир'!$B:$B=$A187,'Основной эфир'!$C:$C=$B187,'Основной эфир'!$I:$I=$C187)), 0) "),0.0)</f>
        <v>0</v>
      </c>
      <c r="J187" s="91">
        <f>IFERROR(__xludf.DUMMYFUNCTION("IFERROR(SUM(filter('Основной эфир'!$AL:$AL, 'Основной эфир'!$B:$B=$A187,'Основной эфир'!$C:$C=$B187,'Основной эфир'!$I:$I=$C187)), 0) "),0.0)</f>
        <v>0</v>
      </c>
      <c r="K187" s="91" t="str">
        <f>IFERROR(__xludf.DUMMYFUNCTION("IFERROR(REGEXREPLACE(unique(filter('Основной эфир'!$A:$A, 'Основной эфир'!$B:$B=$A187,'Основной эфир'!$C:$C=$B187,'Основной эфир'!$I:$I=$C187)), ""\d+"", """"),"""")"),"")</f>
        <v/>
      </c>
      <c r="L187" s="91" t="str">
        <f>IFERROR(__xludf.DUMMYFUNCTION("IFERROR(unique(filter('Основной эфир'!$F:$F, 'Основной эфир'!$B:$B=$A187,'Основной эфир'!$C:$C=$B187,'Основной эфир'!$I:$I=$C187)),"""")"),"")</f>
        <v/>
      </c>
      <c r="M187" s="92" t="str">
        <f t="shared" si="1"/>
        <v/>
      </c>
      <c r="N187" s="93">
        <f>IFERROR(__xludf.DUMMYFUNCTION("IFERROR(SWITCH(lower(join("" "",L187:M187)),""а миллионник"", 62.5,""б миллионник"", 75,""а мск"", 50, ""б мск"", 62.5, ""a остальное"", 70, ""б остальное"", 80)/100,0)"),0.0)</f>
        <v>0</v>
      </c>
      <c r="O187" s="91">
        <f t="shared" si="2"/>
        <v>0</v>
      </c>
      <c r="P187" s="91">
        <f>IFERROR(__xludf.DUMMYFUNCTION("IFERROR(sum(filter('Генеральный баннер'!$O:$O, 'Генеральный баннер'!$B:$B=$A187,'Генеральный баннер'!$C:$C=$B187,'Генеральный баннер'!$I:$I=$C187)), 0) "),0.0)</f>
        <v>0</v>
      </c>
      <c r="Q187" s="91">
        <f>IFERROR(__xludf.DUMMYFUNCTION("IFERROR(sum(filter('Генеральный баннер'!$Q:$Q, 'Генеральный баннер'!$B:$B=$A187,'Генеральный баннер'!$C:$C=$B187,'Генеральный баннер'!$I:$I=$C187)), 0) "),0.0)</f>
        <v>0</v>
      </c>
      <c r="R187" s="91">
        <f>IFERROR(__xludf.DUMMYFUNCTION("IFERROR(AVERAGE(filter('Генеральный баннер'!$AA:$AA, 'Генеральный баннер'!$B:$B=$A187,'Генеральный баннер'!$C:$C=$B187,'Генеральный баннер'!$I:$I=$C187)), 0) "),0.0)</f>
        <v>0</v>
      </c>
      <c r="S187" s="91">
        <f>IFERROR(__xludf.DUMMYFUNCTION("IFERROR(SUM(filter('Генеральный баннер'!$AH:$AH, 'Генеральный баннер'!$B:$B=$A187,'Генеральный баннер'!$C:$C=$B187,'Генеральный баннер'!$I:$I=$C187)), 0) "),0.0)</f>
        <v>0</v>
      </c>
      <c r="T187" s="91" t="str">
        <f>IFERROR(__xludf.DUMMYFUNCTION("IFERROR(REGEXREPLACE(unique(filter('Генеральный баннер'!$A:$A, 'Генеральный баннер'!$B:$B=$A187,'Генеральный баннер'!$C:$C=$B187,'Генеральный баннер'!$I:$I=$C187)), ""\d+"", """"),"""")"),"")</f>
        <v/>
      </c>
      <c r="U187" s="91" t="str">
        <f>IFERROR(__xludf.DUMMYFUNCTION("IFERROR(unique(filter('Генеральный баннер'!$F:$F, 'Генеральный баннер'!$B:$B=$A187,'Генеральный баннер'!$C:$C=$B187,'Генеральный баннер'!$I:$I=$C187)),"""")"),"")</f>
        <v/>
      </c>
      <c r="V187" s="92" t="str">
        <f t="shared" si="3"/>
        <v/>
      </c>
      <c r="W187" s="93">
        <f>IFERROR(__xludf.DUMMYFUNCTION("IFERROR(SWITCH(lower(join("" "",U187:V187)),""а миллионник"", 62.5,""б миллионник"", 75,""а мск"", 50, ""б мск"", 62.5, ""a остальное"", 70, ""б остальное"", 80)/100,0)"),0.0)</f>
        <v>0</v>
      </c>
      <c r="X187" s="91">
        <f t="shared" si="4"/>
        <v>0</v>
      </c>
    </row>
    <row r="188">
      <c r="A188" s="12"/>
      <c r="B188" s="12"/>
      <c r="C188" s="12"/>
      <c r="D188" s="91">
        <f>IFERROR(__xludf.DUMMYFUNCTION("IFERROR(sum(filter('Основной эфир'!$AA:$AA, 'Основной эфир'!$B:$B=$A188,'Основной эфир'!$C:$C=$B188,'Основной эфир'!$I:$I=$C188)), 0) "),0.0)</f>
        <v>0</v>
      </c>
      <c r="E188" s="91">
        <f>IFERROR(__xludf.DUMMYFUNCTION("IFERROR(sum(filter('Основной эфир'!$AC:$AC, 'Основной эфир'!$B:$B=$A188,'Основной эфир'!$C:$C=$B188,'Основной эфир'!$I:$I=$C188)), 0) "),0.0)</f>
        <v>0</v>
      </c>
      <c r="F188" s="91">
        <f>IFERROR(__xludf.DUMMYFUNCTION("IFERROR(sum(filter('Основной эфир'!$O:$O, 'Основной эфир'!$B:$B=$A188,'Основной эфир'!$C:$C=$B188,'Основной эфир'!$I:$I=$C188)), 0) "),0.0)</f>
        <v>0</v>
      </c>
      <c r="G188" s="91">
        <f>IFERROR(__xludf.DUMMYFUNCTION("IFERROR(sum(filter('Основной эфир'!$Q:$Q, 'Основной эфир'!$B:$B=$A188,'Основной эфир'!$C:$C=$B188,'Основной эфир'!$I:$I=$C188)), 0) "),0.0)</f>
        <v>0</v>
      </c>
      <c r="H188" s="91">
        <f>IFERROR(__xludf.DUMMYFUNCTION("IFERROR(AVERAGE(filter('Основной эфир'!$Y:$Y, 'Основной эфир'!$B:$B=$A188,'Основной эфир'!$C:$C=$B188,'Основной эфир'!$I:$I=$C188)), 0) "),0.0)</f>
        <v>0</v>
      </c>
      <c r="I188" s="91">
        <f>IFERROR(__xludf.DUMMYFUNCTION("IFERROR(AVERAGE(filter('Основной эфир'!$AE:$AE, 'Основной эфир'!$B:$B=$A188,'Основной эфир'!$C:$C=$B188,'Основной эфир'!$I:$I=$C188)), 0) "),0.0)</f>
        <v>0</v>
      </c>
      <c r="J188" s="91">
        <f>IFERROR(__xludf.DUMMYFUNCTION("IFERROR(SUM(filter('Основной эфир'!$AL:$AL, 'Основной эфир'!$B:$B=$A188,'Основной эфир'!$C:$C=$B188,'Основной эфир'!$I:$I=$C188)), 0) "),0.0)</f>
        <v>0</v>
      </c>
      <c r="K188" s="91" t="str">
        <f>IFERROR(__xludf.DUMMYFUNCTION("IFERROR(REGEXREPLACE(unique(filter('Основной эфир'!$A:$A, 'Основной эфир'!$B:$B=$A188,'Основной эфир'!$C:$C=$B188,'Основной эфир'!$I:$I=$C188)), ""\d+"", """"),"""")"),"")</f>
        <v/>
      </c>
      <c r="L188" s="91" t="str">
        <f>IFERROR(__xludf.DUMMYFUNCTION("IFERROR(unique(filter('Основной эфир'!$F:$F, 'Основной эфир'!$B:$B=$A188,'Основной эфир'!$C:$C=$B188,'Основной эфир'!$I:$I=$C188)),"""")"),"")</f>
        <v/>
      </c>
      <c r="M188" s="92" t="str">
        <f t="shared" si="1"/>
        <v/>
      </c>
      <c r="N188" s="93">
        <f>IFERROR(__xludf.DUMMYFUNCTION("IFERROR(SWITCH(lower(join("" "",L188:M188)),""а миллионник"", 62.5,""б миллионник"", 75,""а мск"", 50, ""б мск"", 62.5, ""a остальное"", 70, ""б остальное"", 80)/100,0)"),0.0)</f>
        <v>0</v>
      </c>
      <c r="O188" s="91">
        <f t="shared" si="2"/>
        <v>0</v>
      </c>
      <c r="P188" s="91">
        <f>IFERROR(__xludf.DUMMYFUNCTION("IFERROR(sum(filter('Генеральный баннер'!$O:$O, 'Генеральный баннер'!$B:$B=$A188,'Генеральный баннер'!$C:$C=$B188,'Генеральный баннер'!$I:$I=$C188)), 0) "),0.0)</f>
        <v>0</v>
      </c>
      <c r="Q188" s="91">
        <f>IFERROR(__xludf.DUMMYFUNCTION("IFERROR(sum(filter('Генеральный баннер'!$Q:$Q, 'Генеральный баннер'!$B:$B=$A188,'Генеральный баннер'!$C:$C=$B188,'Генеральный баннер'!$I:$I=$C188)), 0) "),0.0)</f>
        <v>0</v>
      </c>
      <c r="R188" s="91">
        <f>IFERROR(__xludf.DUMMYFUNCTION("IFERROR(AVERAGE(filter('Генеральный баннер'!$AA:$AA, 'Генеральный баннер'!$B:$B=$A188,'Генеральный баннер'!$C:$C=$B188,'Генеральный баннер'!$I:$I=$C188)), 0) "),0.0)</f>
        <v>0</v>
      </c>
      <c r="S188" s="91">
        <f>IFERROR(__xludf.DUMMYFUNCTION("IFERROR(SUM(filter('Генеральный баннер'!$AH:$AH, 'Генеральный баннер'!$B:$B=$A188,'Генеральный баннер'!$C:$C=$B188,'Генеральный баннер'!$I:$I=$C188)), 0) "),0.0)</f>
        <v>0</v>
      </c>
      <c r="T188" s="91" t="str">
        <f>IFERROR(__xludf.DUMMYFUNCTION("IFERROR(REGEXREPLACE(unique(filter('Генеральный баннер'!$A:$A, 'Генеральный баннер'!$B:$B=$A188,'Генеральный баннер'!$C:$C=$B188,'Генеральный баннер'!$I:$I=$C188)), ""\d+"", """"),"""")"),"")</f>
        <v/>
      </c>
      <c r="U188" s="91" t="str">
        <f>IFERROR(__xludf.DUMMYFUNCTION("IFERROR(unique(filter('Генеральный баннер'!$F:$F, 'Генеральный баннер'!$B:$B=$A188,'Генеральный баннер'!$C:$C=$B188,'Генеральный баннер'!$I:$I=$C188)),"""")"),"")</f>
        <v/>
      </c>
      <c r="V188" s="92" t="str">
        <f t="shared" si="3"/>
        <v/>
      </c>
      <c r="W188" s="93">
        <f>IFERROR(__xludf.DUMMYFUNCTION("IFERROR(SWITCH(lower(join("" "",U188:V188)),""а миллионник"", 62.5,""б миллионник"", 75,""а мск"", 50, ""б мск"", 62.5, ""a остальное"", 70, ""б остальное"", 80)/100,0)"),0.0)</f>
        <v>0</v>
      </c>
      <c r="X188" s="91">
        <f t="shared" si="4"/>
        <v>0</v>
      </c>
    </row>
    <row r="189">
      <c r="A189" s="12"/>
      <c r="B189" s="12"/>
      <c r="C189" s="12"/>
      <c r="D189" s="91">
        <f>IFERROR(__xludf.DUMMYFUNCTION("IFERROR(sum(filter('Основной эфир'!$AA:$AA, 'Основной эфир'!$B:$B=$A189,'Основной эфир'!$C:$C=$B189,'Основной эфир'!$I:$I=$C189)), 0) "),0.0)</f>
        <v>0</v>
      </c>
      <c r="E189" s="91">
        <f>IFERROR(__xludf.DUMMYFUNCTION("IFERROR(sum(filter('Основной эфир'!$AC:$AC, 'Основной эфир'!$B:$B=$A189,'Основной эфир'!$C:$C=$B189,'Основной эфир'!$I:$I=$C189)), 0) "),0.0)</f>
        <v>0</v>
      </c>
      <c r="F189" s="91">
        <f>IFERROR(__xludf.DUMMYFUNCTION("IFERROR(sum(filter('Основной эфир'!$O:$O, 'Основной эфир'!$B:$B=$A189,'Основной эфир'!$C:$C=$B189,'Основной эфир'!$I:$I=$C189)), 0) "),0.0)</f>
        <v>0</v>
      </c>
      <c r="G189" s="91">
        <f>IFERROR(__xludf.DUMMYFUNCTION("IFERROR(sum(filter('Основной эфир'!$Q:$Q, 'Основной эфир'!$B:$B=$A189,'Основной эфир'!$C:$C=$B189,'Основной эфир'!$I:$I=$C189)), 0) "),0.0)</f>
        <v>0</v>
      </c>
      <c r="H189" s="91">
        <f>IFERROR(__xludf.DUMMYFUNCTION("IFERROR(AVERAGE(filter('Основной эфир'!$Y:$Y, 'Основной эфир'!$B:$B=$A189,'Основной эфир'!$C:$C=$B189,'Основной эфир'!$I:$I=$C189)), 0) "),0.0)</f>
        <v>0</v>
      </c>
      <c r="I189" s="91">
        <f>IFERROR(__xludf.DUMMYFUNCTION("IFERROR(AVERAGE(filter('Основной эфир'!$AE:$AE, 'Основной эфир'!$B:$B=$A189,'Основной эфир'!$C:$C=$B189,'Основной эфир'!$I:$I=$C189)), 0) "),0.0)</f>
        <v>0</v>
      </c>
      <c r="J189" s="91">
        <f>IFERROR(__xludf.DUMMYFUNCTION("IFERROR(SUM(filter('Основной эфир'!$AL:$AL, 'Основной эфир'!$B:$B=$A189,'Основной эфир'!$C:$C=$B189,'Основной эфир'!$I:$I=$C189)), 0) "),0.0)</f>
        <v>0</v>
      </c>
      <c r="K189" s="91" t="str">
        <f>IFERROR(__xludf.DUMMYFUNCTION("IFERROR(REGEXREPLACE(unique(filter('Основной эфир'!$A:$A, 'Основной эфир'!$B:$B=$A189,'Основной эфир'!$C:$C=$B189,'Основной эфир'!$I:$I=$C189)), ""\d+"", """"),"""")"),"")</f>
        <v/>
      </c>
      <c r="L189" s="91" t="str">
        <f>IFERROR(__xludf.DUMMYFUNCTION("IFERROR(unique(filter('Основной эфир'!$F:$F, 'Основной эфир'!$B:$B=$A189,'Основной эфир'!$C:$C=$B189,'Основной эфир'!$I:$I=$C189)),"""")"),"")</f>
        <v/>
      </c>
      <c r="M189" s="92" t="str">
        <f t="shared" si="1"/>
        <v/>
      </c>
      <c r="N189" s="93">
        <f>IFERROR(__xludf.DUMMYFUNCTION("IFERROR(SWITCH(lower(join("" "",L189:M189)),""а миллионник"", 62.5,""б миллионник"", 75,""а мск"", 50, ""б мск"", 62.5, ""a остальное"", 70, ""б остальное"", 80)/100,0)"),0.0)</f>
        <v>0</v>
      </c>
      <c r="O189" s="91">
        <f t="shared" si="2"/>
        <v>0</v>
      </c>
      <c r="P189" s="91">
        <f>IFERROR(__xludf.DUMMYFUNCTION("IFERROR(sum(filter('Генеральный баннер'!$O:$O, 'Генеральный баннер'!$B:$B=$A189,'Генеральный баннер'!$C:$C=$B189,'Генеральный баннер'!$I:$I=$C189)), 0) "),0.0)</f>
        <v>0</v>
      </c>
      <c r="Q189" s="91">
        <f>IFERROR(__xludf.DUMMYFUNCTION("IFERROR(sum(filter('Генеральный баннер'!$Q:$Q, 'Генеральный баннер'!$B:$B=$A189,'Генеральный баннер'!$C:$C=$B189,'Генеральный баннер'!$I:$I=$C189)), 0) "),0.0)</f>
        <v>0</v>
      </c>
      <c r="R189" s="91">
        <f>IFERROR(__xludf.DUMMYFUNCTION("IFERROR(AVERAGE(filter('Генеральный баннер'!$AA:$AA, 'Генеральный баннер'!$B:$B=$A189,'Генеральный баннер'!$C:$C=$B189,'Генеральный баннер'!$I:$I=$C189)), 0) "),0.0)</f>
        <v>0</v>
      </c>
      <c r="S189" s="91">
        <f>IFERROR(__xludf.DUMMYFUNCTION("IFERROR(SUM(filter('Генеральный баннер'!$AH:$AH, 'Генеральный баннер'!$B:$B=$A189,'Генеральный баннер'!$C:$C=$B189,'Генеральный баннер'!$I:$I=$C189)), 0) "),0.0)</f>
        <v>0</v>
      </c>
      <c r="T189" s="91" t="str">
        <f>IFERROR(__xludf.DUMMYFUNCTION("IFERROR(REGEXREPLACE(unique(filter('Генеральный баннер'!$A:$A, 'Генеральный баннер'!$B:$B=$A189,'Генеральный баннер'!$C:$C=$B189,'Генеральный баннер'!$I:$I=$C189)), ""\d+"", """"),"""")"),"")</f>
        <v/>
      </c>
      <c r="U189" s="91" t="str">
        <f>IFERROR(__xludf.DUMMYFUNCTION("IFERROR(unique(filter('Генеральный баннер'!$F:$F, 'Генеральный баннер'!$B:$B=$A189,'Генеральный баннер'!$C:$C=$B189,'Генеральный баннер'!$I:$I=$C189)),"""")"),"")</f>
        <v/>
      </c>
      <c r="V189" s="92" t="str">
        <f t="shared" si="3"/>
        <v/>
      </c>
      <c r="W189" s="93">
        <f>IFERROR(__xludf.DUMMYFUNCTION("IFERROR(SWITCH(lower(join("" "",U189:V189)),""а миллионник"", 62.5,""б миллионник"", 75,""а мск"", 50, ""б мск"", 62.5, ""a остальное"", 70, ""б остальное"", 80)/100,0)"),0.0)</f>
        <v>0</v>
      </c>
      <c r="X189" s="91">
        <f t="shared" si="4"/>
        <v>0</v>
      </c>
    </row>
    <row r="190">
      <c r="A190" s="12"/>
      <c r="B190" s="12"/>
      <c r="C190" s="12"/>
      <c r="D190" s="91">
        <f>IFERROR(__xludf.DUMMYFUNCTION("IFERROR(sum(filter('Основной эфир'!$AA:$AA, 'Основной эфир'!$B:$B=$A190,'Основной эфир'!$C:$C=$B190,'Основной эфир'!$I:$I=$C190)), 0) "),0.0)</f>
        <v>0</v>
      </c>
      <c r="E190" s="91">
        <f>IFERROR(__xludf.DUMMYFUNCTION("IFERROR(sum(filter('Основной эфир'!$AC:$AC, 'Основной эфир'!$B:$B=$A190,'Основной эфир'!$C:$C=$B190,'Основной эфир'!$I:$I=$C190)), 0) "),0.0)</f>
        <v>0</v>
      </c>
      <c r="F190" s="91">
        <f>IFERROR(__xludf.DUMMYFUNCTION("IFERROR(sum(filter('Основной эфир'!$O:$O, 'Основной эфир'!$B:$B=$A190,'Основной эфир'!$C:$C=$B190,'Основной эфир'!$I:$I=$C190)), 0) "),0.0)</f>
        <v>0</v>
      </c>
      <c r="G190" s="91">
        <f>IFERROR(__xludf.DUMMYFUNCTION("IFERROR(sum(filter('Основной эфир'!$Q:$Q, 'Основной эфир'!$B:$B=$A190,'Основной эфир'!$C:$C=$B190,'Основной эфир'!$I:$I=$C190)), 0) "),0.0)</f>
        <v>0</v>
      </c>
      <c r="H190" s="91">
        <f>IFERROR(__xludf.DUMMYFUNCTION("IFERROR(AVERAGE(filter('Основной эфир'!$Y:$Y, 'Основной эфир'!$B:$B=$A190,'Основной эфир'!$C:$C=$B190,'Основной эфир'!$I:$I=$C190)), 0) "),0.0)</f>
        <v>0</v>
      </c>
      <c r="I190" s="91">
        <f>IFERROR(__xludf.DUMMYFUNCTION("IFERROR(AVERAGE(filter('Основной эфир'!$AE:$AE, 'Основной эфир'!$B:$B=$A190,'Основной эфир'!$C:$C=$B190,'Основной эфир'!$I:$I=$C190)), 0) "),0.0)</f>
        <v>0</v>
      </c>
      <c r="J190" s="91">
        <f>IFERROR(__xludf.DUMMYFUNCTION("IFERROR(SUM(filter('Основной эфир'!$AL:$AL, 'Основной эфир'!$B:$B=$A190,'Основной эфир'!$C:$C=$B190,'Основной эфир'!$I:$I=$C190)), 0) "),0.0)</f>
        <v>0</v>
      </c>
      <c r="K190" s="91" t="str">
        <f>IFERROR(__xludf.DUMMYFUNCTION("IFERROR(REGEXREPLACE(unique(filter('Основной эфир'!$A:$A, 'Основной эфир'!$B:$B=$A190,'Основной эфир'!$C:$C=$B190,'Основной эфир'!$I:$I=$C190)), ""\d+"", """"),"""")"),"")</f>
        <v/>
      </c>
      <c r="L190" s="91" t="str">
        <f>IFERROR(__xludf.DUMMYFUNCTION("IFERROR(unique(filter('Основной эфир'!$F:$F, 'Основной эфир'!$B:$B=$A190,'Основной эфир'!$C:$C=$B190,'Основной эфир'!$I:$I=$C190)),"""")"),"")</f>
        <v/>
      </c>
      <c r="M190" s="92" t="str">
        <f t="shared" si="1"/>
        <v/>
      </c>
      <c r="N190" s="93">
        <f>IFERROR(__xludf.DUMMYFUNCTION("IFERROR(SWITCH(lower(join("" "",L190:M190)),""а миллионник"", 62.5,""б миллионник"", 75,""а мск"", 50, ""б мск"", 62.5, ""a остальное"", 70, ""б остальное"", 80)/100,0)"),0.0)</f>
        <v>0</v>
      </c>
      <c r="O190" s="91">
        <f t="shared" si="2"/>
        <v>0</v>
      </c>
      <c r="P190" s="91">
        <f>IFERROR(__xludf.DUMMYFUNCTION("IFERROR(sum(filter('Генеральный баннер'!$O:$O, 'Генеральный баннер'!$B:$B=$A190,'Генеральный баннер'!$C:$C=$B190,'Генеральный баннер'!$I:$I=$C190)), 0) "),0.0)</f>
        <v>0</v>
      </c>
      <c r="Q190" s="91">
        <f>IFERROR(__xludf.DUMMYFUNCTION("IFERROR(sum(filter('Генеральный баннер'!$Q:$Q, 'Генеральный баннер'!$B:$B=$A190,'Генеральный баннер'!$C:$C=$B190,'Генеральный баннер'!$I:$I=$C190)), 0) "),0.0)</f>
        <v>0</v>
      </c>
      <c r="R190" s="91">
        <f>IFERROR(__xludf.DUMMYFUNCTION("IFERROR(AVERAGE(filter('Генеральный баннер'!$AA:$AA, 'Генеральный баннер'!$B:$B=$A190,'Генеральный баннер'!$C:$C=$B190,'Генеральный баннер'!$I:$I=$C190)), 0) "),0.0)</f>
        <v>0</v>
      </c>
      <c r="S190" s="91">
        <f>IFERROR(__xludf.DUMMYFUNCTION("IFERROR(SUM(filter('Генеральный баннер'!$AH:$AH, 'Генеральный баннер'!$B:$B=$A190,'Генеральный баннер'!$C:$C=$B190,'Генеральный баннер'!$I:$I=$C190)), 0) "),0.0)</f>
        <v>0</v>
      </c>
      <c r="T190" s="91" t="str">
        <f>IFERROR(__xludf.DUMMYFUNCTION("IFERROR(REGEXREPLACE(unique(filter('Генеральный баннер'!$A:$A, 'Генеральный баннер'!$B:$B=$A190,'Генеральный баннер'!$C:$C=$B190,'Генеральный баннер'!$I:$I=$C190)), ""\d+"", """"),"""")"),"")</f>
        <v/>
      </c>
      <c r="U190" s="91" t="str">
        <f>IFERROR(__xludf.DUMMYFUNCTION("IFERROR(unique(filter('Генеральный баннер'!$F:$F, 'Генеральный баннер'!$B:$B=$A190,'Генеральный баннер'!$C:$C=$B190,'Генеральный баннер'!$I:$I=$C190)),"""")"),"")</f>
        <v/>
      </c>
      <c r="V190" s="92" t="str">
        <f t="shared" si="3"/>
        <v/>
      </c>
      <c r="W190" s="93">
        <f>IFERROR(__xludf.DUMMYFUNCTION("IFERROR(SWITCH(lower(join("" "",U190:V190)),""а миллионник"", 62.5,""б миллионник"", 75,""а мск"", 50, ""б мск"", 62.5, ""a остальное"", 70, ""б остальное"", 80)/100,0)"),0.0)</f>
        <v>0</v>
      </c>
      <c r="X190" s="91">
        <f t="shared" si="4"/>
        <v>0</v>
      </c>
    </row>
    <row r="191">
      <c r="A191" s="12"/>
      <c r="B191" s="12"/>
      <c r="C191" s="12"/>
      <c r="D191" s="91">
        <f>IFERROR(__xludf.DUMMYFUNCTION("IFERROR(sum(filter('Основной эфир'!$AA:$AA, 'Основной эфир'!$B:$B=$A191,'Основной эфир'!$C:$C=$B191,'Основной эфир'!$I:$I=$C191)), 0) "),0.0)</f>
        <v>0</v>
      </c>
      <c r="E191" s="91">
        <f>IFERROR(__xludf.DUMMYFUNCTION("IFERROR(sum(filter('Основной эфир'!$AC:$AC, 'Основной эфир'!$B:$B=$A191,'Основной эфир'!$C:$C=$B191,'Основной эфир'!$I:$I=$C191)), 0) "),0.0)</f>
        <v>0</v>
      </c>
      <c r="F191" s="91">
        <f>IFERROR(__xludf.DUMMYFUNCTION("IFERROR(sum(filter('Основной эфир'!$O:$O, 'Основной эфир'!$B:$B=$A191,'Основной эфир'!$C:$C=$B191,'Основной эфир'!$I:$I=$C191)), 0) "),0.0)</f>
        <v>0</v>
      </c>
      <c r="G191" s="91">
        <f>IFERROR(__xludf.DUMMYFUNCTION("IFERROR(sum(filter('Основной эфир'!$Q:$Q, 'Основной эфир'!$B:$B=$A191,'Основной эфир'!$C:$C=$B191,'Основной эфир'!$I:$I=$C191)), 0) "),0.0)</f>
        <v>0</v>
      </c>
      <c r="H191" s="91">
        <f>IFERROR(__xludf.DUMMYFUNCTION("IFERROR(AVERAGE(filter('Основной эфир'!$Y:$Y, 'Основной эфир'!$B:$B=$A191,'Основной эфир'!$C:$C=$B191,'Основной эфир'!$I:$I=$C191)), 0) "),0.0)</f>
        <v>0</v>
      </c>
      <c r="I191" s="91">
        <f>IFERROR(__xludf.DUMMYFUNCTION("IFERROR(AVERAGE(filter('Основной эфир'!$AE:$AE, 'Основной эфир'!$B:$B=$A191,'Основной эфир'!$C:$C=$B191,'Основной эфир'!$I:$I=$C191)), 0) "),0.0)</f>
        <v>0</v>
      </c>
      <c r="J191" s="91">
        <f>IFERROR(__xludf.DUMMYFUNCTION("IFERROR(SUM(filter('Основной эфир'!$AL:$AL, 'Основной эфир'!$B:$B=$A191,'Основной эфир'!$C:$C=$B191,'Основной эфир'!$I:$I=$C191)), 0) "),0.0)</f>
        <v>0</v>
      </c>
      <c r="K191" s="91" t="str">
        <f>IFERROR(__xludf.DUMMYFUNCTION("IFERROR(REGEXREPLACE(unique(filter('Основной эфир'!$A:$A, 'Основной эфир'!$B:$B=$A191,'Основной эфир'!$C:$C=$B191,'Основной эфир'!$I:$I=$C191)), ""\d+"", """"),"""")"),"")</f>
        <v/>
      </c>
      <c r="L191" s="91" t="str">
        <f>IFERROR(__xludf.DUMMYFUNCTION("IFERROR(unique(filter('Основной эфир'!$F:$F, 'Основной эфир'!$B:$B=$A191,'Основной эфир'!$C:$C=$B191,'Основной эфир'!$I:$I=$C191)),"""")"),"")</f>
        <v/>
      </c>
      <c r="M191" s="92" t="str">
        <f t="shared" si="1"/>
        <v/>
      </c>
      <c r="N191" s="93">
        <f>IFERROR(__xludf.DUMMYFUNCTION("IFERROR(SWITCH(lower(join("" "",L191:M191)),""а миллионник"", 62.5,""б миллионник"", 75,""а мск"", 50, ""б мск"", 62.5, ""a остальное"", 70, ""б остальное"", 80)/100,0)"),0.0)</f>
        <v>0</v>
      </c>
      <c r="O191" s="91">
        <f t="shared" si="2"/>
        <v>0</v>
      </c>
      <c r="P191" s="91">
        <f>IFERROR(__xludf.DUMMYFUNCTION("IFERROR(sum(filter('Генеральный баннер'!$O:$O, 'Генеральный баннер'!$B:$B=$A191,'Генеральный баннер'!$C:$C=$B191,'Генеральный баннер'!$I:$I=$C191)), 0) "),0.0)</f>
        <v>0</v>
      </c>
      <c r="Q191" s="91">
        <f>IFERROR(__xludf.DUMMYFUNCTION("IFERROR(sum(filter('Генеральный баннер'!$Q:$Q, 'Генеральный баннер'!$B:$B=$A191,'Генеральный баннер'!$C:$C=$B191,'Генеральный баннер'!$I:$I=$C191)), 0) "),0.0)</f>
        <v>0</v>
      </c>
      <c r="R191" s="91">
        <f>IFERROR(__xludf.DUMMYFUNCTION("IFERROR(AVERAGE(filter('Генеральный баннер'!$AA:$AA, 'Генеральный баннер'!$B:$B=$A191,'Генеральный баннер'!$C:$C=$B191,'Генеральный баннер'!$I:$I=$C191)), 0) "),0.0)</f>
        <v>0</v>
      </c>
      <c r="S191" s="91">
        <f>IFERROR(__xludf.DUMMYFUNCTION("IFERROR(SUM(filter('Генеральный баннер'!$AH:$AH, 'Генеральный баннер'!$B:$B=$A191,'Генеральный баннер'!$C:$C=$B191,'Генеральный баннер'!$I:$I=$C191)), 0) "),0.0)</f>
        <v>0</v>
      </c>
      <c r="T191" s="91" t="str">
        <f>IFERROR(__xludf.DUMMYFUNCTION("IFERROR(REGEXREPLACE(unique(filter('Генеральный баннер'!$A:$A, 'Генеральный баннер'!$B:$B=$A191,'Генеральный баннер'!$C:$C=$B191,'Генеральный баннер'!$I:$I=$C191)), ""\d+"", """"),"""")"),"")</f>
        <v/>
      </c>
      <c r="U191" s="91" t="str">
        <f>IFERROR(__xludf.DUMMYFUNCTION("IFERROR(unique(filter('Генеральный баннер'!$F:$F, 'Генеральный баннер'!$B:$B=$A191,'Генеральный баннер'!$C:$C=$B191,'Генеральный баннер'!$I:$I=$C191)),"""")"),"")</f>
        <v/>
      </c>
      <c r="V191" s="92" t="str">
        <f t="shared" si="3"/>
        <v/>
      </c>
      <c r="W191" s="93">
        <f>IFERROR(__xludf.DUMMYFUNCTION("IFERROR(SWITCH(lower(join("" "",U191:V191)),""а миллионник"", 62.5,""б миллионник"", 75,""а мск"", 50, ""б мск"", 62.5, ""a остальное"", 70, ""б остальное"", 80)/100,0)"),0.0)</f>
        <v>0</v>
      </c>
      <c r="X191" s="91">
        <f t="shared" si="4"/>
        <v>0</v>
      </c>
    </row>
    <row r="192">
      <c r="A192" s="12"/>
      <c r="B192" s="12"/>
      <c r="C192" s="12"/>
      <c r="D192" s="91">
        <f>IFERROR(__xludf.DUMMYFUNCTION("IFERROR(sum(filter('Основной эфир'!$AA:$AA, 'Основной эфир'!$B:$B=$A192,'Основной эфир'!$C:$C=$B192,'Основной эфир'!$I:$I=$C192)), 0) "),0.0)</f>
        <v>0</v>
      </c>
      <c r="E192" s="91">
        <f>IFERROR(__xludf.DUMMYFUNCTION("IFERROR(sum(filter('Основной эфир'!$AC:$AC, 'Основной эфир'!$B:$B=$A192,'Основной эфир'!$C:$C=$B192,'Основной эфир'!$I:$I=$C192)), 0) "),0.0)</f>
        <v>0</v>
      </c>
      <c r="F192" s="91">
        <f>IFERROR(__xludf.DUMMYFUNCTION("IFERROR(sum(filter('Основной эфир'!$O:$O, 'Основной эфир'!$B:$B=$A192,'Основной эфир'!$C:$C=$B192,'Основной эфир'!$I:$I=$C192)), 0) "),0.0)</f>
        <v>0</v>
      </c>
      <c r="G192" s="91">
        <f>IFERROR(__xludf.DUMMYFUNCTION("IFERROR(sum(filter('Основной эфир'!$Q:$Q, 'Основной эфир'!$B:$B=$A192,'Основной эфир'!$C:$C=$B192,'Основной эфир'!$I:$I=$C192)), 0) "),0.0)</f>
        <v>0</v>
      </c>
      <c r="H192" s="91">
        <f>IFERROR(__xludf.DUMMYFUNCTION("IFERROR(AVERAGE(filter('Основной эфир'!$Y:$Y, 'Основной эфир'!$B:$B=$A192,'Основной эфир'!$C:$C=$B192,'Основной эфир'!$I:$I=$C192)), 0) "),0.0)</f>
        <v>0</v>
      </c>
      <c r="I192" s="91">
        <f>IFERROR(__xludf.DUMMYFUNCTION("IFERROR(AVERAGE(filter('Основной эфир'!$AE:$AE, 'Основной эфир'!$B:$B=$A192,'Основной эфир'!$C:$C=$B192,'Основной эфир'!$I:$I=$C192)), 0) "),0.0)</f>
        <v>0</v>
      </c>
      <c r="J192" s="91">
        <f>IFERROR(__xludf.DUMMYFUNCTION("IFERROR(SUM(filter('Основной эфир'!$AL:$AL, 'Основной эфир'!$B:$B=$A192,'Основной эфир'!$C:$C=$B192,'Основной эфир'!$I:$I=$C192)), 0) "),0.0)</f>
        <v>0</v>
      </c>
      <c r="K192" s="91" t="str">
        <f>IFERROR(__xludf.DUMMYFUNCTION("IFERROR(REGEXREPLACE(unique(filter('Основной эфир'!$A:$A, 'Основной эфир'!$B:$B=$A192,'Основной эфир'!$C:$C=$B192,'Основной эфир'!$I:$I=$C192)), ""\d+"", """"),"""")"),"")</f>
        <v/>
      </c>
      <c r="L192" s="91" t="str">
        <f>IFERROR(__xludf.DUMMYFUNCTION("IFERROR(unique(filter('Основной эфир'!$F:$F, 'Основной эфир'!$B:$B=$A192,'Основной эфир'!$C:$C=$B192,'Основной эфир'!$I:$I=$C192)),"""")"),"")</f>
        <v/>
      </c>
      <c r="M192" s="92" t="str">
        <f t="shared" si="1"/>
        <v/>
      </c>
      <c r="N192" s="93">
        <f>IFERROR(__xludf.DUMMYFUNCTION("IFERROR(SWITCH(lower(join("" "",L192:M192)),""а миллионник"", 62.5,""б миллионник"", 75,""а мск"", 50, ""б мск"", 62.5, ""a остальное"", 70, ""б остальное"", 80)/100,0)"),0.0)</f>
        <v>0</v>
      </c>
      <c r="O192" s="91">
        <f t="shared" si="2"/>
        <v>0</v>
      </c>
      <c r="P192" s="91">
        <f>IFERROR(__xludf.DUMMYFUNCTION("IFERROR(sum(filter('Генеральный баннер'!$O:$O, 'Генеральный баннер'!$B:$B=$A192,'Генеральный баннер'!$C:$C=$B192,'Генеральный баннер'!$I:$I=$C192)), 0) "),0.0)</f>
        <v>0</v>
      </c>
      <c r="Q192" s="91">
        <f>IFERROR(__xludf.DUMMYFUNCTION("IFERROR(sum(filter('Генеральный баннер'!$Q:$Q, 'Генеральный баннер'!$B:$B=$A192,'Генеральный баннер'!$C:$C=$B192,'Генеральный баннер'!$I:$I=$C192)), 0) "),0.0)</f>
        <v>0</v>
      </c>
      <c r="R192" s="91">
        <f>IFERROR(__xludf.DUMMYFUNCTION("IFERROR(AVERAGE(filter('Генеральный баннер'!$AA:$AA, 'Генеральный баннер'!$B:$B=$A192,'Генеральный баннер'!$C:$C=$B192,'Генеральный баннер'!$I:$I=$C192)), 0) "),0.0)</f>
        <v>0</v>
      </c>
      <c r="S192" s="91">
        <f>IFERROR(__xludf.DUMMYFUNCTION("IFERROR(SUM(filter('Генеральный баннер'!$AH:$AH, 'Генеральный баннер'!$B:$B=$A192,'Генеральный баннер'!$C:$C=$B192,'Генеральный баннер'!$I:$I=$C192)), 0) "),0.0)</f>
        <v>0</v>
      </c>
      <c r="T192" s="91" t="str">
        <f>IFERROR(__xludf.DUMMYFUNCTION("IFERROR(REGEXREPLACE(unique(filter('Генеральный баннер'!$A:$A, 'Генеральный баннер'!$B:$B=$A192,'Генеральный баннер'!$C:$C=$B192,'Генеральный баннер'!$I:$I=$C192)), ""\d+"", """"),"""")"),"")</f>
        <v/>
      </c>
      <c r="U192" s="91" t="str">
        <f>IFERROR(__xludf.DUMMYFUNCTION("IFERROR(unique(filter('Генеральный баннер'!$F:$F, 'Генеральный баннер'!$B:$B=$A192,'Генеральный баннер'!$C:$C=$B192,'Генеральный баннер'!$I:$I=$C192)),"""")"),"")</f>
        <v/>
      </c>
      <c r="V192" s="92" t="str">
        <f t="shared" si="3"/>
        <v/>
      </c>
      <c r="W192" s="93">
        <f>IFERROR(__xludf.DUMMYFUNCTION("IFERROR(SWITCH(lower(join("" "",U192:V192)),""а миллионник"", 62.5,""б миллионник"", 75,""а мск"", 50, ""б мск"", 62.5, ""a остальное"", 70, ""б остальное"", 80)/100,0)"),0.0)</f>
        <v>0</v>
      </c>
      <c r="X192" s="91">
        <f t="shared" si="4"/>
        <v>0</v>
      </c>
    </row>
    <row r="193">
      <c r="A193" s="12"/>
      <c r="B193" s="12"/>
      <c r="C193" s="12"/>
      <c r="D193" s="91">
        <f>IFERROR(__xludf.DUMMYFUNCTION("IFERROR(sum(filter('Основной эфир'!$AA:$AA, 'Основной эфир'!$B:$B=$A193,'Основной эфир'!$C:$C=$B193,'Основной эфир'!$I:$I=$C193)), 0) "),0.0)</f>
        <v>0</v>
      </c>
      <c r="E193" s="91">
        <f>IFERROR(__xludf.DUMMYFUNCTION("IFERROR(sum(filter('Основной эфир'!$AC:$AC, 'Основной эфир'!$B:$B=$A193,'Основной эфир'!$C:$C=$B193,'Основной эфир'!$I:$I=$C193)), 0) "),0.0)</f>
        <v>0</v>
      </c>
      <c r="F193" s="91">
        <f>IFERROR(__xludf.DUMMYFUNCTION("IFERROR(sum(filter('Основной эфир'!$O:$O, 'Основной эфир'!$B:$B=$A193,'Основной эфир'!$C:$C=$B193,'Основной эфир'!$I:$I=$C193)), 0) "),0.0)</f>
        <v>0</v>
      </c>
      <c r="G193" s="91">
        <f>IFERROR(__xludf.DUMMYFUNCTION("IFERROR(sum(filter('Основной эфир'!$Q:$Q, 'Основной эфир'!$B:$B=$A193,'Основной эфир'!$C:$C=$B193,'Основной эфир'!$I:$I=$C193)), 0) "),0.0)</f>
        <v>0</v>
      </c>
      <c r="H193" s="91">
        <f>IFERROR(__xludf.DUMMYFUNCTION("IFERROR(AVERAGE(filter('Основной эфир'!$Y:$Y, 'Основной эфир'!$B:$B=$A193,'Основной эфир'!$C:$C=$B193,'Основной эфир'!$I:$I=$C193)), 0) "),0.0)</f>
        <v>0</v>
      </c>
      <c r="I193" s="91">
        <f>IFERROR(__xludf.DUMMYFUNCTION("IFERROR(AVERAGE(filter('Основной эфир'!$AE:$AE, 'Основной эфир'!$B:$B=$A193,'Основной эфир'!$C:$C=$B193,'Основной эфир'!$I:$I=$C193)), 0) "),0.0)</f>
        <v>0</v>
      </c>
      <c r="J193" s="91">
        <f>IFERROR(__xludf.DUMMYFUNCTION("IFERROR(SUM(filter('Основной эфир'!$AL:$AL, 'Основной эфир'!$B:$B=$A193,'Основной эфир'!$C:$C=$B193,'Основной эфир'!$I:$I=$C193)), 0) "),0.0)</f>
        <v>0</v>
      </c>
      <c r="K193" s="91" t="str">
        <f>IFERROR(__xludf.DUMMYFUNCTION("IFERROR(REGEXREPLACE(unique(filter('Основной эфир'!$A:$A, 'Основной эфир'!$B:$B=$A193,'Основной эфир'!$C:$C=$B193,'Основной эфир'!$I:$I=$C193)), ""\d+"", """"),"""")"),"")</f>
        <v/>
      </c>
      <c r="L193" s="91" t="str">
        <f>IFERROR(__xludf.DUMMYFUNCTION("IFERROR(unique(filter('Основной эфир'!$F:$F, 'Основной эфир'!$B:$B=$A193,'Основной эфир'!$C:$C=$B193,'Основной эфир'!$I:$I=$C193)),"""")"),"")</f>
        <v/>
      </c>
      <c r="M193" s="92" t="str">
        <f t="shared" si="1"/>
        <v/>
      </c>
      <c r="N193" s="93">
        <f>IFERROR(__xludf.DUMMYFUNCTION("IFERROR(SWITCH(lower(join("" "",L193:M193)),""а миллионник"", 62.5,""б миллионник"", 75,""а мск"", 50, ""б мск"", 62.5, ""a остальное"", 70, ""б остальное"", 80)/100,0)"),0.0)</f>
        <v>0</v>
      </c>
      <c r="O193" s="91">
        <f t="shared" si="2"/>
        <v>0</v>
      </c>
      <c r="P193" s="91">
        <f>IFERROR(__xludf.DUMMYFUNCTION("IFERROR(sum(filter('Генеральный баннер'!$O:$O, 'Генеральный баннер'!$B:$B=$A193,'Генеральный баннер'!$C:$C=$B193,'Генеральный баннер'!$I:$I=$C193)), 0) "),0.0)</f>
        <v>0</v>
      </c>
      <c r="Q193" s="91">
        <f>IFERROR(__xludf.DUMMYFUNCTION("IFERROR(sum(filter('Генеральный баннер'!$Q:$Q, 'Генеральный баннер'!$B:$B=$A193,'Генеральный баннер'!$C:$C=$B193,'Генеральный баннер'!$I:$I=$C193)), 0) "),0.0)</f>
        <v>0</v>
      </c>
      <c r="R193" s="91">
        <f>IFERROR(__xludf.DUMMYFUNCTION("IFERROR(AVERAGE(filter('Генеральный баннер'!$AA:$AA, 'Генеральный баннер'!$B:$B=$A193,'Генеральный баннер'!$C:$C=$B193,'Генеральный баннер'!$I:$I=$C193)), 0) "),0.0)</f>
        <v>0</v>
      </c>
      <c r="S193" s="91">
        <f>IFERROR(__xludf.DUMMYFUNCTION("IFERROR(SUM(filter('Генеральный баннер'!$AH:$AH, 'Генеральный баннер'!$B:$B=$A193,'Генеральный баннер'!$C:$C=$B193,'Генеральный баннер'!$I:$I=$C193)), 0) "),0.0)</f>
        <v>0</v>
      </c>
      <c r="T193" s="91" t="str">
        <f>IFERROR(__xludf.DUMMYFUNCTION("IFERROR(REGEXREPLACE(unique(filter('Генеральный баннер'!$A:$A, 'Генеральный баннер'!$B:$B=$A193,'Генеральный баннер'!$C:$C=$B193,'Генеральный баннер'!$I:$I=$C193)), ""\d+"", """"),"""")"),"")</f>
        <v/>
      </c>
      <c r="U193" s="91" t="str">
        <f>IFERROR(__xludf.DUMMYFUNCTION("IFERROR(unique(filter('Генеральный баннер'!$F:$F, 'Генеральный баннер'!$B:$B=$A193,'Генеральный баннер'!$C:$C=$B193,'Генеральный баннер'!$I:$I=$C193)),"""")"),"")</f>
        <v/>
      </c>
      <c r="V193" s="92" t="str">
        <f t="shared" si="3"/>
        <v/>
      </c>
      <c r="W193" s="93">
        <f>IFERROR(__xludf.DUMMYFUNCTION("IFERROR(SWITCH(lower(join("" "",U193:V193)),""а миллионник"", 62.5,""б миллионник"", 75,""а мск"", 50, ""б мск"", 62.5, ""a остальное"", 70, ""б остальное"", 80)/100,0)"),0.0)</f>
        <v>0</v>
      </c>
      <c r="X193" s="91">
        <f t="shared" si="4"/>
        <v>0</v>
      </c>
    </row>
    <row r="194">
      <c r="A194" s="12"/>
      <c r="B194" s="12"/>
      <c r="C194" s="12"/>
      <c r="D194" s="91">
        <f>IFERROR(__xludf.DUMMYFUNCTION("IFERROR(sum(filter('Основной эфир'!$AA:$AA, 'Основной эфир'!$B:$B=$A194,'Основной эфир'!$C:$C=$B194,'Основной эфир'!$I:$I=$C194)), 0) "),0.0)</f>
        <v>0</v>
      </c>
      <c r="E194" s="91">
        <f>IFERROR(__xludf.DUMMYFUNCTION("IFERROR(sum(filter('Основной эфир'!$AC:$AC, 'Основной эфир'!$B:$B=$A194,'Основной эфир'!$C:$C=$B194,'Основной эфир'!$I:$I=$C194)), 0) "),0.0)</f>
        <v>0</v>
      </c>
      <c r="F194" s="91">
        <f>IFERROR(__xludf.DUMMYFUNCTION("IFERROR(sum(filter('Основной эфир'!$O:$O, 'Основной эфир'!$B:$B=$A194,'Основной эфир'!$C:$C=$B194,'Основной эфир'!$I:$I=$C194)), 0) "),0.0)</f>
        <v>0</v>
      </c>
      <c r="G194" s="91">
        <f>IFERROR(__xludf.DUMMYFUNCTION("IFERROR(sum(filter('Основной эфир'!$Q:$Q, 'Основной эфир'!$B:$B=$A194,'Основной эфир'!$C:$C=$B194,'Основной эфир'!$I:$I=$C194)), 0) "),0.0)</f>
        <v>0</v>
      </c>
      <c r="H194" s="91">
        <f>IFERROR(__xludf.DUMMYFUNCTION("IFERROR(AVERAGE(filter('Основной эфир'!$Y:$Y, 'Основной эфир'!$B:$B=$A194,'Основной эфир'!$C:$C=$B194,'Основной эфир'!$I:$I=$C194)), 0) "),0.0)</f>
        <v>0</v>
      </c>
      <c r="I194" s="91">
        <f>IFERROR(__xludf.DUMMYFUNCTION("IFERROR(AVERAGE(filter('Основной эфир'!$AE:$AE, 'Основной эфир'!$B:$B=$A194,'Основной эфир'!$C:$C=$B194,'Основной эфир'!$I:$I=$C194)), 0) "),0.0)</f>
        <v>0</v>
      </c>
      <c r="J194" s="91">
        <f>IFERROR(__xludf.DUMMYFUNCTION("IFERROR(SUM(filter('Основной эфир'!$AL:$AL, 'Основной эфир'!$B:$B=$A194,'Основной эфир'!$C:$C=$B194,'Основной эфир'!$I:$I=$C194)), 0) "),0.0)</f>
        <v>0</v>
      </c>
      <c r="K194" s="91" t="str">
        <f>IFERROR(__xludf.DUMMYFUNCTION("IFERROR(REGEXREPLACE(unique(filter('Основной эфир'!$A:$A, 'Основной эфир'!$B:$B=$A194,'Основной эфир'!$C:$C=$B194,'Основной эфир'!$I:$I=$C194)), ""\d+"", """"),"""")"),"")</f>
        <v/>
      </c>
      <c r="L194" s="91" t="str">
        <f>IFERROR(__xludf.DUMMYFUNCTION("IFERROR(unique(filter('Основной эфир'!$F:$F, 'Основной эфир'!$B:$B=$A194,'Основной эфир'!$C:$C=$B194,'Основной эфир'!$I:$I=$C194)),"""")"),"")</f>
        <v/>
      </c>
      <c r="M194" s="92" t="str">
        <f t="shared" si="1"/>
        <v/>
      </c>
      <c r="N194" s="93">
        <f>IFERROR(__xludf.DUMMYFUNCTION("IFERROR(SWITCH(lower(join("" "",L194:M194)),""а миллионник"", 62.5,""б миллионник"", 75,""а мск"", 50, ""б мск"", 62.5, ""a остальное"", 70, ""б остальное"", 80)/100,0)"),0.0)</f>
        <v>0</v>
      </c>
      <c r="O194" s="91">
        <f t="shared" si="2"/>
        <v>0</v>
      </c>
      <c r="P194" s="91">
        <f>IFERROR(__xludf.DUMMYFUNCTION("IFERROR(sum(filter('Генеральный баннер'!$O:$O, 'Генеральный баннер'!$B:$B=$A194,'Генеральный баннер'!$C:$C=$B194,'Генеральный баннер'!$I:$I=$C194)), 0) "),0.0)</f>
        <v>0</v>
      </c>
      <c r="Q194" s="91">
        <f>IFERROR(__xludf.DUMMYFUNCTION("IFERROR(sum(filter('Генеральный баннер'!$Q:$Q, 'Генеральный баннер'!$B:$B=$A194,'Генеральный баннер'!$C:$C=$B194,'Генеральный баннер'!$I:$I=$C194)), 0) "),0.0)</f>
        <v>0</v>
      </c>
      <c r="R194" s="91">
        <f>IFERROR(__xludf.DUMMYFUNCTION("IFERROR(AVERAGE(filter('Генеральный баннер'!$AA:$AA, 'Генеральный баннер'!$B:$B=$A194,'Генеральный баннер'!$C:$C=$B194,'Генеральный баннер'!$I:$I=$C194)), 0) "),0.0)</f>
        <v>0</v>
      </c>
      <c r="S194" s="91">
        <f>IFERROR(__xludf.DUMMYFUNCTION("IFERROR(SUM(filter('Генеральный баннер'!$AH:$AH, 'Генеральный баннер'!$B:$B=$A194,'Генеральный баннер'!$C:$C=$B194,'Генеральный баннер'!$I:$I=$C194)), 0) "),0.0)</f>
        <v>0</v>
      </c>
      <c r="T194" s="91" t="str">
        <f>IFERROR(__xludf.DUMMYFUNCTION("IFERROR(REGEXREPLACE(unique(filter('Генеральный баннер'!$A:$A, 'Генеральный баннер'!$B:$B=$A194,'Генеральный баннер'!$C:$C=$B194,'Генеральный баннер'!$I:$I=$C194)), ""\d+"", """"),"""")"),"")</f>
        <v/>
      </c>
      <c r="U194" s="91" t="str">
        <f>IFERROR(__xludf.DUMMYFUNCTION("IFERROR(unique(filter('Генеральный баннер'!$F:$F, 'Генеральный баннер'!$B:$B=$A194,'Генеральный баннер'!$C:$C=$B194,'Генеральный баннер'!$I:$I=$C194)),"""")"),"")</f>
        <v/>
      </c>
      <c r="V194" s="92" t="str">
        <f t="shared" si="3"/>
        <v/>
      </c>
      <c r="W194" s="93">
        <f>IFERROR(__xludf.DUMMYFUNCTION("IFERROR(SWITCH(lower(join("" "",U194:V194)),""а миллионник"", 62.5,""б миллионник"", 75,""а мск"", 50, ""б мск"", 62.5, ""a остальное"", 70, ""б остальное"", 80)/100,0)"),0.0)</f>
        <v>0</v>
      </c>
      <c r="X194" s="91">
        <f t="shared" si="4"/>
        <v>0</v>
      </c>
    </row>
    <row r="195">
      <c r="A195" s="12"/>
      <c r="B195" s="12"/>
      <c r="C195" s="12"/>
      <c r="D195" s="91">
        <f>IFERROR(__xludf.DUMMYFUNCTION("IFERROR(sum(filter('Основной эфир'!$AA:$AA, 'Основной эфир'!$B:$B=$A195,'Основной эфир'!$C:$C=$B195,'Основной эфир'!$I:$I=$C195)), 0) "),0.0)</f>
        <v>0</v>
      </c>
      <c r="E195" s="91">
        <f>IFERROR(__xludf.DUMMYFUNCTION("IFERROR(sum(filter('Основной эфир'!$AC:$AC, 'Основной эфир'!$B:$B=$A195,'Основной эфир'!$C:$C=$B195,'Основной эфир'!$I:$I=$C195)), 0) "),0.0)</f>
        <v>0</v>
      </c>
      <c r="F195" s="91">
        <f>IFERROR(__xludf.DUMMYFUNCTION("IFERROR(sum(filter('Основной эфир'!$O:$O, 'Основной эфир'!$B:$B=$A195,'Основной эфир'!$C:$C=$B195,'Основной эфир'!$I:$I=$C195)), 0) "),0.0)</f>
        <v>0</v>
      </c>
      <c r="G195" s="91">
        <f>IFERROR(__xludf.DUMMYFUNCTION("IFERROR(sum(filter('Основной эфир'!$Q:$Q, 'Основной эфир'!$B:$B=$A195,'Основной эфир'!$C:$C=$B195,'Основной эфир'!$I:$I=$C195)), 0) "),0.0)</f>
        <v>0</v>
      </c>
      <c r="H195" s="91">
        <f>IFERROR(__xludf.DUMMYFUNCTION("IFERROR(AVERAGE(filter('Основной эфир'!$Y:$Y, 'Основной эфир'!$B:$B=$A195,'Основной эфир'!$C:$C=$B195,'Основной эфир'!$I:$I=$C195)), 0) "),0.0)</f>
        <v>0</v>
      </c>
      <c r="I195" s="91">
        <f>IFERROR(__xludf.DUMMYFUNCTION("IFERROR(AVERAGE(filter('Основной эфир'!$AE:$AE, 'Основной эфир'!$B:$B=$A195,'Основной эфир'!$C:$C=$B195,'Основной эфир'!$I:$I=$C195)), 0) "),0.0)</f>
        <v>0</v>
      </c>
      <c r="J195" s="91">
        <f>IFERROR(__xludf.DUMMYFUNCTION("IFERROR(SUM(filter('Основной эфир'!$AL:$AL, 'Основной эфир'!$B:$B=$A195,'Основной эфир'!$C:$C=$B195,'Основной эфир'!$I:$I=$C195)), 0) "),0.0)</f>
        <v>0</v>
      </c>
      <c r="K195" s="91" t="str">
        <f>IFERROR(__xludf.DUMMYFUNCTION("IFERROR(REGEXREPLACE(unique(filter('Основной эфир'!$A:$A, 'Основной эфир'!$B:$B=$A195,'Основной эфир'!$C:$C=$B195,'Основной эфир'!$I:$I=$C195)), ""\d+"", """"),"""")"),"")</f>
        <v/>
      </c>
      <c r="L195" s="91" t="str">
        <f>IFERROR(__xludf.DUMMYFUNCTION("IFERROR(unique(filter('Основной эфир'!$F:$F, 'Основной эфир'!$B:$B=$A195,'Основной эфир'!$C:$C=$B195,'Основной эфир'!$I:$I=$C195)),"""")"),"")</f>
        <v/>
      </c>
      <c r="M195" s="92" t="str">
        <f t="shared" si="1"/>
        <v/>
      </c>
      <c r="N195" s="93">
        <f>IFERROR(__xludf.DUMMYFUNCTION("IFERROR(SWITCH(lower(join("" "",L195:M195)),""а миллионник"", 62.5,""б миллионник"", 75,""а мск"", 50, ""б мск"", 62.5, ""a остальное"", 70, ""б остальное"", 80)/100,0)"),0.0)</f>
        <v>0</v>
      </c>
      <c r="O195" s="91">
        <f t="shared" si="2"/>
        <v>0</v>
      </c>
      <c r="P195" s="91">
        <f>IFERROR(__xludf.DUMMYFUNCTION("IFERROR(sum(filter('Генеральный баннер'!$O:$O, 'Генеральный баннер'!$B:$B=$A195,'Генеральный баннер'!$C:$C=$B195,'Генеральный баннер'!$I:$I=$C195)), 0) "),0.0)</f>
        <v>0</v>
      </c>
      <c r="Q195" s="91">
        <f>IFERROR(__xludf.DUMMYFUNCTION("IFERROR(sum(filter('Генеральный баннер'!$Q:$Q, 'Генеральный баннер'!$B:$B=$A195,'Генеральный баннер'!$C:$C=$B195,'Генеральный баннер'!$I:$I=$C195)), 0) "),0.0)</f>
        <v>0</v>
      </c>
      <c r="R195" s="91">
        <f>IFERROR(__xludf.DUMMYFUNCTION("IFERROR(AVERAGE(filter('Генеральный баннер'!$AA:$AA, 'Генеральный баннер'!$B:$B=$A195,'Генеральный баннер'!$C:$C=$B195,'Генеральный баннер'!$I:$I=$C195)), 0) "),0.0)</f>
        <v>0</v>
      </c>
      <c r="S195" s="91">
        <f>IFERROR(__xludf.DUMMYFUNCTION("IFERROR(SUM(filter('Генеральный баннер'!$AH:$AH, 'Генеральный баннер'!$B:$B=$A195,'Генеральный баннер'!$C:$C=$B195,'Генеральный баннер'!$I:$I=$C195)), 0) "),0.0)</f>
        <v>0</v>
      </c>
      <c r="T195" s="91" t="str">
        <f>IFERROR(__xludf.DUMMYFUNCTION("IFERROR(REGEXREPLACE(unique(filter('Генеральный баннер'!$A:$A, 'Генеральный баннер'!$B:$B=$A195,'Генеральный баннер'!$C:$C=$B195,'Генеральный баннер'!$I:$I=$C195)), ""\d+"", """"),"""")"),"")</f>
        <v/>
      </c>
      <c r="U195" s="91" t="str">
        <f>IFERROR(__xludf.DUMMYFUNCTION("IFERROR(unique(filter('Генеральный баннер'!$F:$F, 'Генеральный баннер'!$B:$B=$A195,'Генеральный баннер'!$C:$C=$B195,'Генеральный баннер'!$I:$I=$C195)),"""")"),"")</f>
        <v/>
      </c>
      <c r="V195" s="92" t="str">
        <f t="shared" si="3"/>
        <v/>
      </c>
      <c r="W195" s="93">
        <f>IFERROR(__xludf.DUMMYFUNCTION("IFERROR(SWITCH(lower(join("" "",U195:V195)),""а миллионник"", 62.5,""б миллионник"", 75,""а мск"", 50, ""б мск"", 62.5, ""a остальное"", 70, ""б остальное"", 80)/100,0)"),0.0)</f>
        <v>0</v>
      </c>
      <c r="X195" s="91">
        <f t="shared" si="4"/>
        <v>0</v>
      </c>
    </row>
    <row r="196">
      <c r="A196" s="12"/>
      <c r="B196" s="12"/>
      <c r="C196" s="12"/>
      <c r="D196" s="91">
        <f>IFERROR(__xludf.DUMMYFUNCTION("IFERROR(sum(filter('Основной эфир'!$AA:$AA, 'Основной эфир'!$B:$B=$A196,'Основной эфир'!$C:$C=$B196,'Основной эфир'!$I:$I=$C196)), 0) "),0.0)</f>
        <v>0</v>
      </c>
      <c r="E196" s="91">
        <f>IFERROR(__xludf.DUMMYFUNCTION("IFERROR(sum(filter('Основной эфир'!$AC:$AC, 'Основной эфир'!$B:$B=$A196,'Основной эфир'!$C:$C=$B196,'Основной эфир'!$I:$I=$C196)), 0) "),0.0)</f>
        <v>0</v>
      </c>
      <c r="F196" s="91">
        <f>IFERROR(__xludf.DUMMYFUNCTION("IFERROR(sum(filter('Основной эфир'!$O:$O, 'Основной эфир'!$B:$B=$A196,'Основной эфир'!$C:$C=$B196,'Основной эфир'!$I:$I=$C196)), 0) "),0.0)</f>
        <v>0</v>
      </c>
      <c r="G196" s="91">
        <f>IFERROR(__xludf.DUMMYFUNCTION("IFERROR(sum(filter('Основной эфир'!$Q:$Q, 'Основной эфир'!$B:$B=$A196,'Основной эфир'!$C:$C=$B196,'Основной эфир'!$I:$I=$C196)), 0) "),0.0)</f>
        <v>0</v>
      </c>
      <c r="H196" s="91">
        <f>IFERROR(__xludf.DUMMYFUNCTION("IFERROR(AVERAGE(filter('Основной эфир'!$Y:$Y, 'Основной эфир'!$B:$B=$A196,'Основной эфир'!$C:$C=$B196,'Основной эфир'!$I:$I=$C196)), 0) "),0.0)</f>
        <v>0</v>
      </c>
      <c r="I196" s="91">
        <f>IFERROR(__xludf.DUMMYFUNCTION("IFERROR(AVERAGE(filter('Основной эфир'!$AE:$AE, 'Основной эфир'!$B:$B=$A196,'Основной эфир'!$C:$C=$B196,'Основной эфир'!$I:$I=$C196)), 0) "),0.0)</f>
        <v>0</v>
      </c>
      <c r="J196" s="91">
        <f>IFERROR(__xludf.DUMMYFUNCTION("IFERROR(SUM(filter('Основной эфир'!$AL:$AL, 'Основной эфир'!$B:$B=$A196,'Основной эфир'!$C:$C=$B196,'Основной эфир'!$I:$I=$C196)), 0) "),0.0)</f>
        <v>0</v>
      </c>
      <c r="K196" s="91" t="str">
        <f>IFERROR(__xludf.DUMMYFUNCTION("IFERROR(REGEXREPLACE(unique(filter('Основной эфир'!$A:$A, 'Основной эфир'!$B:$B=$A196,'Основной эфир'!$C:$C=$B196,'Основной эфир'!$I:$I=$C196)), ""\d+"", """"),"""")"),"")</f>
        <v/>
      </c>
      <c r="L196" s="91" t="str">
        <f>IFERROR(__xludf.DUMMYFUNCTION("IFERROR(unique(filter('Основной эфир'!$F:$F, 'Основной эфир'!$B:$B=$A196,'Основной эфир'!$C:$C=$B196,'Основной эфир'!$I:$I=$C196)),"""")"),"")</f>
        <v/>
      </c>
      <c r="M196" s="92" t="str">
        <f t="shared" si="1"/>
        <v/>
      </c>
      <c r="N196" s="93">
        <f>IFERROR(__xludf.DUMMYFUNCTION("IFERROR(SWITCH(lower(join("" "",L196:M196)),""а миллионник"", 62.5,""б миллионник"", 75,""а мск"", 50, ""б мск"", 62.5, ""a остальное"", 70, ""б остальное"", 80)/100,0)"),0.0)</f>
        <v>0</v>
      </c>
      <c r="O196" s="91">
        <f t="shared" si="2"/>
        <v>0</v>
      </c>
      <c r="P196" s="91">
        <f>IFERROR(__xludf.DUMMYFUNCTION("IFERROR(sum(filter('Генеральный баннер'!$O:$O, 'Генеральный баннер'!$B:$B=$A196,'Генеральный баннер'!$C:$C=$B196,'Генеральный баннер'!$I:$I=$C196)), 0) "),0.0)</f>
        <v>0</v>
      </c>
      <c r="Q196" s="91">
        <f>IFERROR(__xludf.DUMMYFUNCTION("IFERROR(sum(filter('Генеральный баннер'!$Q:$Q, 'Генеральный баннер'!$B:$B=$A196,'Генеральный баннер'!$C:$C=$B196,'Генеральный баннер'!$I:$I=$C196)), 0) "),0.0)</f>
        <v>0</v>
      </c>
      <c r="R196" s="91">
        <f>IFERROR(__xludf.DUMMYFUNCTION("IFERROR(AVERAGE(filter('Генеральный баннер'!$AA:$AA, 'Генеральный баннер'!$B:$B=$A196,'Генеральный баннер'!$C:$C=$B196,'Генеральный баннер'!$I:$I=$C196)), 0) "),0.0)</f>
        <v>0</v>
      </c>
      <c r="S196" s="91">
        <f>IFERROR(__xludf.DUMMYFUNCTION("IFERROR(SUM(filter('Генеральный баннер'!$AH:$AH, 'Генеральный баннер'!$B:$B=$A196,'Генеральный баннер'!$C:$C=$B196,'Генеральный баннер'!$I:$I=$C196)), 0) "),0.0)</f>
        <v>0</v>
      </c>
      <c r="T196" s="91" t="str">
        <f>IFERROR(__xludf.DUMMYFUNCTION("IFERROR(REGEXREPLACE(unique(filter('Генеральный баннер'!$A:$A, 'Генеральный баннер'!$B:$B=$A196,'Генеральный баннер'!$C:$C=$B196,'Генеральный баннер'!$I:$I=$C196)), ""\d+"", """"),"""")"),"")</f>
        <v/>
      </c>
      <c r="U196" s="91" t="str">
        <f>IFERROR(__xludf.DUMMYFUNCTION("IFERROR(unique(filter('Генеральный баннер'!$F:$F, 'Генеральный баннер'!$B:$B=$A196,'Генеральный баннер'!$C:$C=$B196,'Генеральный баннер'!$I:$I=$C196)),"""")"),"")</f>
        <v/>
      </c>
      <c r="V196" s="92" t="str">
        <f t="shared" si="3"/>
        <v/>
      </c>
      <c r="W196" s="93">
        <f>IFERROR(__xludf.DUMMYFUNCTION("IFERROR(SWITCH(lower(join("" "",U196:V196)),""а миллионник"", 62.5,""б миллионник"", 75,""а мск"", 50, ""б мск"", 62.5, ""a остальное"", 70, ""б остальное"", 80)/100,0)"),0.0)</f>
        <v>0</v>
      </c>
      <c r="X196" s="91">
        <f t="shared" si="4"/>
        <v>0</v>
      </c>
    </row>
    <row r="197">
      <c r="A197" s="12"/>
      <c r="B197" s="12"/>
      <c r="C197" s="12"/>
      <c r="D197" s="91">
        <f>IFERROR(__xludf.DUMMYFUNCTION("IFERROR(sum(filter('Основной эфир'!$AA:$AA, 'Основной эфир'!$B:$B=$A197,'Основной эфир'!$C:$C=$B197,'Основной эфир'!$I:$I=$C197)), 0) "),0.0)</f>
        <v>0</v>
      </c>
      <c r="E197" s="91">
        <f>IFERROR(__xludf.DUMMYFUNCTION("IFERROR(sum(filter('Основной эфир'!$AC:$AC, 'Основной эфир'!$B:$B=$A197,'Основной эфир'!$C:$C=$B197,'Основной эфир'!$I:$I=$C197)), 0) "),0.0)</f>
        <v>0</v>
      </c>
      <c r="F197" s="91">
        <f>IFERROR(__xludf.DUMMYFUNCTION("IFERROR(sum(filter('Основной эфир'!$O:$O, 'Основной эфир'!$B:$B=$A197,'Основной эфир'!$C:$C=$B197,'Основной эфир'!$I:$I=$C197)), 0) "),0.0)</f>
        <v>0</v>
      </c>
      <c r="G197" s="91">
        <f>IFERROR(__xludf.DUMMYFUNCTION("IFERROR(sum(filter('Основной эфир'!$Q:$Q, 'Основной эфир'!$B:$B=$A197,'Основной эфир'!$C:$C=$B197,'Основной эфир'!$I:$I=$C197)), 0) "),0.0)</f>
        <v>0</v>
      </c>
      <c r="H197" s="91">
        <f>IFERROR(__xludf.DUMMYFUNCTION("IFERROR(AVERAGE(filter('Основной эфир'!$Y:$Y, 'Основной эфир'!$B:$B=$A197,'Основной эфир'!$C:$C=$B197,'Основной эфир'!$I:$I=$C197)), 0) "),0.0)</f>
        <v>0</v>
      </c>
      <c r="I197" s="91">
        <f>IFERROR(__xludf.DUMMYFUNCTION("IFERROR(AVERAGE(filter('Основной эфир'!$AE:$AE, 'Основной эфир'!$B:$B=$A197,'Основной эфир'!$C:$C=$B197,'Основной эфир'!$I:$I=$C197)), 0) "),0.0)</f>
        <v>0</v>
      </c>
      <c r="J197" s="91">
        <f>IFERROR(__xludf.DUMMYFUNCTION("IFERROR(SUM(filter('Основной эфир'!$AL:$AL, 'Основной эфир'!$B:$B=$A197,'Основной эфир'!$C:$C=$B197,'Основной эфир'!$I:$I=$C197)), 0) "),0.0)</f>
        <v>0</v>
      </c>
      <c r="K197" s="91" t="str">
        <f>IFERROR(__xludf.DUMMYFUNCTION("IFERROR(REGEXREPLACE(unique(filter('Основной эфир'!$A:$A, 'Основной эфир'!$B:$B=$A197,'Основной эфир'!$C:$C=$B197,'Основной эфир'!$I:$I=$C197)), ""\d+"", """"),"""")"),"")</f>
        <v/>
      </c>
      <c r="L197" s="91" t="str">
        <f>IFERROR(__xludf.DUMMYFUNCTION("IFERROR(unique(filter('Основной эфир'!$F:$F, 'Основной эфир'!$B:$B=$A197,'Основной эфир'!$C:$C=$B197,'Основной эфир'!$I:$I=$C197)),"""")"),"")</f>
        <v/>
      </c>
      <c r="M197" s="92" t="str">
        <f t="shared" si="1"/>
        <v/>
      </c>
      <c r="N197" s="93">
        <f>IFERROR(__xludf.DUMMYFUNCTION("IFERROR(SWITCH(lower(join("" "",L197:M197)),""а миллионник"", 62.5,""б миллионник"", 75,""а мск"", 50, ""б мск"", 62.5, ""a остальное"", 70, ""б остальное"", 80)/100,0)"),0.0)</f>
        <v>0</v>
      </c>
      <c r="O197" s="91">
        <f t="shared" si="2"/>
        <v>0</v>
      </c>
      <c r="P197" s="91">
        <f>IFERROR(__xludf.DUMMYFUNCTION("IFERROR(sum(filter('Генеральный баннер'!$O:$O, 'Генеральный баннер'!$B:$B=$A197,'Генеральный баннер'!$C:$C=$B197,'Генеральный баннер'!$I:$I=$C197)), 0) "),0.0)</f>
        <v>0</v>
      </c>
      <c r="Q197" s="91">
        <f>IFERROR(__xludf.DUMMYFUNCTION("IFERROR(sum(filter('Генеральный баннер'!$Q:$Q, 'Генеральный баннер'!$B:$B=$A197,'Генеральный баннер'!$C:$C=$B197,'Генеральный баннер'!$I:$I=$C197)), 0) "),0.0)</f>
        <v>0</v>
      </c>
      <c r="R197" s="91">
        <f>IFERROR(__xludf.DUMMYFUNCTION("IFERROR(AVERAGE(filter('Генеральный баннер'!$AA:$AA, 'Генеральный баннер'!$B:$B=$A197,'Генеральный баннер'!$C:$C=$B197,'Генеральный баннер'!$I:$I=$C197)), 0) "),0.0)</f>
        <v>0</v>
      </c>
      <c r="S197" s="91">
        <f>IFERROR(__xludf.DUMMYFUNCTION("IFERROR(SUM(filter('Генеральный баннер'!$AH:$AH, 'Генеральный баннер'!$B:$B=$A197,'Генеральный баннер'!$C:$C=$B197,'Генеральный баннер'!$I:$I=$C197)), 0) "),0.0)</f>
        <v>0</v>
      </c>
      <c r="T197" s="91" t="str">
        <f>IFERROR(__xludf.DUMMYFUNCTION("IFERROR(REGEXREPLACE(unique(filter('Генеральный баннер'!$A:$A, 'Генеральный баннер'!$B:$B=$A197,'Генеральный баннер'!$C:$C=$B197,'Генеральный баннер'!$I:$I=$C197)), ""\d+"", """"),"""")"),"")</f>
        <v/>
      </c>
      <c r="U197" s="91" t="str">
        <f>IFERROR(__xludf.DUMMYFUNCTION("IFERROR(unique(filter('Генеральный баннер'!$F:$F, 'Генеральный баннер'!$B:$B=$A197,'Генеральный баннер'!$C:$C=$B197,'Генеральный баннер'!$I:$I=$C197)),"""")"),"")</f>
        <v/>
      </c>
      <c r="V197" s="92" t="str">
        <f t="shared" si="3"/>
        <v/>
      </c>
      <c r="W197" s="93">
        <f>IFERROR(__xludf.DUMMYFUNCTION("IFERROR(SWITCH(lower(join("" "",U197:V197)),""а миллионник"", 62.5,""б миллионник"", 75,""а мск"", 50, ""б мск"", 62.5, ""a остальное"", 70, ""б остальное"", 80)/100,0)"),0.0)</f>
        <v>0</v>
      </c>
      <c r="X197" s="91">
        <f t="shared" si="4"/>
        <v>0</v>
      </c>
    </row>
    <row r="198">
      <c r="A198" s="12"/>
      <c r="B198" s="12"/>
      <c r="C198" s="12"/>
      <c r="D198" s="91">
        <f>IFERROR(__xludf.DUMMYFUNCTION("IFERROR(sum(filter('Основной эфир'!$AA:$AA, 'Основной эфир'!$B:$B=$A198,'Основной эфир'!$C:$C=$B198,'Основной эфир'!$I:$I=$C198)), 0) "),0.0)</f>
        <v>0</v>
      </c>
      <c r="E198" s="91">
        <f>IFERROR(__xludf.DUMMYFUNCTION("IFERROR(sum(filter('Основной эфир'!$AC:$AC, 'Основной эфир'!$B:$B=$A198,'Основной эфир'!$C:$C=$B198,'Основной эфир'!$I:$I=$C198)), 0) "),0.0)</f>
        <v>0</v>
      </c>
      <c r="F198" s="91">
        <f>IFERROR(__xludf.DUMMYFUNCTION("IFERROR(sum(filter('Основной эфир'!$O:$O, 'Основной эфир'!$B:$B=$A198,'Основной эфир'!$C:$C=$B198,'Основной эфир'!$I:$I=$C198)), 0) "),0.0)</f>
        <v>0</v>
      </c>
      <c r="G198" s="91">
        <f>IFERROR(__xludf.DUMMYFUNCTION("IFERROR(sum(filter('Основной эфир'!$Q:$Q, 'Основной эфир'!$B:$B=$A198,'Основной эфир'!$C:$C=$B198,'Основной эфир'!$I:$I=$C198)), 0) "),0.0)</f>
        <v>0</v>
      </c>
      <c r="H198" s="91">
        <f>IFERROR(__xludf.DUMMYFUNCTION("IFERROR(AVERAGE(filter('Основной эфир'!$Y:$Y, 'Основной эфир'!$B:$B=$A198,'Основной эфир'!$C:$C=$B198,'Основной эфир'!$I:$I=$C198)), 0) "),0.0)</f>
        <v>0</v>
      </c>
      <c r="I198" s="91">
        <f>IFERROR(__xludf.DUMMYFUNCTION("IFERROR(AVERAGE(filter('Основной эфир'!$AE:$AE, 'Основной эфир'!$B:$B=$A198,'Основной эфир'!$C:$C=$B198,'Основной эфир'!$I:$I=$C198)), 0) "),0.0)</f>
        <v>0</v>
      </c>
      <c r="J198" s="91">
        <f>IFERROR(__xludf.DUMMYFUNCTION("IFERROR(SUM(filter('Основной эфир'!$AL:$AL, 'Основной эфир'!$B:$B=$A198,'Основной эфир'!$C:$C=$B198,'Основной эфир'!$I:$I=$C198)), 0) "),0.0)</f>
        <v>0</v>
      </c>
      <c r="K198" s="91" t="str">
        <f>IFERROR(__xludf.DUMMYFUNCTION("IFERROR(REGEXREPLACE(unique(filter('Основной эфир'!$A:$A, 'Основной эфир'!$B:$B=$A198,'Основной эфир'!$C:$C=$B198,'Основной эфир'!$I:$I=$C198)), ""\d+"", """"),"""")"),"")</f>
        <v/>
      </c>
      <c r="L198" s="91" t="str">
        <f>IFERROR(__xludf.DUMMYFUNCTION("IFERROR(unique(filter('Основной эфир'!$F:$F, 'Основной эфир'!$B:$B=$A198,'Основной эфир'!$C:$C=$B198,'Основной эфир'!$I:$I=$C198)),"""")"),"")</f>
        <v/>
      </c>
      <c r="M198" s="92" t="str">
        <f t="shared" si="1"/>
        <v/>
      </c>
      <c r="N198" s="93">
        <f>IFERROR(__xludf.DUMMYFUNCTION("IFERROR(SWITCH(lower(join("" "",L198:M198)),""а миллионник"", 62.5,""б миллионник"", 75,""а мск"", 50, ""б мск"", 62.5, ""a остальное"", 70, ""б остальное"", 80)/100,0)"),0.0)</f>
        <v>0</v>
      </c>
      <c r="O198" s="91">
        <f t="shared" si="2"/>
        <v>0</v>
      </c>
      <c r="P198" s="91">
        <f>IFERROR(__xludf.DUMMYFUNCTION("IFERROR(sum(filter('Генеральный баннер'!$O:$O, 'Генеральный баннер'!$B:$B=$A198,'Генеральный баннер'!$C:$C=$B198,'Генеральный баннер'!$I:$I=$C198)), 0) "),0.0)</f>
        <v>0</v>
      </c>
      <c r="Q198" s="91">
        <f>IFERROR(__xludf.DUMMYFUNCTION("IFERROR(sum(filter('Генеральный баннер'!$Q:$Q, 'Генеральный баннер'!$B:$B=$A198,'Генеральный баннер'!$C:$C=$B198,'Генеральный баннер'!$I:$I=$C198)), 0) "),0.0)</f>
        <v>0</v>
      </c>
      <c r="R198" s="91">
        <f>IFERROR(__xludf.DUMMYFUNCTION("IFERROR(AVERAGE(filter('Генеральный баннер'!$AA:$AA, 'Генеральный баннер'!$B:$B=$A198,'Генеральный баннер'!$C:$C=$B198,'Генеральный баннер'!$I:$I=$C198)), 0) "),0.0)</f>
        <v>0</v>
      </c>
      <c r="S198" s="91">
        <f>IFERROR(__xludf.DUMMYFUNCTION("IFERROR(SUM(filter('Генеральный баннер'!$AH:$AH, 'Генеральный баннер'!$B:$B=$A198,'Генеральный баннер'!$C:$C=$B198,'Генеральный баннер'!$I:$I=$C198)), 0) "),0.0)</f>
        <v>0</v>
      </c>
      <c r="T198" s="91" t="str">
        <f>IFERROR(__xludf.DUMMYFUNCTION("IFERROR(REGEXREPLACE(unique(filter('Генеральный баннер'!$A:$A, 'Генеральный баннер'!$B:$B=$A198,'Генеральный баннер'!$C:$C=$B198,'Генеральный баннер'!$I:$I=$C198)), ""\d+"", """"),"""")"),"")</f>
        <v/>
      </c>
      <c r="U198" s="91" t="str">
        <f>IFERROR(__xludf.DUMMYFUNCTION("IFERROR(unique(filter('Генеральный баннер'!$F:$F, 'Генеральный баннер'!$B:$B=$A198,'Генеральный баннер'!$C:$C=$B198,'Генеральный баннер'!$I:$I=$C198)),"""")"),"")</f>
        <v/>
      </c>
      <c r="V198" s="92" t="str">
        <f t="shared" si="3"/>
        <v/>
      </c>
      <c r="W198" s="93">
        <f>IFERROR(__xludf.DUMMYFUNCTION("IFERROR(SWITCH(lower(join("" "",U198:V198)),""а миллионник"", 62.5,""б миллионник"", 75,""а мск"", 50, ""б мск"", 62.5, ""a остальное"", 70, ""б остальное"", 80)/100,0)"),0.0)</f>
        <v>0</v>
      </c>
      <c r="X198" s="91">
        <f t="shared" si="4"/>
        <v>0</v>
      </c>
    </row>
    <row r="199">
      <c r="A199" s="12"/>
      <c r="B199" s="12"/>
      <c r="C199" s="12"/>
      <c r="D199" s="91">
        <f>IFERROR(__xludf.DUMMYFUNCTION("IFERROR(sum(filter('Основной эфир'!$AA:$AA, 'Основной эфир'!$B:$B=$A199,'Основной эфир'!$C:$C=$B199,'Основной эфир'!$I:$I=$C199)), 0) "),0.0)</f>
        <v>0</v>
      </c>
      <c r="E199" s="91">
        <f>IFERROR(__xludf.DUMMYFUNCTION("IFERROR(sum(filter('Основной эфир'!$AC:$AC, 'Основной эфир'!$B:$B=$A199,'Основной эфир'!$C:$C=$B199,'Основной эфир'!$I:$I=$C199)), 0) "),0.0)</f>
        <v>0</v>
      </c>
      <c r="F199" s="91">
        <f>IFERROR(__xludf.DUMMYFUNCTION("IFERROR(sum(filter('Основной эфир'!$O:$O, 'Основной эфир'!$B:$B=$A199,'Основной эфир'!$C:$C=$B199,'Основной эфир'!$I:$I=$C199)), 0) "),0.0)</f>
        <v>0</v>
      </c>
      <c r="G199" s="91">
        <f>IFERROR(__xludf.DUMMYFUNCTION("IFERROR(sum(filter('Основной эфир'!$Q:$Q, 'Основной эфир'!$B:$B=$A199,'Основной эфир'!$C:$C=$B199,'Основной эфир'!$I:$I=$C199)), 0) "),0.0)</f>
        <v>0</v>
      </c>
      <c r="H199" s="91">
        <f>IFERROR(__xludf.DUMMYFUNCTION("IFERROR(AVERAGE(filter('Основной эфир'!$Y:$Y, 'Основной эфир'!$B:$B=$A199,'Основной эфир'!$C:$C=$B199,'Основной эфир'!$I:$I=$C199)), 0) "),0.0)</f>
        <v>0</v>
      </c>
      <c r="I199" s="91">
        <f>IFERROR(__xludf.DUMMYFUNCTION("IFERROR(AVERAGE(filter('Основной эфир'!$AE:$AE, 'Основной эфир'!$B:$B=$A199,'Основной эфир'!$C:$C=$B199,'Основной эфир'!$I:$I=$C199)), 0) "),0.0)</f>
        <v>0</v>
      </c>
      <c r="J199" s="91">
        <f>IFERROR(__xludf.DUMMYFUNCTION("IFERROR(SUM(filter('Основной эфир'!$AL:$AL, 'Основной эфир'!$B:$B=$A199,'Основной эфир'!$C:$C=$B199,'Основной эфир'!$I:$I=$C199)), 0) "),0.0)</f>
        <v>0</v>
      </c>
      <c r="K199" s="91" t="str">
        <f>IFERROR(__xludf.DUMMYFUNCTION("IFERROR(REGEXREPLACE(unique(filter('Основной эфир'!$A:$A, 'Основной эфир'!$B:$B=$A199,'Основной эфир'!$C:$C=$B199,'Основной эфир'!$I:$I=$C199)), ""\d+"", """"),"""")"),"")</f>
        <v/>
      </c>
      <c r="L199" s="91" t="str">
        <f>IFERROR(__xludf.DUMMYFUNCTION("IFERROR(unique(filter('Основной эфир'!$F:$F, 'Основной эфир'!$B:$B=$A199,'Основной эфир'!$C:$C=$B199,'Основной эфир'!$I:$I=$C199)),"""")"),"")</f>
        <v/>
      </c>
      <c r="M199" s="92" t="str">
        <f t="shared" si="1"/>
        <v/>
      </c>
      <c r="N199" s="93">
        <f>IFERROR(__xludf.DUMMYFUNCTION("IFERROR(SWITCH(lower(join("" "",L199:M199)),""а миллионник"", 62.5,""б миллионник"", 75,""а мск"", 50, ""б мск"", 62.5, ""a остальное"", 70, ""б остальное"", 80)/100,0)"),0.0)</f>
        <v>0</v>
      </c>
      <c r="O199" s="91">
        <f t="shared" si="2"/>
        <v>0</v>
      </c>
      <c r="P199" s="91">
        <f>IFERROR(__xludf.DUMMYFUNCTION("IFERROR(sum(filter('Генеральный баннер'!$O:$O, 'Генеральный баннер'!$B:$B=$A199,'Генеральный баннер'!$C:$C=$B199,'Генеральный баннер'!$I:$I=$C199)), 0) "),0.0)</f>
        <v>0</v>
      </c>
      <c r="Q199" s="91">
        <f>IFERROR(__xludf.DUMMYFUNCTION("IFERROR(sum(filter('Генеральный баннер'!$Q:$Q, 'Генеральный баннер'!$B:$B=$A199,'Генеральный баннер'!$C:$C=$B199,'Генеральный баннер'!$I:$I=$C199)), 0) "),0.0)</f>
        <v>0</v>
      </c>
      <c r="R199" s="91">
        <f>IFERROR(__xludf.DUMMYFUNCTION("IFERROR(AVERAGE(filter('Генеральный баннер'!$AA:$AA, 'Генеральный баннер'!$B:$B=$A199,'Генеральный баннер'!$C:$C=$B199,'Генеральный баннер'!$I:$I=$C199)), 0) "),0.0)</f>
        <v>0</v>
      </c>
      <c r="S199" s="91">
        <f>IFERROR(__xludf.DUMMYFUNCTION("IFERROR(SUM(filter('Генеральный баннер'!$AH:$AH, 'Генеральный баннер'!$B:$B=$A199,'Генеральный баннер'!$C:$C=$B199,'Генеральный баннер'!$I:$I=$C199)), 0) "),0.0)</f>
        <v>0</v>
      </c>
      <c r="T199" s="91" t="str">
        <f>IFERROR(__xludf.DUMMYFUNCTION("IFERROR(REGEXREPLACE(unique(filter('Генеральный баннер'!$A:$A, 'Генеральный баннер'!$B:$B=$A199,'Генеральный баннер'!$C:$C=$B199,'Генеральный баннер'!$I:$I=$C199)), ""\d+"", """"),"""")"),"")</f>
        <v/>
      </c>
      <c r="U199" s="91" t="str">
        <f>IFERROR(__xludf.DUMMYFUNCTION("IFERROR(unique(filter('Генеральный баннер'!$F:$F, 'Генеральный баннер'!$B:$B=$A199,'Генеральный баннер'!$C:$C=$B199,'Генеральный баннер'!$I:$I=$C199)),"""")"),"")</f>
        <v/>
      </c>
      <c r="V199" s="92" t="str">
        <f t="shared" si="3"/>
        <v/>
      </c>
      <c r="W199" s="93">
        <f>IFERROR(__xludf.DUMMYFUNCTION("IFERROR(SWITCH(lower(join("" "",U199:V199)),""а миллионник"", 62.5,""б миллионник"", 75,""а мск"", 50, ""б мск"", 62.5, ""a остальное"", 70, ""б остальное"", 80)/100,0)"),0.0)</f>
        <v>0</v>
      </c>
      <c r="X199" s="91">
        <f t="shared" si="4"/>
        <v>0</v>
      </c>
    </row>
    <row r="200">
      <c r="A200" s="12"/>
      <c r="B200" s="12"/>
      <c r="C200" s="12"/>
      <c r="D200" s="91">
        <f>IFERROR(__xludf.DUMMYFUNCTION("IFERROR(sum(filter('Основной эфир'!$AA:$AA, 'Основной эфир'!$B:$B=$A200,'Основной эфир'!$C:$C=$B200,'Основной эфир'!$I:$I=$C200)), 0) "),0.0)</f>
        <v>0</v>
      </c>
      <c r="E200" s="91">
        <f>IFERROR(__xludf.DUMMYFUNCTION("IFERROR(sum(filter('Основной эфир'!$AC:$AC, 'Основной эфир'!$B:$B=$A200,'Основной эфир'!$C:$C=$B200,'Основной эфир'!$I:$I=$C200)), 0) "),0.0)</f>
        <v>0</v>
      </c>
      <c r="F200" s="91">
        <f>IFERROR(__xludf.DUMMYFUNCTION("IFERROR(sum(filter('Основной эфир'!$O:$O, 'Основной эфир'!$B:$B=$A200,'Основной эфир'!$C:$C=$B200,'Основной эфир'!$I:$I=$C200)), 0) "),0.0)</f>
        <v>0</v>
      </c>
      <c r="G200" s="91">
        <f>IFERROR(__xludf.DUMMYFUNCTION("IFERROR(sum(filter('Основной эфир'!$Q:$Q, 'Основной эфир'!$B:$B=$A200,'Основной эфир'!$C:$C=$B200,'Основной эфир'!$I:$I=$C200)), 0) "),0.0)</f>
        <v>0</v>
      </c>
      <c r="H200" s="91">
        <f>IFERROR(__xludf.DUMMYFUNCTION("IFERROR(AVERAGE(filter('Основной эфир'!$Y:$Y, 'Основной эфир'!$B:$B=$A200,'Основной эфир'!$C:$C=$B200,'Основной эфир'!$I:$I=$C200)), 0) "),0.0)</f>
        <v>0</v>
      </c>
      <c r="I200" s="91">
        <f>IFERROR(__xludf.DUMMYFUNCTION("IFERROR(AVERAGE(filter('Основной эфир'!$AE:$AE, 'Основной эфир'!$B:$B=$A200,'Основной эфир'!$C:$C=$B200,'Основной эфир'!$I:$I=$C200)), 0) "),0.0)</f>
        <v>0</v>
      </c>
      <c r="J200" s="91">
        <f>IFERROR(__xludf.DUMMYFUNCTION("IFERROR(SUM(filter('Основной эфир'!$AL:$AL, 'Основной эфир'!$B:$B=$A200,'Основной эфир'!$C:$C=$B200,'Основной эфир'!$I:$I=$C200)), 0) "),0.0)</f>
        <v>0</v>
      </c>
      <c r="K200" s="91" t="str">
        <f>IFERROR(__xludf.DUMMYFUNCTION("IFERROR(REGEXREPLACE(unique(filter('Основной эфир'!$A:$A, 'Основной эфир'!$B:$B=$A200,'Основной эфир'!$C:$C=$B200,'Основной эфир'!$I:$I=$C200)), ""\d+"", """"),"""")"),"")</f>
        <v/>
      </c>
      <c r="L200" s="91" t="str">
        <f>IFERROR(__xludf.DUMMYFUNCTION("IFERROR(unique(filter('Основной эфир'!$F:$F, 'Основной эфир'!$B:$B=$A200,'Основной эфир'!$C:$C=$B200,'Основной эфир'!$I:$I=$C200)),"""")"),"")</f>
        <v/>
      </c>
      <c r="M200" s="92" t="str">
        <f t="shared" si="1"/>
        <v/>
      </c>
      <c r="N200" s="93">
        <f>IFERROR(__xludf.DUMMYFUNCTION("IFERROR(SWITCH(lower(join("" "",L200:M200)),""а миллионник"", 62.5,""б миллионник"", 75,""а мск"", 50, ""б мск"", 62.5, ""a остальное"", 70, ""б остальное"", 80)/100,0)"),0.0)</f>
        <v>0</v>
      </c>
      <c r="O200" s="91">
        <f t="shared" si="2"/>
        <v>0</v>
      </c>
      <c r="P200" s="91">
        <f>IFERROR(__xludf.DUMMYFUNCTION("IFERROR(sum(filter('Генеральный баннер'!$O:$O, 'Генеральный баннер'!$B:$B=$A200,'Генеральный баннер'!$C:$C=$B200,'Генеральный баннер'!$I:$I=$C200)), 0) "),0.0)</f>
        <v>0</v>
      </c>
      <c r="Q200" s="91">
        <f>IFERROR(__xludf.DUMMYFUNCTION("IFERROR(sum(filter('Генеральный баннер'!$Q:$Q, 'Генеральный баннер'!$B:$B=$A200,'Генеральный баннер'!$C:$C=$B200,'Генеральный баннер'!$I:$I=$C200)), 0) "),0.0)</f>
        <v>0</v>
      </c>
      <c r="R200" s="91">
        <f>IFERROR(__xludf.DUMMYFUNCTION("IFERROR(AVERAGE(filter('Генеральный баннер'!$AA:$AA, 'Генеральный баннер'!$B:$B=$A200,'Генеральный баннер'!$C:$C=$B200,'Генеральный баннер'!$I:$I=$C200)), 0) "),0.0)</f>
        <v>0</v>
      </c>
      <c r="S200" s="91">
        <f>IFERROR(__xludf.DUMMYFUNCTION("IFERROR(SUM(filter('Генеральный баннер'!$AH:$AH, 'Генеральный баннер'!$B:$B=$A200,'Генеральный баннер'!$C:$C=$B200,'Генеральный баннер'!$I:$I=$C200)), 0) "),0.0)</f>
        <v>0</v>
      </c>
      <c r="T200" s="91" t="str">
        <f>IFERROR(__xludf.DUMMYFUNCTION("IFERROR(REGEXREPLACE(unique(filter('Генеральный баннер'!$A:$A, 'Генеральный баннер'!$B:$B=$A200,'Генеральный баннер'!$C:$C=$B200,'Генеральный баннер'!$I:$I=$C200)), ""\d+"", """"),"""")"),"")</f>
        <v/>
      </c>
      <c r="U200" s="91" t="str">
        <f>IFERROR(__xludf.DUMMYFUNCTION("IFERROR(unique(filter('Генеральный баннер'!$F:$F, 'Генеральный баннер'!$B:$B=$A200,'Генеральный баннер'!$C:$C=$B200,'Генеральный баннер'!$I:$I=$C200)),"""")"),"")</f>
        <v/>
      </c>
      <c r="V200" s="92" t="str">
        <f t="shared" si="3"/>
        <v/>
      </c>
      <c r="W200" s="93">
        <f>IFERROR(__xludf.DUMMYFUNCTION("IFERROR(SWITCH(lower(join("" "",U200:V200)),""а миллионник"", 62.5,""б миллионник"", 75,""а мск"", 50, ""б мск"", 62.5, ""a остальное"", 70, ""б остальное"", 80)/100,0)"),0.0)</f>
        <v>0</v>
      </c>
      <c r="X200" s="91">
        <f t="shared" si="4"/>
        <v>0</v>
      </c>
    </row>
    <row r="201">
      <c r="A201" s="12"/>
      <c r="B201" s="12"/>
      <c r="C201" s="12"/>
      <c r="D201" s="91">
        <f>IFERROR(__xludf.DUMMYFUNCTION("IFERROR(sum(filter('Основной эфир'!$AA:$AA, 'Основной эфир'!$B:$B=$A201,'Основной эфир'!$C:$C=$B201,'Основной эфир'!$I:$I=$C201)), 0) "),0.0)</f>
        <v>0</v>
      </c>
      <c r="E201" s="91">
        <f>IFERROR(__xludf.DUMMYFUNCTION("IFERROR(sum(filter('Основной эфир'!$AC:$AC, 'Основной эфир'!$B:$B=$A201,'Основной эфир'!$C:$C=$B201,'Основной эфир'!$I:$I=$C201)), 0) "),0.0)</f>
        <v>0</v>
      </c>
      <c r="F201" s="91">
        <f>IFERROR(__xludf.DUMMYFUNCTION("IFERROR(sum(filter('Основной эфир'!$O:$O, 'Основной эфир'!$B:$B=$A201,'Основной эфир'!$C:$C=$B201,'Основной эфир'!$I:$I=$C201)), 0) "),0.0)</f>
        <v>0</v>
      </c>
      <c r="G201" s="91">
        <f>IFERROR(__xludf.DUMMYFUNCTION("IFERROR(sum(filter('Основной эфир'!$Q:$Q, 'Основной эфир'!$B:$B=$A201,'Основной эфир'!$C:$C=$B201,'Основной эфир'!$I:$I=$C201)), 0) "),0.0)</f>
        <v>0</v>
      </c>
      <c r="H201" s="91">
        <f>IFERROR(__xludf.DUMMYFUNCTION("IFERROR(AVERAGE(filter('Основной эфир'!$Y:$Y, 'Основной эфир'!$B:$B=$A201,'Основной эфир'!$C:$C=$B201,'Основной эфир'!$I:$I=$C201)), 0) "),0.0)</f>
        <v>0</v>
      </c>
      <c r="I201" s="91">
        <f>IFERROR(__xludf.DUMMYFUNCTION("IFERROR(AVERAGE(filter('Основной эфир'!$AE:$AE, 'Основной эфир'!$B:$B=$A201,'Основной эфир'!$C:$C=$B201,'Основной эфир'!$I:$I=$C201)), 0) "),0.0)</f>
        <v>0</v>
      </c>
      <c r="J201" s="91">
        <f>IFERROR(__xludf.DUMMYFUNCTION("IFERROR(SUM(filter('Основной эфир'!$AL:$AL, 'Основной эфир'!$B:$B=$A201,'Основной эфир'!$C:$C=$B201,'Основной эфир'!$I:$I=$C201)), 0) "),0.0)</f>
        <v>0</v>
      </c>
      <c r="K201" s="91" t="str">
        <f>IFERROR(__xludf.DUMMYFUNCTION("IFERROR(REGEXREPLACE(unique(filter('Основной эфир'!$A:$A, 'Основной эфир'!$B:$B=$A201,'Основной эфир'!$C:$C=$B201,'Основной эфир'!$I:$I=$C201)), ""\d+"", """"),"""")"),"")</f>
        <v/>
      </c>
      <c r="L201" s="91" t="str">
        <f>IFERROR(__xludf.DUMMYFUNCTION("IFERROR(unique(filter('Основной эфир'!$F:$F, 'Основной эфир'!$B:$B=$A201,'Основной эфир'!$C:$C=$B201,'Основной эфир'!$I:$I=$C201)),"""")"),"")</f>
        <v/>
      </c>
      <c r="M201" s="92" t="str">
        <f t="shared" si="1"/>
        <v/>
      </c>
      <c r="N201" s="93">
        <f>IFERROR(__xludf.DUMMYFUNCTION("IFERROR(SWITCH(lower(join("" "",L201:M201)),""а миллионник"", 62.5,""б миллионник"", 75,""а мск"", 50, ""б мск"", 62.5, ""a остальное"", 70, ""б остальное"", 80)/100,0)"),0.0)</f>
        <v>0</v>
      </c>
      <c r="O201" s="91">
        <f t="shared" si="2"/>
        <v>0</v>
      </c>
      <c r="P201" s="91">
        <f>IFERROR(__xludf.DUMMYFUNCTION("IFERROR(sum(filter('Генеральный баннер'!$O:$O, 'Генеральный баннер'!$B:$B=$A201,'Генеральный баннер'!$C:$C=$B201,'Генеральный баннер'!$I:$I=$C201)), 0) "),0.0)</f>
        <v>0</v>
      </c>
      <c r="Q201" s="91">
        <f>IFERROR(__xludf.DUMMYFUNCTION("IFERROR(sum(filter('Генеральный баннер'!$Q:$Q, 'Генеральный баннер'!$B:$B=$A201,'Генеральный баннер'!$C:$C=$B201,'Генеральный баннер'!$I:$I=$C201)), 0) "),0.0)</f>
        <v>0</v>
      </c>
      <c r="R201" s="91">
        <f>IFERROR(__xludf.DUMMYFUNCTION("IFERROR(AVERAGE(filter('Генеральный баннер'!$AA:$AA, 'Генеральный баннер'!$B:$B=$A201,'Генеральный баннер'!$C:$C=$B201,'Генеральный баннер'!$I:$I=$C201)), 0) "),0.0)</f>
        <v>0</v>
      </c>
      <c r="S201" s="91">
        <f>IFERROR(__xludf.DUMMYFUNCTION("IFERROR(SUM(filter('Генеральный баннер'!$AH:$AH, 'Генеральный баннер'!$B:$B=$A201,'Генеральный баннер'!$C:$C=$B201,'Генеральный баннер'!$I:$I=$C201)), 0) "),0.0)</f>
        <v>0</v>
      </c>
      <c r="T201" s="91" t="str">
        <f>IFERROR(__xludf.DUMMYFUNCTION("IFERROR(REGEXREPLACE(unique(filter('Генеральный баннер'!$A:$A, 'Генеральный баннер'!$B:$B=$A201,'Генеральный баннер'!$C:$C=$B201,'Генеральный баннер'!$I:$I=$C201)), ""\d+"", """"),"""")"),"")</f>
        <v/>
      </c>
      <c r="U201" s="91" t="str">
        <f>IFERROR(__xludf.DUMMYFUNCTION("IFERROR(unique(filter('Генеральный баннер'!$F:$F, 'Генеральный баннер'!$B:$B=$A201,'Генеральный баннер'!$C:$C=$B201,'Генеральный баннер'!$I:$I=$C201)),"""")"),"")</f>
        <v/>
      </c>
      <c r="V201" s="92" t="str">
        <f t="shared" si="3"/>
        <v/>
      </c>
      <c r="W201" s="93">
        <f>IFERROR(__xludf.DUMMYFUNCTION("IFERROR(SWITCH(lower(join("" "",U201:V201)),""а миллионник"", 62.5,""б миллионник"", 75,""а мск"", 50, ""б мск"", 62.5, ""a остальное"", 70, ""б остальное"", 80)/100,0)"),0.0)</f>
        <v>0</v>
      </c>
      <c r="X201" s="91">
        <f t="shared" si="4"/>
        <v>0</v>
      </c>
    </row>
    <row r="202">
      <c r="A202" s="12"/>
      <c r="B202" s="12"/>
      <c r="C202" s="12"/>
      <c r="D202" s="91">
        <f>IFERROR(__xludf.DUMMYFUNCTION("IFERROR(sum(filter('Основной эфир'!$AA:$AA, 'Основной эфир'!$B:$B=$A202,'Основной эфир'!$C:$C=$B202,'Основной эфир'!$I:$I=$C202)), 0) "),0.0)</f>
        <v>0</v>
      </c>
      <c r="E202" s="91">
        <f>IFERROR(__xludf.DUMMYFUNCTION("IFERROR(sum(filter('Основной эфир'!$AC:$AC, 'Основной эфир'!$B:$B=$A202,'Основной эфир'!$C:$C=$B202,'Основной эфир'!$I:$I=$C202)), 0) "),0.0)</f>
        <v>0</v>
      </c>
      <c r="F202" s="91">
        <f>IFERROR(__xludf.DUMMYFUNCTION("IFERROR(sum(filter('Основной эфир'!$O:$O, 'Основной эфир'!$B:$B=$A202,'Основной эфир'!$C:$C=$B202,'Основной эфир'!$I:$I=$C202)), 0) "),0.0)</f>
        <v>0</v>
      </c>
      <c r="G202" s="91">
        <f>IFERROR(__xludf.DUMMYFUNCTION("IFERROR(sum(filter('Основной эфир'!$Q:$Q, 'Основной эфир'!$B:$B=$A202,'Основной эфир'!$C:$C=$B202,'Основной эфир'!$I:$I=$C202)), 0) "),0.0)</f>
        <v>0</v>
      </c>
      <c r="H202" s="91">
        <f>IFERROR(__xludf.DUMMYFUNCTION("IFERROR(AVERAGE(filter('Основной эфир'!$Y:$Y, 'Основной эфир'!$B:$B=$A202,'Основной эфир'!$C:$C=$B202,'Основной эфир'!$I:$I=$C202)), 0) "),0.0)</f>
        <v>0</v>
      </c>
      <c r="I202" s="91">
        <f>IFERROR(__xludf.DUMMYFUNCTION("IFERROR(AVERAGE(filter('Основной эфир'!$AE:$AE, 'Основной эфир'!$B:$B=$A202,'Основной эфир'!$C:$C=$B202,'Основной эфир'!$I:$I=$C202)), 0) "),0.0)</f>
        <v>0</v>
      </c>
      <c r="J202" s="91">
        <f>IFERROR(__xludf.DUMMYFUNCTION("IFERROR(SUM(filter('Основной эфир'!$AL:$AL, 'Основной эфир'!$B:$B=$A202,'Основной эфир'!$C:$C=$B202,'Основной эфир'!$I:$I=$C202)), 0) "),0.0)</f>
        <v>0</v>
      </c>
      <c r="K202" s="91" t="str">
        <f>IFERROR(__xludf.DUMMYFUNCTION("IFERROR(REGEXREPLACE(unique(filter('Основной эфир'!$A:$A, 'Основной эфир'!$B:$B=$A202,'Основной эфир'!$C:$C=$B202,'Основной эфир'!$I:$I=$C202)), ""\d+"", """"),"""")"),"")</f>
        <v/>
      </c>
      <c r="L202" s="91" t="str">
        <f>IFERROR(__xludf.DUMMYFUNCTION("IFERROR(unique(filter('Основной эфир'!$F:$F, 'Основной эфир'!$B:$B=$A202,'Основной эфир'!$C:$C=$B202,'Основной эфир'!$I:$I=$C202)),"""")"),"")</f>
        <v/>
      </c>
      <c r="M202" s="92" t="str">
        <f t="shared" si="1"/>
        <v/>
      </c>
      <c r="N202" s="93">
        <f>IFERROR(__xludf.DUMMYFUNCTION("IFERROR(SWITCH(lower(join("" "",L202:M202)),""а миллионник"", 62.5,""б миллионник"", 75,""а мск"", 50, ""б мск"", 62.5, ""a остальное"", 70, ""б остальное"", 80)/100,0)"),0.0)</f>
        <v>0</v>
      </c>
      <c r="O202" s="91">
        <f t="shared" si="2"/>
        <v>0</v>
      </c>
      <c r="P202" s="91">
        <f>IFERROR(__xludf.DUMMYFUNCTION("IFERROR(sum(filter('Генеральный баннер'!$O:$O, 'Генеральный баннер'!$B:$B=$A202,'Генеральный баннер'!$C:$C=$B202,'Генеральный баннер'!$I:$I=$C202)), 0) "),0.0)</f>
        <v>0</v>
      </c>
      <c r="Q202" s="91">
        <f>IFERROR(__xludf.DUMMYFUNCTION("IFERROR(sum(filter('Генеральный баннер'!$Q:$Q, 'Генеральный баннер'!$B:$B=$A202,'Генеральный баннер'!$C:$C=$B202,'Генеральный баннер'!$I:$I=$C202)), 0) "),0.0)</f>
        <v>0</v>
      </c>
      <c r="R202" s="91">
        <f>IFERROR(__xludf.DUMMYFUNCTION("IFERROR(AVERAGE(filter('Генеральный баннер'!$AA:$AA, 'Генеральный баннер'!$B:$B=$A202,'Генеральный баннер'!$C:$C=$B202,'Генеральный баннер'!$I:$I=$C202)), 0) "),0.0)</f>
        <v>0</v>
      </c>
      <c r="S202" s="91">
        <f>IFERROR(__xludf.DUMMYFUNCTION("IFERROR(SUM(filter('Генеральный баннер'!$AH:$AH, 'Генеральный баннер'!$B:$B=$A202,'Генеральный баннер'!$C:$C=$B202,'Генеральный баннер'!$I:$I=$C202)), 0) "),0.0)</f>
        <v>0</v>
      </c>
      <c r="T202" s="91" t="str">
        <f>IFERROR(__xludf.DUMMYFUNCTION("IFERROR(REGEXREPLACE(unique(filter('Генеральный баннер'!$A:$A, 'Генеральный баннер'!$B:$B=$A202,'Генеральный баннер'!$C:$C=$B202,'Генеральный баннер'!$I:$I=$C202)), ""\d+"", """"),"""")"),"")</f>
        <v/>
      </c>
      <c r="U202" s="91" t="str">
        <f>IFERROR(__xludf.DUMMYFUNCTION("IFERROR(unique(filter('Генеральный баннер'!$F:$F, 'Генеральный баннер'!$B:$B=$A202,'Генеральный баннер'!$C:$C=$B202,'Генеральный баннер'!$I:$I=$C202)),"""")"),"")</f>
        <v/>
      </c>
      <c r="V202" s="92" t="str">
        <f t="shared" si="3"/>
        <v/>
      </c>
      <c r="W202" s="93">
        <f>IFERROR(__xludf.DUMMYFUNCTION("IFERROR(SWITCH(lower(join("" "",U202:V202)),""а миллионник"", 62.5,""б миллионник"", 75,""а мск"", 50, ""б мск"", 62.5, ""a остальное"", 70, ""б остальное"", 80)/100,0)"),0.0)</f>
        <v>0</v>
      </c>
      <c r="X202" s="91">
        <f t="shared" si="4"/>
        <v>0</v>
      </c>
    </row>
    <row r="203">
      <c r="A203" s="12"/>
      <c r="B203" s="12"/>
      <c r="C203" s="12"/>
      <c r="D203" s="91">
        <f>IFERROR(__xludf.DUMMYFUNCTION("IFERROR(sum(filter('Основной эфир'!$AA:$AA, 'Основной эфир'!$B:$B=$A203,'Основной эфир'!$C:$C=$B203,'Основной эфир'!$I:$I=$C203)), 0) "),0.0)</f>
        <v>0</v>
      </c>
      <c r="E203" s="91">
        <f>IFERROR(__xludf.DUMMYFUNCTION("IFERROR(sum(filter('Основной эфир'!$AC:$AC, 'Основной эфир'!$B:$B=$A203,'Основной эфир'!$C:$C=$B203,'Основной эфир'!$I:$I=$C203)), 0) "),0.0)</f>
        <v>0</v>
      </c>
      <c r="F203" s="91">
        <f>IFERROR(__xludf.DUMMYFUNCTION("IFERROR(sum(filter('Основной эфир'!$O:$O, 'Основной эфир'!$B:$B=$A203,'Основной эфир'!$C:$C=$B203,'Основной эфир'!$I:$I=$C203)), 0) "),0.0)</f>
        <v>0</v>
      </c>
      <c r="G203" s="91">
        <f>IFERROR(__xludf.DUMMYFUNCTION("IFERROR(sum(filter('Основной эфир'!$Q:$Q, 'Основной эфир'!$B:$B=$A203,'Основной эфир'!$C:$C=$B203,'Основной эфир'!$I:$I=$C203)), 0) "),0.0)</f>
        <v>0</v>
      </c>
      <c r="H203" s="91">
        <f>IFERROR(__xludf.DUMMYFUNCTION("IFERROR(AVERAGE(filter('Основной эфир'!$Y:$Y, 'Основной эфир'!$B:$B=$A203,'Основной эфир'!$C:$C=$B203,'Основной эфир'!$I:$I=$C203)), 0) "),0.0)</f>
        <v>0</v>
      </c>
      <c r="I203" s="91">
        <f>IFERROR(__xludf.DUMMYFUNCTION("IFERROR(AVERAGE(filter('Основной эфир'!$AE:$AE, 'Основной эфир'!$B:$B=$A203,'Основной эфир'!$C:$C=$B203,'Основной эфир'!$I:$I=$C203)), 0) "),0.0)</f>
        <v>0</v>
      </c>
      <c r="J203" s="91">
        <f>IFERROR(__xludf.DUMMYFUNCTION("IFERROR(SUM(filter('Основной эфир'!$AL:$AL, 'Основной эфир'!$B:$B=$A203,'Основной эфир'!$C:$C=$B203,'Основной эфир'!$I:$I=$C203)), 0) "),0.0)</f>
        <v>0</v>
      </c>
      <c r="K203" s="91" t="str">
        <f>IFERROR(__xludf.DUMMYFUNCTION("IFERROR(REGEXREPLACE(unique(filter('Основной эфир'!$A:$A, 'Основной эфир'!$B:$B=$A203,'Основной эфир'!$C:$C=$B203,'Основной эфир'!$I:$I=$C203)), ""\d+"", """"),"""")"),"")</f>
        <v/>
      </c>
      <c r="L203" s="91" t="str">
        <f>IFERROR(__xludf.DUMMYFUNCTION("IFERROR(unique(filter('Основной эфир'!$F:$F, 'Основной эфир'!$B:$B=$A203,'Основной эфир'!$C:$C=$B203,'Основной эфир'!$I:$I=$C203)),"""")"),"")</f>
        <v/>
      </c>
      <c r="M203" s="92" t="str">
        <f t="shared" si="1"/>
        <v/>
      </c>
      <c r="N203" s="93">
        <f>IFERROR(__xludf.DUMMYFUNCTION("IFERROR(SWITCH(lower(join("" "",L203:M203)),""а миллионник"", 62.5,""б миллионник"", 75,""а мск"", 50, ""б мск"", 62.5, ""a остальное"", 70, ""б остальное"", 80)/100,0)"),0.0)</f>
        <v>0</v>
      </c>
      <c r="O203" s="91">
        <f t="shared" si="2"/>
        <v>0</v>
      </c>
      <c r="P203" s="91">
        <f>IFERROR(__xludf.DUMMYFUNCTION("IFERROR(sum(filter('Генеральный баннер'!$O:$O, 'Генеральный баннер'!$B:$B=$A203,'Генеральный баннер'!$C:$C=$B203,'Генеральный баннер'!$I:$I=$C203)), 0) "),0.0)</f>
        <v>0</v>
      </c>
      <c r="Q203" s="91">
        <f>IFERROR(__xludf.DUMMYFUNCTION("IFERROR(sum(filter('Генеральный баннер'!$Q:$Q, 'Генеральный баннер'!$B:$B=$A203,'Генеральный баннер'!$C:$C=$B203,'Генеральный баннер'!$I:$I=$C203)), 0) "),0.0)</f>
        <v>0</v>
      </c>
      <c r="R203" s="91">
        <f>IFERROR(__xludf.DUMMYFUNCTION("IFERROR(AVERAGE(filter('Генеральный баннер'!$AA:$AA, 'Генеральный баннер'!$B:$B=$A203,'Генеральный баннер'!$C:$C=$B203,'Генеральный баннер'!$I:$I=$C203)), 0) "),0.0)</f>
        <v>0</v>
      </c>
      <c r="S203" s="91">
        <f>IFERROR(__xludf.DUMMYFUNCTION("IFERROR(SUM(filter('Генеральный баннер'!$AH:$AH, 'Генеральный баннер'!$B:$B=$A203,'Генеральный баннер'!$C:$C=$B203,'Генеральный баннер'!$I:$I=$C203)), 0) "),0.0)</f>
        <v>0</v>
      </c>
      <c r="T203" s="91" t="str">
        <f>IFERROR(__xludf.DUMMYFUNCTION("IFERROR(REGEXREPLACE(unique(filter('Генеральный баннер'!$A:$A, 'Генеральный баннер'!$B:$B=$A203,'Генеральный баннер'!$C:$C=$B203,'Генеральный баннер'!$I:$I=$C203)), ""\d+"", """"),"""")"),"")</f>
        <v/>
      </c>
      <c r="U203" s="91" t="str">
        <f>IFERROR(__xludf.DUMMYFUNCTION("IFERROR(unique(filter('Генеральный баннер'!$F:$F, 'Генеральный баннер'!$B:$B=$A203,'Генеральный баннер'!$C:$C=$B203,'Генеральный баннер'!$I:$I=$C203)),"""")"),"")</f>
        <v/>
      </c>
      <c r="V203" s="92" t="str">
        <f t="shared" si="3"/>
        <v/>
      </c>
      <c r="W203" s="93">
        <f>IFERROR(__xludf.DUMMYFUNCTION("IFERROR(SWITCH(lower(join("" "",U203:V203)),""а миллионник"", 62.5,""б миллионник"", 75,""а мск"", 50, ""б мск"", 62.5, ""a остальное"", 70, ""б остальное"", 80)/100,0)"),0.0)</f>
        <v>0</v>
      </c>
      <c r="X203" s="91">
        <f t="shared" si="4"/>
        <v>0</v>
      </c>
    </row>
    <row r="204">
      <c r="A204" s="12"/>
      <c r="B204" s="12"/>
      <c r="C204" s="12"/>
      <c r="D204" s="91">
        <f>IFERROR(__xludf.DUMMYFUNCTION("IFERROR(sum(filter('Основной эфир'!$AA:$AA, 'Основной эфир'!$B:$B=$A204,'Основной эфир'!$C:$C=$B204,'Основной эфир'!$I:$I=$C204)), 0) "),0.0)</f>
        <v>0</v>
      </c>
      <c r="E204" s="91">
        <f>IFERROR(__xludf.DUMMYFUNCTION("IFERROR(sum(filter('Основной эфир'!$AC:$AC, 'Основной эфир'!$B:$B=$A204,'Основной эфир'!$C:$C=$B204,'Основной эфир'!$I:$I=$C204)), 0) "),0.0)</f>
        <v>0</v>
      </c>
      <c r="F204" s="91">
        <f>IFERROR(__xludf.DUMMYFUNCTION("IFERROR(sum(filter('Основной эфир'!$O:$O, 'Основной эфир'!$B:$B=$A204,'Основной эфир'!$C:$C=$B204,'Основной эфир'!$I:$I=$C204)), 0) "),0.0)</f>
        <v>0</v>
      </c>
      <c r="G204" s="91">
        <f>IFERROR(__xludf.DUMMYFUNCTION("IFERROR(sum(filter('Основной эфир'!$Q:$Q, 'Основной эфир'!$B:$B=$A204,'Основной эфир'!$C:$C=$B204,'Основной эфир'!$I:$I=$C204)), 0) "),0.0)</f>
        <v>0</v>
      </c>
      <c r="H204" s="91">
        <f>IFERROR(__xludf.DUMMYFUNCTION("IFERROR(AVERAGE(filter('Основной эфир'!$Y:$Y, 'Основной эфир'!$B:$B=$A204,'Основной эфир'!$C:$C=$B204,'Основной эфир'!$I:$I=$C204)), 0) "),0.0)</f>
        <v>0</v>
      </c>
      <c r="I204" s="91">
        <f>IFERROR(__xludf.DUMMYFUNCTION("IFERROR(AVERAGE(filter('Основной эфир'!$AE:$AE, 'Основной эфир'!$B:$B=$A204,'Основной эфир'!$C:$C=$B204,'Основной эфир'!$I:$I=$C204)), 0) "),0.0)</f>
        <v>0</v>
      </c>
      <c r="J204" s="91">
        <f>IFERROR(__xludf.DUMMYFUNCTION("IFERROR(SUM(filter('Основной эфир'!$AL:$AL, 'Основной эфир'!$B:$B=$A204,'Основной эфир'!$C:$C=$B204,'Основной эфир'!$I:$I=$C204)), 0) "),0.0)</f>
        <v>0</v>
      </c>
      <c r="K204" s="91" t="str">
        <f>IFERROR(__xludf.DUMMYFUNCTION("IFERROR(REGEXREPLACE(unique(filter('Основной эфир'!$A:$A, 'Основной эфир'!$B:$B=$A204,'Основной эфир'!$C:$C=$B204,'Основной эфир'!$I:$I=$C204)), ""\d+"", """"),"""")"),"")</f>
        <v/>
      </c>
      <c r="L204" s="91" t="str">
        <f>IFERROR(__xludf.DUMMYFUNCTION("IFERROR(unique(filter('Основной эфир'!$F:$F, 'Основной эфир'!$B:$B=$A204,'Основной эфир'!$C:$C=$B204,'Основной эфир'!$I:$I=$C204)),"""")"),"")</f>
        <v/>
      </c>
      <c r="M204" s="92" t="str">
        <f t="shared" si="1"/>
        <v/>
      </c>
      <c r="N204" s="93">
        <f>IFERROR(__xludf.DUMMYFUNCTION("IFERROR(SWITCH(lower(join("" "",L204:M204)),""а миллионник"", 62.5,""б миллионник"", 75,""а мск"", 50, ""б мск"", 62.5, ""a остальное"", 70, ""б остальное"", 80)/100,0)"),0.0)</f>
        <v>0</v>
      </c>
      <c r="O204" s="91">
        <f t="shared" si="2"/>
        <v>0</v>
      </c>
      <c r="P204" s="91">
        <f>IFERROR(__xludf.DUMMYFUNCTION("IFERROR(sum(filter('Генеральный баннер'!$O:$O, 'Генеральный баннер'!$B:$B=$A204,'Генеральный баннер'!$C:$C=$B204,'Генеральный баннер'!$I:$I=$C204)), 0) "),0.0)</f>
        <v>0</v>
      </c>
      <c r="Q204" s="91">
        <f>IFERROR(__xludf.DUMMYFUNCTION("IFERROR(sum(filter('Генеральный баннер'!$Q:$Q, 'Генеральный баннер'!$B:$B=$A204,'Генеральный баннер'!$C:$C=$B204,'Генеральный баннер'!$I:$I=$C204)), 0) "),0.0)</f>
        <v>0</v>
      </c>
      <c r="R204" s="91">
        <f>IFERROR(__xludf.DUMMYFUNCTION("IFERROR(AVERAGE(filter('Генеральный баннер'!$AA:$AA, 'Генеральный баннер'!$B:$B=$A204,'Генеральный баннер'!$C:$C=$B204,'Генеральный баннер'!$I:$I=$C204)), 0) "),0.0)</f>
        <v>0</v>
      </c>
      <c r="S204" s="91">
        <f>IFERROR(__xludf.DUMMYFUNCTION("IFERROR(SUM(filter('Генеральный баннер'!$AH:$AH, 'Генеральный баннер'!$B:$B=$A204,'Генеральный баннер'!$C:$C=$B204,'Генеральный баннер'!$I:$I=$C204)), 0) "),0.0)</f>
        <v>0</v>
      </c>
      <c r="T204" s="91" t="str">
        <f>IFERROR(__xludf.DUMMYFUNCTION("IFERROR(REGEXREPLACE(unique(filter('Генеральный баннер'!$A:$A, 'Генеральный баннер'!$B:$B=$A204,'Генеральный баннер'!$C:$C=$B204,'Генеральный баннер'!$I:$I=$C204)), ""\d+"", """"),"""")"),"")</f>
        <v/>
      </c>
      <c r="U204" s="91" t="str">
        <f>IFERROR(__xludf.DUMMYFUNCTION("IFERROR(unique(filter('Генеральный баннер'!$F:$F, 'Генеральный баннер'!$B:$B=$A204,'Генеральный баннер'!$C:$C=$B204,'Генеральный баннер'!$I:$I=$C204)),"""")"),"")</f>
        <v/>
      </c>
      <c r="V204" s="92" t="str">
        <f t="shared" si="3"/>
        <v/>
      </c>
      <c r="W204" s="93">
        <f>IFERROR(__xludf.DUMMYFUNCTION("IFERROR(SWITCH(lower(join("" "",U204:V204)),""а миллионник"", 62.5,""б миллионник"", 75,""а мск"", 50, ""б мск"", 62.5, ""a остальное"", 70, ""б остальное"", 80)/100,0)"),0.0)</f>
        <v>0</v>
      </c>
      <c r="X204" s="91">
        <f t="shared" si="4"/>
        <v>0</v>
      </c>
    </row>
    <row r="205">
      <c r="A205" s="12"/>
      <c r="B205" s="12"/>
      <c r="C205" s="12"/>
      <c r="D205" s="91">
        <f>IFERROR(__xludf.DUMMYFUNCTION("IFERROR(sum(filter('Основной эфир'!$AA:$AA, 'Основной эфир'!$B:$B=$A205,'Основной эфир'!$C:$C=$B205,'Основной эфир'!$I:$I=$C205)), 0) "),0.0)</f>
        <v>0</v>
      </c>
      <c r="E205" s="91">
        <f>IFERROR(__xludf.DUMMYFUNCTION("IFERROR(sum(filter('Основной эфир'!$AC:$AC, 'Основной эфир'!$B:$B=$A205,'Основной эфир'!$C:$C=$B205,'Основной эфир'!$I:$I=$C205)), 0) "),0.0)</f>
        <v>0</v>
      </c>
      <c r="F205" s="91">
        <f>IFERROR(__xludf.DUMMYFUNCTION("IFERROR(sum(filter('Основной эфир'!$O:$O, 'Основной эфир'!$B:$B=$A205,'Основной эфир'!$C:$C=$B205,'Основной эфир'!$I:$I=$C205)), 0) "),0.0)</f>
        <v>0</v>
      </c>
      <c r="G205" s="91">
        <f>IFERROR(__xludf.DUMMYFUNCTION("IFERROR(sum(filter('Основной эфир'!$Q:$Q, 'Основной эфир'!$B:$B=$A205,'Основной эфир'!$C:$C=$B205,'Основной эфир'!$I:$I=$C205)), 0) "),0.0)</f>
        <v>0</v>
      </c>
      <c r="H205" s="91">
        <f>IFERROR(__xludf.DUMMYFUNCTION("IFERROR(AVERAGE(filter('Основной эфир'!$Y:$Y, 'Основной эфир'!$B:$B=$A205,'Основной эфир'!$C:$C=$B205,'Основной эфир'!$I:$I=$C205)), 0) "),0.0)</f>
        <v>0</v>
      </c>
      <c r="I205" s="91">
        <f>IFERROR(__xludf.DUMMYFUNCTION("IFERROR(AVERAGE(filter('Основной эфир'!$AE:$AE, 'Основной эфир'!$B:$B=$A205,'Основной эфир'!$C:$C=$B205,'Основной эфир'!$I:$I=$C205)), 0) "),0.0)</f>
        <v>0</v>
      </c>
      <c r="J205" s="91">
        <f>IFERROR(__xludf.DUMMYFUNCTION("IFERROR(SUM(filter('Основной эфир'!$AL:$AL, 'Основной эфир'!$B:$B=$A205,'Основной эфир'!$C:$C=$B205,'Основной эфир'!$I:$I=$C205)), 0) "),0.0)</f>
        <v>0</v>
      </c>
      <c r="K205" s="91" t="str">
        <f>IFERROR(__xludf.DUMMYFUNCTION("IFERROR(REGEXREPLACE(unique(filter('Основной эфир'!$A:$A, 'Основной эфир'!$B:$B=$A205,'Основной эфир'!$C:$C=$B205,'Основной эфир'!$I:$I=$C205)), ""\d+"", """"),"""")"),"")</f>
        <v/>
      </c>
      <c r="L205" s="91" t="str">
        <f>IFERROR(__xludf.DUMMYFUNCTION("IFERROR(unique(filter('Основной эфир'!$F:$F, 'Основной эфир'!$B:$B=$A205,'Основной эфир'!$C:$C=$B205,'Основной эфир'!$I:$I=$C205)),"""")"),"")</f>
        <v/>
      </c>
      <c r="M205" s="92" t="str">
        <f t="shared" si="1"/>
        <v/>
      </c>
      <c r="N205" s="93">
        <f>IFERROR(__xludf.DUMMYFUNCTION("IFERROR(SWITCH(lower(join("" "",L205:M205)),""а миллионник"", 62.5,""б миллионник"", 75,""а мск"", 50, ""б мск"", 62.5, ""a остальное"", 70, ""б остальное"", 80)/100,0)"),0.0)</f>
        <v>0</v>
      </c>
      <c r="O205" s="91">
        <f t="shared" si="2"/>
        <v>0</v>
      </c>
      <c r="P205" s="91">
        <f>IFERROR(__xludf.DUMMYFUNCTION("IFERROR(sum(filter('Генеральный баннер'!$O:$O, 'Генеральный баннер'!$B:$B=$A205,'Генеральный баннер'!$C:$C=$B205,'Генеральный баннер'!$I:$I=$C205)), 0) "),0.0)</f>
        <v>0</v>
      </c>
      <c r="Q205" s="91">
        <f>IFERROR(__xludf.DUMMYFUNCTION("IFERROR(sum(filter('Генеральный баннер'!$Q:$Q, 'Генеральный баннер'!$B:$B=$A205,'Генеральный баннер'!$C:$C=$B205,'Генеральный баннер'!$I:$I=$C205)), 0) "),0.0)</f>
        <v>0</v>
      </c>
      <c r="R205" s="91">
        <f>IFERROR(__xludf.DUMMYFUNCTION("IFERROR(AVERAGE(filter('Генеральный баннер'!$AA:$AA, 'Генеральный баннер'!$B:$B=$A205,'Генеральный баннер'!$C:$C=$B205,'Генеральный баннер'!$I:$I=$C205)), 0) "),0.0)</f>
        <v>0</v>
      </c>
      <c r="S205" s="91">
        <f>IFERROR(__xludf.DUMMYFUNCTION("IFERROR(SUM(filter('Генеральный баннер'!$AH:$AH, 'Генеральный баннер'!$B:$B=$A205,'Генеральный баннер'!$C:$C=$B205,'Генеральный баннер'!$I:$I=$C205)), 0) "),0.0)</f>
        <v>0</v>
      </c>
      <c r="T205" s="91" t="str">
        <f>IFERROR(__xludf.DUMMYFUNCTION("IFERROR(REGEXREPLACE(unique(filter('Генеральный баннер'!$A:$A, 'Генеральный баннер'!$B:$B=$A205,'Генеральный баннер'!$C:$C=$B205,'Генеральный баннер'!$I:$I=$C205)), ""\d+"", """"),"""")"),"")</f>
        <v/>
      </c>
      <c r="U205" s="91" t="str">
        <f>IFERROR(__xludf.DUMMYFUNCTION("IFERROR(unique(filter('Генеральный баннер'!$F:$F, 'Генеральный баннер'!$B:$B=$A205,'Генеральный баннер'!$C:$C=$B205,'Генеральный баннер'!$I:$I=$C205)),"""")"),"")</f>
        <v/>
      </c>
      <c r="V205" s="92" t="str">
        <f t="shared" si="3"/>
        <v/>
      </c>
      <c r="W205" s="93">
        <f>IFERROR(__xludf.DUMMYFUNCTION("IFERROR(SWITCH(lower(join("" "",U205:V205)),""а миллионник"", 62.5,""б миллионник"", 75,""а мск"", 50, ""б мск"", 62.5, ""a остальное"", 70, ""б остальное"", 80)/100,0)"),0.0)</f>
        <v>0</v>
      </c>
      <c r="X205" s="91">
        <f t="shared" si="4"/>
        <v>0</v>
      </c>
    </row>
    <row r="206">
      <c r="A206" s="12"/>
      <c r="B206" s="12"/>
      <c r="C206" s="12"/>
      <c r="D206" s="91">
        <f>IFERROR(__xludf.DUMMYFUNCTION("IFERROR(sum(filter('Основной эфир'!$AA:$AA, 'Основной эфир'!$B:$B=$A206,'Основной эфир'!$C:$C=$B206,'Основной эфир'!$I:$I=$C206)), 0) "),0.0)</f>
        <v>0</v>
      </c>
      <c r="E206" s="91">
        <f>IFERROR(__xludf.DUMMYFUNCTION("IFERROR(sum(filter('Основной эфир'!$AC:$AC, 'Основной эфир'!$B:$B=$A206,'Основной эфир'!$C:$C=$B206,'Основной эфир'!$I:$I=$C206)), 0) "),0.0)</f>
        <v>0</v>
      </c>
      <c r="F206" s="91">
        <f>IFERROR(__xludf.DUMMYFUNCTION("IFERROR(sum(filter('Основной эфир'!$O:$O, 'Основной эфир'!$B:$B=$A206,'Основной эфир'!$C:$C=$B206,'Основной эфир'!$I:$I=$C206)), 0) "),0.0)</f>
        <v>0</v>
      </c>
      <c r="G206" s="91">
        <f>IFERROR(__xludf.DUMMYFUNCTION("IFERROR(sum(filter('Основной эфир'!$Q:$Q, 'Основной эфир'!$B:$B=$A206,'Основной эфир'!$C:$C=$B206,'Основной эфир'!$I:$I=$C206)), 0) "),0.0)</f>
        <v>0</v>
      </c>
      <c r="H206" s="91">
        <f>IFERROR(__xludf.DUMMYFUNCTION("IFERROR(AVERAGE(filter('Основной эфир'!$Y:$Y, 'Основной эфир'!$B:$B=$A206,'Основной эфир'!$C:$C=$B206,'Основной эфир'!$I:$I=$C206)), 0) "),0.0)</f>
        <v>0</v>
      </c>
      <c r="I206" s="91">
        <f>IFERROR(__xludf.DUMMYFUNCTION("IFERROR(AVERAGE(filter('Основной эфир'!$AE:$AE, 'Основной эфир'!$B:$B=$A206,'Основной эфир'!$C:$C=$B206,'Основной эфир'!$I:$I=$C206)), 0) "),0.0)</f>
        <v>0</v>
      </c>
      <c r="J206" s="91">
        <f>IFERROR(__xludf.DUMMYFUNCTION("IFERROR(SUM(filter('Основной эфир'!$AL:$AL, 'Основной эфир'!$B:$B=$A206,'Основной эфир'!$C:$C=$B206,'Основной эфир'!$I:$I=$C206)), 0) "),0.0)</f>
        <v>0</v>
      </c>
      <c r="K206" s="91" t="str">
        <f>IFERROR(__xludf.DUMMYFUNCTION("IFERROR(REGEXREPLACE(unique(filter('Основной эфир'!$A:$A, 'Основной эфир'!$B:$B=$A206,'Основной эфир'!$C:$C=$B206,'Основной эфир'!$I:$I=$C206)), ""\d+"", """"),"""")"),"")</f>
        <v/>
      </c>
      <c r="L206" s="91" t="str">
        <f>IFERROR(__xludf.DUMMYFUNCTION("IFERROR(unique(filter('Основной эфир'!$F:$F, 'Основной эфир'!$B:$B=$A206,'Основной эфир'!$C:$C=$B206,'Основной эфир'!$I:$I=$C206)),"""")"),"")</f>
        <v/>
      </c>
      <c r="M206" s="92" t="str">
        <f t="shared" si="1"/>
        <v/>
      </c>
      <c r="N206" s="93">
        <f>IFERROR(__xludf.DUMMYFUNCTION("IFERROR(SWITCH(lower(join("" "",L206:M206)),""а миллионник"", 62.5,""б миллионник"", 75,""а мск"", 50, ""б мск"", 62.5, ""a остальное"", 70, ""б остальное"", 80)/100,0)"),0.0)</f>
        <v>0</v>
      </c>
      <c r="O206" s="91">
        <f t="shared" si="2"/>
        <v>0</v>
      </c>
      <c r="P206" s="91">
        <f>IFERROR(__xludf.DUMMYFUNCTION("IFERROR(sum(filter('Генеральный баннер'!$O:$O, 'Генеральный баннер'!$B:$B=$A206,'Генеральный баннер'!$C:$C=$B206,'Генеральный баннер'!$I:$I=$C206)), 0) "),0.0)</f>
        <v>0</v>
      </c>
      <c r="Q206" s="91">
        <f>IFERROR(__xludf.DUMMYFUNCTION("IFERROR(sum(filter('Генеральный баннер'!$Q:$Q, 'Генеральный баннер'!$B:$B=$A206,'Генеральный баннер'!$C:$C=$B206,'Генеральный баннер'!$I:$I=$C206)), 0) "),0.0)</f>
        <v>0</v>
      </c>
      <c r="R206" s="91">
        <f>IFERROR(__xludf.DUMMYFUNCTION("IFERROR(AVERAGE(filter('Генеральный баннер'!$AA:$AA, 'Генеральный баннер'!$B:$B=$A206,'Генеральный баннер'!$C:$C=$B206,'Генеральный баннер'!$I:$I=$C206)), 0) "),0.0)</f>
        <v>0</v>
      </c>
      <c r="S206" s="91">
        <f>IFERROR(__xludf.DUMMYFUNCTION("IFERROR(SUM(filter('Генеральный баннер'!$AH:$AH, 'Генеральный баннер'!$B:$B=$A206,'Генеральный баннер'!$C:$C=$B206,'Генеральный баннер'!$I:$I=$C206)), 0) "),0.0)</f>
        <v>0</v>
      </c>
      <c r="T206" s="91" t="str">
        <f>IFERROR(__xludf.DUMMYFUNCTION("IFERROR(REGEXREPLACE(unique(filter('Генеральный баннер'!$A:$A, 'Генеральный баннер'!$B:$B=$A206,'Генеральный баннер'!$C:$C=$B206,'Генеральный баннер'!$I:$I=$C206)), ""\d+"", """"),"""")"),"")</f>
        <v/>
      </c>
      <c r="U206" s="91" t="str">
        <f>IFERROR(__xludf.DUMMYFUNCTION("IFERROR(unique(filter('Генеральный баннер'!$F:$F, 'Генеральный баннер'!$B:$B=$A206,'Генеральный баннер'!$C:$C=$B206,'Генеральный баннер'!$I:$I=$C206)),"""")"),"")</f>
        <v/>
      </c>
      <c r="V206" s="92" t="str">
        <f t="shared" si="3"/>
        <v/>
      </c>
      <c r="W206" s="93">
        <f>IFERROR(__xludf.DUMMYFUNCTION("IFERROR(SWITCH(lower(join("" "",U206:V206)),""а миллионник"", 62.5,""б миллионник"", 75,""а мск"", 50, ""б мск"", 62.5, ""a остальное"", 70, ""б остальное"", 80)/100,0)"),0.0)</f>
        <v>0</v>
      </c>
      <c r="X206" s="91">
        <f t="shared" si="4"/>
        <v>0</v>
      </c>
    </row>
    <row r="207">
      <c r="A207" s="12"/>
      <c r="B207" s="12"/>
      <c r="C207" s="12"/>
      <c r="D207" s="91">
        <f>IFERROR(__xludf.DUMMYFUNCTION("IFERROR(sum(filter('Основной эфир'!$AA:$AA, 'Основной эфир'!$B:$B=$A207,'Основной эфир'!$C:$C=$B207,'Основной эфир'!$I:$I=$C207)), 0) "),0.0)</f>
        <v>0</v>
      </c>
      <c r="E207" s="91">
        <f>IFERROR(__xludf.DUMMYFUNCTION("IFERROR(sum(filter('Основной эфир'!$AC:$AC, 'Основной эфир'!$B:$B=$A207,'Основной эфир'!$C:$C=$B207,'Основной эфир'!$I:$I=$C207)), 0) "),0.0)</f>
        <v>0</v>
      </c>
      <c r="F207" s="91">
        <f>IFERROR(__xludf.DUMMYFUNCTION("IFERROR(sum(filter('Основной эфир'!$O:$O, 'Основной эфир'!$B:$B=$A207,'Основной эфир'!$C:$C=$B207,'Основной эфир'!$I:$I=$C207)), 0) "),0.0)</f>
        <v>0</v>
      </c>
      <c r="G207" s="91">
        <f>IFERROR(__xludf.DUMMYFUNCTION("IFERROR(sum(filter('Основной эфир'!$Q:$Q, 'Основной эфир'!$B:$B=$A207,'Основной эфир'!$C:$C=$B207,'Основной эфир'!$I:$I=$C207)), 0) "),0.0)</f>
        <v>0</v>
      </c>
      <c r="H207" s="91">
        <f>IFERROR(__xludf.DUMMYFUNCTION("IFERROR(AVERAGE(filter('Основной эфир'!$Y:$Y, 'Основной эфир'!$B:$B=$A207,'Основной эфир'!$C:$C=$B207,'Основной эфир'!$I:$I=$C207)), 0) "),0.0)</f>
        <v>0</v>
      </c>
      <c r="I207" s="91">
        <f>IFERROR(__xludf.DUMMYFUNCTION("IFERROR(AVERAGE(filter('Основной эфир'!$AE:$AE, 'Основной эфир'!$B:$B=$A207,'Основной эфир'!$C:$C=$B207,'Основной эфир'!$I:$I=$C207)), 0) "),0.0)</f>
        <v>0</v>
      </c>
      <c r="J207" s="91">
        <f>IFERROR(__xludf.DUMMYFUNCTION("IFERROR(SUM(filter('Основной эфир'!$AL:$AL, 'Основной эфир'!$B:$B=$A207,'Основной эфир'!$C:$C=$B207,'Основной эфир'!$I:$I=$C207)), 0) "),0.0)</f>
        <v>0</v>
      </c>
      <c r="K207" s="91" t="str">
        <f>IFERROR(__xludf.DUMMYFUNCTION("IFERROR(REGEXREPLACE(unique(filter('Основной эфир'!$A:$A, 'Основной эфир'!$B:$B=$A207,'Основной эфир'!$C:$C=$B207,'Основной эфир'!$I:$I=$C207)), ""\d+"", """"),"""")"),"")</f>
        <v/>
      </c>
      <c r="L207" s="91" t="str">
        <f>IFERROR(__xludf.DUMMYFUNCTION("IFERROR(unique(filter('Основной эфир'!$F:$F, 'Основной эфир'!$B:$B=$A207,'Основной эфир'!$C:$C=$B207,'Основной эфир'!$I:$I=$C207)),"""")"),"")</f>
        <v/>
      </c>
      <c r="M207" s="92" t="str">
        <f t="shared" si="1"/>
        <v/>
      </c>
      <c r="N207" s="93">
        <f>IFERROR(__xludf.DUMMYFUNCTION("IFERROR(SWITCH(lower(join("" "",L207:M207)),""а миллионник"", 62.5,""б миллионник"", 75,""а мск"", 50, ""б мск"", 62.5, ""a остальное"", 70, ""б остальное"", 80)/100,0)"),0.0)</f>
        <v>0</v>
      </c>
      <c r="O207" s="91">
        <f t="shared" si="2"/>
        <v>0</v>
      </c>
      <c r="P207" s="91">
        <f>IFERROR(__xludf.DUMMYFUNCTION("IFERROR(sum(filter('Генеральный баннер'!$O:$O, 'Генеральный баннер'!$B:$B=$A207,'Генеральный баннер'!$C:$C=$B207,'Генеральный баннер'!$I:$I=$C207)), 0) "),0.0)</f>
        <v>0</v>
      </c>
      <c r="Q207" s="91">
        <f>IFERROR(__xludf.DUMMYFUNCTION("IFERROR(sum(filter('Генеральный баннер'!$Q:$Q, 'Генеральный баннер'!$B:$B=$A207,'Генеральный баннер'!$C:$C=$B207,'Генеральный баннер'!$I:$I=$C207)), 0) "),0.0)</f>
        <v>0</v>
      </c>
      <c r="R207" s="91">
        <f>IFERROR(__xludf.DUMMYFUNCTION("IFERROR(AVERAGE(filter('Генеральный баннер'!$AA:$AA, 'Генеральный баннер'!$B:$B=$A207,'Генеральный баннер'!$C:$C=$B207,'Генеральный баннер'!$I:$I=$C207)), 0) "),0.0)</f>
        <v>0</v>
      </c>
      <c r="S207" s="91">
        <f>IFERROR(__xludf.DUMMYFUNCTION("IFERROR(SUM(filter('Генеральный баннер'!$AH:$AH, 'Генеральный баннер'!$B:$B=$A207,'Генеральный баннер'!$C:$C=$B207,'Генеральный баннер'!$I:$I=$C207)), 0) "),0.0)</f>
        <v>0</v>
      </c>
      <c r="T207" s="91" t="str">
        <f>IFERROR(__xludf.DUMMYFUNCTION("IFERROR(REGEXREPLACE(unique(filter('Генеральный баннер'!$A:$A, 'Генеральный баннер'!$B:$B=$A207,'Генеральный баннер'!$C:$C=$B207,'Генеральный баннер'!$I:$I=$C207)), ""\d+"", """"),"""")"),"")</f>
        <v/>
      </c>
      <c r="U207" s="91" t="str">
        <f>IFERROR(__xludf.DUMMYFUNCTION("IFERROR(unique(filter('Генеральный баннер'!$F:$F, 'Генеральный баннер'!$B:$B=$A207,'Генеральный баннер'!$C:$C=$B207,'Генеральный баннер'!$I:$I=$C207)),"""")"),"")</f>
        <v/>
      </c>
      <c r="V207" s="92" t="str">
        <f t="shared" si="3"/>
        <v/>
      </c>
      <c r="W207" s="93">
        <f>IFERROR(__xludf.DUMMYFUNCTION("IFERROR(SWITCH(lower(join("" "",U207:V207)),""а миллионник"", 62.5,""б миллионник"", 75,""а мск"", 50, ""б мск"", 62.5, ""a остальное"", 70, ""б остальное"", 80)/100,0)"),0.0)</f>
        <v>0</v>
      </c>
      <c r="X207" s="91">
        <f t="shared" si="4"/>
        <v>0</v>
      </c>
    </row>
    <row r="208">
      <c r="A208" s="12"/>
      <c r="B208" s="12"/>
      <c r="C208" s="12"/>
      <c r="D208" s="91">
        <f>IFERROR(__xludf.DUMMYFUNCTION("IFERROR(sum(filter('Основной эфир'!$AA:$AA, 'Основной эфир'!$B:$B=$A208,'Основной эфир'!$C:$C=$B208,'Основной эфир'!$I:$I=$C208)), 0) "),0.0)</f>
        <v>0</v>
      </c>
      <c r="E208" s="91">
        <f>IFERROR(__xludf.DUMMYFUNCTION("IFERROR(sum(filter('Основной эфир'!$AC:$AC, 'Основной эфир'!$B:$B=$A208,'Основной эфир'!$C:$C=$B208,'Основной эфир'!$I:$I=$C208)), 0) "),0.0)</f>
        <v>0</v>
      </c>
      <c r="F208" s="91">
        <f>IFERROR(__xludf.DUMMYFUNCTION("IFERROR(sum(filter('Основной эфир'!$O:$O, 'Основной эфир'!$B:$B=$A208,'Основной эфир'!$C:$C=$B208,'Основной эфир'!$I:$I=$C208)), 0) "),0.0)</f>
        <v>0</v>
      </c>
      <c r="G208" s="91">
        <f>IFERROR(__xludf.DUMMYFUNCTION("IFERROR(sum(filter('Основной эфир'!$Q:$Q, 'Основной эфир'!$B:$B=$A208,'Основной эфир'!$C:$C=$B208,'Основной эфир'!$I:$I=$C208)), 0) "),0.0)</f>
        <v>0</v>
      </c>
      <c r="H208" s="91">
        <f>IFERROR(__xludf.DUMMYFUNCTION("IFERROR(AVERAGE(filter('Основной эфир'!$Y:$Y, 'Основной эфир'!$B:$B=$A208,'Основной эфир'!$C:$C=$B208,'Основной эфир'!$I:$I=$C208)), 0) "),0.0)</f>
        <v>0</v>
      </c>
      <c r="I208" s="91">
        <f>IFERROR(__xludf.DUMMYFUNCTION("IFERROR(AVERAGE(filter('Основной эфир'!$AE:$AE, 'Основной эфир'!$B:$B=$A208,'Основной эфир'!$C:$C=$B208,'Основной эфир'!$I:$I=$C208)), 0) "),0.0)</f>
        <v>0</v>
      </c>
      <c r="J208" s="91">
        <f>IFERROR(__xludf.DUMMYFUNCTION("IFERROR(SUM(filter('Основной эфир'!$AL:$AL, 'Основной эфир'!$B:$B=$A208,'Основной эфир'!$C:$C=$B208,'Основной эфир'!$I:$I=$C208)), 0) "),0.0)</f>
        <v>0</v>
      </c>
      <c r="K208" s="91" t="str">
        <f>IFERROR(__xludf.DUMMYFUNCTION("IFERROR(REGEXREPLACE(unique(filter('Основной эфир'!$A:$A, 'Основной эфир'!$B:$B=$A208,'Основной эфир'!$C:$C=$B208,'Основной эфир'!$I:$I=$C208)), ""\d+"", """"),"""")"),"")</f>
        <v/>
      </c>
      <c r="L208" s="91" t="str">
        <f>IFERROR(__xludf.DUMMYFUNCTION("IFERROR(unique(filter('Основной эфир'!$F:$F, 'Основной эфир'!$B:$B=$A208,'Основной эфир'!$C:$C=$B208,'Основной эфир'!$I:$I=$C208)),"""")"),"")</f>
        <v/>
      </c>
      <c r="M208" s="92" t="str">
        <f t="shared" si="1"/>
        <v/>
      </c>
      <c r="N208" s="93">
        <f>IFERROR(__xludf.DUMMYFUNCTION("IFERROR(SWITCH(lower(join("" "",L208:M208)),""а миллионник"", 62.5,""б миллионник"", 75,""а мск"", 50, ""б мск"", 62.5, ""a остальное"", 70, ""б остальное"", 80)/100,0)"),0.0)</f>
        <v>0</v>
      </c>
      <c r="O208" s="91">
        <f t="shared" si="2"/>
        <v>0</v>
      </c>
      <c r="P208" s="91">
        <f>IFERROR(__xludf.DUMMYFUNCTION("IFERROR(sum(filter('Генеральный баннер'!$O:$O, 'Генеральный баннер'!$B:$B=$A208,'Генеральный баннер'!$C:$C=$B208,'Генеральный баннер'!$I:$I=$C208)), 0) "),0.0)</f>
        <v>0</v>
      </c>
      <c r="Q208" s="91">
        <f>IFERROR(__xludf.DUMMYFUNCTION("IFERROR(sum(filter('Генеральный баннер'!$Q:$Q, 'Генеральный баннер'!$B:$B=$A208,'Генеральный баннер'!$C:$C=$B208,'Генеральный баннер'!$I:$I=$C208)), 0) "),0.0)</f>
        <v>0</v>
      </c>
      <c r="R208" s="91">
        <f>IFERROR(__xludf.DUMMYFUNCTION("IFERROR(AVERAGE(filter('Генеральный баннер'!$AA:$AA, 'Генеральный баннер'!$B:$B=$A208,'Генеральный баннер'!$C:$C=$B208,'Генеральный баннер'!$I:$I=$C208)), 0) "),0.0)</f>
        <v>0</v>
      </c>
      <c r="S208" s="91">
        <f>IFERROR(__xludf.DUMMYFUNCTION("IFERROR(SUM(filter('Генеральный баннер'!$AH:$AH, 'Генеральный баннер'!$B:$B=$A208,'Генеральный баннер'!$C:$C=$B208,'Генеральный баннер'!$I:$I=$C208)), 0) "),0.0)</f>
        <v>0</v>
      </c>
      <c r="T208" s="91" t="str">
        <f>IFERROR(__xludf.DUMMYFUNCTION("IFERROR(REGEXREPLACE(unique(filter('Генеральный баннер'!$A:$A, 'Генеральный баннер'!$B:$B=$A208,'Генеральный баннер'!$C:$C=$B208,'Генеральный баннер'!$I:$I=$C208)), ""\d+"", """"),"""")"),"")</f>
        <v/>
      </c>
      <c r="U208" s="91" t="str">
        <f>IFERROR(__xludf.DUMMYFUNCTION("IFERROR(unique(filter('Генеральный баннер'!$F:$F, 'Генеральный баннер'!$B:$B=$A208,'Генеральный баннер'!$C:$C=$B208,'Генеральный баннер'!$I:$I=$C208)),"""")"),"")</f>
        <v/>
      </c>
      <c r="V208" s="92" t="str">
        <f t="shared" si="3"/>
        <v/>
      </c>
      <c r="W208" s="93">
        <f>IFERROR(__xludf.DUMMYFUNCTION("IFERROR(SWITCH(lower(join("" "",U208:V208)),""а миллионник"", 62.5,""б миллионник"", 75,""а мск"", 50, ""б мск"", 62.5, ""a остальное"", 70, ""б остальное"", 80)/100,0)"),0.0)</f>
        <v>0</v>
      </c>
      <c r="X208" s="91">
        <f t="shared" si="4"/>
        <v>0</v>
      </c>
    </row>
    <row r="209">
      <c r="A209" s="12"/>
      <c r="B209" s="12"/>
      <c r="C209" s="12"/>
      <c r="D209" s="91">
        <f>IFERROR(__xludf.DUMMYFUNCTION("IFERROR(sum(filter('Основной эфир'!$AA:$AA, 'Основной эфир'!$B:$B=$A209,'Основной эфир'!$C:$C=$B209,'Основной эфир'!$I:$I=$C209)), 0) "),0.0)</f>
        <v>0</v>
      </c>
      <c r="E209" s="91">
        <f>IFERROR(__xludf.DUMMYFUNCTION("IFERROR(sum(filter('Основной эфир'!$AC:$AC, 'Основной эфир'!$B:$B=$A209,'Основной эфир'!$C:$C=$B209,'Основной эфир'!$I:$I=$C209)), 0) "),0.0)</f>
        <v>0</v>
      </c>
      <c r="F209" s="91">
        <f>IFERROR(__xludf.DUMMYFUNCTION("IFERROR(sum(filter('Основной эфир'!$O:$O, 'Основной эфир'!$B:$B=$A209,'Основной эфир'!$C:$C=$B209,'Основной эфир'!$I:$I=$C209)), 0) "),0.0)</f>
        <v>0</v>
      </c>
      <c r="G209" s="91">
        <f>IFERROR(__xludf.DUMMYFUNCTION("IFERROR(sum(filter('Основной эфир'!$Q:$Q, 'Основной эфир'!$B:$B=$A209,'Основной эфир'!$C:$C=$B209,'Основной эфир'!$I:$I=$C209)), 0) "),0.0)</f>
        <v>0</v>
      </c>
      <c r="H209" s="91">
        <f>IFERROR(__xludf.DUMMYFUNCTION("IFERROR(AVERAGE(filter('Основной эфир'!$Y:$Y, 'Основной эфир'!$B:$B=$A209,'Основной эфир'!$C:$C=$B209,'Основной эфир'!$I:$I=$C209)), 0) "),0.0)</f>
        <v>0</v>
      </c>
      <c r="I209" s="91">
        <f>IFERROR(__xludf.DUMMYFUNCTION("IFERROR(AVERAGE(filter('Основной эфир'!$AE:$AE, 'Основной эфир'!$B:$B=$A209,'Основной эфир'!$C:$C=$B209,'Основной эфир'!$I:$I=$C209)), 0) "),0.0)</f>
        <v>0</v>
      </c>
      <c r="J209" s="91">
        <f>IFERROR(__xludf.DUMMYFUNCTION("IFERROR(SUM(filter('Основной эфир'!$AL:$AL, 'Основной эфир'!$B:$B=$A209,'Основной эфир'!$C:$C=$B209,'Основной эфир'!$I:$I=$C209)), 0) "),0.0)</f>
        <v>0</v>
      </c>
      <c r="K209" s="91" t="str">
        <f>IFERROR(__xludf.DUMMYFUNCTION("IFERROR(REGEXREPLACE(unique(filter('Основной эфир'!$A:$A, 'Основной эфир'!$B:$B=$A209,'Основной эфир'!$C:$C=$B209,'Основной эфир'!$I:$I=$C209)), ""\d+"", """"),"""")"),"")</f>
        <v/>
      </c>
      <c r="L209" s="91" t="str">
        <f>IFERROR(__xludf.DUMMYFUNCTION("IFERROR(unique(filter('Основной эфир'!$F:$F, 'Основной эфир'!$B:$B=$A209,'Основной эфир'!$C:$C=$B209,'Основной эфир'!$I:$I=$C209)),"""")"),"")</f>
        <v/>
      </c>
      <c r="M209" s="92" t="str">
        <f t="shared" si="1"/>
        <v/>
      </c>
      <c r="N209" s="93">
        <f>IFERROR(__xludf.DUMMYFUNCTION("IFERROR(SWITCH(lower(join("" "",L209:M209)),""а миллионник"", 62.5,""б миллионник"", 75,""а мск"", 50, ""б мск"", 62.5, ""a остальное"", 70, ""б остальное"", 80)/100,0)"),0.0)</f>
        <v>0</v>
      </c>
      <c r="O209" s="91">
        <f t="shared" si="2"/>
        <v>0</v>
      </c>
      <c r="P209" s="91">
        <f>IFERROR(__xludf.DUMMYFUNCTION("IFERROR(sum(filter('Генеральный баннер'!$O:$O, 'Генеральный баннер'!$B:$B=$A209,'Генеральный баннер'!$C:$C=$B209,'Генеральный баннер'!$I:$I=$C209)), 0) "),0.0)</f>
        <v>0</v>
      </c>
      <c r="Q209" s="91">
        <f>IFERROR(__xludf.DUMMYFUNCTION("IFERROR(sum(filter('Генеральный баннер'!$Q:$Q, 'Генеральный баннер'!$B:$B=$A209,'Генеральный баннер'!$C:$C=$B209,'Генеральный баннер'!$I:$I=$C209)), 0) "),0.0)</f>
        <v>0</v>
      </c>
      <c r="R209" s="91">
        <f>IFERROR(__xludf.DUMMYFUNCTION("IFERROR(AVERAGE(filter('Генеральный баннер'!$AA:$AA, 'Генеральный баннер'!$B:$B=$A209,'Генеральный баннер'!$C:$C=$B209,'Генеральный баннер'!$I:$I=$C209)), 0) "),0.0)</f>
        <v>0</v>
      </c>
      <c r="S209" s="91">
        <f>IFERROR(__xludf.DUMMYFUNCTION("IFERROR(SUM(filter('Генеральный баннер'!$AH:$AH, 'Генеральный баннер'!$B:$B=$A209,'Генеральный баннер'!$C:$C=$B209,'Генеральный баннер'!$I:$I=$C209)), 0) "),0.0)</f>
        <v>0</v>
      </c>
      <c r="T209" s="91" t="str">
        <f>IFERROR(__xludf.DUMMYFUNCTION("IFERROR(REGEXREPLACE(unique(filter('Генеральный баннер'!$A:$A, 'Генеральный баннер'!$B:$B=$A209,'Генеральный баннер'!$C:$C=$B209,'Генеральный баннер'!$I:$I=$C209)), ""\d+"", """"),"""")"),"")</f>
        <v/>
      </c>
      <c r="U209" s="91" t="str">
        <f>IFERROR(__xludf.DUMMYFUNCTION("IFERROR(unique(filter('Генеральный баннер'!$F:$F, 'Генеральный баннер'!$B:$B=$A209,'Генеральный баннер'!$C:$C=$B209,'Генеральный баннер'!$I:$I=$C209)),"""")"),"")</f>
        <v/>
      </c>
      <c r="V209" s="92" t="str">
        <f t="shared" si="3"/>
        <v/>
      </c>
      <c r="W209" s="93">
        <f>IFERROR(__xludf.DUMMYFUNCTION("IFERROR(SWITCH(lower(join("" "",U209:V209)),""а миллионник"", 62.5,""б миллионник"", 75,""а мск"", 50, ""б мск"", 62.5, ""a остальное"", 70, ""б остальное"", 80)/100,0)"),0.0)</f>
        <v>0</v>
      </c>
      <c r="X209" s="91">
        <f t="shared" si="4"/>
        <v>0</v>
      </c>
    </row>
    <row r="210">
      <c r="A210" s="12"/>
      <c r="B210" s="12"/>
      <c r="C210" s="12"/>
      <c r="D210" s="91">
        <f>IFERROR(__xludf.DUMMYFUNCTION("IFERROR(sum(filter('Основной эфир'!$AA:$AA, 'Основной эфир'!$B:$B=$A210,'Основной эфир'!$C:$C=$B210,'Основной эфир'!$I:$I=$C210)), 0) "),0.0)</f>
        <v>0</v>
      </c>
      <c r="E210" s="91">
        <f>IFERROR(__xludf.DUMMYFUNCTION("IFERROR(sum(filter('Основной эфир'!$AC:$AC, 'Основной эфир'!$B:$B=$A210,'Основной эфир'!$C:$C=$B210,'Основной эфир'!$I:$I=$C210)), 0) "),0.0)</f>
        <v>0</v>
      </c>
      <c r="F210" s="91">
        <f>IFERROR(__xludf.DUMMYFUNCTION("IFERROR(sum(filter('Основной эфир'!$O:$O, 'Основной эфир'!$B:$B=$A210,'Основной эфир'!$C:$C=$B210,'Основной эфир'!$I:$I=$C210)), 0) "),0.0)</f>
        <v>0</v>
      </c>
      <c r="G210" s="91">
        <f>IFERROR(__xludf.DUMMYFUNCTION("IFERROR(sum(filter('Основной эфир'!$Q:$Q, 'Основной эфир'!$B:$B=$A210,'Основной эфир'!$C:$C=$B210,'Основной эфир'!$I:$I=$C210)), 0) "),0.0)</f>
        <v>0</v>
      </c>
      <c r="H210" s="91">
        <f>IFERROR(__xludf.DUMMYFUNCTION("IFERROR(AVERAGE(filter('Основной эфир'!$Y:$Y, 'Основной эфир'!$B:$B=$A210,'Основной эфир'!$C:$C=$B210,'Основной эфир'!$I:$I=$C210)), 0) "),0.0)</f>
        <v>0</v>
      </c>
      <c r="I210" s="91">
        <f>IFERROR(__xludf.DUMMYFUNCTION("IFERROR(AVERAGE(filter('Основной эфир'!$AE:$AE, 'Основной эфир'!$B:$B=$A210,'Основной эфир'!$C:$C=$B210,'Основной эфир'!$I:$I=$C210)), 0) "),0.0)</f>
        <v>0</v>
      </c>
      <c r="J210" s="91">
        <f>IFERROR(__xludf.DUMMYFUNCTION("IFERROR(SUM(filter('Основной эфир'!$AL:$AL, 'Основной эфир'!$B:$B=$A210,'Основной эфир'!$C:$C=$B210,'Основной эфир'!$I:$I=$C210)), 0) "),0.0)</f>
        <v>0</v>
      </c>
      <c r="K210" s="91" t="str">
        <f>IFERROR(__xludf.DUMMYFUNCTION("IFERROR(REGEXREPLACE(unique(filter('Основной эфир'!$A:$A, 'Основной эфир'!$B:$B=$A210,'Основной эфир'!$C:$C=$B210,'Основной эфир'!$I:$I=$C210)), ""\d+"", """"),"""")"),"")</f>
        <v/>
      </c>
      <c r="L210" s="91" t="str">
        <f>IFERROR(__xludf.DUMMYFUNCTION("IFERROR(unique(filter('Основной эфир'!$F:$F, 'Основной эфир'!$B:$B=$A210,'Основной эфир'!$C:$C=$B210,'Основной эфир'!$I:$I=$C210)),"""")"),"")</f>
        <v/>
      </c>
      <c r="M210" s="92" t="str">
        <f t="shared" si="1"/>
        <v/>
      </c>
      <c r="N210" s="93">
        <f>IFERROR(__xludf.DUMMYFUNCTION("IFERROR(SWITCH(lower(join("" "",L210:M210)),""а миллионник"", 62.5,""б миллионник"", 75,""а мск"", 50, ""б мск"", 62.5, ""a остальное"", 70, ""б остальное"", 80)/100,0)"),0.0)</f>
        <v>0</v>
      </c>
      <c r="O210" s="91">
        <f t="shared" si="2"/>
        <v>0</v>
      </c>
      <c r="P210" s="91">
        <f>IFERROR(__xludf.DUMMYFUNCTION("IFERROR(sum(filter('Генеральный баннер'!$O:$O, 'Генеральный баннер'!$B:$B=$A210,'Генеральный баннер'!$C:$C=$B210,'Генеральный баннер'!$I:$I=$C210)), 0) "),0.0)</f>
        <v>0</v>
      </c>
      <c r="Q210" s="91">
        <f>IFERROR(__xludf.DUMMYFUNCTION("IFERROR(sum(filter('Генеральный баннер'!$Q:$Q, 'Генеральный баннер'!$B:$B=$A210,'Генеральный баннер'!$C:$C=$B210,'Генеральный баннер'!$I:$I=$C210)), 0) "),0.0)</f>
        <v>0</v>
      </c>
      <c r="R210" s="91">
        <f>IFERROR(__xludf.DUMMYFUNCTION("IFERROR(AVERAGE(filter('Генеральный баннер'!$AA:$AA, 'Генеральный баннер'!$B:$B=$A210,'Генеральный баннер'!$C:$C=$B210,'Генеральный баннер'!$I:$I=$C210)), 0) "),0.0)</f>
        <v>0</v>
      </c>
      <c r="S210" s="91">
        <f>IFERROR(__xludf.DUMMYFUNCTION("IFERROR(SUM(filter('Генеральный баннер'!$AH:$AH, 'Генеральный баннер'!$B:$B=$A210,'Генеральный баннер'!$C:$C=$B210,'Генеральный баннер'!$I:$I=$C210)), 0) "),0.0)</f>
        <v>0</v>
      </c>
      <c r="T210" s="91" t="str">
        <f>IFERROR(__xludf.DUMMYFUNCTION("IFERROR(REGEXREPLACE(unique(filter('Генеральный баннер'!$A:$A, 'Генеральный баннер'!$B:$B=$A210,'Генеральный баннер'!$C:$C=$B210,'Генеральный баннер'!$I:$I=$C210)), ""\d+"", """"),"""")"),"")</f>
        <v/>
      </c>
      <c r="U210" s="91" t="str">
        <f>IFERROR(__xludf.DUMMYFUNCTION("IFERROR(unique(filter('Генеральный баннер'!$F:$F, 'Генеральный баннер'!$B:$B=$A210,'Генеральный баннер'!$C:$C=$B210,'Генеральный баннер'!$I:$I=$C210)),"""")"),"")</f>
        <v/>
      </c>
      <c r="V210" s="92" t="str">
        <f t="shared" si="3"/>
        <v/>
      </c>
      <c r="W210" s="93">
        <f>IFERROR(__xludf.DUMMYFUNCTION("IFERROR(SWITCH(lower(join("" "",U210:V210)),""а миллионник"", 62.5,""б миллионник"", 75,""а мск"", 50, ""б мск"", 62.5, ""a остальное"", 70, ""б остальное"", 80)/100,0)"),0.0)</f>
        <v>0</v>
      </c>
      <c r="X210" s="91">
        <f t="shared" si="4"/>
        <v>0</v>
      </c>
    </row>
    <row r="211">
      <c r="A211" s="12"/>
      <c r="B211" s="12"/>
      <c r="C211" s="12"/>
      <c r="D211" s="91">
        <f>IFERROR(__xludf.DUMMYFUNCTION("IFERROR(sum(filter('Основной эфир'!$AA:$AA, 'Основной эфир'!$B:$B=$A211,'Основной эфир'!$C:$C=$B211,'Основной эфир'!$I:$I=$C211)), 0) "),0.0)</f>
        <v>0</v>
      </c>
      <c r="E211" s="91">
        <f>IFERROR(__xludf.DUMMYFUNCTION("IFERROR(sum(filter('Основной эфир'!$AC:$AC, 'Основной эфир'!$B:$B=$A211,'Основной эфир'!$C:$C=$B211,'Основной эфир'!$I:$I=$C211)), 0) "),0.0)</f>
        <v>0</v>
      </c>
      <c r="F211" s="91">
        <f>IFERROR(__xludf.DUMMYFUNCTION("IFERROR(sum(filter('Основной эфир'!$O:$O, 'Основной эфир'!$B:$B=$A211,'Основной эфир'!$C:$C=$B211,'Основной эфир'!$I:$I=$C211)), 0) "),0.0)</f>
        <v>0</v>
      </c>
      <c r="G211" s="91">
        <f>IFERROR(__xludf.DUMMYFUNCTION("IFERROR(sum(filter('Основной эфир'!$Q:$Q, 'Основной эфир'!$B:$B=$A211,'Основной эфир'!$C:$C=$B211,'Основной эфир'!$I:$I=$C211)), 0) "),0.0)</f>
        <v>0</v>
      </c>
      <c r="H211" s="91">
        <f>IFERROR(__xludf.DUMMYFUNCTION("IFERROR(AVERAGE(filter('Основной эфир'!$Y:$Y, 'Основной эфир'!$B:$B=$A211,'Основной эфир'!$C:$C=$B211,'Основной эфир'!$I:$I=$C211)), 0) "),0.0)</f>
        <v>0</v>
      </c>
      <c r="I211" s="91">
        <f>IFERROR(__xludf.DUMMYFUNCTION("IFERROR(AVERAGE(filter('Основной эфир'!$AE:$AE, 'Основной эфир'!$B:$B=$A211,'Основной эфир'!$C:$C=$B211,'Основной эфир'!$I:$I=$C211)), 0) "),0.0)</f>
        <v>0</v>
      </c>
      <c r="J211" s="91">
        <f>IFERROR(__xludf.DUMMYFUNCTION("IFERROR(SUM(filter('Основной эфир'!$AL:$AL, 'Основной эфир'!$B:$B=$A211,'Основной эфир'!$C:$C=$B211,'Основной эфир'!$I:$I=$C211)), 0) "),0.0)</f>
        <v>0</v>
      </c>
      <c r="K211" s="91" t="str">
        <f>IFERROR(__xludf.DUMMYFUNCTION("IFERROR(REGEXREPLACE(unique(filter('Основной эфир'!$A:$A, 'Основной эфир'!$B:$B=$A211,'Основной эфир'!$C:$C=$B211,'Основной эфир'!$I:$I=$C211)), ""\d+"", """"),"""")"),"")</f>
        <v/>
      </c>
      <c r="L211" s="91" t="str">
        <f>IFERROR(__xludf.DUMMYFUNCTION("IFERROR(unique(filter('Основной эфир'!$F:$F, 'Основной эфир'!$B:$B=$A211,'Основной эфир'!$C:$C=$B211,'Основной эфир'!$I:$I=$C211)),"""")"),"")</f>
        <v/>
      </c>
      <c r="M211" s="92" t="str">
        <f t="shared" si="1"/>
        <v/>
      </c>
      <c r="N211" s="93">
        <f>IFERROR(__xludf.DUMMYFUNCTION("IFERROR(SWITCH(lower(join("" "",L211:M211)),""а миллионник"", 62.5,""б миллионник"", 75,""а мск"", 50, ""б мск"", 62.5, ""a остальное"", 70, ""б остальное"", 80)/100,0)"),0.0)</f>
        <v>0</v>
      </c>
      <c r="O211" s="91">
        <f t="shared" si="2"/>
        <v>0</v>
      </c>
      <c r="P211" s="91">
        <f>IFERROR(__xludf.DUMMYFUNCTION("IFERROR(sum(filter('Генеральный баннер'!$O:$O, 'Генеральный баннер'!$B:$B=$A211,'Генеральный баннер'!$C:$C=$B211,'Генеральный баннер'!$I:$I=$C211)), 0) "),0.0)</f>
        <v>0</v>
      </c>
      <c r="Q211" s="91">
        <f>IFERROR(__xludf.DUMMYFUNCTION("IFERROR(sum(filter('Генеральный баннер'!$Q:$Q, 'Генеральный баннер'!$B:$B=$A211,'Генеральный баннер'!$C:$C=$B211,'Генеральный баннер'!$I:$I=$C211)), 0) "),0.0)</f>
        <v>0</v>
      </c>
      <c r="R211" s="91">
        <f>IFERROR(__xludf.DUMMYFUNCTION("IFERROR(AVERAGE(filter('Генеральный баннер'!$AA:$AA, 'Генеральный баннер'!$B:$B=$A211,'Генеральный баннер'!$C:$C=$B211,'Генеральный баннер'!$I:$I=$C211)), 0) "),0.0)</f>
        <v>0</v>
      </c>
      <c r="S211" s="91">
        <f>IFERROR(__xludf.DUMMYFUNCTION("IFERROR(SUM(filter('Генеральный баннер'!$AH:$AH, 'Генеральный баннер'!$B:$B=$A211,'Генеральный баннер'!$C:$C=$B211,'Генеральный баннер'!$I:$I=$C211)), 0) "),0.0)</f>
        <v>0</v>
      </c>
      <c r="T211" s="91" t="str">
        <f>IFERROR(__xludf.DUMMYFUNCTION("IFERROR(REGEXREPLACE(unique(filter('Генеральный баннер'!$A:$A, 'Генеральный баннер'!$B:$B=$A211,'Генеральный баннер'!$C:$C=$B211,'Генеральный баннер'!$I:$I=$C211)), ""\d+"", """"),"""")"),"")</f>
        <v/>
      </c>
      <c r="U211" s="91" t="str">
        <f>IFERROR(__xludf.DUMMYFUNCTION("IFERROR(unique(filter('Генеральный баннер'!$F:$F, 'Генеральный баннер'!$B:$B=$A211,'Генеральный баннер'!$C:$C=$B211,'Генеральный баннер'!$I:$I=$C211)),"""")"),"")</f>
        <v/>
      </c>
      <c r="V211" s="92" t="str">
        <f t="shared" si="3"/>
        <v/>
      </c>
      <c r="W211" s="93">
        <f>IFERROR(__xludf.DUMMYFUNCTION("IFERROR(SWITCH(lower(join("" "",U211:V211)),""а миллионник"", 62.5,""б миллионник"", 75,""а мск"", 50, ""б мск"", 62.5, ""a остальное"", 70, ""б остальное"", 80)/100,0)"),0.0)</f>
        <v>0</v>
      </c>
      <c r="X211" s="91">
        <f t="shared" si="4"/>
        <v>0</v>
      </c>
    </row>
    <row r="212">
      <c r="A212" s="12"/>
      <c r="B212" s="12"/>
      <c r="C212" s="12"/>
      <c r="D212" s="91">
        <f>IFERROR(__xludf.DUMMYFUNCTION("IFERROR(sum(filter('Основной эфир'!$AA:$AA, 'Основной эфир'!$B:$B=$A212,'Основной эфир'!$C:$C=$B212,'Основной эфир'!$I:$I=$C212)), 0) "),0.0)</f>
        <v>0</v>
      </c>
      <c r="E212" s="91">
        <f>IFERROR(__xludf.DUMMYFUNCTION("IFERROR(sum(filter('Основной эфир'!$AC:$AC, 'Основной эфир'!$B:$B=$A212,'Основной эфир'!$C:$C=$B212,'Основной эфир'!$I:$I=$C212)), 0) "),0.0)</f>
        <v>0</v>
      </c>
      <c r="F212" s="91">
        <f>IFERROR(__xludf.DUMMYFUNCTION("IFERROR(sum(filter('Основной эфир'!$O:$O, 'Основной эфир'!$B:$B=$A212,'Основной эфир'!$C:$C=$B212,'Основной эфир'!$I:$I=$C212)), 0) "),0.0)</f>
        <v>0</v>
      </c>
      <c r="G212" s="91">
        <f>IFERROR(__xludf.DUMMYFUNCTION("IFERROR(sum(filter('Основной эфир'!$Q:$Q, 'Основной эфир'!$B:$B=$A212,'Основной эфир'!$C:$C=$B212,'Основной эфир'!$I:$I=$C212)), 0) "),0.0)</f>
        <v>0</v>
      </c>
      <c r="H212" s="91">
        <f>IFERROR(__xludf.DUMMYFUNCTION("IFERROR(AVERAGE(filter('Основной эфир'!$Y:$Y, 'Основной эфир'!$B:$B=$A212,'Основной эфир'!$C:$C=$B212,'Основной эфир'!$I:$I=$C212)), 0) "),0.0)</f>
        <v>0</v>
      </c>
      <c r="I212" s="91">
        <f>IFERROR(__xludf.DUMMYFUNCTION("IFERROR(AVERAGE(filter('Основной эфир'!$AE:$AE, 'Основной эфир'!$B:$B=$A212,'Основной эфир'!$C:$C=$B212,'Основной эфир'!$I:$I=$C212)), 0) "),0.0)</f>
        <v>0</v>
      </c>
      <c r="J212" s="91">
        <f>IFERROR(__xludf.DUMMYFUNCTION("IFERROR(SUM(filter('Основной эфир'!$AL:$AL, 'Основной эфир'!$B:$B=$A212,'Основной эфир'!$C:$C=$B212,'Основной эфир'!$I:$I=$C212)), 0) "),0.0)</f>
        <v>0</v>
      </c>
      <c r="K212" s="91" t="str">
        <f>IFERROR(__xludf.DUMMYFUNCTION("IFERROR(REGEXREPLACE(unique(filter('Основной эфир'!$A:$A, 'Основной эфир'!$B:$B=$A212,'Основной эфир'!$C:$C=$B212,'Основной эфир'!$I:$I=$C212)), ""\d+"", """"),"""")"),"")</f>
        <v/>
      </c>
      <c r="L212" s="91" t="str">
        <f>IFERROR(__xludf.DUMMYFUNCTION("IFERROR(unique(filter('Основной эфир'!$F:$F, 'Основной эфир'!$B:$B=$A212,'Основной эфир'!$C:$C=$B212,'Основной эфир'!$I:$I=$C212)),"""")"),"")</f>
        <v/>
      </c>
      <c r="M212" s="92" t="str">
        <f t="shared" si="1"/>
        <v/>
      </c>
      <c r="N212" s="93">
        <f>IFERROR(__xludf.DUMMYFUNCTION("IFERROR(SWITCH(lower(join("" "",L212:M212)),""а миллионник"", 62.5,""б миллионник"", 75,""а мск"", 50, ""б мск"", 62.5, ""a остальное"", 70, ""б остальное"", 80)/100,0)"),0.0)</f>
        <v>0</v>
      </c>
      <c r="O212" s="91">
        <f t="shared" si="2"/>
        <v>0</v>
      </c>
      <c r="P212" s="91">
        <f>IFERROR(__xludf.DUMMYFUNCTION("IFERROR(sum(filter('Генеральный баннер'!$O:$O, 'Генеральный баннер'!$B:$B=$A212,'Генеральный баннер'!$C:$C=$B212,'Генеральный баннер'!$I:$I=$C212)), 0) "),0.0)</f>
        <v>0</v>
      </c>
      <c r="Q212" s="91">
        <f>IFERROR(__xludf.DUMMYFUNCTION("IFERROR(sum(filter('Генеральный баннер'!$Q:$Q, 'Генеральный баннер'!$B:$B=$A212,'Генеральный баннер'!$C:$C=$B212,'Генеральный баннер'!$I:$I=$C212)), 0) "),0.0)</f>
        <v>0</v>
      </c>
      <c r="R212" s="91">
        <f>IFERROR(__xludf.DUMMYFUNCTION("IFERROR(AVERAGE(filter('Генеральный баннер'!$AA:$AA, 'Генеральный баннер'!$B:$B=$A212,'Генеральный баннер'!$C:$C=$B212,'Генеральный баннер'!$I:$I=$C212)), 0) "),0.0)</f>
        <v>0</v>
      </c>
      <c r="S212" s="91">
        <f>IFERROR(__xludf.DUMMYFUNCTION("IFERROR(SUM(filter('Генеральный баннер'!$AH:$AH, 'Генеральный баннер'!$B:$B=$A212,'Генеральный баннер'!$C:$C=$B212,'Генеральный баннер'!$I:$I=$C212)), 0) "),0.0)</f>
        <v>0</v>
      </c>
      <c r="T212" s="91" t="str">
        <f>IFERROR(__xludf.DUMMYFUNCTION("IFERROR(REGEXREPLACE(unique(filter('Генеральный баннер'!$A:$A, 'Генеральный баннер'!$B:$B=$A212,'Генеральный баннер'!$C:$C=$B212,'Генеральный баннер'!$I:$I=$C212)), ""\d+"", """"),"""")"),"")</f>
        <v/>
      </c>
      <c r="U212" s="91" t="str">
        <f>IFERROR(__xludf.DUMMYFUNCTION("IFERROR(unique(filter('Генеральный баннер'!$F:$F, 'Генеральный баннер'!$B:$B=$A212,'Генеральный баннер'!$C:$C=$B212,'Генеральный баннер'!$I:$I=$C212)),"""")"),"")</f>
        <v/>
      </c>
      <c r="V212" s="92" t="str">
        <f t="shared" si="3"/>
        <v/>
      </c>
      <c r="W212" s="93">
        <f>IFERROR(__xludf.DUMMYFUNCTION("IFERROR(SWITCH(lower(join("" "",U212:V212)),""а миллионник"", 62.5,""б миллионник"", 75,""а мск"", 50, ""б мск"", 62.5, ""a остальное"", 70, ""б остальное"", 80)/100,0)"),0.0)</f>
        <v>0</v>
      </c>
      <c r="X212" s="91">
        <f t="shared" si="4"/>
        <v>0</v>
      </c>
    </row>
    <row r="213">
      <c r="A213" s="12"/>
      <c r="B213" s="12"/>
      <c r="C213" s="12"/>
      <c r="D213" s="91">
        <f>IFERROR(__xludf.DUMMYFUNCTION("IFERROR(sum(filter('Основной эфир'!$AA:$AA, 'Основной эфир'!$B:$B=$A213,'Основной эфир'!$C:$C=$B213,'Основной эфир'!$I:$I=$C213)), 0) "),0.0)</f>
        <v>0</v>
      </c>
      <c r="E213" s="91">
        <f>IFERROR(__xludf.DUMMYFUNCTION("IFERROR(sum(filter('Основной эфир'!$AC:$AC, 'Основной эфир'!$B:$B=$A213,'Основной эфир'!$C:$C=$B213,'Основной эфир'!$I:$I=$C213)), 0) "),0.0)</f>
        <v>0</v>
      </c>
      <c r="F213" s="91">
        <f>IFERROR(__xludf.DUMMYFUNCTION("IFERROR(sum(filter('Основной эфир'!$O:$O, 'Основной эфир'!$B:$B=$A213,'Основной эфир'!$C:$C=$B213,'Основной эфир'!$I:$I=$C213)), 0) "),0.0)</f>
        <v>0</v>
      </c>
      <c r="G213" s="91">
        <f>IFERROR(__xludf.DUMMYFUNCTION("IFERROR(sum(filter('Основной эфир'!$Q:$Q, 'Основной эфир'!$B:$B=$A213,'Основной эфир'!$C:$C=$B213,'Основной эфир'!$I:$I=$C213)), 0) "),0.0)</f>
        <v>0</v>
      </c>
      <c r="H213" s="91">
        <f>IFERROR(__xludf.DUMMYFUNCTION("IFERROR(AVERAGE(filter('Основной эфир'!$Y:$Y, 'Основной эфир'!$B:$B=$A213,'Основной эфир'!$C:$C=$B213,'Основной эфир'!$I:$I=$C213)), 0) "),0.0)</f>
        <v>0</v>
      </c>
      <c r="I213" s="91">
        <f>IFERROR(__xludf.DUMMYFUNCTION("IFERROR(AVERAGE(filter('Основной эфир'!$AE:$AE, 'Основной эфир'!$B:$B=$A213,'Основной эфир'!$C:$C=$B213,'Основной эфир'!$I:$I=$C213)), 0) "),0.0)</f>
        <v>0</v>
      </c>
      <c r="J213" s="91">
        <f>IFERROR(__xludf.DUMMYFUNCTION("IFERROR(SUM(filter('Основной эфир'!$AL:$AL, 'Основной эфир'!$B:$B=$A213,'Основной эфир'!$C:$C=$B213,'Основной эфир'!$I:$I=$C213)), 0) "),0.0)</f>
        <v>0</v>
      </c>
      <c r="K213" s="91" t="str">
        <f>IFERROR(__xludf.DUMMYFUNCTION("IFERROR(REGEXREPLACE(unique(filter('Основной эфир'!$A:$A, 'Основной эфир'!$B:$B=$A213,'Основной эфир'!$C:$C=$B213,'Основной эфир'!$I:$I=$C213)), ""\d+"", """"),"""")"),"")</f>
        <v/>
      </c>
      <c r="L213" s="91" t="str">
        <f>IFERROR(__xludf.DUMMYFUNCTION("IFERROR(unique(filter('Основной эфир'!$F:$F, 'Основной эфир'!$B:$B=$A213,'Основной эфир'!$C:$C=$B213,'Основной эфир'!$I:$I=$C213)),"""")"),"")</f>
        <v/>
      </c>
      <c r="M213" s="92" t="str">
        <f t="shared" si="1"/>
        <v/>
      </c>
      <c r="N213" s="93">
        <f>IFERROR(__xludf.DUMMYFUNCTION("IFERROR(SWITCH(lower(join("" "",L213:M213)),""а миллионник"", 62.5,""б миллионник"", 75,""а мск"", 50, ""б мск"", 62.5, ""a остальное"", 70, ""б остальное"", 80)/100,0)"),0.0)</f>
        <v>0</v>
      </c>
      <c r="O213" s="91">
        <f t="shared" si="2"/>
        <v>0</v>
      </c>
      <c r="P213" s="91">
        <f>IFERROR(__xludf.DUMMYFUNCTION("IFERROR(sum(filter('Генеральный баннер'!$O:$O, 'Генеральный баннер'!$B:$B=$A213,'Генеральный баннер'!$C:$C=$B213,'Генеральный баннер'!$I:$I=$C213)), 0) "),0.0)</f>
        <v>0</v>
      </c>
      <c r="Q213" s="91">
        <f>IFERROR(__xludf.DUMMYFUNCTION("IFERROR(sum(filter('Генеральный баннер'!$Q:$Q, 'Генеральный баннер'!$B:$B=$A213,'Генеральный баннер'!$C:$C=$B213,'Генеральный баннер'!$I:$I=$C213)), 0) "),0.0)</f>
        <v>0</v>
      </c>
      <c r="R213" s="91">
        <f>IFERROR(__xludf.DUMMYFUNCTION("IFERROR(AVERAGE(filter('Генеральный баннер'!$AA:$AA, 'Генеральный баннер'!$B:$B=$A213,'Генеральный баннер'!$C:$C=$B213,'Генеральный баннер'!$I:$I=$C213)), 0) "),0.0)</f>
        <v>0</v>
      </c>
      <c r="S213" s="91">
        <f>IFERROR(__xludf.DUMMYFUNCTION("IFERROR(SUM(filter('Генеральный баннер'!$AH:$AH, 'Генеральный баннер'!$B:$B=$A213,'Генеральный баннер'!$C:$C=$B213,'Генеральный баннер'!$I:$I=$C213)), 0) "),0.0)</f>
        <v>0</v>
      </c>
      <c r="T213" s="91" t="str">
        <f>IFERROR(__xludf.DUMMYFUNCTION("IFERROR(REGEXREPLACE(unique(filter('Генеральный баннер'!$A:$A, 'Генеральный баннер'!$B:$B=$A213,'Генеральный баннер'!$C:$C=$B213,'Генеральный баннер'!$I:$I=$C213)), ""\d+"", """"),"""")"),"")</f>
        <v/>
      </c>
      <c r="U213" s="91" t="str">
        <f>IFERROR(__xludf.DUMMYFUNCTION("IFERROR(unique(filter('Генеральный баннер'!$F:$F, 'Генеральный баннер'!$B:$B=$A213,'Генеральный баннер'!$C:$C=$B213,'Генеральный баннер'!$I:$I=$C213)),"""")"),"")</f>
        <v/>
      </c>
      <c r="V213" s="92" t="str">
        <f t="shared" si="3"/>
        <v/>
      </c>
      <c r="W213" s="93">
        <f>IFERROR(__xludf.DUMMYFUNCTION("IFERROR(SWITCH(lower(join("" "",U213:V213)),""а миллионник"", 62.5,""б миллионник"", 75,""а мск"", 50, ""б мск"", 62.5, ""a остальное"", 70, ""б остальное"", 80)/100,0)"),0.0)</f>
        <v>0</v>
      </c>
      <c r="X213" s="91">
        <f t="shared" si="4"/>
        <v>0</v>
      </c>
    </row>
    <row r="214">
      <c r="A214" s="12"/>
      <c r="B214" s="12"/>
      <c r="C214" s="12"/>
      <c r="D214" s="91">
        <f>IFERROR(__xludf.DUMMYFUNCTION("IFERROR(sum(filter('Основной эфир'!$AA:$AA, 'Основной эфир'!$B:$B=$A214,'Основной эфир'!$C:$C=$B214,'Основной эфир'!$I:$I=$C214)), 0) "),0.0)</f>
        <v>0</v>
      </c>
      <c r="E214" s="91">
        <f>IFERROR(__xludf.DUMMYFUNCTION("IFERROR(sum(filter('Основной эфир'!$AC:$AC, 'Основной эфир'!$B:$B=$A214,'Основной эфир'!$C:$C=$B214,'Основной эфир'!$I:$I=$C214)), 0) "),0.0)</f>
        <v>0</v>
      </c>
      <c r="F214" s="91">
        <f>IFERROR(__xludf.DUMMYFUNCTION("IFERROR(sum(filter('Основной эфир'!$O:$O, 'Основной эфир'!$B:$B=$A214,'Основной эфир'!$C:$C=$B214,'Основной эфир'!$I:$I=$C214)), 0) "),0.0)</f>
        <v>0</v>
      </c>
      <c r="G214" s="91">
        <f>IFERROR(__xludf.DUMMYFUNCTION("IFERROR(sum(filter('Основной эфир'!$Q:$Q, 'Основной эфир'!$B:$B=$A214,'Основной эфир'!$C:$C=$B214,'Основной эфир'!$I:$I=$C214)), 0) "),0.0)</f>
        <v>0</v>
      </c>
      <c r="H214" s="91">
        <f>IFERROR(__xludf.DUMMYFUNCTION("IFERROR(AVERAGE(filter('Основной эфир'!$Y:$Y, 'Основной эфир'!$B:$B=$A214,'Основной эфир'!$C:$C=$B214,'Основной эфир'!$I:$I=$C214)), 0) "),0.0)</f>
        <v>0</v>
      </c>
      <c r="I214" s="91">
        <f>IFERROR(__xludf.DUMMYFUNCTION("IFERROR(AVERAGE(filter('Основной эфир'!$AE:$AE, 'Основной эфир'!$B:$B=$A214,'Основной эфир'!$C:$C=$B214,'Основной эфир'!$I:$I=$C214)), 0) "),0.0)</f>
        <v>0</v>
      </c>
      <c r="J214" s="91">
        <f>IFERROR(__xludf.DUMMYFUNCTION("IFERROR(SUM(filter('Основной эфир'!$AL:$AL, 'Основной эфир'!$B:$B=$A214,'Основной эфир'!$C:$C=$B214,'Основной эфир'!$I:$I=$C214)), 0) "),0.0)</f>
        <v>0</v>
      </c>
      <c r="K214" s="91" t="str">
        <f>IFERROR(__xludf.DUMMYFUNCTION("IFERROR(REGEXREPLACE(unique(filter('Основной эфир'!$A:$A, 'Основной эфир'!$B:$B=$A214,'Основной эфир'!$C:$C=$B214,'Основной эфир'!$I:$I=$C214)), ""\d+"", """"),"""")"),"")</f>
        <v/>
      </c>
      <c r="L214" s="91" t="str">
        <f>IFERROR(__xludf.DUMMYFUNCTION("IFERROR(unique(filter('Основной эфир'!$F:$F, 'Основной эфир'!$B:$B=$A214,'Основной эфир'!$C:$C=$B214,'Основной эфир'!$I:$I=$C214)),"""")"),"")</f>
        <v/>
      </c>
      <c r="M214" s="92" t="str">
        <f t="shared" si="1"/>
        <v/>
      </c>
      <c r="N214" s="93">
        <f>IFERROR(__xludf.DUMMYFUNCTION("IFERROR(SWITCH(lower(join("" "",L214:M214)),""а миллионник"", 62.5,""б миллионник"", 75,""а мск"", 50, ""б мск"", 62.5, ""a остальное"", 70, ""б остальное"", 80)/100,0)"),0.0)</f>
        <v>0</v>
      </c>
      <c r="O214" s="91">
        <f t="shared" si="2"/>
        <v>0</v>
      </c>
      <c r="P214" s="91">
        <f>IFERROR(__xludf.DUMMYFUNCTION("IFERROR(sum(filter('Генеральный баннер'!$O:$O, 'Генеральный баннер'!$B:$B=$A214,'Генеральный баннер'!$C:$C=$B214,'Генеральный баннер'!$I:$I=$C214)), 0) "),0.0)</f>
        <v>0</v>
      </c>
      <c r="Q214" s="91">
        <f>IFERROR(__xludf.DUMMYFUNCTION("IFERROR(sum(filter('Генеральный баннер'!$Q:$Q, 'Генеральный баннер'!$B:$B=$A214,'Генеральный баннер'!$C:$C=$B214,'Генеральный баннер'!$I:$I=$C214)), 0) "),0.0)</f>
        <v>0</v>
      </c>
      <c r="R214" s="91">
        <f>IFERROR(__xludf.DUMMYFUNCTION("IFERROR(AVERAGE(filter('Генеральный баннер'!$AA:$AA, 'Генеральный баннер'!$B:$B=$A214,'Генеральный баннер'!$C:$C=$B214,'Генеральный баннер'!$I:$I=$C214)), 0) "),0.0)</f>
        <v>0</v>
      </c>
      <c r="S214" s="91">
        <f>IFERROR(__xludf.DUMMYFUNCTION("IFERROR(SUM(filter('Генеральный баннер'!$AH:$AH, 'Генеральный баннер'!$B:$B=$A214,'Генеральный баннер'!$C:$C=$B214,'Генеральный баннер'!$I:$I=$C214)), 0) "),0.0)</f>
        <v>0</v>
      </c>
      <c r="T214" s="91" t="str">
        <f>IFERROR(__xludf.DUMMYFUNCTION("IFERROR(REGEXREPLACE(unique(filter('Генеральный баннер'!$A:$A, 'Генеральный баннер'!$B:$B=$A214,'Генеральный баннер'!$C:$C=$B214,'Генеральный баннер'!$I:$I=$C214)), ""\d+"", """"),"""")"),"")</f>
        <v/>
      </c>
      <c r="U214" s="91" t="str">
        <f>IFERROR(__xludf.DUMMYFUNCTION("IFERROR(unique(filter('Генеральный баннер'!$F:$F, 'Генеральный баннер'!$B:$B=$A214,'Генеральный баннер'!$C:$C=$B214,'Генеральный баннер'!$I:$I=$C214)),"""")"),"")</f>
        <v/>
      </c>
      <c r="V214" s="92" t="str">
        <f t="shared" si="3"/>
        <v/>
      </c>
      <c r="W214" s="93">
        <f>IFERROR(__xludf.DUMMYFUNCTION("IFERROR(SWITCH(lower(join("" "",U214:V214)),""а миллионник"", 62.5,""б миллионник"", 75,""а мск"", 50, ""б мск"", 62.5, ""a остальное"", 70, ""б остальное"", 80)/100,0)"),0.0)</f>
        <v>0</v>
      </c>
      <c r="X214" s="91">
        <f t="shared" si="4"/>
        <v>0</v>
      </c>
    </row>
    <row r="215">
      <c r="A215" s="12"/>
      <c r="B215" s="12"/>
      <c r="C215" s="12"/>
      <c r="D215" s="91">
        <f>IFERROR(__xludf.DUMMYFUNCTION("IFERROR(sum(filter('Основной эфир'!$AA:$AA, 'Основной эфир'!$B:$B=$A215,'Основной эфир'!$C:$C=$B215,'Основной эфир'!$I:$I=$C215)), 0) "),0.0)</f>
        <v>0</v>
      </c>
      <c r="E215" s="91">
        <f>IFERROR(__xludf.DUMMYFUNCTION("IFERROR(sum(filter('Основной эфир'!$AC:$AC, 'Основной эфир'!$B:$B=$A215,'Основной эфир'!$C:$C=$B215,'Основной эфир'!$I:$I=$C215)), 0) "),0.0)</f>
        <v>0</v>
      </c>
      <c r="F215" s="91">
        <f>IFERROR(__xludf.DUMMYFUNCTION("IFERROR(sum(filter('Основной эфир'!$O:$O, 'Основной эфир'!$B:$B=$A215,'Основной эфир'!$C:$C=$B215,'Основной эфир'!$I:$I=$C215)), 0) "),0.0)</f>
        <v>0</v>
      </c>
      <c r="G215" s="91">
        <f>IFERROR(__xludf.DUMMYFUNCTION("IFERROR(sum(filter('Основной эфир'!$Q:$Q, 'Основной эфир'!$B:$B=$A215,'Основной эфир'!$C:$C=$B215,'Основной эфир'!$I:$I=$C215)), 0) "),0.0)</f>
        <v>0</v>
      </c>
      <c r="H215" s="91">
        <f>IFERROR(__xludf.DUMMYFUNCTION("IFERROR(AVERAGE(filter('Основной эфир'!$Y:$Y, 'Основной эфир'!$B:$B=$A215,'Основной эфир'!$C:$C=$B215,'Основной эфир'!$I:$I=$C215)), 0) "),0.0)</f>
        <v>0</v>
      </c>
      <c r="I215" s="91">
        <f>IFERROR(__xludf.DUMMYFUNCTION("IFERROR(AVERAGE(filter('Основной эфир'!$AE:$AE, 'Основной эфир'!$B:$B=$A215,'Основной эфир'!$C:$C=$B215,'Основной эфир'!$I:$I=$C215)), 0) "),0.0)</f>
        <v>0</v>
      </c>
      <c r="J215" s="91">
        <f>IFERROR(__xludf.DUMMYFUNCTION("IFERROR(SUM(filter('Основной эфир'!$AL:$AL, 'Основной эфир'!$B:$B=$A215,'Основной эфир'!$C:$C=$B215,'Основной эфир'!$I:$I=$C215)), 0) "),0.0)</f>
        <v>0</v>
      </c>
      <c r="K215" s="91" t="str">
        <f>IFERROR(__xludf.DUMMYFUNCTION("IFERROR(REGEXREPLACE(unique(filter('Основной эфир'!$A:$A, 'Основной эфир'!$B:$B=$A215,'Основной эфир'!$C:$C=$B215,'Основной эфир'!$I:$I=$C215)), ""\d+"", """"),"""")"),"")</f>
        <v/>
      </c>
      <c r="L215" s="91" t="str">
        <f>IFERROR(__xludf.DUMMYFUNCTION("IFERROR(unique(filter('Основной эфир'!$F:$F, 'Основной эфир'!$B:$B=$A215,'Основной эфир'!$C:$C=$B215,'Основной эфир'!$I:$I=$C215)),"""")"),"")</f>
        <v/>
      </c>
      <c r="M215" s="92" t="str">
        <f t="shared" si="1"/>
        <v/>
      </c>
      <c r="N215" s="93">
        <f>IFERROR(__xludf.DUMMYFUNCTION("IFERROR(SWITCH(lower(join("" "",L215:M215)),""а миллионник"", 62.5,""б миллионник"", 75,""а мск"", 50, ""б мск"", 62.5, ""a остальное"", 70, ""б остальное"", 80)/100,0)"),0.0)</f>
        <v>0</v>
      </c>
      <c r="O215" s="91">
        <f t="shared" si="2"/>
        <v>0</v>
      </c>
      <c r="P215" s="91">
        <f>IFERROR(__xludf.DUMMYFUNCTION("IFERROR(sum(filter('Генеральный баннер'!$O:$O, 'Генеральный баннер'!$B:$B=$A215,'Генеральный баннер'!$C:$C=$B215,'Генеральный баннер'!$I:$I=$C215)), 0) "),0.0)</f>
        <v>0</v>
      </c>
      <c r="Q215" s="91">
        <f>IFERROR(__xludf.DUMMYFUNCTION("IFERROR(sum(filter('Генеральный баннер'!$Q:$Q, 'Генеральный баннер'!$B:$B=$A215,'Генеральный баннер'!$C:$C=$B215,'Генеральный баннер'!$I:$I=$C215)), 0) "),0.0)</f>
        <v>0</v>
      </c>
      <c r="R215" s="91">
        <f>IFERROR(__xludf.DUMMYFUNCTION("IFERROR(AVERAGE(filter('Генеральный баннер'!$AA:$AA, 'Генеральный баннер'!$B:$B=$A215,'Генеральный баннер'!$C:$C=$B215,'Генеральный баннер'!$I:$I=$C215)), 0) "),0.0)</f>
        <v>0</v>
      </c>
      <c r="S215" s="91">
        <f>IFERROR(__xludf.DUMMYFUNCTION("IFERROR(SUM(filter('Генеральный баннер'!$AH:$AH, 'Генеральный баннер'!$B:$B=$A215,'Генеральный баннер'!$C:$C=$B215,'Генеральный баннер'!$I:$I=$C215)), 0) "),0.0)</f>
        <v>0</v>
      </c>
      <c r="T215" s="91" t="str">
        <f>IFERROR(__xludf.DUMMYFUNCTION("IFERROR(REGEXREPLACE(unique(filter('Генеральный баннер'!$A:$A, 'Генеральный баннер'!$B:$B=$A215,'Генеральный баннер'!$C:$C=$B215,'Генеральный баннер'!$I:$I=$C215)), ""\d+"", """"),"""")"),"")</f>
        <v/>
      </c>
      <c r="U215" s="91" t="str">
        <f>IFERROR(__xludf.DUMMYFUNCTION("IFERROR(unique(filter('Генеральный баннер'!$F:$F, 'Генеральный баннер'!$B:$B=$A215,'Генеральный баннер'!$C:$C=$B215,'Генеральный баннер'!$I:$I=$C215)),"""")"),"")</f>
        <v/>
      </c>
      <c r="V215" s="92" t="str">
        <f t="shared" si="3"/>
        <v/>
      </c>
      <c r="W215" s="93">
        <f>IFERROR(__xludf.DUMMYFUNCTION("IFERROR(SWITCH(lower(join("" "",U215:V215)),""а миллионник"", 62.5,""б миллионник"", 75,""а мск"", 50, ""б мск"", 62.5, ""a остальное"", 70, ""б остальное"", 80)/100,0)"),0.0)</f>
        <v>0</v>
      </c>
      <c r="X215" s="91">
        <f t="shared" si="4"/>
        <v>0</v>
      </c>
    </row>
    <row r="216">
      <c r="A216" s="12"/>
      <c r="B216" s="12"/>
      <c r="C216" s="12"/>
      <c r="D216" s="91">
        <f>IFERROR(__xludf.DUMMYFUNCTION("IFERROR(sum(filter('Основной эфир'!$AA:$AA, 'Основной эфир'!$B:$B=$A216,'Основной эфир'!$C:$C=$B216,'Основной эфир'!$I:$I=$C216)), 0) "),0.0)</f>
        <v>0</v>
      </c>
      <c r="E216" s="91">
        <f>IFERROR(__xludf.DUMMYFUNCTION("IFERROR(sum(filter('Основной эфир'!$AC:$AC, 'Основной эфир'!$B:$B=$A216,'Основной эфир'!$C:$C=$B216,'Основной эфир'!$I:$I=$C216)), 0) "),0.0)</f>
        <v>0</v>
      </c>
      <c r="F216" s="91">
        <f>IFERROR(__xludf.DUMMYFUNCTION("IFERROR(sum(filter('Основной эфир'!$O:$O, 'Основной эфир'!$B:$B=$A216,'Основной эфир'!$C:$C=$B216,'Основной эфир'!$I:$I=$C216)), 0) "),0.0)</f>
        <v>0</v>
      </c>
      <c r="G216" s="91">
        <f>IFERROR(__xludf.DUMMYFUNCTION("IFERROR(sum(filter('Основной эфир'!$Q:$Q, 'Основной эфир'!$B:$B=$A216,'Основной эфир'!$C:$C=$B216,'Основной эфир'!$I:$I=$C216)), 0) "),0.0)</f>
        <v>0</v>
      </c>
      <c r="H216" s="91">
        <f>IFERROR(__xludf.DUMMYFUNCTION("IFERROR(AVERAGE(filter('Основной эфир'!$Y:$Y, 'Основной эфир'!$B:$B=$A216,'Основной эфир'!$C:$C=$B216,'Основной эфир'!$I:$I=$C216)), 0) "),0.0)</f>
        <v>0</v>
      </c>
      <c r="I216" s="91">
        <f>IFERROR(__xludf.DUMMYFUNCTION("IFERROR(AVERAGE(filter('Основной эфир'!$AE:$AE, 'Основной эфир'!$B:$B=$A216,'Основной эфир'!$C:$C=$B216,'Основной эфир'!$I:$I=$C216)), 0) "),0.0)</f>
        <v>0</v>
      </c>
      <c r="J216" s="91">
        <f>IFERROR(__xludf.DUMMYFUNCTION("IFERROR(SUM(filter('Основной эфир'!$AL:$AL, 'Основной эфир'!$B:$B=$A216,'Основной эфир'!$C:$C=$B216,'Основной эфир'!$I:$I=$C216)), 0) "),0.0)</f>
        <v>0</v>
      </c>
      <c r="K216" s="91" t="str">
        <f>IFERROR(__xludf.DUMMYFUNCTION("IFERROR(REGEXREPLACE(unique(filter('Основной эфир'!$A:$A, 'Основной эфир'!$B:$B=$A216,'Основной эфир'!$C:$C=$B216,'Основной эфир'!$I:$I=$C216)), ""\d+"", """"),"""")"),"")</f>
        <v/>
      </c>
      <c r="L216" s="91" t="str">
        <f>IFERROR(__xludf.DUMMYFUNCTION("IFERROR(unique(filter('Основной эфир'!$F:$F, 'Основной эфир'!$B:$B=$A216,'Основной эфир'!$C:$C=$B216,'Основной эфир'!$I:$I=$C216)),"""")"),"")</f>
        <v/>
      </c>
      <c r="M216" s="92" t="str">
        <f t="shared" si="1"/>
        <v/>
      </c>
      <c r="N216" s="93">
        <f>IFERROR(__xludf.DUMMYFUNCTION("IFERROR(SWITCH(lower(join("" "",L216:M216)),""а миллионник"", 62.5,""б миллионник"", 75,""а мск"", 50, ""б мск"", 62.5, ""a остальное"", 70, ""б остальное"", 80)/100,0)"),0.0)</f>
        <v>0</v>
      </c>
      <c r="O216" s="91">
        <f t="shared" si="2"/>
        <v>0</v>
      </c>
      <c r="P216" s="91">
        <f>IFERROR(__xludf.DUMMYFUNCTION("IFERROR(sum(filter('Генеральный баннер'!$O:$O, 'Генеральный баннер'!$B:$B=$A216,'Генеральный баннер'!$C:$C=$B216,'Генеральный баннер'!$I:$I=$C216)), 0) "),0.0)</f>
        <v>0</v>
      </c>
      <c r="Q216" s="91">
        <f>IFERROR(__xludf.DUMMYFUNCTION("IFERROR(sum(filter('Генеральный баннер'!$Q:$Q, 'Генеральный баннер'!$B:$B=$A216,'Генеральный баннер'!$C:$C=$B216,'Генеральный баннер'!$I:$I=$C216)), 0) "),0.0)</f>
        <v>0</v>
      </c>
      <c r="R216" s="91">
        <f>IFERROR(__xludf.DUMMYFUNCTION("IFERROR(AVERAGE(filter('Генеральный баннер'!$AA:$AA, 'Генеральный баннер'!$B:$B=$A216,'Генеральный баннер'!$C:$C=$B216,'Генеральный баннер'!$I:$I=$C216)), 0) "),0.0)</f>
        <v>0</v>
      </c>
      <c r="S216" s="91">
        <f>IFERROR(__xludf.DUMMYFUNCTION("IFERROR(SUM(filter('Генеральный баннер'!$AH:$AH, 'Генеральный баннер'!$B:$B=$A216,'Генеральный баннер'!$C:$C=$B216,'Генеральный баннер'!$I:$I=$C216)), 0) "),0.0)</f>
        <v>0</v>
      </c>
      <c r="T216" s="91" t="str">
        <f>IFERROR(__xludf.DUMMYFUNCTION("IFERROR(REGEXREPLACE(unique(filter('Генеральный баннер'!$A:$A, 'Генеральный баннер'!$B:$B=$A216,'Генеральный баннер'!$C:$C=$B216,'Генеральный баннер'!$I:$I=$C216)), ""\d+"", """"),"""")"),"")</f>
        <v/>
      </c>
      <c r="U216" s="91" t="str">
        <f>IFERROR(__xludf.DUMMYFUNCTION("IFERROR(unique(filter('Генеральный баннер'!$F:$F, 'Генеральный баннер'!$B:$B=$A216,'Генеральный баннер'!$C:$C=$B216,'Генеральный баннер'!$I:$I=$C216)),"""")"),"")</f>
        <v/>
      </c>
      <c r="V216" s="92" t="str">
        <f t="shared" si="3"/>
        <v/>
      </c>
      <c r="W216" s="93">
        <f>IFERROR(__xludf.DUMMYFUNCTION("IFERROR(SWITCH(lower(join("" "",U216:V216)),""а миллионник"", 62.5,""б миллионник"", 75,""а мск"", 50, ""б мск"", 62.5, ""a остальное"", 70, ""б остальное"", 80)/100,0)"),0.0)</f>
        <v>0</v>
      </c>
      <c r="X216" s="91">
        <f t="shared" si="4"/>
        <v>0</v>
      </c>
    </row>
    <row r="217">
      <c r="A217" s="12"/>
      <c r="B217" s="12"/>
      <c r="C217" s="12"/>
      <c r="D217" s="91">
        <f>IFERROR(__xludf.DUMMYFUNCTION("IFERROR(sum(filter('Основной эфир'!$AA:$AA, 'Основной эфир'!$B:$B=$A217,'Основной эфир'!$C:$C=$B217,'Основной эфир'!$I:$I=$C217)), 0) "),0.0)</f>
        <v>0</v>
      </c>
      <c r="E217" s="91">
        <f>IFERROR(__xludf.DUMMYFUNCTION("IFERROR(sum(filter('Основной эфир'!$AC:$AC, 'Основной эфир'!$B:$B=$A217,'Основной эфир'!$C:$C=$B217,'Основной эфир'!$I:$I=$C217)), 0) "),0.0)</f>
        <v>0</v>
      </c>
      <c r="F217" s="91">
        <f>IFERROR(__xludf.DUMMYFUNCTION("IFERROR(sum(filter('Основной эфир'!$O:$O, 'Основной эфир'!$B:$B=$A217,'Основной эфир'!$C:$C=$B217,'Основной эфир'!$I:$I=$C217)), 0) "),0.0)</f>
        <v>0</v>
      </c>
      <c r="G217" s="91">
        <f>IFERROR(__xludf.DUMMYFUNCTION("IFERROR(sum(filter('Основной эфир'!$Q:$Q, 'Основной эфир'!$B:$B=$A217,'Основной эфир'!$C:$C=$B217,'Основной эфир'!$I:$I=$C217)), 0) "),0.0)</f>
        <v>0</v>
      </c>
      <c r="H217" s="91">
        <f>IFERROR(__xludf.DUMMYFUNCTION("IFERROR(AVERAGE(filter('Основной эфир'!$Y:$Y, 'Основной эфир'!$B:$B=$A217,'Основной эфир'!$C:$C=$B217,'Основной эфир'!$I:$I=$C217)), 0) "),0.0)</f>
        <v>0</v>
      </c>
      <c r="I217" s="91">
        <f>IFERROR(__xludf.DUMMYFUNCTION("IFERROR(AVERAGE(filter('Основной эфир'!$AE:$AE, 'Основной эфир'!$B:$B=$A217,'Основной эфир'!$C:$C=$B217,'Основной эфир'!$I:$I=$C217)), 0) "),0.0)</f>
        <v>0</v>
      </c>
      <c r="J217" s="91">
        <f>IFERROR(__xludf.DUMMYFUNCTION("IFERROR(SUM(filter('Основной эфир'!$AL:$AL, 'Основной эфир'!$B:$B=$A217,'Основной эфир'!$C:$C=$B217,'Основной эфир'!$I:$I=$C217)), 0) "),0.0)</f>
        <v>0</v>
      </c>
      <c r="K217" s="91" t="str">
        <f>IFERROR(__xludf.DUMMYFUNCTION("IFERROR(REGEXREPLACE(unique(filter('Основной эфир'!$A:$A, 'Основной эфир'!$B:$B=$A217,'Основной эфир'!$C:$C=$B217,'Основной эфир'!$I:$I=$C217)), ""\d+"", """"),"""")"),"")</f>
        <v/>
      </c>
      <c r="L217" s="91" t="str">
        <f>IFERROR(__xludf.DUMMYFUNCTION("IFERROR(unique(filter('Основной эфир'!$F:$F, 'Основной эфир'!$B:$B=$A217,'Основной эфир'!$C:$C=$B217,'Основной эфир'!$I:$I=$C217)),"""")"),"")</f>
        <v/>
      </c>
      <c r="M217" s="92" t="str">
        <f t="shared" si="1"/>
        <v/>
      </c>
      <c r="N217" s="93">
        <f>IFERROR(__xludf.DUMMYFUNCTION("IFERROR(SWITCH(lower(join("" "",L217:M217)),""а миллионник"", 62.5,""б миллионник"", 75,""а мск"", 50, ""б мск"", 62.5, ""a остальное"", 70, ""б остальное"", 80)/100,0)"),0.0)</f>
        <v>0</v>
      </c>
      <c r="O217" s="91">
        <f t="shared" si="2"/>
        <v>0</v>
      </c>
      <c r="P217" s="91">
        <f>IFERROR(__xludf.DUMMYFUNCTION("IFERROR(sum(filter('Генеральный баннер'!$O:$O, 'Генеральный баннер'!$B:$B=$A217,'Генеральный баннер'!$C:$C=$B217,'Генеральный баннер'!$I:$I=$C217)), 0) "),0.0)</f>
        <v>0</v>
      </c>
      <c r="Q217" s="91">
        <f>IFERROR(__xludf.DUMMYFUNCTION("IFERROR(sum(filter('Генеральный баннер'!$Q:$Q, 'Генеральный баннер'!$B:$B=$A217,'Генеральный баннер'!$C:$C=$B217,'Генеральный баннер'!$I:$I=$C217)), 0) "),0.0)</f>
        <v>0</v>
      </c>
      <c r="R217" s="91">
        <f>IFERROR(__xludf.DUMMYFUNCTION("IFERROR(AVERAGE(filter('Генеральный баннер'!$AA:$AA, 'Генеральный баннер'!$B:$B=$A217,'Генеральный баннер'!$C:$C=$B217,'Генеральный баннер'!$I:$I=$C217)), 0) "),0.0)</f>
        <v>0</v>
      </c>
      <c r="S217" s="91">
        <f>IFERROR(__xludf.DUMMYFUNCTION("IFERROR(SUM(filter('Генеральный баннер'!$AH:$AH, 'Генеральный баннер'!$B:$B=$A217,'Генеральный баннер'!$C:$C=$B217,'Генеральный баннер'!$I:$I=$C217)), 0) "),0.0)</f>
        <v>0</v>
      </c>
      <c r="T217" s="91" t="str">
        <f>IFERROR(__xludf.DUMMYFUNCTION("IFERROR(REGEXREPLACE(unique(filter('Генеральный баннер'!$A:$A, 'Генеральный баннер'!$B:$B=$A217,'Генеральный баннер'!$C:$C=$B217,'Генеральный баннер'!$I:$I=$C217)), ""\d+"", """"),"""")"),"")</f>
        <v/>
      </c>
      <c r="U217" s="91" t="str">
        <f>IFERROR(__xludf.DUMMYFUNCTION("IFERROR(unique(filter('Генеральный баннер'!$F:$F, 'Генеральный баннер'!$B:$B=$A217,'Генеральный баннер'!$C:$C=$B217,'Генеральный баннер'!$I:$I=$C217)),"""")"),"")</f>
        <v/>
      </c>
      <c r="V217" s="92" t="str">
        <f t="shared" si="3"/>
        <v/>
      </c>
      <c r="W217" s="93">
        <f>IFERROR(__xludf.DUMMYFUNCTION("IFERROR(SWITCH(lower(join("" "",U217:V217)),""а миллионник"", 62.5,""б миллионник"", 75,""а мск"", 50, ""б мск"", 62.5, ""a остальное"", 70, ""б остальное"", 80)/100,0)"),0.0)</f>
        <v>0</v>
      </c>
      <c r="X217" s="91">
        <f t="shared" si="4"/>
        <v>0</v>
      </c>
    </row>
    <row r="218">
      <c r="A218" s="12"/>
      <c r="B218" s="12"/>
      <c r="C218" s="12"/>
      <c r="D218" s="91">
        <f>IFERROR(__xludf.DUMMYFUNCTION("IFERROR(sum(filter('Основной эфир'!$AA:$AA, 'Основной эфир'!$B:$B=$A218,'Основной эфир'!$C:$C=$B218,'Основной эфир'!$I:$I=$C218)), 0) "),0.0)</f>
        <v>0</v>
      </c>
      <c r="E218" s="91">
        <f>IFERROR(__xludf.DUMMYFUNCTION("IFERROR(sum(filter('Основной эфир'!$AC:$AC, 'Основной эфир'!$B:$B=$A218,'Основной эфир'!$C:$C=$B218,'Основной эфир'!$I:$I=$C218)), 0) "),0.0)</f>
        <v>0</v>
      </c>
      <c r="F218" s="91">
        <f>IFERROR(__xludf.DUMMYFUNCTION("IFERROR(sum(filter('Основной эфир'!$O:$O, 'Основной эфир'!$B:$B=$A218,'Основной эфир'!$C:$C=$B218,'Основной эфир'!$I:$I=$C218)), 0) "),0.0)</f>
        <v>0</v>
      </c>
      <c r="G218" s="91">
        <f>IFERROR(__xludf.DUMMYFUNCTION("IFERROR(sum(filter('Основной эфир'!$Q:$Q, 'Основной эфир'!$B:$B=$A218,'Основной эфир'!$C:$C=$B218,'Основной эфир'!$I:$I=$C218)), 0) "),0.0)</f>
        <v>0</v>
      </c>
      <c r="H218" s="91">
        <f>IFERROR(__xludf.DUMMYFUNCTION("IFERROR(AVERAGE(filter('Основной эфир'!$Y:$Y, 'Основной эфир'!$B:$B=$A218,'Основной эфир'!$C:$C=$B218,'Основной эфир'!$I:$I=$C218)), 0) "),0.0)</f>
        <v>0</v>
      </c>
      <c r="I218" s="91">
        <f>IFERROR(__xludf.DUMMYFUNCTION("IFERROR(AVERAGE(filter('Основной эфир'!$AE:$AE, 'Основной эфир'!$B:$B=$A218,'Основной эфир'!$C:$C=$B218,'Основной эфир'!$I:$I=$C218)), 0) "),0.0)</f>
        <v>0</v>
      </c>
      <c r="J218" s="91">
        <f>IFERROR(__xludf.DUMMYFUNCTION("IFERROR(SUM(filter('Основной эфир'!$AL:$AL, 'Основной эфир'!$B:$B=$A218,'Основной эфир'!$C:$C=$B218,'Основной эфир'!$I:$I=$C218)), 0) "),0.0)</f>
        <v>0</v>
      </c>
      <c r="K218" s="91" t="str">
        <f>IFERROR(__xludf.DUMMYFUNCTION("IFERROR(REGEXREPLACE(unique(filter('Основной эфир'!$A:$A, 'Основной эфир'!$B:$B=$A218,'Основной эфир'!$C:$C=$B218,'Основной эфир'!$I:$I=$C218)), ""\d+"", """"),"""")"),"")</f>
        <v/>
      </c>
      <c r="L218" s="91" t="str">
        <f>IFERROR(__xludf.DUMMYFUNCTION("IFERROR(unique(filter('Основной эфир'!$F:$F, 'Основной эфир'!$B:$B=$A218,'Основной эфир'!$C:$C=$B218,'Основной эфир'!$I:$I=$C218)),"""")"),"")</f>
        <v/>
      </c>
      <c r="M218" s="92" t="str">
        <f t="shared" si="1"/>
        <v/>
      </c>
      <c r="N218" s="93">
        <f>IFERROR(__xludf.DUMMYFUNCTION("IFERROR(SWITCH(lower(join("" "",L218:M218)),""а миллионник"", 62.5,""б миллионник"", 75,""а мск"", 50, ""б мск"", 62.5, ""a остальное"", 70, ""б остальное"", 80)/100,0)"),0.0)</f>
        <v>0</v>
      </c>
      <c r="O218" s="91">
        <f t="shared" si="2"/>
        <v>0</v>
      </c>
      <c r="P218" s="91">
        <f>IFERROR(__xludf.DUMMYFUNCTION("IFERROR(sum(filter('Генеральный баннер'!$O:$O, 'Генеральный баннер'!$B:$B=$A218,'Генеральный баннер'!$C:$C=$B218,'Генеральный баннер'!$I:$I=$C218)), 0) "),0.0)</f>
        <v>0</v>
      </c>
      <c r="Q218" s="91">
        <f>IFERROR(__xludf.DUMMYFUNCTION("IFERROR(sum(filter('Генеральный баннер'!$Q:$Q, 'Генеральный баннер'!$B:$B=$A218,'Генеральный баннер'!$C:$C=$B218,'Генеральный баннер'!$I:$I=$C218)), 0) "),0.0)</f>
        <v>0</v>
      </c>
      <c r="R218" s="91">
        <f>IFERROR(__xludf.DUMMYFUNCTION("IFERROR(AVERAGE(filter('Генеральный баннер'!$AA:$AA, 'Генеральный баннер'!$B:$B=$A218,'Генеральный баннер'!$C:$C=$B218,'Генеральный баннер'!$I:$I=$C218)), 0) "),0.0)</f>
        <v>0</v>
      </c>
      <c r="S218" s="91">
        <f>IFERROR(__xludf.DUMMYFUNCTION("IFERROR(SUM(filter('Генеральный баннер'!$AH:$AH, 'Генеральный баннер'!$B:$B=$A218,'Генеральный баннер'!$C:$C=$B218,'Генеральный баннер'!$I:$I=$C218)), 0) "),0.0)</f>
        <v>0</v>
      </c>
      <c r="T218" s="91" t="str">
        <f>IFERROR(__xludf.DUMMYFUNCTION("IFERROR(REGEXREPLACE(unique(filter('Генеральный баннер'!$A:$A, 'Генеральный баннер'!$B:$B=$A218,'Генеральный баннер'!$C:$C=$B218,'Генеральный баннер'!$I:$I=$C218)), ""\d+"", """"),"""")"),"")</f>
        <v/>
      </c>
      <c r="U218" s="91" t="str">
        <f>IFERROR(__xludf.DUMMYFUNCTION("IFERROR(unique(filter('Генеральный баннер'!$F:$F, 'Генеральный баннер'!$B:$B=$A218,'Генеральный баннер'!$C:$C=$B218,'Генеральный баннер'!$I:$I=$C218)),"""")"),"")</f>
        <v/>
      </c>
      <c r="V218" s="92" t="str">
        <f t="shared" si="3"/>
        <v/>
      </c>
      <c r="W218" s="93">
        <f>IFERROR(__xludf.DUMMYFUNCTION("IFERROR(SWITCH(lower(join("" "",U218:V218)),""а миллионник"", 62.5,""б миллионник"", 75,""а мск"", 50, ""б мск"", 62.5, ""a остальное"", 70, ""б остальное"", 80)/100,0)"),0.0)</f>
        <v>0</v>
      </c>
      <c r="X218" s="91">
        <f t="shared" si="4"/>
        <v>0</v>
      </c>
    </row>
    <row r="219">
      <c r="A219" s="12"/>
      <c r="B219" s="12"/>
      <c r="C219" s="12"/>
      <c r="D219" s="91">
        <f>IFERROR(__xludf.DUMMYFUNCTION("IFERROR(sum(filter('Основной эфир'!$AA:$AA, 'Основной эфир'!$B:$B=$A219,'Основной эфир'!$C:$C=$B219,'Основной эфир'!$I:$I=$C219)), 0) "),0.0)</f>
        <v>0</v>
      </c>
      <c r="E219" s="91">
        <f>IFERROR(__xludf.DUMMYFUNCTION("IFERROR(sum(filter('Основной эфир'!$AC:$AC, 'Основной эфир'!$B:$B=$A219,'Основной эфир'!$C:$C=$B219,'Основной эфир'!$I:$I=$C219)), 0) "),0.0)</f>
        <v>0</v>
      </c>
      <c r="F219" s="91">
        <f>IFERROR(__xludf.DUMMYFUNCTION("IFERROR(sum(filter('Основной эфир'!$O:$O, 'Основной эфир'!$B:$B=$A219,'Основной эфир'!$C:$C=$B219,'Основной эфир'!$I:$I=$C219)), 0) "),0.0)</f>
        <v>0</v>
      </c>
      <c r="G219" s="91">
        <f>IFERROR(__xludf.DUMMYFUNCTION("IFERROR(sum(filter('Основной эфир'!$Q:$Q, 'Основной эфир'!$B:$B=$A219,'Основной эфир'!$C:$C=$B219,'Основной эфир'!$I:$I=$C219)), 0) "),0.0)</f>
        <v>0</v>
      </c>
      <c r="H219" s="91">
        <f>IFERROR(__xludf.DUMMYFUNCTION("IFERROR(AVERAGE(filter('Основной эфир'!$Y:$Y, 'Основной эфир'!$B:$B=$A219,'Основной эфир'!$C:$C=$B219,'Основной эфир'!$I:$I=$C219)), 0) "),0.0)</f>
        <v>0</v>
      </c>
      <c r="I219" s="91">
        <f>IFERROR(__xludf.DUMMYFUNCTION("IFERROR(AVERAGE(filter('Основной эфир'!$AE:$AE, 'Основной эфир'!$B:$B=$A219,'Основной эфир'!$C:$C=$B219,'Основной эфир'!$I:$I=$C219)), 0) "),0.0)</f>
        <v>0</v>
      </c>
      <c r="J219" s="91">
        <f>IFERROR(__xludf.DUMMYFUNCTION("IFERROR(SUM(filter('Основной эфир'!$AL:$AL, 'Основной эфир'!$B:$B=$A219,'Основной эфир'!$C:$C=$B219,'Основной эфир'!$I:$I=$C219)), 0) "),0.0)</f>
        <v>0</v>
      </c>
      <c r="K219" s="91" t="str">
        <f>IFERROR(__xludf.DUMMYFUNCTION("IFERROR(REGEXREPLACE(unique(filter('Основной эфир'!$A:$A, 'Основной эфир'!$B:$B=$A219,'Основной эфир'!$C:$C=$B219,'Основной эфир'!$I:$I=$C219)), ""\d+"", """"),"""")"),"")</f>
        <v/>
      </c>
      <c r="L219" s="91" t="str">
        <f>IFERROR(__xludf.DUMMYFUNCTION("IFERROR(unique(filter('Основной эфир'!$F:$F, 'Основной эфир'!$B:$B=$A219,'Основной эфир'!$C:$C=$B219,'Основной эфир'!$I:$I=$C219)),"""")"),"")</f>
        <v/>
      </c>
      <c r="M219" s="92" t="str">
        <f t="shared" si="1"/>
        <v/>
      </c>
      <c r="N219" s="93">
        <f>IFERROR(__xludf.DUMMYFUNCTION("IFERROR(SWITCH(lower(join("" "",L219:M219)),""а миллионник"", 62.5,""б миллионник"", 75,""а мск"", 50, ""б мск"", 62.5, ""a остальное"", 70, ""б остальное"", 80)/100,0)"),0.0)</f>
        <v>0</v>
      </c>
      <c r="O219" s="91">
        <f t="shared" si="2"/>
        <v>0</v>
      </c>
      <c r="P219" s="91">
        <f>IFERROR(__xludf.DUMMYFUNCTION("IFERROR(sum(filter('Генеральный баннер'!$O:$O, 'Генеральный баннер'!$B:$B=$A219,'Генеральный баннер'!$C:$C=$B219,'Генеральный баннер'!$I:$I=$C219)), 0) "),0.0)</f>
        <v>0</v>
      </c>
      <c r="Q219" s="91">
        <f>IFERROR(__xludf.DUMMYFUNCTION("IFERROR(sum(filter('Генеральный баннер'!$Q:$Q, 'Генеральный баннер'!$B:$B=$A219,'Генеральный баннер'!$C:$C=$B219,'Генеральный баннер'!$I:$I=$C219)), 0) "),0.0)</f>
        <v>0</v>
      </c>
      <c r="R219" s="91">
        <f>IFERROR(__xludf.DUMMYFUNCTION("IFERROR(AVERAGE(filter('Генеральный баннер'!$AA:$AA, 'Генеральный баннер'!$B:$B=$A219,'Генеральный баннер'!$C:$C=$B219,'Генеральный баннер'!$I:$I=$C219)), 0) "),0.0)</f>
        <v>0</v>
      </c>
      <c r="S219" s="91">
        <f>IFERROR(__xludf.DUMMYFUNCTION("IFERROR(SUM(filter('Генеральный баннер'!$AH:$AH, 'Генеральный баннер'!$B:$B=$A219,'Генеральный баннер'!$C:$C=$B219,'Генеральный баннер'!$I:$I=$C219)), 0) "),0.0)</f>
        <v>0</v>
      </c>
      <c r="T219" s="91" t="str">
        <f>IFERROR(__xludf.DUMMYFUNCTION("IFERROR(REGEXREPLACE(unique(filter('Генеральный баннер'!$A:$A, 'Генеральный баннер'!$B:$B=$A219,'Генеральный баннер'!$C:$C=$B219,'Генеральный баннер'!$I:$I=$C219)), ""\d+"", """"),"""")"),"")</f>
        <v/>
      </c>
      <c r="U219" s="91" t="str">
        <f>IFERROR(__xludf.DUMMYFUNCTION("IFERROR(unique(filter('Генеральный баннер'!$F:$F, 'Генеральный баннер'!$B:$B=$A219,'Генеральный баннер'!$C:$C=$B219,'Генеральный баннер'!$I:$I=$C219)),"""")"),"")</f>
        <v/>
      </c>
      <c r="V219" s="92" t="str">
        <f t="shared" si="3"/>
        <v/>
      </c>
      <c r="W219" s="93">
        <f>IFERROR(__xludf.DUMMYFUNCTION("IFERROR(SWITCH(lower(join("" "",U219:V219)),""а миллионник"", 62.5,""б миллионник"", 75,""а мск"", 50, ""б мск"", 62.5, ""a остальное"", 70, ""б остальное"", 80)/100,0)"),0.0)</f>
        <v>0</v>
      </c>
      <c r="X219" s="91">
        <f t="shared" si="4"/>
        <v>0</v>
      </c>
    </row>
    <row r="220">
      <c r="A220" s="12"/>
      <c r="B220" s="12"/>
      <c r="C220" s="12"/>
      <c r="D220" s="91">
        <f>IFERROR(__xludf.DUMMYFUNCTION("IFERROR(sum(filter('Основной эфир'!$AA:$AA, 'Основной эфир'!$B:$B=$A220,'Основной эфир'!$C:$C=$B220,'Основной эфир'!$I:$I=$C220)), 0) "),0.0)</f>
        <v>0</v>
      </c>
      <c r="E220" s="91">
        <f>IFERROR(__xludf.DUMMYFUNCTION("IFERROR(sum(filter('Основной эфир'!$AC:$AC, 'Основной эфир'!$B:$B=$A220,'Основной эфир'!$C:$C=$B220,'Основной эфир'!$I:$I=$C220)), 0) "),0.0)</f>
        <v>0</v>
      </c>
      <c r="F220" s="91">
        <f>IFERROR(__xludf.DUMMYFUNCTION("IFERROR(sum(filter('Основной эфир'!$O:$O, 'Основной эфир'!$B:$B=$A220,'Основной эфир'!$C:$C=$B220,'Основной эфир'!$I:$I=$C220)), 0) "),0.0)</f>
        <v>0</v>
      </c>
      <c r="G220" s="91">
        <f>IFERROR(__xludf.DUMMYFUNCTION("IFERROR(sum(filter('Основной эфир'!$Q:$Q, 'Основной эфир'!$B:$B=$A220,'Основной эфир'!$C:$C=$B220,'Основной эфир'!$I:$I=$C220)), 0) "),0.0)</f>
        <v>0</v>
      </c>
      <c r="H220" s="91">
        <f>IFERROR(__xludf.DUMMYFUNCTION("IFERROR(AVERAGE(filter('Основной эфир'!$Y:$Y, 'Основной эфир'!$B:$B=$A220,'Основной эфир'!$C:$C=$B220,'Основной эфир'!$I:$I=$C220)), 0) "),0.0)</f>
        <v>0</v>
      </c>
      <c r="I220" s="91">
        <f>IFERROR(__xludf.DUMMYFUNCTION("IFERROR(AVERAGE(filter('Основной эфир'!$AE:$AE, 'Основной эфир'!$B:$B=$A220,'Основной эфир'!$C:$C=$B220,'Основной эфир'!$I:$I=$C220)), 0) "),0.0)</f>
        <v>0</v>
      </c>
      <c r="J220" s="91">
        <f>IFERROR(__xludf.DUMMYFUNCTION("IFERROR(SUM(filter('Основной эфир'!$AL:$AL, 'Основной эфир'!$B:$B=$A220,'Основной эфир'!$C:$C=$B220,'Основной эфир'!$I:$I=$C220)), 0) "),0.0)</f>
        <v>0</v>
      </c>
      <c r="K220" s="91" t="str">
        <f>IFERROR(__xludf.DUMMYFUNCTION("IFERROR(REGEXREPLACE(unique(filter('Основной эфир'!$A:$A, 'Основной эфир'!$B:$B=$A220,'Основной эфир'!$C:$C=$B220,'Основной эфир'!$I:$I=$C220)), ""\d+"", """"),"""")"),"")</f>
        <v/>
      </c>
      <c r="L220" s="91" t="str">
        <f>IFERROR(__xludf.DUMMYFUNCTION("IFERROR(unique(filter('Основной эфир'!$F:$F, 'Основной эфир'!$B:$B=$A220,'Основной эфир'!$C:$C=$B220,'Основной эфир'!$I:$I=$C220)),"""")"),"")</f>
        <v/>
      </c>
      <c r="M220" s="92" t="str">
        <f t="shared" si="1"/>
        <v/>
      </c>
      <c r="N220" s="93">
        <f>IFERROR(__xludf.DUMMYFUNCTION("IFERROR(SWITCH(lower(join("" "",L220:M220)),""а миллионник"", 62.5,""б миллионник"", 75,""а мск"", 50, ""б мск"", 62.5, ""a остальное"", 70, ""б остальное"", 80)/100,0)"),0.0)</f>
        <v>0</v>
      </c>
      <c r="O220" s="91">
        <f t="shared" si="2"/>
        <v>0</v>
      </c>
      <c r="P220" s="91">
        <f>IFERROR(__xludf.DUMMYFUNCTION("IFERROR(sum(filter('Генеральный баннер'!$O:$O, 'Генеральный баннер'!$B:$B=$A220,'Генеральный баннер'!$C:$C=$B220,'Генеральный баннер'!$I:$I=$C220)), 0) "),0.0)</f>
        <v>0</v>
      </c>
      <c r="Q220" s="91">
        <f>IFERROR(__xludf.DUMMYFUNCTION("IFERROR(sum(filter('Генеральный баннер'!$Q:$Q, 'Генеральный баннер'!$B:$B=$A220,'Генеральный баннер'!$C:$C=$B220,'Генеральный баннер'!$I:$I=$C220)), 0) "),0.0)</f>
        <v>0</v>
      </c>
      <c r="R220" s="91">
        <f>IFERROR(__xludf.DUMMYFUNCTION("IFERROR(AVERAGE(filter('Генеральный баннер'!$AA:$AA, 'Генеральный баннер'!$B:$B=$A220,'Генеральный баннер'!$C:$C=$B220,'Генеральный баннер'!$I:$I=$C220)), 0) "),0.0)</f>
        <v>0</v>
      </c>
      <c r="S220" s="91">
        <f>IFERROR(__xludf.DUMMYFUNCTION("IFERROR(SUM(filter('Генеральный баннер'!$AH:$AH, 'Генеральный баннер'!$B:$B=$A220,'Генеральный баннер'!$C:$C=$B220,'Генеральный баннер'!$I:$I=$C220)), 0) "),0.0)</f>
        <v>0</v>
      </c>
      <c r="T220" s="91" t="str">
        <f>IFERROR(__xludf.DUMMYFUNCTION("IFERROR(REGEXREPLACE(unique(filter('Генеральный баннер'!$A:$A, 'Генеральный баннер'!$B:$B=$A220,'Генеральный баннер'!$C:$C=$B220,'Генеральный баннер'!$I:$I=$C220)), ""\d+"", """"),"""")"),"")</f>
        <v/>
      </c>
      <c r="U220" s="91" t="str">
        <f>IFERROR(__xludf.DUMMYFUNCTION("IFERROR(unique(filter('Генеральный баннер'!$F:$F, 'Генеральный баннер'!$B:$B=$A220,'Генеральный баннер'!$C:$C=$B220,'Генеральный баннер'!$I:$I=$C220)),"""")"),"")</f>
        <v/>
      </c>
      <c r="V220" s="92" t="str">
        <f t="shared" si="3"/>
        <v/>
      </c>
      <c r="W220" s="93">
        <f>IFERROR(__xludf.DUMMYFUNCTION("IFERROR(SWITCH(lower(join("" "",U220:V220)),""а миллионник"", 62.5,""б миллионник"", 75,""а мск"", 50, ""б мск"", 62.5, ""a остальное"", 70, ""б остальное"", 80)/100,0)"),0.0)</f>
        <v>0</v>
      </c>
      <c r="X220" s="91">
        <f t="shared" si="4"/>
        <v>0</v>
      </c>
    </row>
    <row r="221">
      <c r="A221" s="12"/>
      <c r="B221" s="12"/>
      <c r="C221" s="12"/>
      <c r="D221" s="91">
        <f>IFERROR(__xludf.DUMMYFUNCTION("IFERROR(sum(filter('Основной эфир'!$AA:$AA, 'Основной эфир'!$B:$B=$A221,'Основной эфир'!$C:$C=$B221,'Основной эфир'!$I:$I=$C221)), 0) "),0.0)</f>
        <v>0</v>
      </c>
      <c r="E221" s="91">
        <f>IFERROR(__xludf.DUMMYFUNCTION("IFERROR(sum(filter('Основной эфир'!$AC:$AC, 'Основной эфир'!$B:$B=$A221,'Основной эфир'!$C:$C=$B221,'Основной эфир'!$I:$I=$C221)), 0) "),0.0)</f>
        <v>0</v>
      </c>
      <c r="F221" s="91">
        <f>IFERROR(__xludf.DUMMYFUNCTION("IFERROR(sum(filter('Основной эфир'!$O:$O, 'Основной эфир'!$B:$B=$A221,'Основной эфир'!$C:$C=$B221,'Основной эфир'!$I:$I=$C221)), 0) "),0.0)</f>
        <v>0</v>
      </c>
      <c r="G221" s="91">
        <f>IFERROR(__xludf.DUMMYFUNCTION("IFERROR(sum(filter('Основной эфир'!$Q:$Q, 'Основной эфир'!$B:$B=$A221,'Основной эфир'!$C:$C=$B221,'Основной эфир'!$I:$I=$C221)), 0) "),0.0)</f>
        <v>0</v>
      </c>
      <c r="H221" s="91">
        <f>IFERROR(__xludf.DUMMYFUNCTION("IFERROR(AVERAGE(filter('Основной эфир'!$Y:$Y, 'Основной эфир'!$B:$B=$A221,'Основной эфир'!$C:$C=$B221,'Основной эфир'!$I:$I=$C221)), 0) "),0.0)</f>
        <v>0</v>
      </c>
      <c r="I221" s="91">
        <f>IFERROR(__xludf.DUMMYFUNCTION("IFERROR(AVERAGE(filter('Основной эфир'!$AE:$AE, 'Основной эфир'!$B:$B=$A221,'Основной эфир'!$C:$C=$B221,'Основной эфир'!$I:$I=$C221)), 0) "),0.0)</f>
        <v>0</v>
      </c>
      <c r="J221" s="91">
        <f>IFERROR(__xludf.DUMMYFUNCTION("IFERROR(SUM(filter('Основной эфир'!$AL:$AL, 'Основной эфир'!$B:$B=$A221,'Основной эфир'!$C:$C=$B221,'Основной эфир'!$I:$I=$C221)), 0) "),0.0)</f>
        <v>0</v>
      </c>
      <c r="K221" s="91" t="str">
        <f>IFERROR(__xludf.DUMMYFUNCTION("IFERROR(REGEXREPLACE(unique(filter('Основной эфир'!$A:$A, 'Основной эфир'!$B:$B=$A221,'Основной эфир'!$C:$C=$B221,'Основной эфир'!$I:$I=$C221)), ""\d+"", """"),"""")"),"")</f>
        <v/>
      </c>
      <c r="L221" s="91" t="str">
        <f>IFERROR(__xludf.DUMMYFUNCTION("IFERROR(unique(filter('Основной эфир'!$F:$F, 'Основной эфир'!$B:$B=$A221,'Основной эфир'!$C:$C=$B221,'Основной эфир'!$I:$I=$C221)),"""")"),"")</f>
        <v/>
      </c>
      <c r="M221" s="92" t="str">
        <f t="shared" si="1"/>
        <v/>
      </c>
      <c r="N221" s="93">
        <f>IFERROR(__xludf.DUMMYFUNCTION("IFERROR(SWITCH(lower(join("" "",L221:M221)),""а миллионник"", 62.5,""б миллионник"", 75,""а мск"", 50, ""б мск"", 62.5, ""a остальное"", 70, ""б остальное"", 80)/100,0)"),0.0)</f>
        <v>0</v>
      </c>
      <c r="O221" s="91">
        <f t="shared" si="2"/>
        <v>0</v>
      </c>
      <c r="P221" s="91">
        <f>IFERROR(__xludf.DUMMYFUNCTION("IFERROR(sum(filter('Генеральный баннер'!$O:$O, 'Генеральный баннер'!$B:$B=$A221,'Генеральный баннер'!$C:$C=$B221,'Генеральный баннер'!$I:$I=$C221)), 0) "),0.0)</f>
        <v>0</v>
      </c>
      <c r="Q221" s="91">
        <f>IFERROR(__xludf.DUMMYFUNCTION("IFERROR(sum(filter('Генеральный баннер'!$Q:$Q, 'Генеральный баннер'!$B:$B=$A221,'Генеральный баннер'!$C:$C=$B221,'Генеральный баннер'!$I:$I=$C221)), 0) "),0.0)</f>
        <v>0</v>
      </c>
      <c r="R221" s="91">
        <f>IFERROR(__xludf.DUMMYFUNCTION("IFERROR(AVERAGE(filter('Генеральный баннер'!$AA:$AA, 'Генеральный баннер'!$B:$B=$A221,'Генеральный баннер'!$C:$C=$B221,'Генеральный баннер'!$I:$I=$C221)), 0) "),0.0)</f>
        <v>0</v>
      </c>
      <c r="S221" s="91">
        <f>IFERROR(__xludf.DUMMYFUNCTION("IFERROR(SUM(filter('Генеральный баннер'!$AH:$AH, 'Генеральный баннер'!$B:$B=$A221,'Генеральный баннер'!$C:$C=$B221,'Генеральный баннер'!$I:$I=$C221)), 0) "),0.0)</f>
        <v>0</v>
      </c>
      <c r="T221" s="91" t="str">
        <f>IFERROR(__xludf.DUMMYFUNCTION("IFERROR(REGEXREPLACE(unique(filter('Генеральный баннер'!$A:$A, 'Генеральный баннер'!$B:$B=$A221,'Генеральный баннер'!$C:$C=$B221,'Генеральный баннер'!$I:$I=$C221)), ""\d+"", """"),"""")"),"")</f>
        <v/>
      </c>
      <c r="U221" s="91" t="str">
        <f>IFERROR(__xludf.DUMMYFUNCTION("IFERROR(unique(filter('Генеральный баннер'!$F:$F, 'Генеральный баннер'!$B:$B=$A221,'Генеральный баннер'!$C:$C=$B221,'Генеральный баннер'!$I:$I=$C221)),"""")"),"")</f>
        <v/>
      </c>
      <c r="V221" s="92" t="str">
        <f t="shared" si="3"/>
        <v/>
      </c>
      <c r="W221" s="93">
        <f>IFERROR(__xludf.DUMMYFUNCTION("IFERROR(SWITCH(lower(join("" "",U221:V221)),""а миллионник"", 62.5,""б миллионник"", 75,""а мск"", 50, ""б мск"", 62.5, ""a остальное"", 70, ""б остальное"", 80)/100,0)"),0.0)</f>
        <v>0</v>
      </c>
      <c r="X221" s="91">
        <f t="shared" si="4"/>
        <v>0</v>
      </c>
    </row>
    <row r="222">
      <c r="A222" s="12"/>
      <c r="B222" s="12"/>
      <c r="C222" s="12"/>
      <c r="D222" s="91">
        <f>IFERROR(__xludf.DUMMYFUNCTION("IFERROR(sum(filter('Основной эфир'!$AA:$AA, 'Основной эфир'!$B:$B=$A222,'Основной эфир'!$C:$C=$B222,'Основной эфир'!$I:$I=$C222)), 0) "),0.0)</f>
        <v>0</v>
      </c>
      <c r="E222" s="91">
        <f>IFERROR(__xludf.DUMMYFUNCTION("IFERROR(sum(filter('Основной эфир'!$AC:$AC, 'Основной эфир'!$B:$B=$A222,'Основной эфир'!$C:$C=$B222,'Основной эфир'!$I:$I=$C222)), 0) "),0.0)</f>
        <v>0</v>
      </c>
      <c r="F222" s="91">
        <f>IFERROR(__xludf.DUMMYFUNCTION("IFERROR(sum(filter('Основной эфир'!$O:$O, 'Основной эфир'!$B:$B=$A222,'Основной эфир'!$C:$C=$B222,'Основной эфир'!$I:$I=$C222)), 0) "),0.0)</f>
        <v>0</v>
      </c>
      <c r="G222" s="91">
        <f>IFERROR(__xludf.DUMMYFUNCTION("IFERROR(sum(filter('Основной эфир'!$Q:$Q, 'Основной эфир'!$B:$B=$A222,'Основной эфир'!$C:$C=$B222,'Основной эфир'!$I:$I=$C222)), 0) "),0.0)</f>
        <v>0</v>
      </c>
      <c r="H222" s="91">
        <f>IFERROR(__xludf.DUMMYFUNCTION("IFERROR(AVERAGE(filter('Основной эфир'!$Y:$Y, 'Основной эфир'!$B:$B=$A222,'Основной эфир'!$C:$C=$B222,'Основной эфир'!$I:$I=$C222)), 0) "),0.0)</f>
        <v>0</v>
      </c>
      <c r="I222" s="91">
        <f>IFERROR(__xludf.DUMMYFUNCTION("IFERROR(AVERAGE(filter('Основной эфир'!$AE:$AE, 'Основной эфир'!$B:$B=$A222,'Основной эфир'!$C:$C=$B222,'Основной эфир'!$I:$I=$C222)), 0) "),0.0)</f>
        <v>0</v>
      </c>
      <c r="J222" s="91">
        <f>IFERROR(__xludf.DUMMYFUNCTION("IFERROR(SUM(filter('Основной эфир'!$AL:$AL, 'Основной эфир'!$B:$B=$A222,'Основной эфир'!$C:$C=$B222,'Основной эфир'!$I:$I=$C222)), 0) "),0.0)</f>
        <v>0</v>
      </c>
      <c r="K222" s="91" t="str">
        <f>IFERROR(__xludf.DUMMYFUNCTION("IFERROR(REGEXREPLACE(unique(filter('Основной эфир'!$A:$A, 'Основной эфир'!$B:$B=$A222,'Основной эфир'!$C:$C=$B222,'Основной эфир'!$I:$I=$C222)), ""\d+"", """"),"""")"),"")</f>
        <v/>
      </c>
      <c r="L222" s="91" t="str">
        <f>IFERROR(__xludf.DUMMYFUNCTION("IFERROR(unique(filter('Основной эфир'!$F:$F, 'Основной эфир'!$B:$B=$A222,'Основной эфир'!$C:$C=$B222,'Основной эфир'!$I:$I=$C222)),"""")"),"")</f>
        <v/>
      </c>
      <c r="M222" s="92" t="str">
        <f t="shared" si="1"/>
        <v/>
      </c>
      <c r="N222" s="93">
        <f>IFERROR(__xludf.DUMMYFUNCTION("IFERROR(SWITCH(lower(join("" "",L222:M222)),""а миллионник"", 62.5,""б миллионник"", 75,""а мск"", 50, ""б мск"", 62.5, ""a остальное"", 70, ""б остальное"", 80)/100,0)"),0.0)</f>
        <v>0</v>
      </c>
      <c r="O222" s="91">
        <f t="shared" si="2"/>
        <v>0</v>
      </c>
      <c r="P222" s="91">
        <f>IFERROR(__xludf.DUMMYFUNCTION("IFERROR(sum(filter('Генеральный баннер'!$O:$O, 'Генеральный баннер'!$B:$B=$A222,'Генеральный баннер'!$C:$C=$B222,'Генеральный баннер'!$I:$I=$C222)), 0) "),0.0)</f>
        <v>0</v>
      </c>
      <c r="Q222" s="91">
        <f>IFERROR(__xludf.DUMMYFUNCTION("IFERROR(sum(filter('Генеральный баннер'!$Q:$Q, 'Генеральный баннер'!$B:$B=$A222,'Генеральный баннер'!$C:$C=$B222,'Генеральный баннер'!$I:$I=$C222)), 0) "),0.0)</f>
        <v>0</v>
      </c>
      <c r="R222" s="91">
        <f>IFERROR(__xludf.DUMMYFUNCTION("IFERROR(AVERAGE(filter('Генеральный баннер'!$AA:$AA, 'Генеральный баннер'!$B:$B=$A222,'Генеральный баннер'!$C:$C=$B222,'Генеральный баннер'!$I:$I=$C222)), 0) "),0.0)</f>
        <v>0</v>
      </c>
      <c r="S222" s="91">
        <f>IFERROR(__xludf.DUMMYFUNCTION("IFERROR(SUM(filter('Генеральный баннер'!$AH:$AH, 'Генеральный баннер'!$B:$B=$A222,'Генеральный баннер'!$C:$C=$B222,'Генеральный баннер'!$I:$I=$C222)), 0) "),0.0)</f>
        <v>0</v>
      </c>
      <c r="T222" s="91" t="str">
        <f>IFERROR(__xludf.DUMMYFUNCTION("IFERROR(REGEXREPLACE(unique(filter('Генеральный баннер'!$A:$A, 'Генеральный баннер'!$B:$B=$A222,'Генеральный баннер'!$C:$C=$B222,'Генеральный баннер'!$I:$I=$C222)), ""\d+"", """"),"""")"),"")</f>
        <v/>
      </c>
      <c r="U222" s="91" t="str">
        <f>IFERROR(__xludf.DUMMYFUNCTION("IFERROR(unique(filter('Генеральный баннер'!$F:$F, 'Генеральный баннер'!$B:$B=$A222,'Генеральный баннер'!$C:$C=$B222,'Генеральный баннер'!$I:$I=$C222)),"""")"),"")</f>
        <v/>
      </c>
      <c r="V222" s="92" t="str">
        <f t="shared" si="3"/>
        <v/>
      </c>
      <c r="W222" s="93">
        <f>IFERROR(__xludf.DUMMYFUNCTION("IFERROR(SWITCH(lower(join("" "",U222:V222)),""а миллионник"", 62.5,""б миллионник"", 75,""а мск"", 50, ""б мск"", 62.5, ""a остальное"", 70, ""б остальное"", 80)/100,0)"),0.0)</f>
        <v>0</v>
      </c>
      <c r="X222" s="91">
        <f t="shared" si="4"/>
        <v>0</v>
      </c>
    </row>
    <row r="223">
      <c r="A223" s="12"/>
      <c r="B223" s="12"/>
      <c r="C223" s="12"/>
      <c r="D223" s="91">
        <f>IFERROR(__xludf.DUMMYFUNCTION("IFERROR(sum(filter('Основной эфир'!$AA:$AA, 'Основной эфир'!$B:$B=$A223,'Основной эфир'!$C:$C=$B223,'Основной эфир'!$I:$I=$C223)), 0) "),0.0)</f>
        <v>0</v>
      </c>
      <c r="E223" s="91">
        <f>IFERROR(__xludf.DUMMYFUNCTION("IFERROR(sum(filter('Основной эфир'!$AC:$AC, 'Основной эфир'!$B:$B=$A223,'Основной эфир'!$C:$C=$B223,'Основной эфир'!$I:$I=$C223)), 0) "),0.0)</f>
        <v>0</v>
      </c>
      <c r="F223" s="91">
        <f>IFERROR(__xludf.DUMMYFUNCTION("IFERROR(sum(filter('Основной эфир'!$O:$O, 'Основной эфир'!$B:$B=$A223,'Основной эфир'!$C:$C=$B223,'Основной эфир'!$I:$I=$C223)), 0) "),0.0)</f>
        <v>0</v>
      </c>
      <c r="G223" s="91">
        <f>IFERROR(__xludf.DUMMYFUNCTION("IFERROR(sum(filter('Основной эфир'!$Q:$Q, 'Основной эфир'!$B:$B=$A223,'Основной эфир'!$C:$C=$B223,'Основной эфир'!$I:$I=$C223)), 0) "),0.0)</f>
        <v>0</v>
      </c>
      <c r="H223" s="91">
        <f>IFERROR(__xludf.DUMMYFUNCTION("IFERROR(AVERAGE(filter('Основной эфир'!$Y:$Y, 'Основной эфир'!$B:$B=$A223,'Основной эфир'!$C:$C=$B223,'Основной эфир'!$I:$I=$C223)), 0) "),0.0)</f>
        <v>0</v>
      </c>
      <c r="I223" s="91">
        <f>IFERROR(__xludf.DUMMYFUNCTION("IFERROR(AVERAGE(filter('Основной эфир'!$AE:$AE, 'Основной эфир'!$B:$B=$A223,'Основной эфир'!$C:$C=$B223,'Основной эфир'!$I:$I=$C223)), 0) "),0.0)</f>
        <v>0</v>
      </c>
      <c r="J223" s="91">
        <f>IFERROR(__xludf.DUMMYFUNCTION("IFERROR(SUM(filter('Основной эфир'!$AL:$AL, 'Основной эфир'!$B:$B=$A223,'Основной эфир'!$C:$C=$B223,'Основной эфир'!$I:$I=$C223)), 0) "),0.0)</f>
        <v>0</v>
      </c>
      <c r="K223" s="91" t="str">
        <f>IFERROR(__xludf.DUMMYFUNCTION("IFERROR(REGEXREPLACE(unique(filter('Основной эфир'!$A:$A, 'Основной эфир'!$B:$B=$A223,'Основной эфир'!$C:$C=$B223,'Основной эфир'!$I:$I=$C223)), ""\d+"", """"),"""")"),"")</f>
        <v/>
      </c>
      <c r="L223" s="91" t="str">
        <f>IFERROR(__xludf.DUMMYFUNCTION("IFERROR(unique(filter('Основной эфир'!$F:$F, 'Основной эфир'!$B:$B=$A223,'Основной эфир'!$C:$C=$B223,'Основной эфир'!$I:$I=$C223)),"""")"),"")</f>
        <v/>
      </c>
      <c r="M223" s="92" t="str">
        <f t="shared" si="1"/>
        <v/>
      </c>
      <c r="N223" s="93">
        <f>IFERROR(__xludf.DUMMYFUNCTION("IFERROR(SWITCH(lower(join("" "",L223:M223)),""а миллионник"", 62.5,""б миллионник"", 75,""а мск"", 50, ""б мск"", 62.5, ""a остальное"", 70, ""б остальное"", 80)/100,0)"),0.0)</f>
        <v>0</v>
      </c>
      <c r="O223" s="91">
        <f t="shared" si="2"/>
        <v>0</v>
      </c>
      <c r="P223" s="91">
        <f>IFERROR(__xludf.DUMMYFUNCTION("IFERROR(sum(filter('Генеральный баннер'!$O:$O, 'Генеральный баннер'!$B:$B=$A223,'Генеральный баннер'!$C:$C=$B223,'Генеральный баннер'!$I:$I=$C223)), 0) "),0.0)</f>
        <v>0</v>
      </c>
      <c r="Q223" s="91">
        <f>IFERROR(__xludf.DUMMYFUNCTION("IFERROR(sum(filter('Генеральный баннер'!$Q:$Q, 'Генеральный баннер'!$B:$B=$A223,'Генеральный баннер'!$C:$C=$B223,'Генеральный баннер'!$I:$I=$C223)), 0) "),0.0)</f>
        <v>0</v>
      </c>
      <c r="R223" s="91">
        <f>IFERROR(__xludf.DUMMYFUNCTION("IFERROR(AVERAGE(filter('Генеральный баннер'!$AA:$AA, 'Генеральный баннер'!$B:$B=$A223,'Генеральный баннер'!$C:$C=$B223,'Генеральный баннер'!$I:$I=$C223)), 0) "),0.0)</f>
        <v>0</v>
      </c>
      <c r="S223" s="91">
        <f>IFERROR(__xludf.DUMMYFUNCTION("IFERROR(SUM(filter('Генеральный баннер'!$AH:$AH, 'Генеральный баннер'!$B:$B=$A223,'Генеральный баннер'!$C:$C=$B223,'Генеральный баннер'!$I:$I=$C223)), 0) "),0.0)</f>
        <v>0</v>
      </c>
      <c r="T223" s="91" t="str">
        <f>IFERROR(__xludf.DUMMYFUNCTION("IFERROR(REGEXREPLACE(unique(filter('Генеральный баннер'!$A:$A, 'Генеральный баннер'!$B:$B=$A223,'Генеральный баннер'!$C:$C=$B223,'Генеральный баннер'!$I:$I=$C223)), ""\d+"", """"),"""")"),"")</f>
        <v/>
      </c>
      <c r="U223" s="91" t="str">
        <f>IFERROR(__xludf.DUMMYFUNCTION("IFERROR(unique(filter('Генеральный баннер'!$F:$F, 'Генеральный баннер'!$B:$B=$A223,'Генеральный баннер'!$C:$C=$B223,'Генеральный баннер'!$I:$I=$C223)),"""")"),"")</f>
        <v/>
      </c>
      <c r="V223" s="92" t="str">
        <f t="shared" si="3"/>
        <v/>
      </c>
      <c r="W223" s="93">
        <f>IFERROR(__xludf.DUMMYFUNCTION("IFERROR(SWITCH(lower(join("" "",U223:V223)),""а миллионник"", 62.5,""б миллионник"", 75,""а мск"", 50, ""б мск"", 62.5, ""a остальное"", 70, ""б остальное"", 80)/100,0)"),0.0)</f>
        <v>0</v>
      </c>
      <c r="X223" s="91">
        <f t="shared" si="4"/>
        <v>0</v>
      </c>
    </row>
    <row r="224">
      <c r="A224" s="12"/>
      <c r="B224" s="12"/>
      <c r="C224" s="12"/>
      <c r="D224" s="91">
        <f>IFERROR(__xludf.DUMMYFUNCTION("IFERROR(sum(filter('Основной эфир'!$AA:$AA, 'Основной эфир'!$B:$B=$A224,'Основной эфир'!$C:$C=$B224,'Основной эфир'!$I:$I=$C224)), 0) "),0.0)</f>
        <v>0</v>
      </c>
      <c r="E224" s="91">
        <f>IFERROR(__xludf.DUMMYFUNCTION("IFERROR(sum(filter('Основной эфир'!$AC:$AC, 'Основной эфир'!$B:$B=$A224,'Основной эфир'!$C:$C=$B224,'Основной эфир'!$I:$I=$C224)), 0) "),0.0)</f>
        <v>0</v>
      </c>
      <c r="F224" s="91">
        <f>IFERROR(__xludf.DUMMYFUNCTION("IFERROR(sum(filter('Основной эфир'!$O:$O, 'Основной эфир'!$B:$B=$A224,'Основной эфир'!$C:$C=$B224,'Основной эфир'!$I:$I=$C224)), 0) "),0.0)</f>
        <v>0</v>
      </c>
      <c r="G224" s="91">
        <f>IFERROR(__xludf.DUMMYFUNCTION("IFERROR(sum(filter('Основной эфир'!$Q:$Q, 'Основной эфир'!$B:$B=$A224,'Основной эфир'!$C:$C=$B224,'Основной эфир'!$I:$I=$C224)), 0) "),0.0)</f>
        <v>0</v>
      </c>
      <c r="H224" s="91">
        <f>IFERROR(__xludf.DUMMYFUNCTION("IFERROR(AVERAGE(filter('Основной эфир'!$Y:$Y, 'Основной эфир'!$B:$B=$A224,'Основной эфир'!$C:$C=$B224,'Основной эфир'!$I:$I=$C224)), 0) "),0.0)</f>
        <v>0</v>
      </c>
      <c r="I224" s="91">
        <f>IFERROR(__xludf.DUMMYFUNCTION("IFERROR(AVERAGE(filter('Основной эфир'!$AE:$AE, 'Основной эфир'!$B:$B=$A224,'Основной эфир'!$C:$C=$B224,'Основной эфир'!$I:$I=$C224)), 0) "),0.0)</f>
        <v>0</v>
      </c>
      <c r="J224" s="91">
        <f>IFERROR(__xludf.DUMMYFUNCTION("IFERROR(SUM(filter('Основной эфир'!$AL:$AL, 'Основной эфир'!$B:$B=$A224,'Основной эфир'!$C:$C=$B224,'Основной эфир'!$I:$I=$C224)), 0) "),0.0)</f>
        <v>0</v>
      </c>
      <c r="K224" s="91" t="str">
        <f>IFERROR(__xludf.DUMMYFUNCTION("IFERROR(REGEXREPLACE(unique(filter('Основной эфир'!$A:$A, 'Основной эфир'!$B:$B=$A224,'Основной эфир'!$C:$C=$B224,'Основной эфир'!$I:$I=$C224)), ""\d+"", """"),"""")"),"")</f>
        <v/>
      </c>
      <c r="L224" s="91" t="str">
        <f>IFERROR(__xludf.DUMMYFUNCTION("IFERROR(unique(filter('Основной эфир'!$F:$F, 'Основной эфир'!$B:$B=$A224,'Основной эфир'!$C:$C=$B224,'Основной эфир'!$I:$I=$C224)),"""")"),"")</f>
        <v/>
      </c>
      <c r="M224" s="92" t="str">
        <f t="shared" si="1"/>
        <v/>
      </c>
      <c r="N224" s="93">
        <f>IFERROR(__xludf.DUMMYFUNCTION("IFERROR(SWITCH(lower(join("" "",L224:M224)),""а миллионник"", 62.5,""б миллионник"", 75,""а мск"", 50, ""б мск"", 62.5, ""a остальное"", 70, ""б остальное"", 80)/100,0)"),0.0)</f>
        <v>0</v>
      </c>
      <c r="O224" s="91">
        <f t="shared" si="2"/>
        <v>0</v>
      </c>
      <c r="P224" s="91">
        <f>IFERROR(__xludf.DUMMYFUNCTION("IFERROR(sum(filter('Генеральный баннер'!$O:$O, 'Генеральный баннер'!$B:$B=$A224,'Генеральный баннер'!$C:$C=$B224,'Генеральный баннер'!$I:$I=$C224)), 0) "),0.0)</f>
        <v>0</v>
      </c>
      <c r="Q224" s="91">
        <f>IFERROR(__xludf.DUMMYFUNCTION("IFERROR(sum(filter('Генеральный баннер'!$Q:$Q, 'Генеральный баннер'!$B:$B=$A224,'Генеральный баннер'!$C:$C=$B224,'Генеральный баннер'!$I:$I=$C224)), 0) "),0.0)</f>
        <v>0</v>
      </c>
      <c r="R224" s="91">
        <f>IFERROR(__xludf.DUMMYFUNCTION("IFERROR(AVERAGE(filter('Генеральный баннер'!$AA:$AA, 'Генеральный баннер'!$B:$B=$A224,'Генеральный баннер'!$C:$C=$B224,'Генеральный баннер'!$I:$I=$C224)), 0) "),0.0)</f>
        <v>0</v>
      </c>
      <c r="S224" s="91">
        <f>IFERROR(__xludf.DUMMYFUNCTION("IFERROR(SUM(filter('Генеральный баннер'!$AH:$AH, 'Генеральный баннер'!$B:$B=$A224,'Генеральный баннер'!$C:$C=$B224,'Генеральный баннер'!$I:$I=$C224)), 0) "),0.0)</f>
        <v>0</v>
      </c>
      <c r="T224" s="91" t="str">
        <f>IFERROR(__xludf.DUMMYFUNCTION("IFERROR(REGEXREPLACE(unique(filter('Генеральный баннер'!$A:$A, 'Генеральный баннер'!$B:$B=$A224,'Генеральный баннер'!$C:$C=$B224,'Генеральный баннер'!$I:$I=$C224)), ""\d+"", """"),"""")"),"")</f>
        <v/>
      </c>
      <c r="U224" s="91" t="str">
        <f>IFERROR(__xludf.DUMMYFUNCTION("IFERROR(unique(filter('Генеральный баннер'!$F:$F, 'Генеральный баннер'!$B:$B=$A224,'Генеральный баннер'!$C:$C=$B224,'Генеральный баннер'!$I:$I=$C224)),"""")"),"")</f>
        <v/>
      </c>
      <c r="V224" s="92" t="str">
        <f t="shared" si="3"/>
        <v/>
      </c>
      <c r="W224" s="93">
        <f>IFERROR(__xludf.DUMMYFUNCTION("IFERROR(SWITCH(lower(join("" "",U224:V224)),""а миллионник"", 62.5,""б миллионник"", 75,""а мск"", 50, ""б мск"", 62.5, ""a остальное"", 70, ""б остальное"", 80)/100,0)"),0.0)</f>
        <v>0</v>
      </c>
      <c r="X224" s="91">
        <f t="shared" si="4"/>
        <v>0</v>
      </c>
    </row>
    <row r="225">
      <c r="A225" s="12"/>
      <c r="B225" s="12"/>
      <c r="C225" s="12"/>
      <c r="D225" s="91">
        <f>IFERROR(__xludf.DUMMYFUNCTION("IFERROR(sum(filter('Основной эфир'!$AA:$AA, 'Основной эфир'!$B:$B=$A225,'Основной эфир'!$C:$C=$B225,'Основной эфир'!$I:$I=$C225)), 0) "),0.0)</f>
        <v>0</v>
      </c>
      <c r="E225" s="91">
        <f>IFERROR(__xludf.DUMMYFUNCTION("IFERROR(sum(filter('Основной эфир'!$AC:$AC, 'Основной эфир'!$B:$B=$A225,'Основной эфир'!$C:$C=$B225,'Основной эфир'!$I:$I=$C225)), 0) "),0.0)</f>
        <v>0</v>
      </c>
      <c r="F225" s="91">
        <f>IFERROR(__xludf.DUMMYFUNCTION("IFERROR(sum(filter('Основной эфир'!$O:$O, 'Основной эфир'!$B:$B=$A225,'Основной эфир'!$C:$C=$B225,'Основной эфир'!$I:$I=$C225)), 0) "),0.0)</f>
        <v>0</v>
      </c>
      <c r="G225" s="91">
        <f>IFERROR(__xludf.DUMMYFUNCTION("IFERROR(sum(filter('Основной эфир'!$Q:$Q, 'Основной эфир'!$B:$B=$A225,'Основной эфир'!$C:$C=$B225,'Основной эфир'!$I:$I=$C225)), 0) "),0.0)</f>
        <v>0</v>
      </c>
      <c r="H225" s="91">
        <f>IFERROR(__xludf.DUMMYFUNCTION("IFERROR(AVERAGE(filter('Основной эфир'!$Y:$Y, 'Основной эфир'!$B:$B=$A225,'Основной эфир'!$C:$C=$B225,'Основной эфир'!$I:$I=$C225)), 0) "),0.0)</f>
        <v>0</v>
      </c>
      <c r="I225" s="91">
        <f>IFERROR(__xludf.DUMMYFUNCTION("IFERROR(AVERAGE(filter('Основной эфир'!$AE:$AE, 'Основной эфир'!$B:$B=$A225,'Основной эфир'!$C:$C=$B225,'Основной эфир'!$I:$I=$C225)), 0) "),0.0)</f>
        <v>0</v>
      </c>
      <c r="J225" s="91">
        <f>IFERROR(__xludf.DUMMYFUNCTION("IFERROR(SUM(filter('Основной эфир'!$AL:$AL, 'Основной эфир'!$B:$B=$A225,'Основной эфир'!$C:$C=$B225,'Основной эфир'!$I:$I=$C225)), 0) "),0.0)</f>
        <v>0</v>
      </c>
      <c r="K225" s="91" t="str">
        <f>IFERROR(__xludf.DUMMYFUNCTION("IFERROR(REGEXREPLACE(unique(filter('Основной эфир'!$A:$A, 'Основной эфир'!$B:$B=$A225,'Основной эфир'!$C:$C=$B225,'Основной эфир'!$I:$I=$C225)), ""\d+"", """"),"""")"),"")</f>
        <v/>
      </c>
      <c r="L225" s="91" t="str">
        <f>IFERROR(__xludf.DUMMYFUNCTION("IFERROR(unique(filter('Основной эфир'!$F:$F, 'Основной эфир'!$B:$B=$A225,'Основной эфир'!$C:$C=$B225,'Основной эфир'!$I:$I=$C225)),"""")"),"")</f>
        <v/>
      </c>
      <c r="M225" s="92" t="str">
        <f t="shared" si="1"/>
        <v/>
      </c>
      <c r="N225" s="93">
        <f>IFERROR(__xludf.DUMMYFUNCTION("IFERROR(SWITCH(lower(join("" "",L225:M225)),""а миллионник"", 62.5,""б миллионник"", 75,""а мск"", 50, ""б мск"", 62.5, ""a остальное"", 70, ""б остальное"", 80)/100,0)"),0.0)</f>
        <v>0</v>
      </c>
      <c r="O225" s="91">
        <f t="shared" si="2"/>
        <v>0</v>
      </c>
      <c r="P225" s="91">
        <f>IFERROR(__xludf.DUMMYFUNCTION("IFERROR(sum(filter('Генеральный баннер'!$O:$O, 'Генеральный баннер'!$B:$B=$A225,'Генеральный баннер'!$C:$C=$B225,'Генеральный баннер'!$I:$I=$C225)), 0) "),0.0)</f>
        <v>0</v>
      </c>
      <c r="Q225" s="91">
        <f>IFERROR(__xludf.DUMMYFUNCTION("IFERROR(sum(filter('Генеральный баннер'!$Q:$Q, 'Генеральный баннер'!$B:$B=$A225,'Генеральный баннер'!$C:$C=$B225,'Генеральный баннер'!$I:$I=$C225)), 0) "),0.0)</f>
        <v>0</v>
      </c>
      <c r="R225" s="91">
        <f>IFERROR(__xludf.DUMMYFUNCTION("IFERROR(AVERAGE(filter('Генеральный баннер'!$AA:$AA, 'Генеральный баннер'!$B:$B=$A225,'Генеральный баннер'!$C:$C=$B225,'Генеральный баннер'!$I:$I=$C225)), 0) "),0.0)</f>
        <v>0</v>
      </c>
      <c r="S225" s="91">
        <f>IFERROR(__xludf.DUMMYFUNCTION("IFERROR(SUM(filter('Генеральный баннер'!$AH:$AH, 'Генеральный баннер'!$B:$B=$A225,'Генеральный баннер'!$C:$C=$B225,'Генеральный баннер'!$I:$I=$C225)), 0) "),0.0)</f>
        <v>0</v>
      </c>
      <c r="T225" s="91" t="str">
        <f>IFERROR(__xludf.DUMMYFUNCTION("IFERROR(REGEXREPLACE(unique(filter('Генеральный баннер'!$A:$A, 'Генеральный баннер'!$B:$B=$A225,'Генеральный баннер'!$C:$C=$B225,'Генеральный баннер'!$I:$I=$C225)), ""\d+"", """"),"""")"),"")</f>
        <v/>
      </c>
      <c r="U225" s="91" t="str">
        <f>IFERROR(__xludf.DUMMYFUNCTION("IFERROR(unique(filter('Генеральный баннер'!$F:$F, 'Генеральный баннер'!$B:$B=$A225,'Генеральный баннер'!$C:$C=$B225,'Генеральный баннер'!$I:$I=$C225)),"""")"),"")</f>
        <v/>
      </c>
      <c r="V225" s="92" t="str">
        <f t="shared" si="3"/>
        <v/>
      </c>
      <c r="W225" s="93">
        <f>IFERROR(__xludf.DUMMYFUNCTION("IFERROR(SWITCH(lower(join("" "",U225:V225)),""а миллионник"", 62.5,""б миллионник"", 75,""а мск"", 50, ""б мск"", 62.5, ""a остальное"", 70, ""б остальное"", 80)/100,0)"),0.0)</f>
        <v>0</v>
      </c>
      <c r="X225" s="91">
        <f t="shared" si="4"/>
        <v>0</v>
      </c>
    </row>
    <row r="226">
      <c r="A226" s="12"/>
      <c r="B226" s="12"/>
      <c r="C226" s="12"/>
      <c r="D226" s="91">
        <f>IFERROR(__xludf.DUMMYFUNCTION("IFERROR(sum(filter('Основной эфир'!$AA:$AA, 'Основной эфир'!$B:$B=$A226,'Основной эфир'!$C:$C=$B226,'Основной эфир'!$I:$I=$C226)), 0) "),0.0)</f>
        <v>0</v>
      </c>
      <c r="E226" s="91">
        <f>IFERROR(__xludf.DUMMYFUNCTION("IFERROR(sum(filter('Основной эфир'!$AC:$AC, 'Основной эфир'!$B:$B=$A226,'Основной эфир'!$C:$C=$B226,'Основной эфир'!$I:$I=$C226)), 0) "),0.0)</f>
        <v>0</v>
      </c>
      <c r="F226" s="91">
        <f>IFERROR(__xludf.DUMMYFUNCTION("IFERROR(sum(filter('Основной эфир'!$O:$O, 'Основной эфир'!$B:$B=$A226,'Основной эфир'!$C:$C=$B226,'Основной эфир'!$I:$I=$C226)), 0) "),0.0)</f>
        <v>0</v>
      </c>
      <c r="G226" s="91">
        <f>IFERROR(__xludf.DUMMYFUNCTION("IFERROR(sum(filter('Основной эфир'!$Q:$Q, 'Основной эфир'!$B:$B=$A226,'Основной эфир'!$C:$C=$B226,'Основной эфир'!$I:$I=$C226)), 0) "),0.0)</f>
        <v>0</v>
      </c>
      <c r="H226" s="91">
        <f>IFERROR(__xludf.DUMMYFUNCTION("IFERROR(AVERAGE(filter('Основной эфир'!$Y:$Y, 'Основной эфир'!$B:$B=$A226,'Основной эфир'!$C:$C=$B226,'Основной эфир'!$I:$I=$C226)), 0) "),0.0)</f>
        <v>0</v>
      </c>
      <c r="I226" s="91">
        <f>IFERROR(__xludf.DUMMYFUNCTION("IFERROR(AVERAGE(filter('Основной эфир'!$AE:$AE, 'Основной эфир'!$B:$B=$A226,'Основной эфир'!$C:$C=$B226,'Основной эфир'!$I:$I=$C226)), 0) "),0.0)</f>
        <v>0</v>
      </c>
      <c r="J226" s="91">
        <f>IFERROR(__xludf.DUMMYFUNCTION("IFERROR(SUM(filter('Основной эфир'!$AL:$AL, 'Основной эфир'!$B:$B=$A226,'Основной эфир'!$C:$C=$B226,'Основной эфир'!$I:$I=$C226)), 0) "),0.0)</f>
        <v>0</v>
      </c>
      <c r="K226" s="91" t="str">
        <f>IFERROR(__xludf.DUMMYFUNCTION("IFERROR(REGEXREPLACE(unique(filter('Основной эфир'!$A:$A, 'Основной эфир'!$B:$B=$A226,'Основной эфир'!$C:$C=$B226,'Основной эфир'!$I:$I=$C226)), ""\d+"", """"),"""")"),"")</f>
        <v/>
      </c>
      <c r="L226" s="91" t="str">
        <f>IFERROR(__xludf.DUMMYFUNCTION("IFERROR(unique(filter('Основной эфир'!$F:$F, 'Основной эфир'!$B:$B=$A226,'Основной эфир'!$C:$C=$B226,'Основной эфир'!$I:$I=$C226)),"""")"),"")</f>
        <v/>
      </c>
      <c r="M226" s="92" t="str">
        <f t="shared" si="1"/>
        <v/>
      </c>
      <c r="N226" s="93">
        <f>IFERROR(__xludf.DUMMYFUNCTION("IFERROR(SWITCH(lower(join("" "",L226:M226)),""а миллионник"", 62.5,""б миллионник"", 75,""а мск"", 50, ""б мск"", 62.5, ""a остальное"", 70, ""б остальное"", 80)/100,0)"),0.0)</f>
        <v>0</v>
      </c>
      <c r="O226" s="91">
        <f t="shared" si="2"/>
        <v>0</v>
      </c>
      <c r="P226" s="91">
        <f>IFERROR(__xludf.DUMMYFUNCTION("IFERROR(sum(filter('Генеральный баннер'!$O:$O, 'Генеральный баннер'!$B:$B=$A226,'Генеральный баннер'!$C:$C=$B226,'Генеральный баннер'!$I:$I=$C226)), 0) "),0.0)</f>
        <v>0</v>
      </c>
      <c r="Q226" s="91">
        <f>IFERROR(__xludf.DUMMYFUNCTION("IFERROR(sum(filter('Генеральный баннер'!$Q:$Q, 'Генеральный баннер'!$B:$B=$A226,'Генеральный баннер'!$C:$C=$B226,'Генеральный баннер'!$I:$I=$C226)), 0) "),0.0)</f>
        <v>0</v>
      </c>
      <c r="R226" s="91">
        <f>IFERROR(__xludf.DUMMYFUNCTION("IFERROR(AVERAGE(filter('Генеральный баннер'!$AA:$AA, 'Генеральный баннер'!$B:$B=$A226,'Генеральный баннер'!$C:$C=$B226,'Генеральный баннер'!$I:$I=$C226)), 0) "),0.0)</f>
        <v>0</v>
      </c>
      <c r="S226" s="91">
        <f>IFERROR(__xludf.DUMMYFUNCTION("IFERROR(SUM(filter('Генеральный баннер'!$AH:$AH, 'Генеральный баннер'!$B:$B=$A226,'Генеральный баннер'!$C:$C=$B226,'Генеральный баннер'!$I:$I=$C226)), 0) "),0.0)</f>
        <v>0</v>
      </c>
      <c r="T226" s="91" t="str">
        <f>IFERROR(__xludf.DUMMYFUNCTION("IFERROR(REGEXREPLACE(unique(filter('Генеральный баннер'!$A:$A, 'Генеральный баннер'!$B:$B=$A226,'Генеральный баннер'!$C:$C=$B226,'Генеральный баннер'!$I:$I=$C226)), ""\d+"", """"),"""")"),"")</f>
        <v/>
      </c>
      <c r="U226" s="91" t="str">
        <f>IFERROR(__xludf.DUMMYFUNCTION("IFERROR(unique(filter('Генеральный баннер'!$F:$F, 'Генеральный баннер'!$B:$B=$A226,'Генеральный баннер'!$C:$C=$B226,'Генеральный баннер'!$I:$I=$C226)),"""")"),"")</f>
        <v/>
      </c>
      <c r="V226" s="92" t="str">
        <f t="shared" si="3"/>
        <v/>
      </c>
      <c r="W226" s="93">
        <f>IFERROR(__xludf.DUMMYFUNCTION("IFERROR(SWITCH(lower(join("" "",U226:V226)),""а миллионник"", 62.5,""б миллионник"", 75,""а мск"", 50, ""б мск"", 62.5, ""a остальное"", 70, ""б остальное"", 80)/100,0)"),0.0)</f>
        <v>0</v>
      </c>
      <c r="X226" s="91">
        <f t="shared" si="4"/>
        <v>0</v>
      </c>
    </row>
    <row r="227">
      <c r="A227" s="12"/>
      <c r="B227" s="12"/>
      <c r="C227" s="12"/>
      <c r="D227" s="91">
        <f>IFERROR(__xludf.DUMMYFUNCTION("IFERROR(sum(filter('Основной эфир'!$AA:$AA, 'Основной эфир'!$B:$B=$A227,'Основной эфир'!$C:$C=$B227,'Основной эфир'!$I:$I=$C227)), 0) "),0.0)</f>
        <v>0</v>
      </c>
      <c r="E227" s="91">
        <f>IFERROR(__xludf.DUMMYFUNCTION("IFERROR(sum(filter('Основной эфир'!$AC:$AC, 'Основной эфир'!$B:$B=$A227,'Основной эфир'!$C:$C=$B227,'Основной эфир'!$I:$I=$C227)), 0) "),0.0)</f>
        <v>0</v>
      </c>
      <c r="F227" s="91">
        <f>IFERROR(__xludf.DUMMYFUNCTION("IFERROR(sum(filter('Основной эфир'!$O:$O, 'Основной эфир'!$B:$B=$A227,'Основной эфир'!$C:$C=$B227,'Основной эфир'!$I:$I=$C227)), 0) "),0.0)</f>
        <v>0</v>
      </c>
      <c r="G227" s="91">
        <f>IFERROR(__xludf.DUMMYFUNCTION("IFERROR(sum(filter('Основной эфир'!$Q:$Q, 'Основной эфир'!$B:$B=$A227,'Основной эфир'!$C:$C=$B227,'Основной эфир'!$I:$I=$C227)), 0) "),0.0)</f>
        <v>0</v>
      </c>
      <c r="H227" s="91">
        <f>IFERROR(__xludf.DUMMYFUNCTION("IFERROR(AVERAGE(filter('Основной эфир'!$Y:$Y, 'Основной эфир'!$B:$B=$A227,'Основной эфир'!$C:$C=$B227,'Основной эфир'!$I:$I=$C227)), 0) "),0.0)</f>
        <v>0</v>
      </c>
      <c r="I227" s="91">
        <f>IFERROR(__xludf.DUMMYFUNCTION("IFERROR(AVERAGE(filter('Основной эфир'!$AE:$AE, 'Основной эфир'!$B:$B=$A227,'Основной эфир'!$C:$C=$B227,'Основной эфир'!$I:$I=$C227)), 0) "),0.0)</f>
        <v>0</v>
      </c>
      <c r="J227" s="91">
        <f>IFERROR(__xludf.DUMMYFUNCTION("IFERROR(SUM(filter('Основной эфир'!$AL:$AL, 'Основной эфир'!$B:$B=$A227,'Основной эфир'!$C:$C=$B227,'Основной эфир'!$I:$I=$C227)), 0) "),0.0)</f>
        <v>0</v>
      </c>
      <c r="K227" s="91" t="str">
        <f>IFERROR(__xludf.DUMMYFUNCTION("IFERROR(REGEXREPLACE(unique(filter('Основной эфир'!$A:$A, 'Основной эфир'!$B:$B=$A227,'Основной эфир'!$C:$C=$B227,'Основной эфир'!$I:$I=$C227)), ""\d+"", """"),"""")"),"")</f>
        <v/>
      </c>
      <c r="L227" s="91" t="str">
        <f>IFERROR(__xludf.DUMMYFUNCTION("IFERROR(unique(filter('Основной эфир'!$F:$F, 'Основной эфир'!$B:$B=$A227,'Основной эфир'!$C:$C=$B227,'Основной эфир'!$I:$I=$C227)),"""")"),"")</f>
        <v/>
      </c>
      <c r="M227" s="92" t="str">
        <f t="shared" si="1"/>
        <v/>
      </c>
      <c r="N227" s="93">
        <f>IFERROR(__xludf.DUMMYFUNCTION("IFERROR(SWITCH(lower(join("" "",L227:M227)),""а миллионник"", 62.5,""б миллионник"", 75,""а мск"", 50, ""б мск"", 62.5, ""a остальное"", 70, ""б остальное"", 80)/100,0)"),0.0)</f>
        <v>0</v>
      </c>
      <c r="O227" s="91">
        <f t="shared" si="2"/>
        <v>0</v>
      </c>
      <c r="P227" s="91">
        <f>IFERROR(__xludf.DUMMYFUNCTION("IFERROR(sum(filter('Генеральный баннер'!$O:$O, 'Генеральный баннер'!$B:$B=$A227,'Генеральный баннер'!$C:$C=$B227,'Генеральный баннер'!$I:$I=$C227)), 0) "),0.0)</f>
        <v>0</v>
      </c>
      <c r="Q227" s="91">
        <f>IFERROR(__xludf.DUMMYFUNCTION("IFERROR(sum(filter('Генеральный баннер'!$Q:$Q, 'Генеральный баннер'!$B:$B=$A227,'Генеральный баннер'!$C:$C=$B227,'Генеральный баннер'!$I:$I=$C227)), 0) "),0.0)</f>
        <v>0</v>
      </c>
      <c r="R227" s="91">
        <f>IFERROR(__xludf.DUMMYFUNCTION("IFERROR(AVERAGE(filter('Генеральный баннер'!$AA:$AA, 'Генеральный баннер'!$B:$B=$A227,'Генеральный баннер'!$C:$C=$B227,'Генеральный баннер'!$I:$I=$C227)), 0) "),0.0)</f>
        <v>0</v>
      </c>
      <c r="S227" s="91">
        <f>IFERROR(__xludf.DUMMYFUNCTION("IFERROR(SUM(filter('Генеральный баннер'!$AH:$AH, 'Генеральный баннер'!$B:$B=$A227,'Генеральный баннер'!$C:$C=$B227,'Генеральный баннер'!$I:$I=$C227)), 0) "),0.0)</f>
        <v>0</v>
      </c>
      <c r="T227" s="91" t="str">
        <f>IFERROR(__xludf.DUMMYFUNCTION("IFERROR(REGEXREPLACE(unique(filter('Генеральный баннер'!$A:$A, 'Генеральный баннер'!$B:$B=$A227,'Генеральный баннер'!$C:$C=$B227,'Генеральный баннер'!$I:$I=$C227)), ""\d+"", """"),"""")"),"")</f>
        <v/>
      </c>
      <c r="U227" s="91" t="str">
        <f>IFERROR(__xludf.DUMMYFUNCTION("IFERROR(unique(filter('Генеральный баннер'!$F:$F, 'Генеральный баннер'!$B:$B=$A227,'Генеральный баннер'!$C:$C=$B227,'Генеральный баннер'!$I:$I=$C227)),"""")"),"")</f>
        <v/>
      </c>
      <c r="V227" s="92" t="str">
        <f t="shared" si="3"/>
        <v/>
      </c>
      <c r="W227" s="93">
        <f>IFERROR(__xludf.DUMMYFUNCTION("IFERROR(SWITCH(lower(join("" "",U227:V227)),""а миллионник"", 62.5,""б миллионник"", 75,""а мск"", 50, ""б мск"", 62.5, ""a остальное"", 70, ""б остальное"", 80)/100,0)"),0.0)</f>
        <v>0</v>
      </c>
      <c r="X227" s="91">
        <f t="shared" si="4"/>
        <v>0</v>
      </c>
    </row>
    <row r="228">
      <c r="A228" s="12"/>
      <c r="B228" s="12"/>
      <c r="C228" s="12"/>
      <c r="D228" s="91">
        <f>IFERROR(__xludf.DUMMYFUNCTION("IFERROR(sum(filter('Основной эфир'!$AA:$AA, 'Основной эфир'!$B:$B=$A228,'Основной эфир'!$C:$C=$B228,'Основной эфир'!$I:$I=$C228)), 0) "),0.0)</f>
        <v>0</v>
      </c>
      <c r="E228" s="91">
        <f>IFERROR(__xludf.DUMMYFUNCTION("IFERROR(sum(filter('Основной эфир'!$AC:$AC, 'Основной эфир'!$B:$B=$A228,'Основной эфир'!$C:$C=$B228,'Основной эфир'!$I:$I=$C228)), 0) "),0.0)</f>
        <v>0</v>
      </c>
      <c r="F228" s="91">
        <f>IFERROR(__xludf.DUMMYFUNCTION("IFERROR(sum(filter('Основной эфир'!$O:$O, 'Основной эфир'!$B:$B=$A228,'Основной эфир'!$C:$C=$B228,'Основной эфир'!$I:$I=$C228)), 0) "),0.0)</f>
        <v>0</v>
      </c>
      <c r="G228" s="91">
        <f>IFERROR(__xludf.DUMMYFUNCTION("IFERROR(sum(filter('Основной эфир'!$Q:$Q, 'Основной эфир'!$B:$B=$A228,'Основной эфир'!$C:$C=$B228,'Основной эфир'!$I:$I=$C228)), 0) "),0.0)</f>
        <v>0</v>
      </c>
      <c r="H228" s="91">
        <f>IFERROR(__xludf.DUMMYFUNCTION("IFERROR(AVERAGE(filter('Основной эфир'!$Y:$Y, 'Основной эфир'!$B:$B=$A228,'Основной эфир'!$C:$C=$B228,'Основной эфир'!$I:$I=$C228)), 0) "),0.0)</f>
        <v>0</v>
      </c>
      <c r="I228" s="91">
        <f>IFERROR(__xludf.DUMMYFUNCTION("IFERROR(AVERAGE(filter('Основной эфир'!$AE:$AE, 'Основной эфир'!$B:$B=$A228,'Основной эфир'!$C:$C=$B228,'Основной эфир'!$I:$I=$C228)), 0) "),0.0)</f>
        <v>0</v>
      </c>
      <c r="J228" s="91">
        <f>IFERROR(__xludf.DUMMYFUNCTION("IFERROR(SUM(filter('Основной эфир'!$AL:$AL, 'Основной эфир'!$B:$B=$A228,'Основной эфир'!$C:$C=$B228,'Основной эфир'!$I:$I=$C228)), 0) "),0.0)</f>
        <v>0</v>
      </c>
      <c r="K228" s="91" t="str">
        <f>IFERROR(__xludf.DUMMYFUNCTION("IFERROR(REGEXREPLACE(unique(filter('Основной эфир'!$A:$A, 'Основной эфир'!$B:$B=$A228,'Основной эфир'!$C:$C=$B228,'Основной эфир'!$I:$I=$C228)), ""\d+"", """"),"""")"),"")</f>
        <v/>
      </c>
      <c r="L228" s="91" t="str">
        <f>IFERROR(__xludf.DUMMYFUNCTION("IFERROR(unique(filter('Основной эфир'!$F:$F, 'Основной эфир'!$B:$B=$A228,'Основной эфир'!$C:$C=$B228,'Основной эфир'!$I:$I=$C228)),"""")"),"")</f>
        <v/>
      </c>
      <c r="M228" s="92" t="str">
        <f t="shared" si="1"/>
        <v/>
      </c>
      <c r="N228" s="93">
        <f>IFERROR(__xludf.DUMMYFUNCTION("IFERROR(SWITCH(lower(join("" "",L228:M228)),""а миллионник"", 62.5,""б миллионник"", 75,""а мск"", 50, ""б мск"", 62.5, ""a остальное"", 70, ""б остальное"", 80)/100,0)"),0.0)</f>
        <v>0</v>
      </c>
      <c r="O228" s="91">
        <f t="shared" si="2"/>
        <v>0</v>
      </c>
      <c r="P228" s="91">
        <f>IFERROR(__xludf.DUMMYFUNCTION("IFERROR(sum(filter('Генеральный баннер'!$O:$O, 'Генеральный баннер'!$B:$B=$A228,'Генеральный баннер'!$C:$C=$B228,'Генеральный баннер'!$I:$I=$C228)), 0) "),0.0)</f>
        <v>0</v>
      </c>
      <c r="Q228" s="91">
        <f>IFERROR(__xludf.DUMMYFUNCTION("IFERROR(sum(filter('Генеральный баннер'!$Q:$Q, 'Генеральный баннер'!$B:$B=$A228,'Генеральный баннер'!$C:$C=$B228,'Генеральный баннер'!$I:$I=$C228)), 0) "),0.0)</f>
        <v>0</v>
      </c>
      <c r="R228" s="91">
        <f>IFERROR(__xludf.DUMMYFUNCTION("IFERROR(AVERAGE(filter('Генеральный баннер'!$AA:$AA, 'Генеральный баннер'!$B:$B=$A228,'Генеральный баннер'!$C:$C=$B228,'Генеральный баннер'!$I:$I=$C228)), 0) "),0.0)</f>
        <v>0</v>
      </c>
      <c r="S228" s="91">
        <f>IFERROR(__xludf.DUMMYFUNCTION("IFERROR(SUM(filter('Генеральный баннер'!$AH:$AH, 'Генеральный баннер'!$B:$B=$A228,'Генеральный баннер'!$C:$C=$B228,'Генеральный баннер'!$I:$I=$C228)), 0) "),0.0)</f>
        <v>0</v>
      </c>
      <c r="T228" s="91" t="str">
        <f>IFERROR(__xludf.DUMMYFUNCTION("IFERROR(REGEXREPLACE(unique(filter('Генеральный баннер'!$A:$A, 'Генеральный баннер'!$B:$B=$A228,'Генеральный баннер'!$C:$C=$B228,'Генеральный баннер'!$I:$I=$C228)), ""\d+"", """"),"""")"),"")</f>
        <v/>
      </c>
      <c r="U228" s="91" t="str">
        <f>IFERROR(__xludf.DUMMYFUNCTION("IFERROR(unique(filter('Генеральный баннер'!$F:$F, 'Генеральный баннер'!$B:$B=$A228,'Генеральный баннер'!$C:$C=$B228,'Генеральный баннер'!$I:$I=$C228)),"""")"),"")</f>
        <v/>
      </c>
      <c r="V228" s="92" t="str">
        <f t="shared" si="3"/>
        <v/>
      </c>
      <c r="W228" s="93">
        <f>IFERROR(__xludf.DUMMYFUNCTION("IFERROR(SWITCH(lower(join("" "",U228:V228)),""а миллионник"", 62.5,""б миллионник"", 75,""а мск"", 50, ""б мск"", 62.5, ""a остальное"", 70, ""б остальное"", 80)/100,0)"),0.0)</f>
        <v>0</v>
      </c>
      <c r="X228" s="91">
        <f t="shared" si="4"/>
        <v>0</v>
      </c>
    </row>
    <row r="229">
      <c r="A229" s="12"/>
      <c r="B229" s="12"/>
      <c r="C229" s="12"/>
      <c r="D229" s="91">
        <f>IFERROR(__xludf.DUMMYFUNCTION("IFERROR(sum(filter('Основной эфир'!$AA:$AA, 'Основной эфир'!$B:$B=$A229,'Основной эфир'!$C:$C=$B229,'Основной эфир'!$I:$I=$C229)), 0) "),0.0)</f>
        <v>0</v>
      </c>
      <c r="E229" s="91">
        <f>IFERROR(__xludf.DUMMYFUNCTION("IFERROR(sum(filter('Основной эфир'!$AC:$AC, 'Основной эфир'!$B:$B=$A229,'Основной эфир'!$C:$C=$B229,'Основной эфир'!$I:$I=$C229)), 0) "),0.0)</f>
        <v>0</v>
      </c>
      <c r="F229" s="91">
        <f>IFERROR(__xludf.DUMMYFUNCTION("IFERROR(sum(filter('Основной эфир'!$O:$O, 'Основной эфир'!$B:$B=$A229,'Основной эфир'!$C:$C=$B229,'Основной эфир'!$I:$I=$C229)), 0) "),0.0)</f>
        <v>0</v>
      </c>
      <c r="G229" s="91">
        <f>IFERROR(__xludf.DUMMYFUNCTION("IFERROR(sum(filter('Основной эфир'!$Q:$Q, 'Основной эфир'!$B:$B=$A229,'Основной эфир'!$C:$C=$B229,'Основной эфир'!$I:$I=$C229)), 0) "),0.0)</f>
        <v>0</v>
      </c>
      <c r="H229" s="91">
        <f>IFERROR(__xludf.DUMMYFUNCTION("IFERROR(AVERAGE(filter('Основной эфир'!$Y:$Y, 'Основной эфир'!$B:$B=$A229,'Основной эфир'!$C:$C=$B229,'Основной эфир'!$I:$I=$C229)), 0) "),0.0)</f>
        <v>0</v>
      </c>
      <c r="I229" s="91">
        <f>IFERROR(__xludf.DUMMYFUNCTION("IFERROR(AVERAGE(filter('Основной эфир'!$AE:$AE, 'Основной эфир'!$B:$B=$A229,'Основной эфир'!$C:$C=$B229,'Основной эфир'!$I:$I=$C229)), 0) "),0.0)</f>
        <v>0</v>
      </c>
      <c r="J229" s="91">
        <f>IFERROR(__xludf.DUMMYFUNCTION("IFERROR(SUM(filter('Основной эфир'!$AL:$AL, 'Основной эфир'!$B:$B=$A229,'Основной эфир'!$C:$C=$B229,'Основной эфир'!$I:$I=$C229)), 0) "),0.0)</f>
        <v>0</v>
      </c>
      <c r="K229" s="91" t="str">
        <f>IFERROR(__xludf.DUMMYFUNCTION("IFERROR(REGEXREPLACE(unique(filter('Основной эфир'!$A:$A, 'Основной эфир'!$B:$B=$A229,'Основной эфир'!$C:$C=$B229,'Основной эфир'!$I:$I=$C229)), ""\d+"", """"),"""")"),"")</f>
        <v/>
      </c>
      <c r="L229" s="91" t="str">
        <f>IFERROR(__xludf.DUMMYFUNCTION("IFERROR(unique(filter('Основной эфир'!$F:$F, 'Основной эфир'!$B:$B=$A229,'Основной эфир'!$C:$C=$B229,'Основной эфир'!$I:$I=$C229)),"""")"),"")</f>
        <v/>
      </c>
      <c r="M229" s="92" t="str">
        <f t="shared" si="1"/>
        <v/>
      </c>
      <c r="N229" s="93">
        <f>IFERROR(__xludf.DUMMYFUNCTION("IFERROR(SWITCH(lower(join("" "",L229:M229)),""а миллионник"", 62.5,""б миллионник"", 75,""а мск"", 50, ""б мск"", 62.5, ""a остальное"", 70, ""б остальное"", 80)/100,0)"),0.0)</f>
        <v>0</v>
      </c>
      <c r="O229" s="91">
        <f t="shared" si="2"/>
        <v>0</v>
      </c>
      <c r="P229" s="91">
        <f>IFERROR(__xludf.DUMMYFUNCTION("IFERROR(sum(filter('Генеральный баннер'!$O:$O, 'Генеральный баннер'!$B:$B=$A229,'Генеральный баннер'!$C:$C=$B229,'Генеральный баннер'!$I:$I=$C229)), 0) "),0.0)</f>
        <v>0</v>
      </c>
      <c r="Q229" s="91">
        <f>IFERROR(__xludf.DUMMYFUNCTION("IFERROR(sum(filter('Генеральный баннер'!$Q:$Q, 'Генеральный баннер'!$B:$B=$A229,'Генеральный баннер'!$C:$C=$B229,'Генеральный баннер'!$I:$I=$C229)), 0) "),0.0)</f>
        <v>0</v>
      </c>
      <c r="R229" s="91">
        <f>IFERROR(__xludf.DUMMYFUNCTION("IFERROR(AVERAGE(filter('Генеральный баннер'!$AA:$AA, 'Генеральный баннер'!$B:$B=$A229,'Генеральный баннер'!$C:$C=$B229,'Генеральный баннер'!$I:$I=$C229)), 0) "),0.0)</f>
        <v>0</v>
      </c>
      <c r="S229" s="91">
        <f>IFERROR(__xludf.DUMMYFUNCTION("IFERROR(SUM(filter('Генеральный баннер'!$AH:$AH, 'Генеральный баннер'!$B:$B=$A229,'Генеральный баннер'!$C:$C=$B229,'Генеральный баннер'!$I:$I=$C229)), 0) "),0.0)</f>
        <v>0</v>
      </c>
      <c r="T229" s="91" t="str">
        <f>IFERROR(__xludf.DUMMYFUNCTION("IFERROR(REGEXREPLACE(unique(filter('Генеральный баннер'!$A:$A, 'Генеральный баннер'!$B:$B=$A229,'Генеральный баннер'!$C:$C=$B229,'Генеральный баннер'!$I:$I=$C229)), ""\d+"", """"),"""")"),"")</f>
        <v/>
      </c>
      <c r="U229" s="91" t="str">
        <f>IFERROR(__xludf.DUMMYFUNCTION("IFERROR(unique(filter('Генеральный баннер'!$F:$F, 'Генеральный баннер'!$B:$B=$A229,'Генеральный баннер'!$C:$C=$B229,'Генеральный баннер'!$I:$I=$C229)),"""")"),"")</f>
        <v/>
      </c>
      <c r="V229" s="92" t="str">
        <f t="shared" si="3"/>
        <v/>
      </c>
      <c r="W229" s="93">
        <f>IFERROR(__xludf.DUMMYFUNCTION("IFERROR(SWITCH(lower(join("" "",U229:V229)),""а миллионник"", 62.5,""б миллионник"", 75,""а мск"", 50, ""б мск"", 62.5, ""a остальное"", 70, ""б остальное"", 80)/100,0)"),0.0)</f>
        <v>0</v>
      </c>
      <c r="X229" s="91">
        <f t="shared" si="4"/>
        <v>0</v>
      </c>
    </row>
    <row r="230">
      <c r="A230" s="12"/>
      <c r="B230" s="12"/>
      <c r="C230" s="12"/>
      <c r="D230" s="91">
        <f>IFERROR(__xludf.DUMMYFUNCTION("IFERROR(sum(filter('Основной эфир'!$AA:$AA, 'Основной эфир'!$B:$B=$A230,'Основной эфир'!$C:$C=$B230,'Основной эфир'!$I:$I=$C230)), 0) "),0.0)</f>
        <v>0</v>
      </c>
      <c r="E230" s="91">
        <f>IFERROR(__xludf.DUMMYFUNCTION("IFERROR(sum(filter('Основной эфир'!$AC:$AC, 'Основной эфир'!$B:$B=$A230,'Основной эфир'!$C:$C=$B230,'Основной эфир'!$I:$I=$C230)), 0) "),0.0)</f>
        <v>0</v>
      </c>
      <c r="F230" s="91">
        <f>IFERROR(__xludf.DUMMYFUNCTION("IFERROR(sum(filter('Основной эфир'!$O:$O, 'Основной эфир'!$B:$B=$A230,'Основной эфир'!$C:$C=$B230,'Основной эфир'!$I:$I=$C230)), 0) "),0.0)</f>
        <v>0</v>
      </c>
      <c r="G230" s="91">
        <f>IFERROR(__xludf.DUMMYFUNCTION("IFERROR(sum(filter('Основной эфир'!$Q:$Q, 'Основной эфир'!$B:$B=$A230,'Основной эфир'!$C:$C=$B230,'Основной эфир'!$I:$I=$C230)), 0) "),0.0)</f>
        <v>0</v>
      </c>
      <c r="H230" s="91">
        <f>IFERROR(__xludf.DUMMYFUNCTION("IFERROR(AVERAGE(filter('Основной эфир'!$Y:$Y, 'Основной эфир'!$B:$B=$A230,'Основной эфир'!$C:$C=$B230,'Основной эфир'!$I:$I=$C230)), 0) "),0.0)</f>
        <v>0</v>
      </c>
      <c r="I230" s="91">
        <f>IFERROR(__xludf.DUMMYFUNCTION("IFERROR(AVERAGE(filter('Основной эфир'!$AE:$AE, 'Основной эфир'!$B:$B=$A230,'Основной эфир'!$C:$C=$B230,'Основной эфир'!$I:$I=$C230)), 0) "),0.0)</f>
        <v>0</v>
      </c>
      <c r="J230" s="91">
        <f>IFERROR(__xludf.DUMMYFUNCTION("IFERROR(SUM(filter('Основной эфир'!$AL:$AL, 'Основной эфир'!$B:$B=$A230,'Основной эфир'!$C:$C=$B230,'Основной эфир'!$I:$I=$C230)), 0) "),0.0)</f>
        <v>0</v>
      </c>
      <c r="K230" s="91" t="str">
        <f>IFERROR(__xludf.DUMMYFUNCTION("IFERROR(REGEXREPLACE(unique(filter('Основной эфир'!$A:$A, 'Основной эфир'!$B:$B=$A230,'Основной эфир'!$C:$C=$B230,'Основной эфир'!$I:$I=$C230)), ""\d+"", """"),"""")"),"")</f>
        <v/>
      </c>
      <c r="L230" s="91" t="str">
        <f>IFERROR(__xludf.DUMMYFUNCTION("IFERROR(unique(filter('Основной эфир'!$F:$F, 'Основной эфир'!$B:$B=$A230,'Основной эфир'!$C:$C=$B230,'Основной эфир'!$I:$I=$C230)),"""")"),"")</f>
        <v/>
      </c>
      <c r="M230" s="92" t="str">
        <f t="shared" si="1"/>
        <v/>
      </c>
      <c r="N230" s="93">
        <f>IFERROR(__xludf.DUMMYFUNCTION("IFERROR(SWITCH(lower(join("" "",L230:M230)),""а миллионник"", 62.5,""б миллионник"", 75,""а мск"", 50, ""б мск"", 62.5, ""a остальное"", 70, ""б остальное"", 80)/100,0)"),0.0)</f>
        <v>0</v>
      </c>
      <c r="O230" s="91">
        <f t="shared" si="2"/>
        <v>0</v>
      </c>
      <c r="P230" s="91">
        <f>IFERROR(__xludf.DUMMYFUNCTION("IFERROR(sum(filter('Генеральный баннер'!$O:$O, 'Генеральный баннер'!$B:$B=$A230,'Генеральный баннер'!$C:$C=$B230,'Генеральный баннер'!$I:$I=$C230)), 0) "),0.0)</f>
        <v>0</v>
      </c>
      <c r="Q230" s="91">
        <f>IFERROR(__xludf.DUMMYFUNCTION("IFERROR(sum(filter('Генеральный баннер'!$Q:$Q, 'Генеральный баннер'!$B:$B=$A230,'Генеральный баннер'!$C:$C=$B230,'Генеральный баннер'!$I:$I=$C230)), 0) "),0.0)</f>
        <v>0</v>
      </c>
      <c r="R230" s="91">
        <f>IFERROR(__xludf.DUMMYFUNCTION("IFERROR(AVERAGE(filter('Генеральный баннер'!$AA:$AA, 'Генеральный баннер'!$B:$B=$A230,'Генеральный баннер'!$C:$C=$B230,'Генеральный баннер'!$I:$I=$C230)), 0) "),0.0)</f>
        <v>0</v>
      </c>
      <c r="S230" s="91">
        <f>IFERROR(__xludf.DUMMYFUNCTION("IFERROR(SUM(filter('Генеральный баннер'!$AH:$AH, 'Генеральный баннер'!$B:$B=$A230,'Генеральный баннер'!$C:$C=$B230,'Генеральный баннер'!$I:$I=$C230)), 0) "),0.0)</f>
        <v>0</v>
      </c>
      <c r="T230" s="91" t="str">
        <f>IFERROR(__xludf.DUMMYFUNCTION("IFERROR(REGEXREPLACE(unique(filter('Генеральный баннер'!$A:$A, 'Генеральный баннер'!$B:$B=$A230,'Генеральный баннер'!$C:$C=$B230,'Генеральный баннер'!$I:$I=$C230)), ""\d+"", """"),"""")"),"")</f>
        <v/>
      </c>
      <c r="U230" s="91" t="str">
        <f>IFERROR(__xludf.DUMMYFUNCTION("IFERROR(unique(filter('Генеральный баннер'!$F:$F, 'Генеральный баннер'!$B:$B=$A230,'Генеральный баннер'!$C:$C=$B230,'Генеральный баннер'!$I:$I=$C230)),"""")"),"")</f>
        <v/>
      </c>
      <c r="V230" s="92" t="str">
        <f t="shared" si="3"/>
        <v/>
      </c>
      <c r="W230" s="93">
        <f>IFERROR(__xludf.DUMMYFUNCTION("IFERROR(SWITCH(lower(join("" "",U230:V230)),""а миллионник"", 62.5,""б миллионник"", 75,""а мск"", 50, ""б мск"", 62.5, ""a остальное"", 70, ""б остальное"", 80)/100,0)"),0.0)</f>
        <v>0</v>
      </c>
      <c r="X230" s="91">
        <f t="shared" si="4"/>
        <v>0</v>
      </c>
    </row>
    <row r="231">
      <c r="A231" s="12"/>
      <c r="B231" s="12"/>
      <c r="C231" s="12"/>
      <c r="D231" s="91">
        <f>IFERROR(__xludf.DUMMYFUNCTION("IFERROR(sum(filter('Основной эфир'!$AA:$AA, 'Основной эфир'!$B:$B=$A231,'Основной эфир'!$C:$C=$B231,'Основной эфир'!$I:$I=$C231)), 0) "),0.0)</f>
        <v>0</v>
      </c>
      <c r="E231" s="91">
        <f>IFERROR(__xludf.DUMMYFUNCTION("IFERROR(sum(filter('Основной эфир'!$AC:$AC, 'Основной эфир'!$B:$B=$A231,'Основной эфир'!$C:$C=$B231,'Основной эфир'!$I:$I=$C231)), 0) "),0.0)</f>
        <v>0</v>
      </c>
      <c r="F231" s="91">
        <f>IFERROR(__xludf.DUMMYFUNCTION("IFERROR(sum(filter('Основной эфир'!$O:$O, 'Основной эфир'!$B:$B=$A231,'Основной эфир'!$C:$C=$B231,'Основной эфир'!$I:$I=$C231)), 0) "),0.0)</f>
        <v>0</v>
      </c>
      <c r="G231" s="91">
        <f>IFERROR(__xludf.DUMMYFUNCTION("IFERROR(sum(filter('Основной эфир'!$Q:$Q, 'Основной эфир'!$B:$B=$A231,'Основной эфир'!$C:$C=$B231,'Основной эфир'!$I:$I=$C231)), 0) "),0.0)</f>
        <v>0</v>
      </c>
      <c r="H231" s="91">
        <f>IFERROR(__xludf.DUMMYFUNCTION("IFERROR(AVERAGE(filter('Основной эфир'!$Y:$Y, 'Основной эфир'!$B:$B=$A231,'Основной эфир'!$C:$C=$B231,'Основной эфир'!$I:$I=$C231)), 0) "),0.0)</f>
        <v>0</v>
      </c>
      <c r="I231" s="91">
        <f>IFERROR(__xludf.DUMMYFUNCTION("IFERROR(AVERAGE(filter('Основной эфир'!$AE:$AE, 'Основной эфир'!$B:$B=$A231,'Основной эфир'!$C:$C=$B231,'Основной эфир'!$I:$I=$C231)), 0) "),0.0)</f>
        <v>0</v>
      </c>
      <c r="J231" s="91">
        <f>IFERROR(__xludf.DUMMYFUNCTION("IFERROR(SUM(filter('Основной эфир'!$AL:$AL, 'Основной эфир'!$B:$B=$A231,'Основной эфир'!$C:$C=$B231,'Основной эфир'!$I:$I=$C231)), 0) "),0.0)</f>
        <v>0</v>
      </c>
      <c r="K231" s="91" t="str">
        <f>IFERROR(__xludf.DUMMYFUNCTION("IFERROR(REGEXREPLACE(unique(filter('Основной эфир'!$A:$A, 'Основной эфир'!$B:$B=$A231,'Основной эфир'!$C:$C=$B231,'Основной эфир'!$I:$I=$C231)), ""\d+"", """"),"""")"),"")</f>
        <v/>
      </c>
      <c r="L231" s="91" t="str">
        <f>IFERROR(__xludf.DUMMYFUNCTION("IFERROR(unique(filter('Основной эфир'!$F:$F, 'Основной эфир'!$B:$B=$A231,'Основной эфир'!$C:$C=$B231,'Основной эфир'!$I:$I=$C231)),"""")"),"")</f>
        <v/>
      </c>
      <c r="M231" s="92" t="str">
        <f t="shared" si="1"/>
        <v/>
      </c>
      <c r="N231" s="93">
        <f>IFERROR(__xludf.DUMMYFUNCTION("IFERROR(SWITCH(lower(join("" "",L231:M231)),""а миллионник"", 62.5,""б миллионник"", 75,""а мск"", 50, ""б мск"", 62.5, ""a остальное"", 70, ""б остальное"", 80)/100,0)"),0.0)</f>
        <v>0</v>
      </c>
      <c r="O231" s="91">
        <f t="shared" si="2"/>
        <v>0</v>
      </c>
      <c r="P231" s="91">
        <f>IFERROR(__xludf.DUMMYFUNCTION("IFERROR(sum(filter('Генеральный баннер'!$O:$O, 'Генеральный баннер'!$B:$B=$A231,'Генеральный баннер'!$C:$C=$B231,'Генеральный баннер'!$I:$I=$C231)), 0) "),0.0)</f>
        <v>0</v>
      </c>
      <c r="Q231" s="91">
        <f>IFERROR(__xludf.DUMMYFUNCTION("IFERROR(sum(filter('Генеральный баннер'!$Q:$Q, 'Генеральный баннер'!$B:$B=$A231,'Генеральный баннер'!$C:$C=$B231,'Генеральный баннер'!$I:$I=$C231)), 0) "),0.0)</f>
        <v>0</v>
      </c>
      <c r="R231" s="91">
        <f>IFERROR(__xludf.DUMMYFUNCTION("IFERROR(AVERAGE(filter('Генеральный баннер'!$AA:$AA, 'Генеральный баннер'!$B:$B=$A231,'Генеральный баннер'!$C:$C=$B231,'Генеральный баннер'!$I:$I=$C231)), 0) "),0.0)</f>
        <v>0</v>
      </c>
      <c r="S231" s="91">
        <f>IFERROR(__xludf.DUMMYFUNCTION("IFERROR(SUM(filter('Генеральный баннер'!$AH:$AH, 'Генеральный баннер'!$B:$B=$A231,'Генеральный баннер'!$C:$C=$B231,'Генеральный баннер'!$I:$I=$C231)), 0) "),0.0)</f>
        <v>0</v>
      </c>
      <c r="T231" s="91" t="str">
        <f>IFERROR(__xludf.DUMMYFUNCTION("IFERROR(REGEXREPLACE(unique(filter('Генеральный баннер'!$A:$A, 'Генеральный баннер'!$B:$B=$A231,'Генеральный баннер'!$C:$C=$B231,'Генеральный баннер'!$I:$I=$C231)), ""\d+"", """"),"""")"),"")</f>
        <v/>
      </c>
      <c r="U231" s="91" t="str">
        <f>IFERROR(__xludf.DUMMYFUNCTION("IFERROR(unique(filter('Генеральный баннер'!$F:$F, 'Генеральный баннер'!$B:$B=$A231,'Генеральный баннер'!$C:$C=$B231,'Генеральный баннер'!$I:$I=$C231)),"""")"),"")</f>
        <v/>
      </c>
      <c r="V231" s="92" t="str">
        <f t="shared" si="3"/>
        <v/>
      </c>
      <c r="W231" s="93">
        <f>IFERROR(__xludf.DUMMYFUNCTION("IFERROR(SWITCH(lower(join("" "",U231:V231)),""а миллионник"", 62.5,""б миллионник"", 75,""а мск"", 50, ""б мск"", 62.5, ""a остальное"", 70, ""б остальное"", 80)/100,0)"),0.0)</f>
        <v>0</v>
      </c>
      <c r="X231" s="91">
        <f t="shared" si="4"/>
        <v>0</v>
      </c>
    </row>
    <row r="232">
      <c r="A232" s="12"/>
      <c r="B232" s="12"/>
      <c r="C232" s="12"/>
      <c r="D232" s="91">
        <f>IFERROR(__xludf.DUMMYFUNCTION("IFERROR(sum(filter('Основной эфир'!$AA:$AA, 'Основной эфир'!$B:$B=$A232,'Основной эфир'!$C:$C=$B232,'Основной эфир'!$I:$I=$C232)), 0) "),0.0)</f>
        <v>0</v>
      </c>
      <c r="E232" s="91">
        <f>IFERROR(__xludf.DUMMYFUNCTION("IFERROR(sum(filter('Основной эфир'!$AC:$AC, 'Основной эфир'!$B:$B=$A232,'Основной эфир'!$C:$C=$B232,'Основной эфир'!$I:$I=$C232)), 0) "),0.0)</f>
        <v>0</v>
      </c>
      <c r="F232" s="91">
        <f>IFERROR(__xludf.DUMMYFUNCTION("IFERROR(sum(filter('Основной эфир'!$O:$O, 'Основной эфир'!$B:$B=$A232,'Основной эфир'!$C:$C=$B232,'Основной эфир'!$I:$I=$C232)), 0) "),0.0)</f>
        <v>0</v>
      </c>
      <c r="G232" s="91">
        <f>IFERROR(__xludf.DUMMYFUNCTION("IFERROR(sum(filter('Основной эфир'!$Q:$Q, 'Основной эфир'!$B:$B=$A232,'Основной эфир'!$C:$C=$B232,'Основной эфир'!$I:$I=$C232)), 0) "),0.0)</f>
        <v>0</v>
      </c>
      <c r="H232" s="91">
        <f>IFERROR(__xludf.DUMMYFUNCTION("IFERROR(AVERAGE(filter('Основной эфир'!$Y:$Y, 'Основной эфир'!$B:$B=$A232,'Основной эфир'!$C:$C=$B232,'Основной эфир'!$I:$I=$C232)), 0) "),0.0)</f>
        <v>0</v>
      </c>
      <c r="I232" s="91">
        <f>IFERROR(__xludf.DUMMYFUNCTION("IFERROR(AVERAGE(filter('Основной эфир'!$AE:$AE, 'Основной эфир'!$B:$B=$A232,'Основной эфир'!$C:$C=$B232,'Основной эфир'!$I:$I=$C232)), 0) "),0.0)</f>
        <v>0</v>
      </c>
      <c r="J232" s="91">
        <f>IFERROR(__xludf.DUMMYFUNCTION("IFERROR(SUM(filter('Основной эфир'!$AL:$AL, 'Основной эфир'!$B:$B=$A232,'Основной эфир'!$C:$C=$B232,'Основной эфир'!$I:$I=$C232)), 0) "),0.0)</f>
        <v>0</v>
      </c>
      <c r="K232" s="91" t="str">
        <f>IFERROR(__xludf.DUMMYFUNCTION("IFERROR(REGEXREPLACE(unique(filter('Основной эфир'!$A:$A, 'Основной эфир'!$B:$B=$A232,'Основной эфир'!$C:$C=$B232,'Основной эфир'!$I:$I=$C232)), ""\d+"", """"),"""")"),"")</f>
        <v/>
      </c>
      <c r="L232" s="91" t="str">
        <f>IFERROR(__xludf.DUMMYFUNCTION("IFERROR(unique(filter('Основной эфир'!$F:$F, 'Основной эфир'!$B:$B=$A232,'Основной эфир'!$C:$C=$B232,'Основной эфир'!$I:$I=$C232)),"""")"),"")</f>
        <v/>
      </c>
      <c r="M232" s="92" t="str">
        <f t="shared" si="1"/>
        <v/>
      </c>
      <c r="N232" s="93">
        <f>IFERROR(__xludf.DUMMYFUNCTION("IFERROR(SWITCH(lower(join("" "",L232:M232)),""а миллионник"", 62.5,""б миллионник"", 75,""а мск"", 50, ""б мск"", 62.5, ""a остальное"", 70, ""б остальное"", 80)/100,0)"),0.0)</f>
        <v>0</v>
      </c>
      <c r="O232" s="91">
        <f t="shared" si="2"/>
        <v>0</v>
      </c>
      <c r="P232" s="91">
        <f>IFERROR(__xludf.DUMMYFUNCTION("IFERROR(sum(filter('Генеральный баннер'!$O:$O, 'Генеральный баннер'!$B:$B=$A232,'Генеральный баннер'!$C:$C=$B232,'Генеральный баннер'!$I:$I=$C232)), 0) "),0.0)</f>
        <v>0</v>
      </c>
      <c r="Q232" s="91">
        <f>IFERROR(__xludf.DUMMYFUNCTION("IFERROR(sum(filter('Генеральный баннер'!$Q:$Q, 'Генеральный баннер'!$B:$B=$A232,'Генеральный баннер'!$C:$C=$B232,'Генеральный баннер'!$I:$I=$C232)), 0) "),0.0)</f>
        <v>0</v>
      </c>
      <c r="R232" s="91">
        <f>IFERROR(__xludf.DUMMYFUNCTION("IFERROR(AVERAGE(filter('Генеральный баннер'!$AA:$AA, 'Генеральный баннер'!$B:$B=$A232,'Генеральный баннер'!$C:$C=$B232,'Генеральный баннер'!$I:$I=$C232)), 0) "),0.0)</f>
        <v>0</v>
      </c>
      <c r="S232" s="91">
        <f>IFERROR(__xludf.DUMMYFUNCTION("IFERROR(SUM(filter('Генеральный баннер'!$AH:$AH, 'Генеральный баннер'!$B:$B=$A232,'Генеральный баннер'!$C:$C=$B232,'Генеральный баннер'!$I:$I=$C232)), 0) "),0.0)</f>
        <v>0</v>
      </c>
      <c r="T232" s="91" t="str">
        <f>IFERROR(__xludf.DUMMYFUNCTION("IFERROR(REGEXREPLACE(unique(filter('Генеральный баннер'!$A:$A, 'Генеральный баннер'!$B:$B=$A232,'Генеральный баннер'!$C:$C=$B232,'Генеральный баннер'!$I:$I=$C232)), ""\d+"", """"),"""")"),"")</f>
        <v/>
      </c>
      <c r="U232" s="91" t="str">
        <f>IFERROR(__xludf.DUMMYFUNCTION("IFERROR(unique(filter('Генеральный баннер'!$F:$F, 'Генеральный баннер'!$B:$B=$A232,'Генеральный баннер'!$C:$C=$B232,'Генеральный баннер'!$I:$I=$C232)),"""")"),"")</f>
        <v/>
      </c>
      <c r="V232" s="92" t="str">
        <f t="shared" si="3"/>
        <v/>
      </c>
      <c r="W232" s="93">
        <f>IFERROR(__xludf.DUMMYFUNCTION("IFERROR(SWITCH(lower(join("" "",U232:V232)),""а миллионник"", 62.5,""б миллионник"", 75,""а мск"", 50, ""б мск"", 62.5, ""a остальное"", 70, ""б остальное"", 80)/100,0)"),0.0)</f>
        <v>0</v>
      </c>
      <c r="X232" s="91">
        <f t="shared" si="4"/>
        <v>0</v>
      </c>
    </row>
    <row r="233">
      <c r="A233" s="12"/>
      <c r="B233" s="12"/>
      <c r="C233" s="12"/>
      <c r="D233" s="91">
        <f>IFERROR(__xludf.DUMMYFUNCTION("IFERROR(sum(filter('Основной эфир'!$AA:$AA, 'Основной эфир'!$B:$B=$A233,'Основной эфир'!$C:$C=$B233,'Основной эфир'!$I:$I=$C233)), 0) "),0.0)</f>
        <v>0</v>
      </c>
      <c r="E233" s="91">
        <f>IFERROR(__xludf.DUMMYFUNCTION("IFERROR(sum(filter('Основной эфир'!$AC:$AC, 'Основной эфир'!$B:$B=$A233,'Основной эфир'!$C:$C=$B233,'Основной эфир'!$I:$I=$C233)), 0) "),0.0)</f>
        <v>0</v>
      </c>
      <c r="F233" s="91">
        <f>IFERROR(__xludf.DUMMYFUNCTION("IFERROR(sum(filter('Основной эфир'!$O:$O, 'Основной эфир'!$B:$B=$A233,'Основной эфир'!$C:$C=$B233,'Основной эфир'!$I:$I=$C233)), 0) "),0.0)</f>
        <v>0</v>
      </c>
      <c r="G233" s="91">
        <f>IFERROR(__xludf.DUMMYFUNCTION("IFERROR(sum(filter('Основной эфир'!$Q:$Q, 'Основной эфир'!$B:$B=$A233,'Основной эфир'!$C:$C=$B233,'Основной эфир'!$I:$I=$C233)), 0) "),0.0)</f>
        <v>0</v>
      </c>
      <c r="H233" s="91">
        <f>IFERROR(__xludf.DUMMYFUNCTION("IFERROR(AVERAGE(filter('Основной эфир'!$Y:$Y, 'Основной эфир'!$B:$B=$A233,'Основной эфир'!$C:$C=$B233,'Основной эфир'!$I:$I=$C233)), 0) "),0.0)</f>
        <v>0</v>
      </c>
      <c r="I233" s="91">
        <f>IFERROR(__xludf.DUMMYFUNCTION("IFERROR(AVERAGE(filter('Основной эфир'!$AE:$AE, 'Основной эфир'!$B:$B=$A233,'Основной эфир'!$C:$C=$B233,'Основной эфир'!$I:$I=$C233)), 0) "),0.0)</f>
        <v>0</v>
      </c>
      <c r="J233" s="91">
        <f>IFERROR(__xludf.DUMMYFUNCTION("IFERROR(SUM(filter('Основной эфир'!$AL:$AL, 'Основной эфир'!$B:$B=$A233,'Основной эфир'!$C:$C=$B233,'Основной эфир'!$I:$I=$C233)), 0) "),0.0)</f>
        <v>0</v>
      </c>
      <c r="K233" s="91" t="str">
        <f>IFERROR(__xludf.DUMMYFUNCTION("IFERROR(REGEXREPLACE(unique(filter('Основной эфир'!$A:$A, 'Основной эфир'!$B:$B=$A233,'Основной эфир'!$C:$C=$B233,'Основной эфир'!$I:$I=$C233)), ""\d+"", """"),"""")"),"")</f>
        <v/>
      </c>
      <c r="L233" s="91" t="str">
        <f>IFERROR(__xludf.DUMMYFUNCTION("IFERROR(unique(filter('Основной эфир'!$F:$F, 'Основной эфир'!$B:$B=$A233,'Основной эфир'!$C:$C=$B233,'Основной эфир'!$I:$I=$C233)),"""")"),"")</f>
        <v/>
      </c>
      <c r="M233" s="92" t="str">
        <f t="shared" si="1"/>
        <v/>
      </c>
      <c r="N233" s="93">
        <f>IFERROR(__xludf.DUMMYFUNCTION("IFERROR(SWITCH(lower(join("" "",L233:M233)),""а миллионник"", 62.5,""б миллионник"", 75,""а мск"", 50, ""б мск"", 62.5, ""a остальное"", 70, ""б остальное"", 80)/100,0)"),0.0)</f>
        <v>0</v>
      </c>
      <c r="O233" s="91">
        <f t="shared" si="2"/>
        <v>0</v>
      </c>
      <c r="P233" s="91">
        <f>IFERROR(__xludf.DUMMYFUNCTION("IFERROR(sum(filter('Генеральный баннер'!$O:$O, 'Генеральный баннер'!$B:$B=$A233,'Генеральный баннер'!$C:$C=$B233,'Генеральный баннер'!$I:$I=$C233)), 0) "),0.0)</f>
        <v>0</v>
      </c>
      <c r="Q233" s="91">
        <f>IFERROR(__xludf.DUMMYFUNCTION("IFERROR(sum(filter('Генеральный баннер'!$Q:$Q, 'Генеральный баннер'!$B:$B=$A233,'Генеральный баннер'!$C:$C=$B233,'Генеральный баннер'!$I:$I=$C233)), 0) "),0.0)</f>
        <v>0</v>
      </c>
      <c r="R233" s="91">
        <f>IFERROR(__xludf.DUMMYFUNCTION("IFERROR(AVERAGE(filter('Генеральный баннер'!$AA:$AA, 'Генеральный баннер'!$B:$B=$A233,'Генеральный баннер'!$C:$C=$B233,'Генеральный баннер'!$I:$I=$C233)), 0) "),0.0)</f>
        <v>0</v>
      </c>
      <c r="S233" s="91">
        <f>IFERROR(__xludf.DUMMYFUNCTION("IFERROR(SUM(filter('Генеральный баннер'!$AH:$AH, 'Генеральный баннер'!$B:$B=$A233,'Генеральный баннер'!$C:$C=$B233,'Генеральный баннер'!$I:$I=$C233)), 0) "),0.0)</f>
        <v>0</v>
      </c>
      <c r="T233" s="91" t="str">
        <f>IFERROR(__xludf.DUMMYFUNCTION("IFERROR(REGEXREPLACE(unique(filter('Генеральный баннер'!$A:$A, 'Генеральный баннер'!$B:$B=$A233,'Генеральный баннер'!$C:$C=$B233,'Генеральный баннер'!$I:$I=$C233)), ""\d+"", """"),"""")"),"")</f>
        <v/>
      </c>
      <c r="U233" s="91" t="str">
        <f>IFERROR(__xludf.DUMMYFUNCTION("IFERROR(unique(filter('Генеральный баннер'!$F:$F, 'Генеральный баннер'!$B:$B=$A233,'Генеральный баннер'!$C:$C=$B233,'Генеральный баннер'!$I:$I=$C233)),"""")"),"")</f>
        <v/>
      </c>
      <c r="V233" s="92" t="str">
        <f t="shared" si="3"/>
        <v/>
      </c>
      <c r="W233" s="93">
        <f>IFERROR(__xludf.DUMMYFUNCTION("IFERROR(SWITCH(lower(join("" "",U233:V233)),""а миллионник"", 62.5,""б миллионник"", 75,""а мск"", 50, ""б мск"", 62.5, ""a остальное"", 70, ""б остальное"", 80)/100,0)"),0.0)</f>
        <v>0</v>
      </c>
      <c r="X233" s="91">
        <f t="shared" si="4"/>
        <v>0</v>
      </c>
    </row>
    <row r="234">
      <c r="A234" s="12"/>
      <c r="B234" s="12"/>
      <c r="C234" s="12"/>
      <c r="D234" s="91">
        <f>IFERROR(__xludf.DUMMYFUNCTION("IFERROR(sum(filter('Основной эфир'!$AA:$AA, 'Основной эфир'!$B:$B=$A234,'Основной эфир'!$C:$C=$B234,'Основной эфир'!$I:$I=$C234)), 0) "),0.0)</f>
        <v>0</v>
      </c>
      <c r="E234" s="91">
        <f>IFERROR(__xludf.DUMMYFUNCTION("IFERROR(sum(filter('Основной эфир'!$AC:$AC, 'Основной эфир'!$B:$B=$A234,'Основной эфир'!$C:$C=$B234,'Основной эфир'!$I:$I=$C234)), 0) "),0.0)</f>
        <v>0</v>
      </c>
      <c r="F234" s="91">
        <f>IFERROR(__xludf.DUMMYFUNCTION("IFERROR(sum(filter('Основной эфир'!$O:$O, 'Основной эфир'!$B:$B=$A234,'Основной эфир'!$C:$C=$B234,'Основной эфир'!$I:$I=$C234)), 0) "),0.0)</f>
        <v>0</v>
      </c>
      <c r="G234" s="91">
        <f>IFERROR(__xludf.DUMMYFUNCTION("IFERROR(sum(filter('Основной эфир'!$Q:$Q, 'Основной эфир'!$B:$B=$A234,'Основной эфир'!$C:$C=$B234,'Основной эфир'!$I:$I=$C234)), 0) "),0.0)</f>
        <v>0</v>
      </c>
      <c r="H234" s="91">
        <f>IFERROR(__xludf.DUMMYFUNCTION("IFERROR(AVERAGE(filter('Основной эфир'!$Y:$Y, 'Основной эфир'!$B:$B=$A234,'Основной эфир'!$C:$C=$B234,'Основной эфир'!$I:$I=$C234)), 0) "),0.0)</f>
        <v>0</v>
      </c>
      <c r="I234" s="91">
        <f>IFERROR(__xludf.DUMMYFUNCTION("IFERROR(AVERAGE(filter('Основной эфир'!$AE:$AE, 'Основной эфир'!$B:$B=$A234,'Основной эфир'!$C:$C=$B234,'Основной эфир'!$I:$I=$C234)), 0) "),0.0)</f>
        <v>0</v>
      </c>
      <c r="J234" s="91">
        <f>IFERROR(__xludf.DUMMYFUNCTION("IFERROR(SUM(filter('Основной эфир'!$AL:$AL, 'Основной эфир'!$B:$B=$A234,'Основной эфир'!$C:$C=$B234,'Основной эфир'!$I:$I=$C234)), 0) "),0.0)</f>
        <v>0</v>
      </c>
      <c r="K234" s="91" t="str">
        <f>IFERROR(__xludf.DUMMYFUNCTION("IFERROR(REGEXREPLACE(unique(filter('Основной эфир'!$A:$A, 'Основной эфир'!$B:$B=$A234,'Основной эфир'!$C:$C=$B234,'Основной эфир'!$I:$I=$C234)), ""\d+"", """"),"""")"),"")</f>
        <v/>
      </c>
      <c r="L234" s="91" t="str">
        <f>IFERROR(__xludf.DUMMYFUNCTION("IFERROR(unique(filter('Основной эфир'!$F:$F, 'Основной эфир'!$B:$B=$A234,'Основной эфир'!$C:$C=$B234,'Основной эфир'!$I:$I=$C234)),"""")"),"")</f>
        <v/>
      </c>
      <c r="M234" s="92" t="str">
        <f t="shared" si="1"/>
        <v/>
      </c>
      <c r="N234" s="93">
        <f>IFERROR(__xludf.DUMMYFUNCTION("IFERROR(SWITCH(lower(join("" "",L234:M234)),""а миллионник"", 62.5,""б миллионник"", 75,""а мск"", 50, ""б мск"", 62.5, ""a остальное"", 70, ""б остальное"", 80)/100,0)"),0.0)</f>
        <v>0</v>
      </c>
      <c r="O234" s="91">
        <f t="shared" si="2"/>
        <v>0</v>
      </c>
      <c r="P234" s="91">
        <f>IFERROR(__xludf.DUMMYFUNCTION("IFERROR(sum(filter('Генеральный баннер'!$O:$O, 'Генеральный баннер'!$B:$B=$A234,'Генеральный баннер'!$C:$C=$B234,'Генеральный баннер'!$I:$I=$C234)), 0) "),0.0)</f>
        <v>0</v>
      </c>
      <c r="Q234" s="91">
        <f>IFERROR(__xludf.DUMMYFUNCTION("IFERROR(sum(filter('Генеральный баннер'!$Q:$Q, 'Генеральный баннер'!$B:$B=$A234,'Генеральный баннер'!$C:$C=$B234,'Генеральный баннер'!$I:$I=$C234)), 0) "),0.0)</f>
        <v>0</v>
      </c>
      <c r="R234" s="91">
        <f>IFERROR(__xludf.DUMMYFUNCTION("IFERROR(AVERAGE(filter('Генеральный баннер'!$AA:$AA, 'Генеральный баннер'!$B:$B=$A234,'Генеральный баннер'!$C:$C=$B234,'Генеральный баннер'!$I:$I=$C234)), 0) "),0.0)</f>
        <v>0</v>
      </c>
      <c r="S234" s="91">
        <f>IFERROR(__xludf.DUMMYFUNCTION("IFERROR(SUM(filter('Генеральный баннер'!$AH:$AH, 'Генеральный баннер'!$B:$B=$A234,'Генеральный баннер'!$C:$C=$B234,'Генеральный баннер'!$I:$I=$C234)), 0) "),0.0)</f>
        <v>0</v>
      </c>
      <c r="T234" s="91" t="str">
        <f>IFERROR(__xludf.DUMMYFUNCTION("IFERROR(REGEXREPLACE(unique(filter('Генеральный баннер'!$A:$A, 'Генеральный баннер'!$B:$B=$A234,'Генеральный баннер'!$C:$C=$B234,'Генеральный баннер'!$I:$I=$C234)), ""\d+"", """"),"""")"),"")</f>
        <v/>
      </c>
      <c r="U234" s="91" t="str">
        <f>IFERROR(__xludf.DUMMYFUNCTION("IFERROR(unique(filter('Генеральный баннер'!$F:$F, 'Генеральный баннер'!$B:$B=$A234,'Генеральный баннер'!$C:$C=$B234,'Генеральный баннер'!$I:$I=$C234)),"""")"),"")</f>
        <v/>
      </c>
      <c r="V234" s="92" t="str">
        <f t="shared" si="3"/>
        <v/>
      </c>
      <c r="W234" s="93">
        <f>IFERROR(__xludf.DUMMYFUNCTION("IFERROR(SWITCH(lower(join("" "",U234:V234)),""а миллионник"", 62.5,""б миллионник"", 75,""а мск"", 50, ""б мск"", 62.5, ""a остальное"", 70, ""б остальное"", 80)/100,0)"),0.0)</f>
        <v>0</v>
      </c>
      <c r="X234" s="91">
        <f t="shared" si="4"/>
        <v>0</v>
      </c>
    </row>
    <row r="235">
      <c r="A235" s="12"/>
      <c r="B235" s="12"/>
      <c r="C235" s="12"/>
      <c r="D235" s="91">
        <f>IFERROR(__xludf.DUMMYFUNCTION("IFERROR(sum(filter('Основной эфир'!$AA:$AA, 'Основной эфир'!$B:$B=$A235,'Основной эфир'!$C:$C=$B235,'Основной эфир'!$I:$I=$C235)), 0) "),0.0)</f>
        <v>0</v>
      </c>
      <c r="E235" s="91">
        <f>IFERROR(__xludf.DUMMYFUNCTION("IFERROR(sum(filter('Основной эфир'!$AC:$AC, 'Основной эфир'!$B:$B=$A235,'Основной эфир'!$C:$C=$B235,'Основной эфир'!$I:$I=$C235)), 0) "),0.0)</f>
        <v>0</v>
      </c>
      <c r="F235" s="91">
        <f>IFERROR(__xludf.DUMMYFUNCTION("IFERROR(sum(filter('Основной эфир'!$O:$O, 'Основной эфир'!$B:$B=$A235,'Основной эфир'!$C:$C=$B235,'Основной эфир'!$I:$I=$C235)), 0) "),0.0)</f>
        <v>0</v>
      </c>
      <c r="G235" s="91">
        <f>IFERROR(__xludf.DUMMYFUNCTION("IFERROR(sum(filter('Основной эфир'!$Q:$Q, 'Основной эфир'!$B:$B=$A235,'Основной эфир'!$C:$C=$B235,'Основной эфир'!$I:$I=$C235)), 0) "),0.0)</f>
        <v>0</v>
      </c>
      <c r="H235" s="91">
        <f>IFERROR(__xludf.DUMMYFUNCTION("IFERROR(AVERAGE(filter('Основной эфир'!$Y:$Y, 'Основной эфир'!$B:$B=$A235,'Основной эфир'!$C:$C=$B235,'Основной эфир'!$I:$I=$C235)), 0) "),0.0)</f>
        <v>0</v>
      </c>
      <c r="I235" s="91">
        <f>IFERROR(__xludf.DUMMYFUNCTION("IFERROR(AVERAGE(filter('Основной эфир'!$AE:$AE, 'Основной эфир'!$B:$B=$A235,'Основной эфир'!$C:$C=$B235,'Основной эфир'!$I:$I=$C235)), 0) "),0.0)</f>
        <v>0</v>
      </c>
      <c r="J235" s="91">
        <f>IFERROR(__xludf.DUMMYFUNCTION("IFERROR(SUM(filter('Основной эфир'!$AL:$AL, 'Основной эфир'!$B:$B=$A235,'Основной эфир'!$C:$C=$B235,'Основной эфир'!$I:$I=$C235)), 0) "),0.0)</f>
        <v>0</v>
      </c>
      <c r="K235" s="91" t="str">
        <f>IFERROR(__xludf.DUMMYFUNCTION("IFERROR(REGEXREPLACE(unique(filter('Основной эфир'!$A:$A, 'Основной эфир'!$B:$B=$A235,'Основной эфир'!$C:$C=$B235,'Основной эфир'!$I:$I=$C235)), ""\d+"", """"),"""")"),"")</f>
        <v/>
      </c>
      <c r="L235" s="91" t="str">
        <f>IFERROR(__xludf.DUMMYFUNCTION("IFERROR(unique(filter('Основной эфир'!$F:$F, 'Основной эфир'!$B:$B=$A235,'Основной эфир'!$C:$C=$B235,'Основной эфир'!$I:$I=$C235)),"""")"),"")</f>
        <v/>
      </c>
      <c r="M235" s="92" t="str">
        <f t="shared" si="1"/>
        <v/>
      </c>
      <c r="N235" s="93">
        <f>IFERROR(__xludf.DUMMYFUNCTION("IFERROR(SWITCH(lower(join("" "",L235:M235)),""а миллионник"", 62.5,""б миллионник"", 75,""а мск"", 50, ""б мск"", 62.5, ""a остальное"", 70, ""б остальное"", 80)/100,0)"),0.0)</f>
        <v>0</v>
      </c>
      <c r="O235" s="91">
        <f t="shared" si="2"/>
        <v>0</v>
      </c>
      <c r="P235" s="91">
        <f>IFERROR(__xludf.DUMMYFUNCTION("IFERROR(sum(filter('Генеральный баннер'!$O:$O, 'Генеральный баннер'!$B:$B=$A235,'Генеральный баннер'!$C:$C=$B235,'Генеральный баннер'!$I:$I=$C235)), 0) "),0.0)</f>
        <v>0</v>
      </c>
      <c r="Q235" s="91">
        <f>IFERROR(__xludf.DUMMYFUNCTION("IFERROR(sum(filter('Генеральный баннер'!$Q:$Q, 'Генеральный баннер'!$B:$B=$A235,'Генеральный баннер'!$C:$C=$B235,'Генеральный баннер'!$I:$I=$C235)), 0) "),0.0)</f>
        <v>0</v>
      </c>
      <c r="R235" s="91">
        <f>IFERROR(__xludf.DUMMYFUNCTION("IFERROR(AVERAGE(filter('Генеральный баннер'!$AA:$AA, 'Генеральный баннер'!$B:$B=$A235,'Генеральный баннер'!$C:$C=$B235,'Генеральный баннер'!$I:$I=$C235)), 0) "),0.0)</f>
        <v>0</v>
      </c>
      <c r="S235" s="91">
        <f>IFERROR(__xludf.DUMMYFUNCTION("IFERROR(SUM(filter('Генеральный баннер'!$AH:$AH, 'Генеральный баннер'!$B:$B=$A235,'Генеральный баннер'!$C:$C=$B235,'Генеральный баннер'!$I:$I=$C235)), 0) "),0.0)</f>
        <v>0</v>
      </c>
      <c r="T235" s="91" t="str">
        <f>IFERROR(__xludf.DUMMYFUNCTION("IFERROR(REGEXREPLACE(unique(filter('Генеральный баннер'!$A:$A, 'Генеральный баннер'!$B:$B=$A235,'Генеральный баннер'!$C:$C=$B235,'Генеральный баннер'!$I:$I=$C235)), ""\d+"", """"),"""")"),"")</f>
        <v/>
      </c>
      <c r="U235" s="91" t="str">
        <f>IFERROR(__xludf.DUMMYFUNCTION("IFERROR(unique(filter('Генеральный баннер'!$F:$F, 'Генеральный баннер'!$B:$B=$A235,'Генеральный баннер'!$C:$C=$B235,'Генеральный баннер'!$I:$I=$C235)),"""")"),"")</f>
        <v/>
      </c>
      <c r="V235" s="92" t="str">
        <f t="shared" si="3"/>
        <v/>
      </c>
      <c r="W235" s="93">
        <f>IFERROR(__xludf.DUMMYFUNCTION("IFERROR(SWITCH(lower(join("" "",U235:V235)),""а миллионник"", 62.5,""б миллионник"", 75,""а мск"", 50, ""б мск"", 62.5, ""a остальное"", 70, ""б остальное"", 80)/100,0)"),0.0)</f>
        <v>0</v>
      </c>
      <c r="X235" s="91">
        <f t="shared" si="4"/>
        <v>0</v>
      </c>
    </row>
    <row r="236">
      <c r="A236" s="12"/>
      <c r="B236" s="12"/>
      <c r="C236" s="12"/>
      <c r="D236" s="91">
        <f>IFERROR(__xludf.DUMMYFUNCTION("IFERROR(sum(filter('Основной эфир'!$AA:$AA, 'Основной эфир'!$B:$B=$A236,'Основной эфир'!$C:$C=$B236,'Основной эфир'!$I:$I=$C236)), 0) "),0.0)</f>
        <v>0</v>
      </c>
      <c r="E236" s="91">
        <f>IFERROR(__xludf.DUMMYFUNCTION("IFERROR(sum(filter('Основной эфир'!$AC:$AC, 'Основной эфир'!$B:$B=$A236,'Основной эфир'!$C:$C=$B236,'Основной эфир'!$I:$I=$C236)), 0) "),0.0)</f>
        <v>0</v>
      </c>
      <c r="F236" s="91">
        <f>IFERROR(__xludf.DUMMYFUNCTION("IFERROR(sum(filter('Основной эфир'!$O:$O, 'Основной эфир'!$B:$B=$A236,'Основной эфир'!$C:$C=$B236,'Основной эфир'!$I:$I=$C236)), 0) "),0.0)</f>
        <v>0</v>
      </c>
      <c r="G236" s="91">
        <f>IFERROR(__xludf.DUMMYFUNCTION("IFERROR(sum(filter('Основной эфир'!$Q:$Q, 'Основной эфир'!$B:$B=$A236,'Основной эфир'!$C:$C=$B236,'Основной эфир'!$I:$I=$C236)), 0) "),0.0)</f>
        <v>0</v>
      </c>
      <c r="H236" s="91">
        <f>IFERROR(__xludf.DUMMYFUNCTION("IFERROR(AVERAGE(filter('Основной эфир'!$Y:$Y, 'Основной эфир'!$B:$B=$A236,'Основной эфир'!$C:$C=$B236,'Основной эфир'!$I:$I=$C236)), 0) "),0.0)</f>
        <v>0</v>
      </c>
      <c r="I236" s="91">
        <f>IFERROR(__xludf.DUMMYFUNCTION("IFERROR(AVERAGE(filter('Основной эфир'!$AE:$AE, 'Основной эфир'!$B:$B=$A236,'Основной эфир'!$C:$C=$B236,'Основной эфир'!$I:$I=$C236)), 0) "),0.0)</f>
        <v>0</v>
      </c>
      <c r="J236" s="91">
        <f>IFERROR(__xludf.DUMMYFUNCTION("IFERROR(SUM(filter('Основной эфир'!$AL:$AL, 'Основной эфир'!$B:$B=$A236,'Основной эфир'!$C:$C=$B236,'Основной эфир'!$I:$I=$C236)), 0) "),0.0)</f>
        <v>0</v>
      </c>
      <c r="K236" s="91" t="str">
        <f>IFERROR(__xludf.DUMMYFUNCTION("IFERROR(REGEXREPLACE(unique(filter('Основной эфир'!$A:$A, 'Основной эфир'!$B:$B=$A236,'Основной эфир'!$C:$C=$B236,'Основной эфир'!$I:$I=$C236)), ""\d+"", """"),"""")"),"")</f>
        <v/>
      </c>
      <c r="L236" s="91" t="str">
        <f>IFERROR(__xludf.DUMMYFUNCTION("IFERROR(unique(filter('Основной эфир'!$F:$F, 'Основной эфир'!$B:$B=$A236,'Основной эфир'!$C:$C=$B236,'Основной эфир'!$I:$I=$C236)),"""")"),"")</f>
        <v/>
      </c>
      <c r="M236" s="92" t="str">
        <f t="shared" si="1"/>
        <v/>
      </c>
      <c r="N236" s="93">
        <f>IFERROR(__xludf.DUMMYFUNCTION("IFERROR(SWITCH(lower(join("" "",L236:M236)),""а миллионник"", 62.5,""б миллионник"", 75,""а мск"", 50, ""б мск"", 62.5, ""a остальное"", 70, ""б остальное"", 80)/100,0)"),0.0)</f>
        <v>0</v>
      </c>
      <c r="O236" s="91">
        <f t="shared" si="2"/>
        <v>0</v>
      </c>
      <c r="P236" s="91">
        <f>IFERROR(__xludf.DUMMYFUNCTION("IFERROR(sum(filter('Генеральный баннер'!$O:$O, 'Генеральный баннер'!$B:$B=$A236,'Генеральный баннер'!$C:$C=$B236,'Генеральный баннер'!$I:$I=$C236)), 0) "),0.0)</f>
        <v>0</v>
      </c>
      <c r="Q236" s="91">
        <f>IFERROR(__xludf.DUMMYFUNCTION("IFERROR(sum(filter('Генеральный баннер'!$Q:$Q, 'Генеральный баннер'!$B:$B=$A236,'Генеральный баннер'!$C:$C=$B236,'Генеральный баннер'!$I:$I=$C236)), 0) "),0.0)</f>
        <v>0</v>
      </c>
      <c r="R236" s="91">
        <f>IFERROR(__xludf.DUMMYFUNCTION("IFERROR(AVERAGE(filter('Генеральный баннер'!$AA:$AA, 'Генеральный баннер'!$B:$B=$A236,'Генеральный баннер'!$C:$C=$B236,'Генеральный баннер'!$I:$I=$C236)), 0) "),0.0)</f>
        <v>0</v>
      </c>
      <c r="S236" s="91">
        <f>IFERROR(__xludf.DUMMYFUNCTION("IFERROR(SUM(filter('Генеральный баннер'!$AH:$AH, 'Генеральный баннер'!$B:$B=$A236,'Генеральный баннер'!$C:$C=$B236,'Генеральный баннер'!$I:$I=$C236)), 0) "),0.0)</f>
        <v>0</v>
      </c>
      <c r="T236" s="91" t="str">
        <f>IFERROR(__xludf.DUMMYFUNCTION("IFERROR(REGEXREPLACE(unique(filter('Генеральный баннер'!$A:$A, 'Генеральный баннер'!$B:$B=$A236,'Генеральный баннер'!$C:$C=$B236,'Генеральный баннер'!$I:$I=$C236)), ""\d+"", """"),"""")"),"")</f>
        <v/>
      </c>
      <c r="U236" s="91" t="str">
        <f>IFERROR(__xludf.DUMMYFUNCTION("IFERROR(unique(filter('Генеральный баннер'!$F:$F, 'Генеральный баннер'!$B:$B=$A236,'Генеральный баннер'!$C:$C=$B236,'Генеральный баннер'!$I:$I=$C236)),"""")"),"")</f>
        <v/>
      </c>
      <c r="V236" s="92" t="str">
        <f t="shared" si="3"/>
        <v/>
      </c>
      <c r="W236" s="93">
        <f>IFERROR(__xludf.DUMMYFUNCTION("IFERROR(SWITCH(lower(join("" "",U236:V236)),""а миллионник"", 62.5,""б миллионник"", 75,""а мск"", 50, ""б мск"", 62.5, ""a остальное"", 70, ""б остальное"", 80)/100,0)"),0.0)</f>
        <v>0</v>
      </c>
      <c r="X236" s="91">
        <f t="shared" si="4"/>
        <v>0</v>
      </c>
    </row>
    <row r="237">
      <c r="A237" s="12"/>
      <c r="B237" s="12"/>
      <c r="C237" s="12"/>
      <c r="D237" s="91">
        <f>IFERROR(__xludf.DUMMYFUNCTION("IFERROR(sum(filter('Основной эфир'!$AA:$AA, 'Основной эфир'!$B:$B=$A237,'Основной эфир'!$C:$C=$B237,'Основной эфир'!$I:$I=$C237)), 0) "),0.0)</f>
        <v>0</v>
      </c>
      <c r="E237" s="91">
        <f>IFERROR(__xludf.DUMMYFUNCTION("IFERROR(sum(filter('Основной эфир'!$AC:$AC, 'Основной эфир'!$B:$B=$A237,'Основной эфир'!$C:$C=$B237,'Основной эфир'!$I:$I=$C237)), 0) "),0.0)</f>
        <v>0</v>
      </c>
      <c r="F237" s="91">
        <f>IFERROR(__xludf.DUMMYFUNCTION("IFERROR(sum(filter('Основной эфир'!$O:$O, 'Основной эфир'!$B:$B=$A237,'Основной эфир'!$C:$C=$B237,'Основной эфир'!$I:$I=$C237)), 0) "),0.0)</f>
        <v>0</v>
      </c>
      <c r="G237" s="91">
        <f>IFERROR(__xludf.DUMMYFUNCTION("IFERROR(sum(filter('Основной эфир'!$Q:$Q, 'Основной эфир'!$B:$B=$A237,'Основной эфир'!$C:$C=$B237,'Основной эфир'!$I:$I=$C237)), 0) "),0.0)</f>
        <v>0</v>
      </c>
      <c r="H237" s="91">
        <f>IFERROR(__xludf.DUMMYFUNCTION("IFERROR(AVERAGE(filter('Основной эфир'!$Y:$Y, 'Основной эфир'!$B:$B=$A237,'Основной эфир'!$C:$C=$B237,'Основной эфир'!$I:$I=$C237)), 0) "),0.0)</f>
        <v>0</v>
      </c>
      <c r="I237" s="91">
        <f>IFERROR(__xludf.DUMMYFUNCTION("IFERROR(AVERAGE(filter('Основной эфир'!$AE:$AE, 'Основной эфир'!$B:$B=$A237,'Основной эфир'!$C:$C=$B237,'Основной эфир'!$I:$I=$C237)), 0) "),0.0)</f>
        <v>0</v>
      </c>
      <c r="J237" s="91">
        <f>IFERROR(__xludf.DUMMYFUNCTION("IFERROR(SUM(filter('Основной эфир'!$AL:$AL, 'Основной эфир'!$B:$B=$A237,'Основной эфир'!$C:$C=$B237,'Основной эфир'!$I:$I=$C237)), 0) "),0.0)</f>
        <v>0</v>
      </c>
      <c r="K237" s="91" t="str">
        <f>IFERROR(__xludf.DUMMYFUNCTION("IFERROR(REGEXREPLACE(unique(filter('Основной эфир'!$A:$A, 'Основной эфир'!$B:$B=$A237,'Основной эфир'!$C:$C=$B237,'Основной эфир'!$I:$I=$C237)), ""\d+"", """"),"""")"),"")</f>
        <v/>
      </c>
      <c r="L237" s="91" t="str">
        <f>IFERROR(__xludf.DUMMYFUNCTION("IFERROR(unique(filter('Основной эфир'!$F:$F, 'Основной эфир'!$B:$B=$A237,'Основной эфир'!$C:$C=$B237,'Основной эфир'!$I:$I=$C237)),"""")"),"")</f>
        <v/>
      </c>
      <c r="M237" s="92" t="str">
        <f t="shared" si="1"/>
        <v/>
      </c>
      <c r="N237" s="93">
        <f>IFERROR(__xludf.DUMMYFUNCTION("IFERROR(SWITCH(lower(join("" "",L237:M237)),""а миллионник"", 62.5,""б миллионник"", 75,""а мск"", 50, ""б мск"", 62.5, ""a остальное"", 70, ""б остальное"", 80)/100,0)"),0.0)</f>
        <v>0</v>
      </c>
      <c r="O237" s="91">
        <f t="shared" si="2"/>
        <v>0</v>
      </c>
      <c r="P237" s="91">
        <f>IFERROR(__xludf.DUMMYFUNCTION("IFERROR(sum(filter('Генеральный баннер'!$O:$O, 'Генеральный баннер'!$B:$B=$A237,'Генеральный баннер'!$C:$C=$B237,'Генеральный баннер'!$I:$I=$C237)), 0) "),0.0)</f>
        <v>0</v>
      </c>
      <c r="Q237" s="91">
        <f>IFERROR(__xludf.DUMMYFUNCTION("IFERROR(sum(filter('Генеральный баннер'!$Q:$Q, 'Генеральный баннер'!$B:$B=$A237,'Генеральный баннер'!$C:$C=$B237,'Генеральный баннер'!$I:$I=$C237)), 0) "),0.0)</f>
        <v>0</v>
      </c>
      <c r="R237" s="91">
        <f>IFERROR(__xludf.DUMMYFUNCTION("IFERROR(AVERAGE(filter('Генеральный баннер'!$AA:$AA, 'Генеральный баннер'!$B:$B=$A237,'Генеральный баннер'!$C:$C=$B237,'Генеральный баннер'!$I:$I=$C237)), 0) "),0.0)</f>
        <v>0</v>
      </c>
      <c r="S237" s="91">
        <f>IFERROR(__xludf.DUMMYFUNCTION("IFERROR(SUM(filter('Генеральный баннер'!$AH:$AH, 'Генеральный баннер'!$B:$B=$A237,'Генеральный баннер'!$C:$C=$B237,'Генеральный баннер'!$I:$I=$C237)), 0) "),0.0)</f>
        <v>0</v>
      </c>
      <c r="T237" s="91" t="str">
        <f>IFERROR(__xludf.DUMMYFUNCTION("IFERROR(REGEXREPLACE(unique(filter('Генеральный баннер'!$A:$A, 'Генеральный баннер'!$B:$B=$A237,'Генеральный баннер'!$C:$C=$B237,'Генеральный баннер'!$I:$I=$C237)), ""\d+"", """"),"""")"),"")</f>
        <v/>
      </c>
      <c r="U237" s="91" t="str">
        <f>IFERROR(__xludf.DUMMYFUNCTION("IFERROR(unique(filter('Генеральный баннер'!$F:$F, 'Генеральный баннер'!$B:$B=$A237,'Генеральный баннер'!$C:$C=$B237,'Генеральный баннер'!$I:$I=$C237)),"""")"),"")</f>
        <v/>
      </c>
      <c r="V237" s="92" t="str">
        <f t="shared" si="3"/>
        <v/>
      </c>
      <c r="W237" s="93">
        <f>IFERROR(__xludf.DUMMYFUNCTION("IFERROR(SWITCH(lower(join("" "",U237:V237)),""а миллионник"", 62.5,""б миллионник"", 75,""а мск"", 50, ""б мск"", 62.5, ""a остальное"", 70, ""б остальное"", 80)/100,0)"),0.0)</f>
        <v>0</v>
      </c>
      <c r="X237" s="91">
        <f t="shared" si="4"/>
        <v>0</v>
      </c>
    </row>
    <row r="238">
      <c r="A238" s="12"/>
      <c r="B238" s="12"/>
      <c r="C238" s="12"/>
      <c r="D238" s="91">
        <f>IFERROR(__xludf.DUMMYFUNCTION("IFERROR(sum(filter('Основной эфир'!$AA:$AA, 'Основной эфир'!$B:$B=$A238,'Основной эфир'!$C:$C=$B238,'Основной эфир'!$I:$I=$C238)), 0) "),0.0)</f>
        <v>0</v>
      </c>
      <c r="E238" s="91">
        <f>IFERROR(__xludf.DUMMYFUNCTION("IFERROR(sum(filter('Основной эфир'!$AC:$AC, 'Основной эфир'!$B:$B=$A238,'Основной эфир'!$C:$C=$B238,'Основной эфир'!$I:$I=$C238)), 0) "),0.0)</f>
        <v>0</v>
      </c>
      <c r="F238" s="91">
        <f>IFERROR(__xludf.DUMMYFUNCTION("IFERROR(sum(filter('Основной эфир'!$O:$O, 'Основной эфир'!$B:$B=$A238,'Основной эфир'!$C:$C=$B238,'Основной эфир'!$I:$I=$C238)), 0) "),0.0)</f>
        <v>0</v>
      </c>
      <c r="G238" s="91">
        <f>IFERROR(__xludf.DUMMYFUNCTION("IFERROR(sum(filter('Основной эфир'!$Q:$Q, 'Основной эфир'!$B:$B=$A238,'Основной эфир'!$C:$C=$B238,'Основной эфир'!$I:$I=$C238)), 0) "),0.0)</f>
        <v>0</v>
      </c>
      <c r="H238" s="91">
        <f>IFERROR(__xludf.DUMMYFUNCTION("IFERROR(AVERAGE(filter('Основной эфир'!$Y:$Y, 'Основной эфир'!$B:$B=$A238,'Основной эфир'!$C:$C=$B238,'Основной эфир'!$I:$I=$C238)), 0) "),0.0)</f>
        <v>0</v>
      </c>
      <c r="I238" s="91">
        <f>IFERROR(__xludf.DUMMYFUNCTION("IFERROR(AVERAGE(filter('Основной эфир'!$AE:$AE, 'Основной эфир'!$B:$B=$A238,'Основной эфир'!$C:$C=$B238,'Основной эфир'!$I:$I=$C238)), 0) "),0.0)</f>
        <v>0</v>
      </c>
      <c r="J238" s="91">
        <f>IFERROR(__xludf.DUMMYFUNCTION("IFERROR(SUM(filter('Основной эфир'!$AL:$AL, 'Основной эфир'!$B:$B=$A238,'Основной эфир'!$C:$C=$B238,'Основной эфир'!$I:$I=$C238)), 0) "),0.0)</f>
        <v>0</v>
      </c>
      <c r="K238" s="91" t="str">
        <f>IFERROR(__xludf.DUMMYFUNCTION("IFERROR(REGEXREPLACE(unique(filter('Основной эфир'!$A:$A, 'Основной эфир'!$B:$B=$A238,'Основной эфир'!$C:$C=$B238,'Основной эфир'!$I:$I=$C238)), ""\d+"", """"),"""")"),"")</f>
        <v/>
      </c>
      <c r="L238" s="91" t="str">
        <f>IFERROR(__xludf.DUMMYFUNCTION("IFERROR(unique(filter('Основной эфир'!$F:$F, 'Основной эфир'!$B:$B=$A238,'Основной эфир'!$C:$C=$B238,'Основной эфир'!$I:$I=$C238)),"""")"),"")</f>
        <v/>
      </c>
      <c r="M238" s="92" t="str">
        <f t="shared" si="1"/>
        <v/>
      </c>
      <c r="N238" s="93">
        <f>IFERROR(__xludf.DUMMYFUNCTION("IFERROR(SWITCH(lower(join("" "",L238:M238)),""а миллионник"", 62.5,""б миллионник"", 75,""а мск"", 50, ""б мск"", 62.5, ""a остальное"", 70, ""б остальное"", 80)/100,0)"),0.0)</f>
        <v>0</v>
      </c>
      <c r="O238" s="91">
        <f t="shared" si="2"/>
        <v>0</v>
      </c>
      <c r="P238" s="91">
        <f>IFERROR(__xludf.DUMMYFUNCTION("IFERROR(sum(filter('Генеральный баннер'!$O:$O, 'Генеральный баннер'!$B:$B=$A238,'Генеральный баннер'!$C:$C=$B238,'Генеральный баннер'!$I:$I=$C238)), 0) "),0.0)</f>
        <v>0</v>
      </c>
      <c r="Q238" s="91">
        <f>IFERROR(__xludf.DUMMYFUNCTION("IFERROR(sum(filter('Генеральный баннер'!$Q:$Q, 'Генеральный баннер'!$B:$B=$A238,'Генеральный баннер'!$C:$C=$B238,'Генеральный баннер'!$I:$I=$C238)), 0) "),0.0)</f>
        <v>0</v>
      </c>
      <c r="R238" s="91">
        <f>IFERROR(__xludf.DUMMYFUNCTION("IFERROR(AVERAGE(filter('Генеральный баннер'!$AA:$AA, 'Генеральный баннер'!$B:$B=$A238,'Генеральный баннер'!$C:$C=$B238,'Генеральный баннер'!$I:$I=$C238)), 0) "),0.0)</f>
        <v>0</v>
      </c>
      <c r="S238" s="91">
        <f>IFERROR(__xludf.DUMMYFUNCTION("IFERROR(SUM(filter('Генеральный баннер'!$AH:$AH, 'Генеральный баннер'!$B:$B=$A238,'Генеральный баннер'!$C:$C=$B238,'Генеральный баннер'!$I:$I=$C238)), 0) "),0.0)</f>
        <v>0</v>
      </c>
      <c r="T238" s="91" t="str">
        <f>IFERROR(__xludf.DUMMYFUNCTION("IFERROR(REGEXREPLACE(unique(filter('Генеральный баннер'!$A:$A, 'Генеральный баннер'!$B:$B=$A238,'Генеральный баннер'!$C:$C=$B238,'Генеральный баннер'!$I:$I=$C238)), ""\d+"", """"),"""")"),"")</f>
        <v/>
      </c>
      <c r="U238" s="91" t="str">
        <f>IFERROR(__xludf.DUMMYFUNCTION("IFERROR(unique(filter('Генеральный баннер'!$F:$F, 'Генеральный баннер'!$B:$B=$A238,'Генеральный баннер'!$C:$C=$B238,'Генеральный баннер'!$I:$I=$C238)),"""")"),"")</f>
        <v/>
      </c>
      <c r="V238" s="92" t="str">
        <f t="shared" si="3"/>
        <v/>
      </c>
      <c r="W238" s="93">
        <f>IFERROR(__xludf.DUMMYFUNCTION("IFERROR(SWITCH(lower(join("" "",U238:V238)),""а миллионник"", 62.5,""б миллионник"", 75,""а мск"", 50, ""б мск"", 62.5, ""a остальное"", 70, ""б остальное"", 80)/100,0)"),0.0)</f>
        <v>0</v>
      </c>
      <c r="X238" s="91">
        <f t="shared" si="4"/>
        <v>0</v>
      </c>
    </row>
    <row r="239">
      <c r="A239" s="12"/>
      <c r="B239" s="12"/>
      <c r="C239" s="12"/>
      <c r="D239" s="91">
        <f>IFERROR(__xludf.DUMMYFUNCTION("IFERROR(sum(filter('Основной эфир'!$AA:$AA, 'Основной эфир'!$B:$B=$A239,'Основной эфир'!$C:$C=$B239,'Основной эфир'!$I:$I=$C239)), 0) "),0.0)</f>
        <v>0</v>
      </c>
      <c r="E239" s="91">
        <f>IFERROR(__xludf.DUMMYFUNCTION("IFERROR(sum(filter('Основной эфир'!$AC:$AC, 'Основной эфир'!$B:$B=$A239,'Основной эфир'!$C:$C=$B239,'Основной эфир'!$I:$I=$C239)), 0) "),0.0)</f>
        <v>0</v>
      </c>
      <c r="F239" s="91">
        <f>IFERROR(__xludf.DUMMYFUNCTION("IFERROR(sum(filter('Основной эфир'!$O:$O, 'Основной эфир'!$B:$B=$A239,'Основной эфир'!$C:$C=$B239,'Основной эфир'!$I:$I=$C239)), 0) "),0.0)</f>
        <v>0</v>
      </c>
      <c r="G239" s="91">
        <f>IFERROR(__xludf.DUMMYFUNCTION("IFERROR(sum(filter('Основной эфир'!$Q:$Q, 'Основной эфир'!$B:$B=$A239,'Основной эфир'!$C:$C=$B239,'Основной эфир'!$I:$I=$C239)), 0) "),0.0)</f>
        <v>0</v>
      </c>
      <c r="H239" s="91">
        <f>IFERROR(__xludf.DUMMYFUNCTION("IFERROR(AVERAGE(filter('Основной эфир'!$Y:$Y, 'Основной эфир'!$B:$B=$A239,'Основной эфир'!$C:$C=$B239,'Основной эфир'!$I:$I=$C239)), 0) "),0.0)</f>
        <v>0</v>
      </c>
      <c r="I239" s="91">
        <f>IFERROR(__xludf.DUMMYFUNCTION("IFERROR(AVERAGE(filter('Основной эфир'!$AE:$AE, 'Основной эфир'!$B:$B=$A239,'Основной эфир'!$C:$C=$B239,'Основной эфир'!$I:$I=$C239)), 0) "),0.0)</f>
        <v>0</v>
      </c>
      <c r="J239" s="91">
        <f>IFERROR(__xludf.DUMMYFUNCTION("IFERROR(SUM(filter('Основной эфир'!$AL:$AL, 'Основной эфир'!$B:$B=$A239,'Основной эфир'!$C:$C=$B239,'Основной эфир'!$I:$I=$C239)), 0) "),0.0)</f>
        <v>0</v>
      </c>
      <c r="K239" s="91" t="str">
        <f>IFERROR(__xludf.DUMMYFUNCTION("IFERROR(REGEXREPLACE(unique(filter('Основной эфир'!$A:$A, 'Основной эфир'!$B:$B=$A239,'Основной эфир'!$C:$C=$B239,'Основной эфир'!$I:$I=$C239)), ""\d+"", """"),"""")"),"")</f>
        <v/>
      </c>
      <c r="L239" s="91" t="str">
        <f>IFERROR(__xludf.DUMMYFUNCTION("IFERROR(unique(filter('Основной эфир'!$F:$F, 'Основной эфир'!$B:$B=$A239,'Основной эфир'!$C:$C=$B239,'Основной эфир'!$I:$I=$C239)),"""")"),"")</f>
        <v/>
      </c>
      <c r="M239" s="92" t="str">
        <f t="shared" si="1"/>
        <v/>
      </c>
      <c r="N239" s="93">
        <f>IFERROR(__xludf.DUMMYFUNCTION("IFERROR(SWITCH(lower(join("" "",L239:M239)),""а миллионник"", 62.5,""б миллионник"", 75,""а мск"", 50, ""б мск"", 62.5, ""a остальное"", 70, ""б остальное"", 80)/100,0)"),0.0)</f>
        <v>0</v>
      </c>
      <c r="O239" s="91">
        <f t="shared" si="2"/>
        <v>0</v>
      </c>
      <c r="P239" s="91">
        <f>IFERROR(__xludf.DUMMYFUNCTION("IFERROR(sum(filter('Генеральный баннер'!$O:$O, 'Генеральный баннер'!$B:$B=$A239,'Генеральный баннер'!$C:$C=$B239,'Генеральный баннер'!$I:$I=$C239)), 0) "),0.0)</f>
        <v>0</v>
      </c>
      <c r="Q239" s="91">
        <f>IFERROR(__xludf.DUMMYFUNCTION("IFERROR(sum(filter('Генеральный баннер'!$Q:$Q, 'Генеральный баннер'!$B:$B=$A239,'Генеральный баннер'!$C:$C=$B239,'Генеральный баннер'!$I:$I=$C239)), 0) "),0.0)</f>
        <v>0</v>
      </c>
      <c r="R239" s="91">
        <f>IFERROR(__xludf.DUMMYFUNCTION("IFERROR(AVERAGE(filter('Генеральный баннер'!$AA:$AA, 'Генеральный баннер'!$B:$B=$A239,'Генеральный баннер'!$C:$C=$B239,'Генеральный баннер'!$I:$I=$C239)), 0) "),0.0)</f>
        <v>0</v>
      </c>
      <c r="S239" s="91">
        <f>IFERROR(__xludf.DUMMYFUNCTION("IFERROR(SUM(filter('Генеральный баннер'!$AH:$AH, 'Генеральный баннер'!$B:$B=$A239,'Генеральный баннер'!$C:$C=$B239,'Генеральный баннер'!$I:$I=$C239)), 0) "),0.0)</f>
        <v>0</v>
      </c>
      <c r="T239" s="91" t="str">
        <f>IFERROR(__xludf.DUMMYFUNCTION("IFERROR(REGEXREPLACE(unique(filter('Генеральный баннер'!$A:$A, 'Генеральный баннер'!$B:$B=$A239,'Генеральный баннер'!$C:$C=$B239,'Генеральный баннер'!$I:$I=$C239)), ""\d+"", """"),"""")"),"")</f>
        <v/>
      </c>
      <c r="U239" s="91" t="str">
        <f>IFERROR(__xludf.DUMMYFUNCTION("IFERROR(unique(filter('Генеральный баннер'!$F:$F, 'Генеральный баннер'!$B:$B=$A239,'Генеральный баннер'!$C:$C=$B239,'Генеральный баннер'!$I:$I=$C239)),"""")"),"")</f>
        <v/>
      </c>
      <c r="V239" s="92" t="str">
        <f t="shared" si="3"/>
        <v/>
      </c>
      <c r="W239" s="93">
        <f>IFERROR(__xludf.DUMMYFUNCTION("IFERROR(SWITCH(lower(join("" "",U239:V239)),""а миллионник"", 62.5,""б миллионник"", 75,""а мск"", 50, ""б мск"", 62.5, ""a остальное"", 70, ""б остальное"", 80)/100,0)"),0.0)</f>
        <v>0</v>
      </c>
      <c r="X239" s="91">
        <f t="shared" si="4"/>
        <v>0</v>
      </c>
    </row>
    <row r="240">
      <c r="A240" s="12"/>
      <c r="B240" s="12"/>
      <c r="C240" s="12"/>
      <c r="D240" s="91">
        <f>IFERROR(__xludf.DUMMYFUNCTION("IFERROR(sum(filter('Основной эфир'!$AA:$AA, 'Основной эфир'!$B:$B=$A240,'Основной эфир'!$C:$C=$B240,'Основной эфир'!$I:$I=$C240)), 0) "),0.0)</f>
        <v>0</v>
      </c>
      <c r="E240" s="91">
        <f>IFERROR(__xludf.DUMMYFUNCTION("IFERROR(sum(filter('Основной эфир'!$AC:$AC, 'Основной эфир'!$B:$B=$A240,'Основной эфир'!$C:$C=$B240,'Основной эфир'!$I:$I=$C240)), 0) "),0.0)</f>
        <v>0</v>
      </c>
      <c r="F240" s="91">
        <f>IFERROR(__xludf.DUMMYFUNCTION("IFERROR(sum(filter('Основной эфир'!$O:$O, 'Основной эфир'!$B:$B=$A240,'Основной эфир'!$C:$C=$B240,'Основной эфир'!$I:$I=$C240)), 0) "),0.0)</f>
        <v>0</v>
      </c>
      <c r="G240" s="91">
        <f>IFERROR(__xludf.DUMMYFUNCTION("IFERROR(sum(filter('Основной эфир'!$Q:$Q, 'Основной эфир'!$B:$B=$A240,'Основной эфир'!$C:$C=$B240,'Основной эфир'!$I:$I=$C240)), 0) "),0.0)</f>
        <v>0</v>
      </c>
      <c r="H240" s="91">
        <f>IFERROR(__xludf.DUMMYFUNCTION("IFERROR(AVERAGE(filter('Основной эфир'!$Y:$Y, 'Основной эфир'!$B:$B=$A240,'Основной эфир'!$C:$C=$B240,'Основной эфир'!$I:$I=$C240)), 0) "),0.0)</f>
        <v>0</v>
      </c>
      <c r="I240" s="91">
        <f>IFERROR(__xludf.DUMMYFUNCTION("IFERROR(AVERAGE(filter('Основной эфир'!$AE:$AE, 'Основной эфир'!$B:$B=$A240,'Основной эфир'!$C:$C=$B240,'Основной эфир'!$I:$I=$C240)), 0) "),0.0)</f>
        <v>0</v>
      </c>
      <c r="J240" s="91">
        <f>IFERROR(__xludf.DUMMYFUNCTION("IFERROR(SUM(filter('Основной эфир'!$AL:$AL, 'Основной эфир'!$B:$B=$A240,'Основной эфир'!$C:$C=$B240,'Основной эфир'!$I:$I=$C240)), 0) "),0.0)</f>
        <v>0</v>
      </c>
      <c r="K240" s="91" t="str">
        <f>IFERROR(__xludf.DUMMYFUNCTION("IFERROR(REGEXREPLACE(unique(filter('Основной эфир'!$A:$A, 'Основной эфир'!$B:$B=$A240,'Основной эфир'!$C:$C=$B240,'Основной эфир'!$I:$I=$C240)), ""\d+"", """"),"""")"),"")</f>
        <v/>
      </c>
      <c r="L240" s="91" t="str">
        <f>IFERROR(__xludf.DUMMYFUNCTION("IFERROR(unique(filter('Основной эфир'!$F:$F, 'Основной эфир'!$B:$B=$A240,'Основной эфир'!$C:$C=$B240,'Основной эфир'!$I:$I=$C240)),"""")"),"")</f>
        <v/>
      </c>
      <c r="M240" s="92" t="str">
        <f t="shared" si="1"/>
        <v/>
      </c>
      <c r="N240" s="93">
        <f>IFERROR(__xludf.DUMMYFUNCTION("IFERROR(SWITCH(lower(join("" "",L240:M240)),""а миллионник"", 62.5,""б миллионник"", 75,""а мск"", 50, ""б мск"", 62.5, ""a остальное"", 70, ""б остальное"", 80)/100,0)"),0.0)</f>
        <v>0</v>
      </c>
      <c r="O240" s="91">
        <f t="shared" si="2"/>
        <v>0</v>
      </c>
      <c r="P240" s="91">
        <f>IFERROR(__xludf.DUMMYFUNCTION("IFERROR(sum(filter('Генеральный баннер'!$O:$O, 'Генеральный баннер'!$B:$B=$A240,'Генеральный баннер'!$C:$C=$B240,'Генеральный баннер'!$I:$I=$C240)), 0) "),0.0)</f>
        <v>0</v>
      </c>
      <c r="Q240" s="91">
        <f>IFERROR(__xludf.DUMMYFUNCTION("IFERROR(sum(filter('Генеральный баннер'!$Q:$Q, 'Генеральный баннер'!$B:$B=$A240,'Генеральный баннер'!$C:$C=$B240,'Генеральный баннер'!$I:$I=$C240)), 0) "),0.0)</f>
        <v>0</v>
      </c>
      <c r="R240" s="91">
        <f>IFERROR(__xludf.DUMMYFUNCTION("IFERROR(AVERAGE(filter('Генеральный баннер'!$AA:$AA, 'Генеральный баннер'!$B:$B=$A240,'Генеральный баннер'!$C:$C=$B240,'Генеральный баннер'!$I:$I=$C240)), 0) "),0.0)</f>
        <v>0</v>
      </c>
      <c r="S240" s="91">
        <f>IFERROR(__xludf.DUMMYFUNCTION("IFERROR(SUM(filter('Генеральный баннер'!$AH:$AH, 'Генеральный баннер'!$B:$B=$A240,'Генеральный баннер'!$C:$C=$B240,'Генеральный баннер'!$I:$I=$C240)), 0) "),0.0)</f>
        <v>0</v>
      </c>
      <c r="T240" s="91" t="str">
        <f>IFERROR(__xludf.DUMMYFUNCTION("IFERROR(REGEXREPLACE(unique(filter('Генеральный баннер'!$A:$A, 'Генеральный баннер'!$B:$B=$A240,'Генеральный баннер'!$C:$C=$B240,'Генеральный баннер'!$I:$I=$C240)), ""\d+"", """"),"""")"),"")</f>
        <v/>
      </c>
      <c r="U240" s="91" t="str">
        <f>IFERROR(__xludf.DUMMYFUNCTION("IFERROR(unique(filter('Генеральный баннер'!$F:$F, 'Генеральный баннер'!$B:$B=$A240,'Генеральный баннер'!$C:$C=$B240,'Генеральный баннер'!$I:$I=$C240)),"""")"),"")</f>
        <v/>
      </c>
      <c r="V240" s="92" t="str">
        <f t="shared" si="3"/>
        <v/>
      </c>
      <c r="W240" s="93">
        <f>IFERROR(__xludf.DUMMYFUNCTION("IFERROR(SWITCH(lower(join("" "",U240:V240)),""а миллионник"", 62.5,""б миллионник"", 75,""а мск"", 50, ""б мск"", 62.5, ""a остальное"", 70, ""б остальное"", 80)/100,0)"),0.0)</f>
        <v>0</v>
      </c>
      <c r="X240" s="91">
        <f t="shared" si="4"/>
        <v>0</v>
      </c>
    </row>
    <row r="241">
      <c r="A241" s="12"/>
      <c r="B241" s="12"/>
      <c r="C241" s="12"/>
      <c r="D241" s="91">
        <f>IFERROR(__xludf.DUMMYFUNCTION("IFERROR(sum(filter('Основной эфир'!$AA:$AA, 'Основной эфир'!$B:$B=$A241,'Основной эфир'!$C:$C=$B241,'Основной эфир'!$I:$I=$C241)), 0) "),0.0)</f>
        <v>0</v>
      </c>
      <c r="E241" s="91">
        <f>IFERROR(__xludf.DUMMYFUNCTION("IFERROR(sum(filter('Основной эфир'!$AC:$AC, 'Основной эфир'!$B:$B=$A241,'Основной эфир'!$C:$C=$B241,'Основной эфир'!$I:$I=$C241)), 0) "),0.0)</f>
        <v>0</v>
      </c>
      <c r="F241" s="91">
        <f>IFERROR(__xludf.DUMMYFUNCTION("IFERROR(sum(filter('Основной эфир'!$O:$O, 'Основной эфир'!$B:$B=$A241,'Основной эфир'!$C:$C=$B241,'Основной эфир'!$I:$I=$C241)), 0) "),0.0)</f>
        <v>0</v>
      </c>
      <c r="G241" s="91">
        <f>IFERROR(__xludf.DUMMYFUNCTION("IFERROR(sum(filter('Основной эфир'!$Q:$Q, 'Основной эфир'!$B:$B=$A241,'Основной эфир'!$C:$C=$B241,'Основной эфир'!$I:$I=$C241)), 0) "),0.0)</f>
        <v>0</v>
      </c>
      <c r="H241" s="91">
        <f>IFERROR(__xludf.DUMMYFUNCTION("IFERROR(AVERAGE(filter('Основной эфир'!$Y:$Y, 'Основной эфир'!$B:$B=$A241,'Основной эфир'!$C:$C=$B241,'Основной эфир'!$I:$I=$C241)), 0) "),0.0)</f>
        <v>0</v>
      </c>
      <c r="I241" s="91">
        <f>IFERROR(__xludf.DUMMYFUNCTION("IFERROR(AVERAGE(filter('Основной эфир'!$AE:$AE, 'Основной эфир'!$B:$B=$A241,'Основной эфир'!$C:$C=$B241,'Основной эфир'!$I:$I=$C241)), 0) "),0.0)</f>
        <v>0</v>
      </c>
      <c r="J241" s="91">
        <f>IFERROR(__xludf.DUMMYFUNCTION("IFERROR(SUM(filter('Основной эфир'!$AL:$AL, 'Основной эфир'!$B:$B=$A241,'Основной эфир'!$C:$C=$B241,'Основной эфир'!$I:$I=$C241)), 0) "),0.0)</f>
        <v>0</v>
      </c>
      <c r="K241" s="91" t="str">
        <f>IFERROR(__xludf.DUMMYFUNCTION("IFERROR(REGEXREPLACE(unique(filter('Основной эфир'!$A:$A, 'Основной эфир'!$B:$B=$A241,'Основной эфир'!$C:$C=$B241,'Основной эфир'!$I:$I=$C241)), ""\d+"", """"),"""")"),"")</f>
        <v/>
      </c>
      <c r="L241" s="91" t="str">
        <f>IFERROR(__xludf.DUMMYFUNCTION("IFERROR(unique(filter('Основной эфир'!$F:$F, 'Основной эфир'!$B:$B=$A241,'Основной эфир'!$C:$C=$B241,'Основной эфир'!$I:$I=$C241)),"""")"),"")</f>
        <v/>
      </c>
      <c r="M241" s="92" t="str">
        <f t="shared" si="1"/>
        <v/>
      </c>
      <c r="N241" s="93">
        <f>IFERROR(__xludf.DUMMYFUNCTION("IFERROR(SWITCH(lower(join("" "",L241:M241)),""а миллионник"", 62.5,""б миллионник"", 75,""а мск"", 50, ""б мск"", 62.5, ""a остальное"", 70, ""б остальное"", 80)/100,0)"),0.0)</f>
        <v>0</v>
      </c>
      <c r="O241" s="91">
        <f t="shared" si="2"/>
        <v>0</v>
      </c>
      <c r="P241" s="91">
        <f>IFERROR(__xludf.DUMMYFUNCTION("IFERROR(sum(filter('Генеральный баннер'!$O:$O, 'Генеральный баннер'!$B:$B=$A241,'Генеральный баннер'!$C:$C=$B241,'Генеральный баннер'!$I:$I=$C241)), 0) "),0.0)</f>
        <v>0</v>
      </c>
      <c r="Q241" s="91">
        <f>IFERROR(__xludf.DUMMYFUNCTION("IFERROR(sum(filter('Генеральный баннер'!$Q:$Q, 'Генеральный баннер'!$B:$B=$A241,'Генеральный баннер'!$C:$C=$B241,'Генеральный баннер'!$I:$I=$C241)), 0) "),0.0)</f>
        <v>0</v>
      </c>
      <c r="R241" s="91">
        <f>IFERROR(__xludf.DUMMYFUNCTION("IFERROR(AVERAGE(filter('Генеральный баннер'!$AA:$AA, 'Генеральный баннер'!$B:$B=$A241,'Генеральный баннер'!$C:$C=$B241,'Генеральный баннер'!$I:$I=$C241)), 0) "),0.0)</f>
        <v>0</v>
      </c>
      <c r="S241" s="91">
        <f>IFERROR(__xludf.DUMMYFUNCTION("IFERROR(SUM(filter('Генеральный баннер'!$AH:$AH, 'Генеральный баннер'!$B:$B=$A241,'Генеральный баннер'!$C:$C=$B241,'Генеральный баннер'!$I:$I=$C241)), 0) "),0.0)</f>
        <v>0</v>
      </c>
      <c r="T241" s="91" t="str">
        <f>IFERROR(__xludf.DUMMYFUNCTION("IFERROR(REGEXREPLACE(unique(filter('Генеральный баннер'!$A:$A, 'Генеральный баннер'!$B:$B=$A241,'Генеральный баннер'!$C:$C=$B241,'Генеральный баннер'!$I:$I=$C241)), ""\d+"", """"),"""")"),"")</f>
        <v/>
      </c>
      <c r="U241" s="91" t="str">
        <f>IFERROR(__xludf.DUMMYFUNCTION("IFERROR(unique(filter('Генеральный баннер'!$F:$F, 'Генеральный баннер'!$B:$B=$A241,'Генеральный баннер'!$C:$C=$B241,'Генеральный баннер'!$I:$I=$C241)),"""")"),"")</f>
        <v/>
      </c>
      <c r="V241" s="92" t="str">
        <f t="shared" si="3"/>
        <v/>
      </c>
      <c r="W241" s="93">
        <f>IFERROR(__xludf.DUMMYFUNCTION("IFERROR(SWITCH(lower(join("" "",U241:V241)),""а миллионник"", 62.5,""б миллионник"", 75,""а мск"", 50, ""б мск"", 62.5, ""a остальное"", 70, ""б остальное"", 80)/100,0)"),0.0)</f>
        <v>0</v>
      </c>
      <c r="X241" s="91">
        <f t="shared" si="4"/>
        <v>0</v>
      </c>
    </row>
    <row r="242">
      <c r="A242" s="12"/>
      <c r="B242" s="12"/>
      <c r="C242" s="12"/>
      <c r="D242" s="91">
        <f>IFERROR(__xludf.DUMMYFUNCTION("IFERROR(sum(filter('Основной эфир'!$AA:$AA, 'Основной эфир'!$B:$B=$A242,'Основной эфир'!$C:$C=$B242,'Основной эфир'!$I:$I=$C242)), 0) "),0.0)</f>
        <v>0</v>
      </c>
      <c r="E242" s="91">
        <f>IFERROR(__xludf.DUMMYFUNCTION("IFERROR(sum(filter('Основной эфир'!$AC:$AC, 'Основной эфир'!$B:$B=$A242,'Основной эфир'!$C:$C=$B242,'Основной эфир'!$I:$I=$C242)), 0) "),0.0)</f>
        <v>0</v>
      </c>
      <c r="F242" s="91">
        <f>IFERROR(__xludf.DUMMYFUNCTION("IFERROR(sum(filter('Основной эфир'!$O:$O, 'Основной эфир'!$B:$B=$A242,'Основной эфир'!$C:$C=$B242,'Основной эфир'!$I:$I=$C242)), 0) "),0.0)</f>
        <v>0</v>
      </c>
      <c r="G242" s="91">
        <f>IFERROR(__xludf.DUMMYFUNCTION("IFERROR(sum(filter('Основной эфир'!$Q:$Q, 'Основной эфир'!$B:$B=$A242,'Основной эфир'!$C:$C=$B242,'Основной эфир'!$I:$I=$C242)), 0) "),0.0)</f>
        <v>0</v>
      </c>
      <c r="H242" s="91">
        <f>IFERROR(__xludf.DUMMYFUNCTION("IFERROR(AVERAGE(filter('Основной эфир'!$Y:$Y, 'Основной эфир'!$B:$B=$A242,'Основной эфир'!$C:$C=$B242,'Основной эфир'!$I:$I=$C242)), 0) "),0.0)</f>
        <v>0</v>
      </c>
      <c r="I242" s="91">
        <f>IFERROR(__xludf.DUMMYFUNCTION("IFERROR(AVERAGE(filter('Основной эфир'!$AE:$AE, 'Основной эфир'!$B:$B=$A242,'Основной эфир'!$C:$C=$B242,'Основной эфир'!$I:$I=$C242)), 0) "),0.0)</f>
        <v>0</v>
      </c>
      <c r="J242" s="91">
        <f>IFERROR(__xludf.DUMMYFUNCTION("IFERROR(SUM(filter('Основной эфир'!$AL:$AL, 'Основной эфир'!$B:$B=$A242,'Основной эфир'!$C:$C=$B242,'Основной эфир'!$I:$I=$C242)), 0) "),0.0)</f>
        <v>0</v>
      </c>
      <c r="K242" s="91" t="str">
        <f>IFERROR(__xludf.DUMMYFUNCTION("IFERROR(REGEXREPLACE(unique(filter('Основной эфир'!$A:$A, 'Основной эфир'!$B:$B=$A242,'Основной эфир'!$C:$C=$B242,'Основной эфир'!$I:$I=$C242)), ""\d+"", """"),"""")"),"")</f>
        <v/>
      </c>
      <c r="L242" s="91" t="str">
        <f>IFERROR(__xludf.DUMMYFUNCTION("IFERROR(unique(filter('Основной эфир'!$F:$F, 'Основной эфир'!$B:$B=$A242,'Основной эфир'!$C:$C=$B242,'Основной эфир'!$I:$I=$C242)),"""")"),"")</f>
        <v/>
      </c>
      <c r="M242" s="92" t="str">
        <f t="shared" si="1"/>
        <v/>
      </c>
      <c r="N242" s="93">
        <f>IFERROR(__xludf.DUMMYFUNCTION("IFERROR(SWITCH(lower(join("" "",L242:M242)),""а миллионник"", 62.5,""б миллионник"", 75,""а мск"", 50, ""б мск"", 62.5, ""a остальное"", 70, ""б остальное"", 80)/100,0)"),0.0)</f>
        <v>0</v>
      </c>
      <c r="O242" s="91">
        <f t="shared" si="2"/>
        <v>0</v>
      </c>
      <c r="P242" s="91">
        <f>IFERROR(__xludf.DUMMYFUNCTION("IFERROR(sum(filter('Генеральный баннер'!$O:$O, 'Генеральный баннер'!$B:$B=$A242,'Генеральный баннер'!$C:$C=$B242,'Генеральный баннер'!$I:$I=$C242)), 0) "),0.0)</f>
        <v>0</v>
      </c>
      <c r="Q242" s="91">
        <f>IFERROR(__xludf.DUMMYFUNCTION("IFERROR(sum(filter('Генеральный баннер'!$Q:$Q, 'Генеральный баннер'!$B:$B=$A242,'Генеральный баннер'!$C:$C=$B242,'Генеральный баннер'!$I:$I=$C242)), 0) "),0.0)</f>
        <v>0</v>
      </c>
      <c r="R242" s="91">
        <f>IFERROR(__xludf.DUMMYFUNCTION("IFERROR(AVERAGE(filter('Генеральный баннер'!$AA:$AA, 'Генеральный баннер'!$B:$B=$A242,'Генеральный баннер'!$C:$C=$B242,'Генеральный баннер'!$I:$I=$C242)), 0) "),0.0)</f>
        <v>0</v>
      </c>
      <c r="S242" s="91">
        <f>IFERROR(__xludf.DUMMYFUNCTION("IFERROR(SUM(filter('Генеральный баннер'!$AH:$AH, 'Генеральный баннер'!$B:$B=$A242,'Генеральный баннер'!$C:$C=$B242,'Генеральный баннер'!$I:$I=$C242)), 0) "),0.0)</f>
        <v>0</v>
      </c>
      <c r="T242" s="91" t="str">
        <f>IFERROR(__xludf.DUMMYFUNCTION("IFERROR(REGEXREPLACE(unique(filter('Генеральный баннер'!$A:$A, 'Генеральный баннер'!$B:$B=$A242,'Генеральный баннер'!$C:$C=$B242,'Генеральный баннер'!$I:$I=$C242)), ""\d+"", """"),"""")"),"")</f>
        <v/>
      </c>
      <c r="U242" s="91" t="str">
        <f>IFERROR(__xludf.DUMMYFUNCTION("IFERROR(unique(filter('Генеральный баннер'!$F:$F, 'Генеральный баннер'!$B:$B=$A242,'Генеральный баннер'!$C:$C=$B242,'Генеральный баннер'!$I:$I=$C242)),"""")"),"")</f>
        <v/>
      </c>
      <c r="V242" s="92" t="str">
        <f t="shared" si="3"/>
        <v/>
      </c>
      <c r="W242" s="93">
        <f>IFERROR(__xludf.DUMMYFUNCTION("IFERROR(SWITCH(lower(join("" "",U242:V242)),""а миллионник"", 62.5,""б миллионник"", 75,""а мск"", 50, ""б мск"", 62.5, ""a остальное"", 70, ""б остальное"", 80)/100,0)"),0.0)</f>
        <v>0</v>
      </c>
      <c r="X242" s="91">
        <f t="shared" si="4"/>
        <v>0</v>
      </c>
    </row>
    <row r="243">
      <c r="A243" s="12"/>
      <c r="B243" s="12"/>
      <c r="C243" s="12"/>
      <c r="D243" s="91">
        <f>IFERROR(__xludf.DUMMYFUNCTION("IFERROR(sum(filter('Основной эфир'!$AA:$AA, 'Основной эфир'!$B:$B=$A243,'Основной эфир'!$C:$C=$B243,'Основной эфир'!$I:$I=$C243)), 0) "),0.0)</f>
        <v>0</v>
      </c>
      <c r="E243" s="91">
        <f>IFERROR(__xludf.DUMMYFUNCTION("IFERROR(sum(filter('Основной эфир'!$AC:$AC, 'Основной эфир'!$B:$B=$A243,'Основной эфир'!$C:$C=$B243,'Основной эфир'!$I:$I=$C243)), 0) "),0.0)</f>
        <v>0</v>
      </c>
      <c r="F243" s="91">
        <f>IFERROR(__xludf.DUMMYFUNCTION("IFERROR(sum(filter('Основной эфир'!$O:$O, 'Основной эфир'!$B:$B=$A243,'Основной эфир'!$C:$C=$B243,'Основной эфир'!$I:$I=$C243)), 0) "),0.0)</f>
        <v>0</v>
      </c>
      <c r="G243" s="91">
        <f>IFERROR(__xludf.DUMMYFUNCTION("IFERROR(sum(filter('Основной эфир'!$Q:$Q, 'Основной эфир'!$B:$B=$A243,'Основной эфир'!$C:$C=$B243,'Основной эфир'!$I:$I=$C243)), 0) "),0.0)</f>
        <v>0</v>
      </c>
      <c r="H243" s="91">
        <f>IFERROR(__xludf.DUMMYFUNCTION("IFERROR(AVERAGE(filter('Основной эфир'!$Y:$Y, 'Основной эфир'!$B:$B=$A243,'Основной эфир'!$C:$C=$B243,'Основной эфир'!$I:$I=$C243)), 0) "),0.0)</f>
        <v>0</v>
      </c>
      <c r="I243" s="91">
        <f>IFERROR(__xludf.DUMMYFUNCTION("IFERROR(AVERAGE(filter('Основной эфир'!$AE:$AE, 'Основной эфир'!$B:$B=$A243,'Основной эфир'!$C:$C=$B243,'Основной эфир'!$I:$I=$C243)), 0) "),0.0)</f>
        <v>0</v>
      </c>
      <c r="J243" s="91">
        <f>IFERROR(__xludf.DUMMYFUNCTION("IFERROR(SUM(filter('Основной эфир'!$AL:$AL, 'Основной эфир'!$B:$B=$A243,'Основной эфир'!$C:$C=$B243,'Основной эфир'!$I:$I=$C243)), 0) "),0.0)</f>
        <v>0</v>
      </c>
      <c r="K243" s="91" t="str">
        <f>IFERROR(__xludf.DUMMYFUNCTION("IFERROR(REGEXREPLACE(unique(filter('Основной эфир'!$A:$A, 'Основной эфир'!$B:$B=$A243,'Основной эфир'!$C:$C=$B243,'Основной эфир'!$I:$I=$C243)), ""\d+"", """"),"""")"),"")</f>
        <v/>
      </c>
      <c r="L243" s="91" t="str">
        <f>IFERROR(__xludf.DUMMYFUNCTION("IFERROR(unique(filter('Основной эфир'!$F:$F, 'Основной эфир'!$B:$B=$A243,'Основной эфир'!$C:$C=$B243,'Основной эфир'!$I:$I=$C243)),"""")"),"")</f>
        <v/>
      </c>
      <c r="M243" s="92" t="str">
        <f t="shared" si="1"/>
        <v/>
      </c>
      <c r="N243" s="93">
        <f>IFERROR(__xludf.DUMMYFUNCTION("IFERROR(SWITCH(lower(join("" "",L243:M243)),""а миллионник"", 62.5,""б миллионник"", 75,""а мск"", 50, ""б мск"", 62.5, ""a остальное"", 70, ""б остальное"", 80)/100,0)"),0.0)</f>
        <v>0</v>
      </c>
      <c r="O243" s="91">
        <f t="shared" si="2"/>
        <v>0</v>
      </c>
      <c r="P243" s="91">
        <f>IFERROR(__xludf.DUMMYFUNCTION("IFERROR(sum(filter('Генеральный баннер'!$O:$O, 'Генеральный баннер'!$B:$B=$A243,'Генеральный баннер'!$C:$C=$B243,'Генеральный баннер'!$I:$I=$C243)), 0) "),0.0)</f>
        <v>0</v>
      </c>
      <c r="Q243" s="91">
        <f>IFERROR(__xludf.DUMMYFUNCTION("IFERROR(sum(filter('Генеральный баннер'!$Q:$Q, 'Генеральный баннер'!$B:$B=$A243,'Генеральный баннер'!$C:$C=$B243,'Генеральный баннер'!$I:$I=$C243)), 0) "),0.0)</f>
        <v>0</v>
      </c>
      <c r="R243" s="91">
        <f>IFERROR(__xludf.DUMMYFUNCTION("IFERROR(AVERAGE(filter('Генеральный баннер'!$AA:$AA, 'Генеральный баннер'!$B:$B=$A243,'Генеральный баннер'!$C:$C=$B243,'Генеральный баннер'!$I:$I=$C243)), 0) "),0.0)</f>
        <v>0</v>
      </c>
      <c r="S243" s="91">
        <f>IFERROR(__xludf.DUMMYFUNCTION("IFERROR(SUM(filter('Генеральный баннер'!$AH:$AH, 'Генеральный баннер'!$B:$B=$A243,'Генеральный баннер'!$C:$C=$B243,'Генеральный баннер'!$I:$I=$C243)), 0) "),0.0)</f>
        <v>0</v>
      </c>
      <c r="T243" s="91" t="str">
        <f>IFERROR(__xludf.DUMMYFUNCTION("IFERROR(REGEXREPLACE(unique(filter('Генеральный баннер'!$A:$A, 'Генеральный баннер'!$B:$B=$A243,'Генеральный баннер'!$C:$C=$B243,'Генеральный баннер'!$I:$I=$C243)), ""\d+"", """"),"""")"),"")</f>
        <v/>
      </c>
      <c r="U243" s="91" t="str">
        <f>IFERROR(__xludf.DUMMYFUNCTION("IFERROR(unique(filter('Генеральный баннер'!$F:$F, 'Генеральный баннер'!$B:$B=$A243,'Генеральный баннер'!$C:$C=$B243,'Генеральный баннер'!$I:$I=$C243)),"""")"),"")</f>
        <v/>
      </c>
      <c r="V243" s="92" t="str">
        <f t="shared" si="3"/>
        <v/>
      </c>
      <c r="W243" s="93">
        <f>IFERROR(__xludf.DUMMYFUNCTION("IFERROR(SWITCH(lower(join("" "",U243:V243)),""а миллионник"", 62.5,""б миллионник"", 75,""а мск"", 50, ""б мск"", 62.5, ""a остальное"", 70, ""б остальное"", 80)/100,0)"),0.0)</f>
        <v>0</v>
      </c>
      <c r="X243" s="91">
        <f t="shared" si="4"/>
        <v>0</v>
      </c>
    </row>
    <row r="244">
      <c r="A244" s="12"/>
      <c r="B244" s="12"/>
      <c r="C244" s="12"/>
      <c r="D244" s="91">
        <f>IFERROR(__xludf.DUMMYFUNCTION("IFERROR(sum(filter('Основной эфир'!$AA:$AA, 'Основной эфир'!$B:$B=$A244,'Основной эфир'!$C:$C=$B244,'Основной эфир'!$I:$I=$C244)), 0) "),0.0)</f>
        <v>0</v>
      </c>
      <c r="E244" s="91">
        <f>IFERROR(__xludf.DUMMYFUNCTION("IFERROR(sum(filter('Основной эфир'!$AC:$AC, 'Основной эфир'!$B:$B=$A244,'Основной эфир'!$C:$C=$B244,'Основной эфир'!$I:$I=$C244)), 0) "),0.0)</f>
        <v>0</v>
      </c>
      <c r="F244" s="91">
        <f>IFERROR(__xludf.DUMMYFUNCTION("IFERROR(sum(filter('Основной эфир'!$O:$O, 'Основной эфир'!$B:$B=$A244,'Основной эфир'!$C:$C=$B244,'Основной эфир'!$I:$I=$C244)), 0) "),0.0)</f>
        <v>0</v>
      </c>
      <c r="G244" s="91">
        <f>IFERROR(__xludf.DUMMYFUNCTION("IFERROR(sum(filter('Основной эфир'!$Q:$Q, 'Основной эфир'!$B:$B=$A244,'Основной эфир'!$C:$C=$B244,'Основной эфир'!$I:$I=$C244)), 0) "),0.0)</f>
        <v>0</v>
      </c>
      <c r="H244" s="91">
        <f>IFERROR(__xludf.DUMMYFUNCTION("IFERROR(AVERAGE(filter('Основной эфир'!$Y:$Y, 'Основной эфир'!$B:$B=$A244,'Основной эфир'!$C:$C=$B244,'Основной эфир'!$I:$I=$C244)), 0) "),0.0)</f>
        <v>0</v>
      </c>
      <c r="I244" s="91">
        <f>IFERROR(__xludf.DUMMYFUNCTION("IFERROR(AVERAGE(filter('Основной эфир'!$AE:$AE, 'Основной эфир'!$B:$B=$A244,'Основной эфир'!$C:$C=$B244,'Основной эфир'!$I:$I=$C244)), 0) "),0.0)</f>
        <v>0</v>
      </c>
      <c r="J244" s="91">
        <f>IFERROR(__xludf.DUMMYFUNCTION("IFERROR(SUM(filter('Основной эфир'!$AL:$AL, 'Основной эфир'!$B:$B=$A244,'Основной эфир'!$C:$C=$B244,'Основной эфир'!$I:$I=$C244)), 0) "),0.0)</f>
        <v>0</v>
      </c>
      <c r="K244" s="91" t="str">
        <f>IFERROR(__xludf.DUMMYFUNCTION("IFERROR(REGEXREPLACE(unique(filter('Основной эфир'!$A:$A, 'Основной эфир'!$B:$B=$A244,'Основной эфир'!$C:$C=$B244,'Основной эфир'!$I:$I=$C244)), ""\d+"", """"),"""")"),"")</f>
        <v/>
      </c>
      <c r="L244" s="91" t="str">
        <f>IFERROR(__xludf.DUMMYFUNCTION("IFERROR(unique(filter('Основной эфир'!$F:$F, 'Основной эфир'!$B:$B=$A244,'Основной эфир'!$C:$C=$B244,'Основной эфир'!$I:$I=$C244)),"""")"),"")</f>
        <v/>
      </c>
      <c r="M244" s="92" t="str">
        <f t="shared" si="1"/>
        <v/>
      </c>
      <c r="N244" s="93">
        <f>IFERROR(__xludf.DUMMYFUNCTION("IFERROR(SWITCH(lower(join("" "",L244:M244)),""а миллионник"", 62.5,""б миллионник"", 75,""а мск"", 50, ""б мск"", 62.5, ""a остальное"", 70, ""б остальное"", 80)/100,0)"),0.0)</f>
        <v>0</v>
      </c>
      <c r="O244" s="91">
        <f t="shared" si="2"/>
        <v>0</v>
      </c>
      <c r="P244" s="91">
        <f>IFERROR(__xludf.DUMMYFUNCTION("IFERROR(sum(filter('Генеральный баннер'!$O:$O, 'Генеральный баннер'!$B:$B=$A244,'Генеральный баннер'!$C:$C=$B244,'Генеральный баннер'!$I:$I=$C244)), 0) "),0.0)</f>
        <v>0</v>
      </c>
      <c r="Q244" s="91">
        <f>IFERROR(__xludf.DUMMYFUNCTION("IFERROR(sum(filter('Генеральный баннер'!$Q:$Q, 'Генеральный баннер'!$B:$B=$A244,'Генеральный баннер'!$C:$C=$B244,'Генеральный баннер'!$I:$I=$C244)), 0) "),0.0)</f>
        <v>0</v>
      </c>
      <c r="R244" s="91">
        <f>IFERROR(__xludf.DUMMYFUNCTION("IFERROR(AVERAGE(filter('Генеральный баннер'!$AA:$AA, 'Генеральный баннер'!$B:$B=$A244,'Генеральный баннер'!$C:$C=$B244,'Генеральный баннер'!$I:$I=$C244)), 0) "),0.0)</f>
        <v>0</v>
      </c>
      <c r="S244" s="91">
        <f>IFERROR(__xludf.DUMMYFUNCTION("IFERROR(SUM(filter('Генеральный баннер'!$AH:$AH, 'Генеральный баннер'!$B:$B=$A244,'Генеральный баннер'!$C:$C=$B244,'Генеральный баннер'!$I:$I=$C244)), 0) "),0.0)</f>
        <v>0</v>
      </c>
      <c r="T244" s="91" t="str">
        <f>IFERROR(__xludf.DUMMYFUNCTION("IFERROR(REGEXREPLACE(unique(filter('Генеральный баннер'!$A:$A, 'Генеральный баннер'!$B:$B=$A244,'Генеральный баннер'!$C:$C=$B244,'Генеральный баннер'!$I:$I=$C244)), ""\d+"", """"),"""")"),"")</f>
        <v/>
      </c>
      <c r="U244" s="91" t="str">
        <f>IFERROR(__xludf.DUMMYFUNCTION("IFERROR(unique(filter('Генеральный баннер'!$F:$F, 'Генеральный баннер'!$B:$B=$A244,'Генеральный баннер'!$C:$C=$B244,'Генеральный баннер'!$I:$I=$C244)),"""")"),"")</f>
        <v/>
      </c>
      <c r="V244" s="92" t="str">
        <f t="shared" si="3"/>
        <v/>
      </c>
      <c r="W244" s="93">
        <f>IFERROR(__xludf.DUMMYFUNCTION("IFERROR(SWITCH(lower(join("" "",U244:V244)),""а миллионник"", 62.5,""б миллионник"", 75,""а мск"", 50, ""б мск"", 62.5, ""a остальное"", 70, ""б остальное"", 80)/100,0)"),0.0)</f>
        <v>0</v>
      </c>
      <c r="X244" s="91">
        <f t="shared" si="4"/>
        <v>0</v>
      </c>
    </row>
    <row r="245">
      <c r="A245" s="12"/>
      <c r="B245" s="12"/>
      <c r="C245" s="12"/>
      <c r="D245" s="91">
        <f>IFERROR(__xludf.DUMMYFUNCTION("IFERROR(sum(filter('Основной эфир'!$AA:$AA, 'Основной эфир'!$B:$B=$A245,'Основной эфир'!$C:$C=$B245,'Основной эфир'!$I:$I=$C245)), 0) "),0.0)</f>
        <v>0</v>
      </c>
      <c r="E245" s="91">
        <f>IFERROR(__xludf.DUMMYFUNCTION("IFERROR(sum(filter('Основной эфир'!$AC:$AC, 'Основной эфир'!$B:$B=$A245,'Основной эфир'!$C:$C=$B245,'Основной эфир'!$I:$I=$C245)), 0) "),0.0)</f>
        <v>0</v>
      </c>
      <c r="F245" s="91">
        <f>IFERROR(__xludf.DUMMYFUNCTION("IFERROR(sum(filter('Основной эфир'!$O:$O, 'Основной эфир'!$B:$B=$A245,'Основной эфир'!$C:$C=$B245,'Основной эфир'!$I:$I=$C245)), 0) "),0.0)</f>
        <v>0</v>
      </c>
      <c r="G245" s="91">
        <f>IFERROR(__xludf.DUMMYFUNCTION("IFERROR(sum(filter('Основной эфир'!$Q:$Q, 'Основной эфир'!$B:$B=$A245,'Основной эфир'!$C:$C=$B245,'Основной эфир'!$I:$I=$C245)), 0) "),0.0)</f>
        <v>0</v>
      </c>
      <c r="H245" s="91">
        <f>IFERROR(__xludf.DUMMYFUNCTION("IFERROR(AVERAGE(filter('Основной эфир'!$Y:$Y, 'Основной эфир'!$B:$B=$A245,'Основной эфир'!$C:$C=$B245,'Основной эфир'!$I:$I=$C245)), 0) "),0.0)</f>
        <v>0</v>
      </c>
      <c r="I245" s="91">
        <f>IFERROR(__xludf.DUMMYFUNCTION("IFERROR(AVERAGE(filter('Основной эфир'!$AE:$AE, 'Основной эфир'!$B:$B=$A245,'Основной эфир'!$C:$C=$B245,'Основной эфир'!$I:$I=$C245)), 0) "),0.0)</f>
        <v>0</v>
      </c>
      <c r="J245" s="91">
        <f>IFERROR(__xludf.DUMMYFUNCTION("IFERROR(SUM(filter('Основной эфир'!$AL:$AL, 'Основной эфир'!$B:$B=$A245,'Основной эфир'!$C:$C=$B245,'Основной эфир'!$I:$I=$C245)), 0) "),0.0)</f>
        <v>0</v>
      </c>
      <c r="K245" s="91" t="str">
        <f>IFERROR(__xludf.DUMMYFUNCTION("IFERROR(REGEXREPLACE(unique(filter('Основной эфир'!$A:$A, 'Основной эфир'!$B:$B=$A245,'Основной эфир'!$C:$C=$B245,'Основной эфир'!$I:$I=$C245)), ""\d+"", """"),"""")"),"")</f>
        <v/>
      </c>
      <c r="L245" s="91" t="str">
        <f>IFERROR(__xludf.DUMMYFUNCTION("IFERROR(unique(filter('Основной эфир'!$F:$F, 'Основной эфир'!$B:$B=$A245,'Основной эфир'!$C:$C=$B245,'Основной эфир'!$I:$I=$C245)),"""")"),"")</f>
        <v/>
      </c>
      <c r="M245" s="92" t="str">
        <f t="shared" si="1"/>
        <v/>
      </c>
      <c r="N245" s="93">
        <f>IFERROR(__xludf.DUMMYFUNCTION("IFERROR(SWITCH(lower(join("" "",L245:M245)),""а миллионник"", 62.5,""б миллионник"", 75,""а мск"", 50, ""б мск"", 62.5, ""a остальное"", 70, ""б остальное"", 80)/100,0)"),0.0)</f>
        <v>0</v>
      </c>
      <c r="O245" s="91">
        <f t="shared" si="2"/>
        <v>0</v>
      </c>
      <c r="P245" s="91">
        <f>IFERROR(__xludf.DUMMYFUNCTION("IFERROR(sum(filter('Генеральный баннер'!$O:$O, 'Генеральный баннер'!$B:$B=$A245,'Генеральный баннер'!$C:$C=$B245,'Генеральный баннер'!$I:$I=$C245)), 0) "),0.0)</f>
        <v>0</v>
      </c>
      <c r="Q245" s="91">
        <f>IFERROR(__xludf.DUMMYFUNCTION("IFERROR(sum(filter('Генеральный баннер'!$Q:$Q, 'Генеральный баннер'!$B:$B=$A245,'Генеральный баннер'!$C:$C=$B245,'Генеральный баннер'!$I:$I=$C245)), 0) "),0.0)</f>
        <v>0</v>
      </c>
      <c r="R245" s="91">
        <f>IFERROR(__xludf.DUMMYFUNCTION("IFERROR(AVERAGE(filter('Генеральный баннер'!$AA:$AA, 'Генеральный баннер'!$B:$B=$A245,'Генеральный баннер'!$C:$C=$B245,'Генеральный баннер'!$I:$I=$C245)), 0) "),0.0)</f>
        <v>0</v>
      </c>
      <c r="S245" s="91">
        <f>IFERROR(__xludf.DUMMYFUNCTION("IFERROR(SUM(filter('Генеральный баннер'!$AH:$AH, 'Генеральный баннер'!$B:$B=$A245,'Генеральный баннер'!$C:$C=$B245,'Генеральный баннер'!$I:$I=$C245)), 0) "),0.0)</f>
        <v>0</v>
      </c>
      <c r="T245" s="91" t="str">
        <f>IFERROR(__xludf.DUMMYFUNCTION("IFERROR(REGEXREPLACE(unique(filter('Генеральный баннер'!$A:$A, 'Генеральный баннер'!$B:$B=$A245,'Генеральный баннер'!$C:$C=$B245,'Генеральный баннер'!$I:$I=$C245)), ""\d+"", """"),"""")"),"")</f>
        <v/>
      </c>
      <c r="U245" s="91" t="str">
        <f>IFERROR(__xludf.DUMMYFUNCTION("IFERROR(unique(filter('Генеральный баннер'!$F:$F, 'Генеральный баннер'!$B:$B=$A245,'Генеральный баннер'!$C:$C=$B245,'Генеральный баннер'!$I:$I=$C245)),"""")"),"")</f>
        <v/>
      </c>
      <c r="V245" s="92" t="str">
        <f t="shared" si="3"/>
        <v/>
      </c>
      <c r="W245" s="93">
        <f>IFERROR(__xludf.DUMMYFUNCTION("IFERROR(SWITCH(lower(join("" "",U245:V245)),""а миллионник"", 62.5,""б миллионник"", 75,""а мск"", 50, ""б мск"", 62.5, ""a остальное"", 70, ""б остальное"", 80)/100,0)"),0.0)</f>
        <v>0</v>
      </c>
      <c r="X245" s="91">
        <f t="shared" si="4"/>
        <v>0</v>
      </c>
    </row>
    <row r="246">
      <c r="A246" s="12"/>
      <c r="B246" s="12"/>
      <c r="C246" s="12"/>
      <c r="D246" s="91">
        <f>IFERROR(__xludf.DUMMYFUNCTION("IFERROR(sum(filter('Основной эфир'!$AA:$AA, 'Основной эфир'!$B:$B=$A246,'Основной эфир'!$C:$C=$B246,'Основной эфир'!$I:$I=$C246)), 0) "),0.0)</f>
        <v>0</v>
      </c>
      <c r="E246" s="91">
        <f>IFERROR(__xludf.DUMMYFUNCTION("IFERROR(sum(filter('Основной эфир'!$AC:$AC, 'Основной эфир'!$B:$B=$A246,'Основной эфир'!$C:$C=$B246,'Основной эфир'!$I:$I=$C246)), 0) "),0.0)</f>
        <v>0</v>
      </c>
      <c r="F246" s="91">
        <f>IFERROR(__xludf.DUMMYFUNCTION("IFERROR(sum(filter('Основной эфир'!$O:$O, 'Основной эфир'!$B:$B=$A246,'Основной эфир'!$C:$C=$B246,'Основной эфир'!$I:$I=$C246)), 0) "),0.0)</f>
        <v>0</v>
      </c>
      <c r="G246" s="91">
        <f>IFERROR(__xludf.DUMMYFUNCTION("IFERROR(sum(filter('Основной эфир'!$Q:$Q, 'Основной эфир'!$B:$B=$A246,'Основной эфир'!$C:$C=$B246,'Основной эфир'!$I:$I=$C246)), 0) "),0.0)</f>
        <v>0</v>
      </c>
      <c r="H246" s="91">
        <f>IFERROR(__xludf.DUMMYFUNCTION("IFERROR(AVERAGE(filter('Основной эфир'!$Y:$Y, 'Основной эфир'!$B:$B=$A246,'Основной эфир'!$C:$C=$B246,'Основной эфир'!$I:$I=$C246)), 0) "),0.0)</f>
        <v>0</v>
      </c>
      <c r="I246" s="91">
        <f>IFERROR(__xludf.DUMMYFUNCTION("IFERROR(AVERAGE(filter('Основной эфир'!$AE:$AE, 'Основной эфир'!$B:$B=$A246,'Основной эфир'!$C:$C=$B246,'Основной эфир'!$I:$I=$C246)), 0) "),0.0)</f>
        <v>0</v>
      </c>
      <c r="J246" s="91">
        <f>IFERROR(__xludf.DUMMYFUNCTION("IFERROR(SUM(filter('Основной эфир'!$AL:$AL, 'Основной эфир'!$B:$B=$A246,'Основной эфир'!$C:$C=$B246,'Основной эфир'!$I:$I=$C246)), 0) "),0.0)</f>
        <v>0</v>
      </c>
      <c r="K246" s="91" t="str">
        <f>IFERROR(__xludf.DUMMYFUNCTION("IFERROR(REGEXREPLACE(unique(filter('Основной эфир'!$A:$A, 'Основной эфир'!$B:$B=$A246,'Основной эфир'!$C:$C=$B246,'Основной эфир'!$I:$I=$C246)), ""\d+"", """"),"""")"),"")</f>
        <v/>
      </c>
      <c r="L246" s="91" t="str">
        <f>IFERROR(__xludf.DUMMYFUNCTION("IFERROR(unique(filter('Основной эфир'!$F:$F, 'Основной эфир'!$B:$B=$A246,'Основной эфир'!$C:$C=$B246,'Основной эфир'!$I:$I=$C246)),"""")"),"")</f>
        <v/>
      </c>
      <c r="M246" s="92" t="str">
        <f t="shared" si="1"/>
        <v/>
      </c>
      <c r="N246" s="93">
        <f>IFERROR(__xludf.DUMMYFUNCTION("IFERROR(SWITCH(lower(join("" "",L246:M246)),""а миллионник"", 62.5,""б миллионник"", 75,""а мск"", 50, ""б мск"", 62.5, ""a остальное"", 70, ""б остальное"", 80)/100,0)"),0.0)</f>
        <v>0</v>
      </c>
      <c r="O246" s="91">
        <f t="shared" si="2"/>
        <v>0</v>
      </c>
      <c r="P246" s="91">
        <f>IFERROR(__xludf.DUMMYFUNCTION("IFERROR(sum(filter('Генеральный баннер'!$O:$O, 'Генеральный баннер'!$B:$B=$A246,'Генеральный баннер'!$C:$C=$B246,'Генеральный баннер'!$I:$I=$C246)), 0) "),0.0)</f>
        <v>0</v>
      </c>
      <c r="Q246" s="91">
        <f>IFERROR(__xludf.DUMMYFUNCTION("IFERROR(sum(filter('Генеральный баннер'!$Q:$Q, 'Генеральный баннер'!$B:$B=$A246,'Генеральный баннер'!$C:$C=$B246,'Генеральный баннер'!$I:$I=$C246)), 0) "),0.0)</f>
        <v>0</v>
      </c>
      <c r="R246" s="91">
        <f>IFERROR(__xludf.DUMMYFUNCTION("IFERROR(AVERAGE(filter('Генеральный баннер'!$AA:$AA, 'Генеральный баннер'!$B:$B=$A246,'Генеральный баннер'!$C:$C=$B246,'Генеральный баннер'!$I:$I=$C246)), 0) "),0.0)</f>
        <v>0</v>
      </c>
      <c r="S246" s="91">
        <f>IFERROR(__xludf.DUMMYFUNCTION("IFERROR(SUM(filter('Генеральный баннер'!$AH:$AH, 'Генеральный баннер'!$B:$B=$A246,'Генеральный баннер'!$C:$C=$B246,'Генеральный баннер'!$I:$I=$C246)), 0) "),0.0)</f>
        <v>0</v>
      </c>
      <c r="T246" s="91" t="str">
        <f>IFERROR(__xludf.DUMMYFUNCTION("IFERROR(REGEXREPLACE(unique(filter('Генеральный баннер'!$A:$A, 'Генеральный баннер'!$B:$B=$A246,'Генеральный баннер'!$C:$C=$B246,'Генеральный баннер'!$I:$I=$C246)), ""\d+"", """"),"""")"),"")</f>
        <v/>
      </c>
      <c r="U246" s="91" t="str">
        <f>IFERROR(__xludf.DUMMYFUNCTION("IFERROR(unique(filter('Генеральный баннер'!$F:$F, 'Генеральный баннер'!$B:$B=$A246,'Генеральный баннер'!$C:$C=$B246,'Генеральный баннер'!$I:$I=$C246)),"""")"),"")</f>
        <v/>
      </c>
      <c r="V246" s="92" t="str">
        <f t="shared" si="3"/>
        <v/>
      </c>
      <c r="W246" s="93">
        <f>IFERROR(__xludf.DUMMYFUNCTION("IFERROR(SWITCH(lower(join("" "",U246:V246)),""а миллионник"", 62.5,""б миллионник"", 75,""а мск"", 50, ""б мск"", 62.5, ""a остальное"", 70, ""б остальное"", 80)/100,0)"),0.0)</f>
        <v>0</v>
      </c>
      <c r="X246" s="91">
        <f t="shared" si="4"/>
        <v>0</v>
      </c>
    </row>
    <row r="247">
      <c r="A247" s="12"/>
      <c r="B247" s="12"/>
      <c r="C247" s="12"/>
      <c r="D247" s="91">
        <f>IFERROR(__xludf.DUMMYFUNCTION("IFERROR(sum(filter('Основной эфир'!$AA:$AA, 'Основной эфир'!$B:$B=$A247,'Основной эфир'!$C:$C=$B247,'Основной эфир'!$I:$I=$C247)), 0) "),0.0)</f>
        <v>0</v>
      </c>
      <c r="E247" s="91">
        <f>IFERROR(__xludf.DUMMYFUNCTION("IFERROR(sum(filter('Основной эфир'!$AC:$AC, 'Основной эфир'!$B:$B=$A247,'Основной эфир'!$C:$C=$B247,'Основной эфир'!$I:$I=$C247)), 0) "),0.0)</f>
        <v>0</v>
      </c>
      <c r="F247" s="91">
        <f>IFERROR(__xludf.DUMMYFUNCTION("IFERROR(sum(filter('Основной эфир'!$O:$O, 'Основной эфир'!$B:$B=$A247,'Основной эфир'!$C:$C=$B247,'Основной эфир'!$I:$I=$C247)), 0) "),0.0)</f>
        <v>0</v>
      </c>
      <c r="G247" s="91">
        <f>IFERROR(__xludf.DUMMYFUNCTION("IFERROR(sum(filter('Основной эфир'!$Q:$Q, 'Основной эфир'!$B:$B=$A247,'Основной эфир'!$C:$C=$B247,'Основной эфир'!$I:$I=$C247)), 0) "),0.0)</f>
        <v>0</v>
      </c>
      <c r="H247" s="91">
        <f>IFERROR(__xludf.DUMMYFUNCTION("IFERROR(AVERAGE(filter('Основной эфир'!$Y:$Y, 'Основной эфир'!$B:$B=$A247,'Основной эфир'!$C:$C=$B247,'Основной эфир'!$I:$I=$C247)), 0) "),0.0)</f>
        <v>0</v>
      </c>
      <c r="I247" s="91">
        <f>IFERROR(__xludf.DUMMYFUNCTION("IFERROR(AVERAGE(filter('Основной эфир'!$AE:$AE, 'Основной эфир'!$B:$B=$A247,'Основной эфир'!$C:$C=$B247,'Основной эфир'!$I:$I=$C247)), 0) "),0.0)</f>
        <v>0</v>
      </c>
      <c r="J247" s="91">
        <f>IFERROR(__xludf.DUMMYFUNCTION("IFERROR(SUM(filter('Основной эфир'!$AL:$AL, 'Основной эфир'!$B:$B=$A247,'Основной эфир'!$C:$C=$B247,'Основной эфир'!$I:$I=$C247)), 0) "),0.0)</f>
        <v>0</v>
      </c>
      <c r="K247" s="91" t="str">
        <f>IFERROR(__xludf.DUMMYFUNCTION("IFERROR(REGEXREPLACE(unique(filter('Основной эфир'!$A:$A, 'Основной эфир'!$B:$B=$A247,'Основной эфир'!$C:$C=$B247,'Основной эфир'!$I:$I=$C247)), ""\d+"", """"),"""")"),"")</f>
        <v/>
      </c>
      <c r="L247" s="91" t="str">
        <f>IFERROR(__xludf.DUMMYFUNCTION("IFERROR(unique(filter('Основной эфир'!$F:$F, 'Основной эфир'!$B:$B=$A247,'Основной эфир'!$C:$C=$B247,'Основной эфир'!$I:$I=$C247)),"""")"),"")</f>
        <v/>
      </c>
      <c r="M247" s="92" t="str">
        <f t="shared" si="1"/>
        <v/>
      </c>
      <c r="N247" s="93">
        <f>IFERROR(__xludf.DUMMYFUNCTION("IFERROR(SWITCH(lower(join("" "",L247:M247)),""а миллионник"", 62.5,""б миллионник"", 75,""а мск"", 50, ""б мск"", 62.5, ""a остальное"", 70, ""б остальное"", 80)/100,0)"),0.0)</f>
        <v>0</v>
      </c>
      <c r="O247" s="91">
        <f t="shared" si="2"/>
        <v>0</v>
      </c>
      <c r="P247" s="91">
        <f>IFERROR(__xludf.DUMMYFUNCTION("IFERROR(sum(filter('Генеральный баннер'!$O:$O, 'Генеральный баннер'!$B:$B=$A247,'Генеральный баннер'!$C:$C=$B247,'Генеральный баннер'!$I:$I=$C247)), 0) "),0.0)</f>
        <v>0</v>
      </c>
      <c r="Q247" s="91">
        <f>IFERROR(__xludf.DUMMYFUNCTION("IFERROR(sum(filter('Генеральный баннер'!$Q:$Q, 'Генеральный баннер'!$B:$B=$A247,'Генеральный баннер'!$C:$C=$B247,'Генеральный баннер'!$I:$I=$C247)), 0) "),0.0)</f>
        <v>0</v>
      </c>
      <c r="R247" s="91">
        <f>IFERROR(__xludf.DUMMYFUNCTION("IFERROR(AVERAGE(filter('Генеральный баннер'!$AA:$AA, 'Генеральный баннер'!$B:$B=$A247,'Генеральный баннер'!$C:$C=$B247,'Генеральный баннер'!$I:$I=$C247)), 0) "),0.0)</f>
        <v>0</v>
      </c>
      <c r="S247" s="91">
        <f>IFERROR(__xludf.DUMMYFUNCTION("IFERROR(SUM(filter('Генеральный баннер'!$AH:$AH, 'Генеральный баннер'!$B:$B=$A247,'Генеральный баннер'!$C:$C=$B247,'Генеральный баннер'!$I:$I=$C247)), 0) "),0.0)</f>
        <v>0</v>
      </c>
      <c r="T247" s="91" t="str">
        <f>IFERROR(__xludf.DUMMYFUNCTION("IFERROR(REGEXREPLACE(unique(filter('Генеральный баннер'!$A:$A, 'Генеральный баннер'!$B:$B=$A247,'Генеральный баннер'!$C:$C=$B247,'Генеральный баннер'!$I:$I=$C247)), ""\d+"", """"),"""")"),"")</f>
        <v/>
      </c>
      <c r="U247" s="91" t="str">
        <f>IFERROR(__xludf.DUMMYFUNCTION("IFERROR(unique(filter('Генеральный баннер'!$F:$F, 'Генеральный баннер'!$B:$B=$A247,'Генеральный баннер'!$C:$C=$B247,'Генеральный баннер'!$I:$I=$C247)),"""")"),"")</f>
        <v/>
      </c>
      <c r="V247" s="92" t="str">
        <f t="shared" si="3"/>
        <v/>
      </c>
      <c r="W247" s="93">
        <f>IFERROR(__xludf.DUMMYFUNCTION("IFERROR(SWITCH(lower(join("" "",U247:V247)),""а миллионник"", 62.5,""б миллионник"", 75,""а мск"", 50, ""б мск"", 62.5, ""a остальное"", 70, ""б остальное"", 80)/100,0)"),0.0)</f>
        <v>0</v>
      </c>
      <c r="X247" s="91">
        <f t="shared" si="4"/>
        <v>0</v>
      </c>
    </row>
    <row r="248">
      <c r="A248" s="12"/>
      <c r="B248" s="12"/>
      <c r="C248" s="12"/>
      <c r="D248" s="91">
        <f>IFERROR(__xludf.DUMMYFUNCTION("IFERROR(sum(filter('Основной эфир'!$AA:$AA, 'Основной эфир'!$B:$B=$A248,'Основной эфир'!$C:$C=$B248,'Основной эфир'!$I:$I=$C248)), 0) "),0.0)</f>
        <v>0</v>
      </c>
      <c r="E248" s="91">
        <f>IFERROR(__xludf.DUMMYFUNCTION("IFERROR(sum(filter('Основной эфир'!$AC:$AC, 'Основной эфир'!$B:$B=$A248,'Основной эфир'!$C:$C=$B248,'Основной эфир'!$I:$I=$C248)), 0) "),0.0)</f>
        <v>0</v>
      </c>
      <c r="F248" s="91">
        <f>IFERROR(__xludf.DUMMYFUNCTION("IFERROR(sum(filter('Основной эфир'!$O:$O, 'Основной эфир'!$B:$B=$A248,'Основной эфир'!$C:$C=$B248,'Основной эфир'!$I:$I=$C248)), 0) "),0.0)</f>
        <v>0</v>
      </c>
      <c r="G248" s="91">
        <f>IFERROR(__xludf.DUMMYFUNCTION("IFERROR(sum(filter('Основной эфир'!$Q:$Q, 'Основной эфир'!$B:$B=$A248,'Основной эфир'!$C:$C=$B248,'Основной эфир'!$I:$I=$C248)), 0) "),0.0)</f>
        <v>0</v>
      </c>
      <c r="H248" s="91">
        <f>IFERROR(__xludf.DUMMYFUNCTION("IFERROR(AVERAGE(filter('Основной эфир'!$Y:$Y, 'Основной эфир'!$B:$B=$A248,'Основной эфир'!$C:$C=$B248,'Основной эфир'!$I:$I=$C248)), 0) "),0.0)</f>
        <v>0</v>
      </c>
      <c r="I248" s="91">
        <f>IFERROR(__xludf.DUMMYFUNCTION("IFERROR(AVERAGE(filter('Основной эфир'!$AE:$AE, 'Основной эфир'!$B:$B=$A248,'Основной эфир'!$C:$C=$B248,'Основной эфир'!$I:$I=$C248)), 0) "),0.0)</f>
        <v>0</v>
      </c>
      <c r="J248" s="91">
        <f>IFERROR(__xludf.DUMMYFUNCTION("IFERROR(SUM(filter('Основной эфир'!$AL:$AL, 'Основной эфир'!$B:$B=$A248,'Основной эфир'!$C:$C=$B248,'Основной эфир'!$I:$I=$C248)), 0) "),0.0)</f>
        <v>0</v>
      </c>
      <c r="K248" s="91" t="str">
        <f>IFERROR(__xludf.DUMMYFUNCTION("IFERROR(REGEXREPLACE(unique(filter('Основной эфир'!$A:$A, 'Основной эфир'!$B:$B=$A248,'Основной эфир'!$C:$C=$B248,'Основной эфир'!$I:$I=$C248)), ""\d+"", """"),"""")"),"")</f>
        <v/>
      </c>
      <c r="L248" s="91" t="str">
        <f>IFERROR(__xludf.DUMMYFUNCTION("IFERROR(unique(filter('Основной эфир'!$F:$F, 'Основной эфир'!$B:$B=$A248,'Основной эфир'!$C:$C=$B248,'Основной эфир'!$I:$I=$C248)),"""")"),"")</f>
        <v/>
      </c>
      <c r="M248" s="92" t="str">
        <f t="shared" si="1"/>
        <v/>
      </c>
      <c r="N248" s="93">
        <f>IFERROR(__xludf.DUMMYFUNCTION("IFERROR(SWITCH(lower(join("" "",L248:M248)),""а миллионник"", 62.5,""б миллионник"", 75,""а мск"", 50, ""б мск"", 62.5, ""a остальное"", 70, ""б остальное"", 80)/100,0)"),0.0)</f>
        <v>0</v>
      </c>
      <c r="O248" s="91">
        <f t="shared" si="2"/>
        <v>0</v>
      </c>
      <c r="P248" s="91">
        <f>IFERROR(__xludf.DUMMYFUNCTION("IFERROR(sum(filter('Генеральный баннер'!$O:$O, 'Генеральный баннер'!$B:$B=$A248,'Генеральный баннер'!$C:$C=$B248,'Генеральный баннер'!$I:$I=$C248)), 0) "),0.0)</f>
        <v>0</v>
      </c>
      <c r="Q248" s="91">
        <f>IFERROR(__xludf.DUMMYFUNCTION("IFERROR(sum(filter('Генеральный баннер'!$Q:$Q, 'Генеральный баннер'!$B:$B=$A248,'Генеральный баннер'!$C:$C=$B248,'Генеральный баннер'!$I:$I=$C248)), 0) "),0.0)</f>
        <v>0</v>
      </c>
      <c r="R248" s="91">
        <f>IFERROR(__xludf.DUMMYFUNCTION("IFERROR(AVERAGE(filter('Генеральный баннер'!$AA:$AA, 'Генеральный баннер'!$B:$B=$A248,'Генеральный баннер'!$C:$C=$B248,'Генеральный баннер'!$I:$I=$C248)), 0) "),0.0)</f>
        <v>0</v>
      </c>
      <c r="S248" s="91">
        <f>IFERROR(__xludf.DUMMYFUNCTION("IFERROR(SUM(filter('Генеральный баннер'!$AH:$AH, 'Генеральный баннер'!$B:$B=$A248,'Генеральный баннер'!$C:$C=$B248,'Генеральный баннер'!$I:$I=$C248)), 0) "),0.0)</f>
        <v>0</v>
      </c>
      <c r="T248" s="91" t="str">
        <f>IFERROR(__xludf.DUMMYFUNCTION("IFERROR(REGEXREPLACE(unique(filter('Генеральный баннер'!$A:$A, 'Генеральный баннер'!$B:$B=$A248,'Генеральный баннер'!$C:$C=$B248,'Генеральный баннер'!$I:$I=$C248)), ""\d+"", """"),"""")"),"")</f>
        <v/>
      </c>
      <c r="U248" s="91" t="str">
        <f>IFERROR(__xludf.DUMMYFUNCTION("IFERROR(unique(filter('Генеральный баннер'!$F:$F, 'Генеральный баннер'!$B:$B=$A248,'Генеральный баннер'!$C:$C=$B248,'Генеральный баннер'!$I:$I=$C248)),"""")"),"")</f>
        <v/>
      </c>
      <c r="V248" s="92" t="str">
        <f t="shared" si="3"/>
        <v/>
      </c>
      <c r="W248" s="93">
        <f>IFERROR(__xludf.DUMMYFUNCTION("IFERROR(SWITCH(lower(join("" "",U248:V248)),""а миллионник"", 62.5,""б миллионник"", 75,""а мск"", 50, ""б мск"", 62.5, ""a остальное"", 70, ""б остальное"", 80)/100,0)"),0.0)</f>
        <v>0</v>
      </c>
      <c r="X248" s="91">
        <f t="shared" si="4"/>
        <v>0</v>
      </c>
    </row>
    <row r="249">
      <c r="A249" s="12"/>
      <c r="B249" s="12"/>
      <c r="C249" s="12"/>
      <c r="D249" s="91">
        <f>IFERROR(__xludf.DUMMYFUNCTION("IFERROR(sum(filter('Основной эфир'!$AA:$AA, 'Основной эфир'!$B:$B=$A249,'Основной эфир'!$C:$C=$B249,'Основной эфир'!$I:$I=$C249)), 0) "),0.0)</f>
        <v>0</v>
      </c>
      <c r="E249" s="91">
        <f>IFERROR(__xludf.DUMMYFUNCTION("IFERROR(sum(filter('Основной эфир'!$AC:$AC, 'Основной эфир'!$B:$B=$A249,'Основной эфир'!$C:$C=$B249,'Основной эфир'!$I:$I=$C249)), 0) "),0.0)</f>
        <v>0</v>
      </c>
      <c r="F249" s="91">
        <f>IFERROR(__xludf.DUMMYFUNCTION("IFERROR(sum(filter('Основной эфир'!$O:$O, 'Основной эфир'!$B:$B=$A249,'Основной эфир'!$C:$C=$B249,'Основной эфир'!$I:$I=$C249)), 0) "),0.0)</f>
        <v>0</v>
      </c>
      <c r="G249" s="91">
        <f>IFERROR(__xludf.DUMMYFUNCTION("IFERROR(sum(filter('Основной эфир'!$Q:$Q, 'Основной эфир'!$B:$B=$A249,'Основной эфир'!$C:$C=$B249,'Основной эфир'!$I:$I=$C249)), 0) "),0.0)</f>
        <v>0</v>
      </c>
      <c r="H249" s="91">
        <f>IFERROR(__xludf.DUMMYFUNCTION("IFERROR(AVERAGE(filter('Основной эфир'!$Y:$Y, 'Основной эфир'!$B:$B=$A249,'Основной эфир'!$C:$C=$B249,'Основной эфир'!$I:$I=$C249)), 0) "),0.0)</f>
        <v>0</v>
      </c>
      <c r="I249" s="91">
        <f>IFERROR(__xludf.DUMMYFUNCTION("IFERROR(AVERAGE(filter('Основной эфир'!$AE:$AE, 'Основной эфир'!$B:$B=$A249,'Основной эфир'!$C:$C=$B249,'Основной эфир'!$I:$I=$C249)), 0) "),0.0)</f>
        <v>0</v>
      </c>
      <c r="J249" s="91">
        <f>IFERROR(__xludf.DUMMYFUNCTION("IFERROR(SUM(filter('Основной эфир'!$AL:$AL, 'Основной эфир'!$B:$B=$A249,'Основной эфир'!$C:$C=$B249,'Основной эфир'!$I:$I=$C249)), 0) "),0.0)</f>
        <v>0</v>
      </c>
      <c r="K249" s="91" t="str">
        <f>IFERROR(__xludf.DUMMYFUNCTION("IFERROR(REGEXREPLACE(unique(filter('Основной эфир'!$A:$A, 'Основной эфир'!$B:$B=$A249,'Основной эфир'!$C:$C=$B249,'Основной эфир'!$I:$I=$C249)), ""\d+"", """"),"""")"),"")</f>
        <v/>
      </c>
      <c r="L249" s="91" t="str">
        <f>IFERROR(__xludf.DUMMYFUNCTION("IFERROR(unique(filter('Основной эфир'!$F:$F, 'Основной эфир'!$B:$B=$A249,'Основной эфир'!$C:$C=$B249,'Основной эфир'!$I:$I=$C249)),"""")"),"")</f>
        <v/>
      </c>
      <c r="M249" s="92" t="str">
        <f t="shared" si="1"/>
        <v/>
      </c>
      <c r="N249" s="93">
        <f>IFERROR(__xludf.DUMMYFUNCTION("IFERROR(SWITCH(lower(join("" "",L249:M249)),""а миллионник"", 62.5,""б миллионник"", 75,""а мск"", 50, ""б мск"", 62.5, ""a остальное"", 70, ""б остальное"", 80)/100,0)"),0.0)</f>
        <v>0</v>
      </c>
      <c r="O249" s="91">
        <f t="shared" si="2"/>
        <v>0</v>
      </c>
      <c r="P249" s="91">
        <f>IFERROR(__xludf.DUMMYFUNCTION("IFERROR(sum(filter('Генеральный баннер'!$O:$O, 'Генеральный баннер'!$B:$B=$A249,'Генеральный баннер'!$C:$C=$B249,'Генеральный баннер'!$I:$I=$C249)), 0) "),0.0)</f>
        <v>0</v>
      </c>
      <c r="Q249" s="91">
        <f>IFERROR(__xludf.DUMMYFUNCTION("IFERROR(sum(filter('Генеральный баннер'!$Q:$Q, 'Генеральный баннер'!$B:$B=$A249,'Генеральный баннер'!$C:$C=$B249,'Генеральный баннер'!$I:$I=$C249)), 0) "),0.0)</f>
        <v>0</v>
      </c>
      <c r="R249" s="91">
        <f>IFERROR(__xludf.DUMMYFUNCTION("IFERROR(AVERAGE(filter('Генеральный баннер'!$AA:$AA, 'Генеральный баннер'!$B:$B=$A249,'Генеральный баннер'!$C:$C=$B249,'Генеральный баннер'!$I:$I=$C249)), 0) "),0.0)</f>
        <v>0</v>
      </c>
      <c r="S249" s="91">
        <f>IFERROR(__xludf.DUMMYFUNCTION("IFERROR(SUM(filter('Генеральный баннер'!$AH:$AH, 'Генеральный баннер'!$B:$B=$A249,'Генеральный баннер'!$C:$C=$B249,'Генеральный баннер'!$I:$I=$C249)), 0) "),0.0)</f>
        <v>0</v>
      </c>
      <c r="T249" s="91" t="str">
        <f>IFERROR(__xludf.DUMMYFUNCTION("IFERROR(REGEXREPLACE(unique(filter('Генеральный баннер'!$A:$A, 'Генеральный баннер'!$B:$B=$A249,'Генеральный баннер'!$C:$C=$B249,'Генеральный баннер'!$I:$I=$C249)), ""\d+"", """"),"""")"),"")</f>
        <v/>
      </c>
      <c r="U249" s="91" t="str">
        <f>IFERROR(__xludf.DUMMYFUNCTION("IFERROR(unique(filter('Генеральный баннер'!$F:$F, 'Генеральный баннер'!$B:$B=$A249,'Генеральный баннер'!$C:$C=$B249,'Генеральный баннер'!$I:$I=$C249)),"""")"),"")</f>
        <v/>
      </c>
      <c r="V249" s="92" t="str">
        <f t="shared" si="3"/>
        <v/>
      </c>
      <c r="W249" s="93">
        <f>IFERROR(__xludf.DUMMYFUNCTION("IFERROR(SWITCH(lower(join("" "",U249:V249)),""а миллионник"", 62.5,""б миллионник"", 75,""а мск"", 50, ""б мск"", 62.5, ""a остальное"", 70, ""б остальное"", 80)/100,0)"),0.0)</f>
        <v>0</v>
      </c>
      <c r="X249" s="91">
        <f t="shared" si="4"/>
        <v>0</v>
      </c>
    </row>
    <row r="250">
      <c r="A250" s="12"/>
      <c r="B250" s="12"/>
      <c r="C250" s="12"/>
      <c r="D250" s="91">
        <f>IFERROR(__xludf.DUMMYFUNCTION("IFERROR(sum(filter('Основной эфир'!$AA:$AA, 'Основной эфир'!$B:$B=$A250,'Основной эфир'!$C:$C=$B250,'Основной эфир'!$I:$I=$C250)), 0) "),0.0)</f>
        <v>0</v>
      </c>
      <c r="E250" s="91">
        <f>IFERROR(__xludf.DUMMYFUNCTION("IFERROR(sum(filter('Основной эфир'!$AC:$AC, 'Основной эфир'!$B:$B=$A250,'Основной эфир'!$C:$C=$B250,'Основной эфир'!$I:$I=$C250)), 0) "),0.0)</f>
        <v>0</v>
      </c>
      <c r="F250" s="91">
        <f>IFERROR(__xludf.DUMMYFUNCTION("IFERROR(sum(filter('Основной эфир'!$O:$O, 'Основной эфир'!$B:$B=$A250,'Основной эфир'!$C:$C=$B250,'Основной эфир'!$I:$I=$C250)), 0) "),0.0)</f>
        <v>0</v>
      </c>
      <c r="G250" s="91">
        <f>IFERROR(__xludf.DUMMYFUNCTION("IFERROR(sum(filter('Основной эфир'!$Q:$Q, 'Основной эфир'!$B:$B=$A250,'Основной эфир'!$C:$C=$B250,'Основной эфир'!$I:$I=$C250)), 0) "),0.0)</f>
        <v>0</v>
      </c>
      <c r="H250" s="91">
        <f>IFERROR(__xludf.DUMMYFUNCTION("IFERROR(AVERAGE(filter('Основной эфир'!$Y:$Y, 'Основной эфир'!$B:$B=$A250,'Основной эфир'!$C:$C=$B250,'Основной эфир'!$I:$I=$C250)), 0) "),0.0)</f>
        <v>0</v>
      </c>
      <c r="I250" s="91">
        <f>IFERROR(__xludf.DUMMYFUNCTION("IFERROR(AVERAGE(filter('Основной эфир'!$AE:$AE, 'Основной эфир'!$B:$B=$A250,'Основной эфир'!$C:$C=$B250,'Основной эфир'!$I:$I=$C250)), 0) "),0.0)</f>
        <v>0</v>
      </c>
      <c r="J250" s="91">
        <f>IFERROR(__xludf.DUMMYFUNCTION("IFERROR(SUM(filter('Основной эфир'!$AL:$AL, 'Основной эфир'!$B:$B=$A250,'Основной эфир'!$C:$C=$B250,'Основной эфир'!$I:$I=$C250)), 0) "),0.0)</f>
        <v>0</v>
      </c>
      <c r="K250" s="91" t="str">
        <f>IFERROR(__xludf.DUMMYFUNCTION("IFERROR(REGEXREPLACE(unique(filter('Основной эфир'!$A:$A, 'Основной эфир'!$B:$B=$A250,'Основной эфир'!$C:$C=$B250,'Основной эфир'!$I:$I=$C250)), ""\d+"", """"),"""")"),"")</f>
        <v/>
      </c>
      <c r="L250" s="91" t="str">
        <f>IFERROR(__xludf.DUMMYFUNCTION("IFERROR(unique(filter('Основной эфир'!$F:$F, 'Основной эфир'!$B:$B=$A250,'Основной эфир'!$C:$C=$B250,'Основной эфир'!$I:$I=$C250)),"""")"),"")</f>
        <v/>
      </c>
      <c r="M250" s="92" t="str">
        <f t="shared" si="1"/>
        <v/>
      </c>
      <c r="N250" s="93">
        <f>IFERROR(__xludf.DUMMYFUNCTION("IFERROR(SWITCH(lower(join("" "",L250:M250)),""а миллионник"", 62.5,""б миллионник"", 75,""а мск"", 50, ""б мск"", 62.5, ""a остальное"", 70, ""б остальное"", 80)/100,0)"),0.0)</f>
        <v>0</v>
      </c>
      <c r="O250" s="91">
        <f t="shared" si="2"/>
        <v>0</v>
      </c>
      <c r="P250" s="91">
        <f>IFERROR(__xludf.DUMMYFUNCTION("IFERROR(sum(filter('Генеральный баннер'!$O:$O, 'Генеральный баннер'!$B:$B=$A250,'Генеральный баннер'!$C:$C=$B250,'Генеральный баннер'!$I:$I=$C250)), 0) "),0.0)</f>
        <v>0</v>
      </c>
      <c r="Q250" s="91">
        <f>IFERROR(__xludf.DUMMYFUNCTION("IFERROR(sum(filter('Генеральный баннер'!$Q:$Q, 'Генеральный баннер'!$B:$B=$A250,'Генеральный баннер'!$C:$C=$B250,'Генеральный баннер'!$I:$I=$C250)), 0) "),0.0)</f>
        <v>0</v>
      </c>
      <c r="R250" s="91">
        <f>IFERROR(__xludf.DUMMYFUNCTION("IFERROR(AVERAGE(filter('Генеральный баннер'!$AA:$AA, 'Генеральный баннер'!$B:$B=$A250,'Генеральный баннер'!$C:$C=$B250,'Генеральный баннер'!$I:$I=$C250)), 0) "),0.0)</f>
        <v>0</v>
      </c>
      <c r="S250" s="91">
        <f>IFERROR(__xludf.DUMMYFUNCTION("IFERROR(SUM(filter('Генеральный баннер'!$AH:$AH, 'Генеральный баннер'!$B:$B=$A250,'Генеральный баннер'!$C:$C=$B250,'Генеральный баннер'!$I:$I=$C250)), 0) "),0.0)</f>
        <v>0</v>
      </c>
      <c r="T250" s="91" t="str">
        <f>IFERROR(__xludf.DUMMYFUNCTION("IFERROR(REGEXREPLACE(unique(filter('Генеральный баннер'!$A:$A, 'Генеральный баннер'!$B:$B=$A250,'Генеральный баннер'!$C:$C=$B250,'Генеральный баннер'!$I:$I=$C250)), ""\d+"", """"),"""")"),"")</f>
        <v/>
      </c>
      <c r="U250" s="91" t="str">
        <f>IFERROR(__xludf.DUMMYFUNCTION("IFERROR(unique(filter('Генеральный баннер'!$F:$F, 'Генеральный баннер'!$B:$B=$A250,'Генеральный баннер'!$C:$C=$B250,'Генеральный баннер'!$I:$I=$C250)),"""")"),"")</f>
        <v/>
      </c>
      <c r="V250" s="92" t="str">
        <f t="shared" si="3"/>
        <v/>
      </c>
      <c r="W250" s="93">
        <f>IFERROR(__xludf.DUMMYFUNCTION("IFERROR(SWITCH(lower(join("" "",U250:V250)),""а миллионник"", 62.5,""б миллионник"", 75,""а мск"", 50, ""б мск"", 62.5, ""a остальное"", 70, ""б остальное"", 80)/100,0)"),0.0)</f>
        <v>0</v>
      </c>
      <c r="X250" s="91">
        <f t="shared" si="4"/>
        <v>0</v>
      </c>
    </row>
    <row r="251">
      <c r="A251" s="12"/>
      <c r="B251" s="12"/>
      <c r="C251" s="12"/>
      <c r="D251" s="91">
        <f>IFERROR(__xludf.DUMMYFUNCTION("IFERROR(sum(filter('Основной эфир'!$AA:$AA, 'Основной эфир'!$B:$B=$A251,'Основной эфир'!$C:$C=$B251,'Основной эфир'!$I:$I=$C251)), 0) "),0.0)</f>
        <v>0</v>
      </c>
      <c r="E251" s="91">
        <f>IFERROR(__xludf.DUMMYFUNCTION("IFERROR(sum(filter('Основной эфир'!$AC:$AC, 'Основной эфир'!$B:$B=$A251,'Основной эфир'!$C:$C=$B251,'Основной эфир'!$I:$I=$C251)), 0) "),0.0)</f>
        <v>0</v>
      </c>
      <c r="F251" s="91">
        <f>IFERROR(__xludf.DUMMYFUNCTION("IFERROR(sum(filter('Основной эфир'!$O:$O, 'Основной эфир'!$B:$B=$A251,'Основной эфир'!$C:$C=$B251,'Основной эфир'!$I:$I=$C251)), 0) "),0.0)</f>
        <v>0</v>
      </c>
      <c r="G251" s="91">
        <f>IFERROR(__xludf.DUMMYFUNCTION("IFERROR(sum(filter('Основной эфир'!$Q:$Q, 'Основной эфир'!$B:$B=$A251,'Основной эфир'!$C:$C=$B251,'Основной эфир'!$I:$I=$C251)), 0) "),0.0)</f>
        <v>0</v>
      </c>
      <c r="H251" s="91">
        <f>IFERROR(__xludf.DUMMYFUNCTION("IFERROR(AVERAGE(filter('Основной эфир'!$Y:$Y, 'Основной эфир'!$B:$B=$A251,'Основной эфир'!$C:$C=$B251,'Основной эфир'!$I:$I=$C251)), 0) "),0.0)</f>
        <v>0</v>
      </c>
      <c r="I251" s="91">
        <f>IFERROR(__xludf.DUMMYFUNCTION("IFERROR(AVERAGE(filter('Основной эфир'!$AE:$AE, 'Основной эфир'!$B:$B=$A251,'Основной эфир'!$C:$C=$B251,'Основной эфир'!$I:$I=$C251)), 0) "),0.0)</f>
        <v>0</v>
      </c>
      <c r="J251" s="91">
        <f>IFERROR(__xludf.DUMMYFUNCTION("IFERROR(SUM(filter('Основной эфир'!$AL:$AL, 'Основной эфир'!$B:$B=$A251,'Основной эфир'!$C:$C=$B251,'Основной эфир'!$I:$I=$C251)), 0) "),0.0)</f>
        <v>0</v>
      </c>
      <c r="K251" s="91" t="str">
        <f>IFERROR(__xludf.DUMMYFUNCTION("IFERROR(REGEXREPLACE(unique(filter('Основной эфир'!$A:$A, 'Основной эфир'!$B:$B=$A251,'Основной эфир'!$C:$C=$B251,'Основной эфир'!$I:$I=$C251)), ""\d+"", """"),"""")"),"")</f>
        <v/>
      </c>
      <c r="L251" s="91" t="str">
        <f>IFERROR(__xludf.DUMMYFUNCTION("IFERROR(unique(filter('Основной эфир'!$F:$F, 'Основной эфир'!$B:$B=$A251,'Основной эфир'!$C:$C=$B251,'Основной эфир'!$I:$I=$C251)),"""")"),"")</f>
        <v/>
      </c>
      <c r="M251" s="92" t="str">
        <f t="shared" si="1"/>
        <v/>
      </c>
      <c r="N251" s="93">
        <f>IFERROR(__xludf.DUMMYFUNCTION("IFERROR(SWITCH(lower(join("" "",L251:M251)),""а миллионник"", 62.5,""б миллионник"", 75,""а мск"", 50, ""б мск"", 62.5, ""a остальное"", 70, ""б остальное"", 80)/100,0)"),0.0)</f>
        <v>0</v>
      </c>
      <c r="O251" s="91">
        <f t="shared" si="2"/>
        <v>0</v>
      </c>
      <c r="P251" s="91">
        <f>IFERROR(__xludf.DUMMYFUNCTION("IFERROR(sum(filter('Генеральный баннер'!$O:$O, 'Генеральный баннер'!$B:$B=$A251,'Генеральный баннер'!$C:$C=$B251,'Генеральный баннер'!$I:$I=$C251)), 0) "),0.0)</f>
        <v>0</v>
      </c>
      <c r="Q251" s="91">
        <f>IFERROR(__xludf.DUMMYFUNCTION("IFERROR(sum(filter('Генеральный баннер'!$Q:$Q, 'Генеральный баннер'!$B:$B=$A251,'Генеральный баннер'!$C:$C=$B251,'Генеральный баннер'!$I:$I=$C251)), 0) "),0.0)</f>
        <v>0</v>
      </c>
      <c r="R251" s="91">
        <f>IFERROR(__xludf.DUMMYFUNCTION("IFERROR(AVERAGE(filter('Генеральный баннер'!$AA:$AA, 'Генеральный баннер'!$B:$B=$A251,'Генеральный баннер'!$C:$C=$B251,'Генеральный баннер'!$I:$I=$C251)), 0) "),0.0)</f>
        <v>0</v>
      </c>
      <c r="S251" s="91">
        <f>IFERROR(__xludf.DUMMYFUNCTION("IFERROR(SUM(filter('Генеральный баннер'!$AH:$AH, 'Генеральный баннер'!$B:$B=$A251,'Генеральный баннер'!$C:$C=$B251,'Генеральный баннер'!$I:$I=$C251)), 0) "),0.0)</f>
        <v>0</v>
      </c>
      <c r="T251" s="91" t="str">
        <f>IFERROR(__xludf.DUMMYFUNCTION("IFERROR(REGEXREPLACE(unique(filter('Генеральный баннер'!$A:$A, 'Генеральный баннер'!$B:$B=$A251,'Генеральный баннер'!$C:$C=$B251,'Генеральный баннер'!$I:$I=$C251)), ""\d+"", """"),"""")"),"")</f>
        <v/>
      </c>
      <c r="U251" s="91" t="str">
        <f>IFERROR(__xludf.DUMMYFUNCTION("IFERROR(unique(filter('Генеральный баннер'!$F:$F, 'Генеральный баннер'!$B:$B=$A251,'Генеральный баннер'!$C:$C=$B251,'Генеральный баннер'!$I:$I=$C251)),"""")"),"")</f>
        <v/>
      </c>
      <c r="V251" s="92" t="str">
        <f t="shared" si="3"/>
        <v/>
      </c>
      <c r="W251" s="93">
        <f>IFERROR(__xludf.DUMMYFUNCTION("IFERROR(SWITCH(lower(join("" "",U251:V251)),""а миллионник"", 62.5,""б миллионник"", 75,""а мск"", 50, ""б мск"", 62.5, ""a остальное"", 70, ""б остальное"", 80)/100,0)"),0.0)</f>
        <v>0</v>
      </c>
      <c r="X251" s="91">
        <f t="shared" si="4"/>
        <v>0</v>
      </c>
    </row>
    <row r="252">
      <c r="A252" s="12"/>
      <c r="B252" s="12"/>
      <c r="C252" s="12"/>
      <c r="D252" s="91">
        <f>IFERROR(__xludf.DUMMYFUNCTION("IFERROR(sum(filter('Основной эфир'!$AA:$AA, 'Основной эфир'!$B:$B=$A252,'Основной эфир'!$C:$C=$B252,'Основной эфир'!$I:$I=$C252)), 0) "),0.0)</f>
        <v>0</v>
      </c>
      <c r="E252" s="91">
        <f>IFERROR(__xludf.DUMMYFUNCTION("IFERROR(sum(filter('Основной эфир'!$AC:$AC, 'Основной эфир'!$B:$B=$A252,'Основной эфир'!$C:$C=$B252,'Основной эфир'!$I:$I=$C252)), 0) "),0.0)</f>
        <v>0</v>
      </c>
      <c r="F252" s="91">
        <f>IFERROR(__xludf.DUMMYFUNCTION("IFERROR(sum(filter('Основной эфир'!$O:$O, 'Основной эфир'!$B:$B=$A252,'Основной эфир'!$C:$C=$B252,'Основной эфир'!$I:$I=$C252)), 0) "),0.0)</f>
        <v>0</v>
      </c>
      <c r="G252" s="91">
        <f>IFERROR(__xludf.DUMMYFUNCTION("IFERROR(sum(filter('Основной эфир'!$Q:$Q, 'Основной эфир'!$B:$B=$A252,'Основной эфир'!$C:$C=$B252,'Основной эфир'!$I:$I=$C252)), 0) "),0.0)</f>
        <v>0</v>
      </c>
      <c r="H252" s="91">
        <f>IFERROR(__xludf.DUMMYFUNCTION("IFERROR(AVERAGE(filter('Основной эфир'!$Y:$Y, 'Основной эфир'!$B:$B=$A252,'Основной эфир'!$C:$C=$B252,'Основной эфир'!$I:$I=$C252)), 0) "),0.0)</f>
        <v>0</v>
      </c>
      <c r="I252" s="91">
        <f>IFERROR(__xludf.DUMMYFUNCTION("IFERROR(AVERAGE(filter('Основной эфир'!$AE:$AE, 'Основной эфир'!$B:$B=$A252,'Основной эфир'!$C:$C=$B252,'Основной эфир'!$I:$I=$C252)), 0) "),0.0)</f>
        <v>0</v>
      </c>
      <c r="J252" s="91">
        <f>IFERROR(__xludf.DUMMYFUNCTION("IFERROR(SUM(filter('Основной эфир'!$AL:$AL, 'Основной эфир'!$B:$B=$A252,'Основной эфир'!$C:$C=$B252,'Основной эфир'!$I:$I=$C252)), 0) "),0.0)</f>
        <v>0</v>
      </c>
      <c r="K252" s="91" t="str">
        <f>IFERROR(__xludf.DUMMYFUNCTION("IFERROR(REGEXREPLACE(unique(filter('Основной эфир'!$A:$A, 'Основной эфир'!$B:$B=$A252,'Основной эфир'!$C:$C=$B252,'Основной эфир'!$I:$I=$C252)), ""\d+"", """"),"""")"),"")</f>
        <v/>
      </c>
      <c r="L252" s="91" t="str">
        <f>IFERROR(__xludf.DUMMYFUNCTION("IFERROR(unique(filter('Основной эфир'!$F:$F, 'Основной эфир'!$B:$B=$A252,'Основной эфир'!$C:$C=$B252,'Основной эфир'!$I:$I=$C252)),"""")"),"")</f>
        <v/>
      </c>
      <c r="M252" s="92" t="str">
        <f t="shared" si="1"/>
        <v/>
      </c>
      <c r="N252" s="93">
        <f>IFERROR(__xludf.DUMMYFUNCTION("IFERROR(SWITCH(lower(join("" "",L252:M252)),""а миллионник"", 62.5,""б миллионник"", 75,""а мск"", 50, ""б мск"", 62.5, ""a остальное"", 70, ""б остальное"", 80)/100,0)"),0.0)</f>
        <v>0</v>
      </c>
      <c r="O252" s="91">
        <f t="shared" si="2"/>
        <v>0</v>
      </c>
      <c r="P252" s="91">
        <f>IFERROR(__xludf.DUMMYFUNCTION("IFERROR(sum(filter('Генеральный баннер'!$O:$O, 'Генеральный баннер'!$B:$B=$A252,'Генеральный баннер'!$C:$C=$B252,'Генеральный баннер'!$I:$I=$C252)), 0) "),0.0)</f>
        <v>0</v>
      </c>
      <c r="Q252" s="91">
        <f>IFERROR(__xludf.DUMMYFUNCTION("IFERROR(sum(filter('Генеральный баннер'!$Q:$Q, 'Генеральный баннер'!$B:$B=$A252,'Генеральный баннер'!$C:$C=$B252,'Генеральный баннер'!$I:$I=$C252)), 0) "),0.0)</f>
        <v>0</v>
      </c>
      <c r="R252" s="91">
        <f>IFERROR(__xludf.DUMMYFUNCTION("IFERROR(AVERAGE(filter('Генеральный баннер'!$AA:$AA, 'Генеральный баннер'!$B:$B=$A252,'Генеральный баннер'!$C:$C=$B252,'Генеральный баннер'!$I:$I=$C252)), 0) "),0.0)</f>
        <v>0</v>
      </c>
      <c r="S252" s="91">
        <f>IFERROR(__xludf.DUMMYFUNCTION("IFERROR(SUM(filter('Генеральный баннер'!$AH:$AH, 'Генеральный баннер'!$B:$B=$A252,'Генеральный баннер'!$C:$C=$B252,'Генеральный баннер'!$I:$I=$C252)), 0) "),0.0)</f>
        <v>0</v>
      </c>
      <c r="T252" s="91" t="str">
        <f>IFERROR(__xludf.DUMMYFUNCTION("IFERROR(REGEXREPLACE(unique(filter('Генеральный баннер'!$A:$A, 'Генеральный баннер'!$B:$B=$A252,'Генеральный баннер'!$C:$C=$B252,'Генеральный баннер'!$I:$I=$C252)), ""\d+"", """"),"""")"),"")</f>
        <v/>
      </c>
      <c r="U252" s="91" t="str">
        <f>IFERROR(__xludf.DUMMYFUNCTION("IFERROR(unique(filter('Генеральный баннер'!$F:$F, 'Генеральный баннер'!$B:$B=$A252,'Генеральный баннер'!$C:$C=$B252,'Генеральный баннер'!$I:$I=$C252)),"""")"),"")</f>
        <v/>
      </c>
      <c r="V252" s="92" t="str">
        <f t="shared" si="3"/>
        <v/>
      </c>
      <c r="W252" s="93">
        <f>IFERROR(__xludf.DUMMYFUNCTION("IFERROR(SWITCH(lower(join("" "",U252:V252)),""а миллионник"", 62.5,""б миллионник"", 75,""а мск"", 50, ""б мск"", 62.5, ""a остальное"", 70, ""б остальное"", 80)/100,0)"),0.0)</f>
        <v>0</v>
      </c>
      <c r="X252" s="91">
        <f t="shared" si="4"/>
        <v>0</v>
      </c>
    </row>
    <row r="253">
      <c r="A253" s="12"/>
      <c r="B253" s="12"/>
      <c r="C253" s="12"/>
      <c r="D253" s="91">
        <f>IFERROR(__xludf.DUMMYFUNCTION("IFERROR(sum(filter('Основной эфир'!$AA:$AA, 'Основной эфир'!$B:$B=$A253,'Основной эфир'!$C:$C=$B253,'Основной эфир'!$I:$I=$C253)), 0) "),0.0)</f>
        <v>0</v>
      </c>
      <c r="E253" s="91">
        <f>IFERROR(__xludf.DUMMYFUNCTION("IFERROR(sum(filter('Основной эфир'!$AC:$AC, 'Основной эфир'!$B:$B=$A253,'Основной эфир'!$C:$C=$B253,'Основной эфир'!$I:$I=$C253)), 0) "),0.0)</f>
        <v>0</v>
      </c>
      <c r="F253" s="91">
        <f>IFERROR(__xludf.DUMMYFUNCTION("IFERROR(sum(filter('Основной эфир'!$O:$O, 'Основной эфир'!$B:$B=$A253,'Основной эфир'!$C:$C=$B253,'Основной эфир'!$I:$I=$C253)), 0) "),0.0)</f>
        <v>0</v>
      </c>
      <c r="G253" s="91">
        <f>IFERROR(__xludf.DUMMYFUNCTION("IFERROR(sum(filter('Основной эфир'!$Q:$Q, 'Основной эфир'!$B:$B=$A253,'Основной эфир'!$C:$C=$B253,'Основной эфир'!$I:$I=$C253)), 0) "),0.0)</f>
        <v>0</v>
      </c>
      <c r="H253" s="91">
        <f>IFERROR(__xludf.DUMMYFUNCTION("IFERROR(AVERAGE(filter('Основной эфир'!$Y:$Y, 'Основной эфир'!$B:$B=$A253,'Основной эфир'!$C:$C=$B253,'Основной эфир'!$I:$I=$C253)), 0) "),0.0)</f>
        <v>0</v>
      </c>
      <c r="I253" s="91">
        <f>IFERROR(__xludf.DUMMYFUNCTION("IFERROR(AVERAGE(filter('Основной эфир'!$AE:$AE, 'Основной эфир'!$B:$B=$A253,'Основной эфир'!$C:$C=$B253,'Основной эфир'!$I:$I=$C253)), 0) "),0.0)</f>
        <v>0</v>
      </c>
      <c r="J253" s="91">
        <f>IFERROR(__xludf.DUMMYFUNCTION("IFERROR(SUM(filter('Основной эфир'!$AL:$AL, 'Основной эфир'!$B:$B=$A253,'Основной эфир'!$C:$C=$B253,'Основной эфир'!$I:$I=$C253)), 0) "),0.0)</f>
        <v>0</v>
      </c>
      <c r="K253" s="91" t="str">
        <f>IFERROR(__xludf.DUMMYFUNCTION("IFERROR(REGEXREPLACE(unique(filter('Основной эфир'!$A:$A, 'Основной эфир'!$B:$B=$A253,'Основной эфир'!$C:$C=$B253,'Основной эфир'!$I:$I=$C253)), ""\d+"", """"),"""")"),"")</f>
        <v/>
      </c>
      <c r="L253" s="91" t="str">
        <f>IFERROR(__xludf.DUMMYFUNCTION("IFERROR(unique(filter('Основной эфир'!$F:$F, 'Основной эфир'!$B:$B=$A253,'Основной эфир'!$C:$C=$B253,'Основной эфир'!$I:$I=$C253)),"""")"),"")</f>
        <v/>
      </c>
      <c r="M253" s="92" t="str">
        <f t="shared" si="1"/>
        <v/>
      </c>
      <c r="N253" s="93">
        <f>IFERROR(__xludf.DUMMYFUNCTION("IFERROR(SWITCH(lower(join("" "",L253:M253)),""а миллионник"", 62.5,""б миллионник"", 75,""а мск"", 50, ""б мск"", 62.5, ""a остальное"", 70, ""б остальное"", 80)/100,0)"),0.0)</f>
        <v>0</v>
      </c>
      <c r="O253" s="91">
        <f t="shared" si="2"/>
        <v>0</v>
      </c>
      <c r="P253" s="91">
        <f>IFERROR(__xludf.DUMMYFUNCTION("IFERROR(sum(filter('Генеральный баннер'!$O:$O, 'Генеральный баннер'!$B:$B=$A253,'Генеральный баннер'!$C:$C=$B253,'Генеральный баннер'!$I:$I=$C253)), 0) "),0.0)</f>
        <v>0</v>
      </c>
      <c r="Q253" s="91">
        <f>IFERROR(__xludf.DUMMYFUNCTION("IFERROR(sum(filter('Генеральный баннер'!$Q:$Q, 'Генеральный баннер'!$B:$B=$A253,'Генеральный баннер'!$C:$C=$B253,'Генеральный баннер'!$I:$I=$C253)), 0) "),0.0)</f>
        <v>0</v>
      </c>
      <c r="R253" s="91">
        <f>IFERROR(__xludf.DUMMYFUNCTION("IFERROR(AVERAGE(filter('Генеральный баннер'!$AA:$AA, 'Генеральный баннер'!$B:$B=$A253,'Генеральный баннер'!$C:$C=$B253,'Генеральный баннер'!$I:$I=$C253)), 0) "),0.0)</f>
        <v>0</v>
      </c>
      <c r="S253" s="91">
        <f>IFERROR(__xludf.DUMMYFUNCTION("IFERROR(SUM(filter('Генеральный баннер'!$AH:$AH, 'Генеральный баннер'!$B:$B=$A253,'Генеральный баннер'!$C:$C=$B253,'Генеральный баннер'!$I:$I=$C253)), 0) "),0.0)</f>
        <v>0</v>
      </c>
      <c r="T253" s="91" t="str">
        <f>IFERROR(__xludf.DUMMYFUNCTION("IFERROR(REGEXREPLACE(unique(filter('Генеральный баннер'!$A:$A, 'Генеральный баннер'!$B:$B=$A253,'Генеральный баннер'!$C:$C=$B253,'Генеральный баннер'!$I:$I=$C253)), ""\d+"", """"),"""")"),"")</f>
        <v/>
      </c>
      <c r="U253" s="91" t="str">
        <f>IFERROR(__xludf.DUMMYFUNCTION("IFERROR(unique(filter('Генеральный баннер'!$F:$F, 'Генеральный баннер'!$B:$B=$A253,'Генеральный баннер'!$C:$C=$B253,'Генеральный баннер'!$I:$I=$C253)),"""")"),"")</f>
        <v/>
      </c>
      <c r="V253" s="92" t="str">
        <f t="shared" si="3"/>
        <v/>
      </c>
      <c r="W253" s="93">
        <f>IFERROR(__xludf.DUMMYFUNCTION("IFERROR(SWITCH(lower(join("" "",U253:V253)),""а миллионник"", 62.5,""б миллионник"", 75,""а мск"", 50, ""б мск"", 62.5, ""a остальное"", 70, ""б остальное"", 80)/100,0)"),0.0)</f>
        <v>0</v>
      </c>
      <c r="X253" s="91">
        <f t="shared" si="4"/>
        <v>0</v>
      </c>
    </row>
    <row r="254">
      <c r="A254" s="12"/>
      <c r="B254" s="12"/>
      <c r="C254" s="12"/>
      <c r="D254" s="91">
        <f>IFERROR(__xludf.DUMMYFUNCTION("IFERROR(sum(filter('Основной эфир'!$AA:$AA, 'Основной эфир'!$B:$B=$A254,'Основной эфир'!$C:$C=$B254,'Основной эфир'!$I:$I=$C254)), 0) "),0.0)</f>
        <v>0</v>
      </c>
      <c r="E254" s="91">
        <f>IFERROR(__xludf.DUMMYFUNCTION("IFERROR(sum(filter('Основной эфир'!$AC:$AC, 'Основной эфир'!$B:$B=$A254,'Основной эфир'!$C:$C=$B254,'Основной эфир'!$I:$I=$C254)), 0) "),0.0)</f>
        <v>0</v>
      </c>
      <c r="F254" s="91">
        <f>IFERROR(__xludf.DUMMYFUNCTION("IFERROR(sum(filter('Основной эфир'!$O:$O, 'Основной эфир'!$B:$B=$A254,'Основной эфир'!$C:$C=$B254,'Основной эфир'!$I:$I=$C254)), 0) "),0.0)</f>
        <v>0</v>
      </c>
      <c r="G254" s="91">
        <f>IFERROR(__xludf.DUMMYFUNCTION("IFERROR(sum(filter('Основной эфир'!$Q:$Q, 'Основной эфир'!$B:$B=$A254,'Основной эфир'!$C:$C=$B254,'Основной эфир'!$I:$I=$C254)), 0) "),0.0)</f>
        <v>0</v>
      </c>
      <c r="H254" s="91">
        <f>IFERROR(__xludf.DUMMYFUNCTION("IFERROR(AVERAGE(filter('Основной эфир'!$Y:$Y, 'Основной эфир'!$B:$B=$A254,'Основной эфир'!$C:$C=$B254,'Основной эфир'!$I:$I=$C254)), 0) "),0.0)</f>
        <v>0</v>
      </c>
      <c r="I254" s="91">
        <f>IFERROR(__xludf.DUMMYFUNCTION("IFERROR(AVERAGE(filter('Основной эфир'!$AE:$AE, 'Основной эфир'!$B:$B=$A254,'Основной эфир'!$C:$C=$B254,'Основной эфир'!$I:$I=$C254)), 0) "),0.0)</f>
        <v>0</v>
      </c>
      <c r="J254" s="91">
        <f>IFERROR(__xludf.DUMMYFUNCTION("IFERROR(SUM(filter('Основной эфир'!$AL:$AL, 'Основной эфир'!$B:$B=$A254,'Основной эфир'!$C:$C=$B254,'Основной эфир'!$I:$I=$C254)), 0) "),0.0)</f>
        <v>0</v>
      </c>
      <c r="K254" s="91" t="str">
        <f>IFERROR(__xludf.DUMMYFUNCTION("IFERROR(REGEXREPLACE(unique(filter('Основной эфир'!$A:$A, 'Основной эфир'!$B:$B=$A254,'Основной эфир'!$C:$C=$B254,'Основной эфир'!$I:$I=$C254)), ""\d+"", """"),"""")"),"")</f>
        <v/>
      </c>
      <c r="L254" s="91" t="str">
        <f>IFERROR(__xludf.DUMMYFUNCTION("IFERROR(unique(filter('Основной эфир'!$F:$F, 'Основной эфир'!$B:$B=$A254,'Основной эфир'!$C:$C=$B254,'Основной эфир'!$I:$I=$C254)),"""")"),"")</f>
        <v/>
      </c>
      <c r="M254" s="92" t="str">
        <f t="shared" si="1"/>
        <v/>
      </c>
      <c r="N254" s="93">
        <f>IFERROR(__xludf.DUMMYFUNCTION("IFERROR(SWITCH(lower(join("" "",L254:M254)),""а миллионник"", 62.5,""б миллионник"", 75,""а мск"", 50, ""б мск"", 62.5, ""a остальное"", 70, ""б остальное"", 80)/100,0)"),0.0)</f>
        <v>0</v>
      </c>
      <c r="O254" s="91">
        <f t="shared" si="2"/>
        <v>0</v>
      </c>
      <c r="P254" s="91">
        <f>IFERROR(__xludf.DUMMYFUNCTION("IFERROR(sum(filter('Генеральный баннер'!$O:$O, 'Генеральный баннер'!$B:$B=$A254,'Генеральный баннер'!$C:$C=$B254,'Генеральный баннер'!$I:$I=$C254)), 0) "),0.0)</f>
        <v>0</v>
      </c>
      <c r="Q254" s="91">
        <f>IFERROR(__xludf.DUMMYFUNCTION("IFERROR(sum(filter('Генеральный баннер'!$Q:$Q, 'Генеральный баннер'!$B:$B=$A254,'Генеральный баннер'!$C:$C=$B254,'Генеральный баннер'!$I:$I=$C254)), 0) "),0.0)</f>
        <v>0</v>
      </c>
      <c r="R254" s="91">
        <f>IFERROR(__xludf.DUMMYFUNCTION("IFERROR(AVERAGE(filter('Генеральный баннер'!$AA:$AA, 'Генеральный баннер'!$B:$B=$A254,'Генеральный баннер'!$C:$C=$B254,'Генеральный баннер'!$I:$I=$C254)), 0) "),0.0)</f>
        <v>0</v>
      </c>
      <c r="S254" s="91">
        <f>IFERROR(__xludf.DUMMYFUNCTION("IFERROR(SUM(filter('Генеральный баннер'!$AH:$AH, 'Генеральный баннер'!$B:$B=$A254,'Генеральный баннер'!$C:$C=$B254,'Генеральный баннер'!$I:$I=$C254)), 0) "),0.0)</f>
        <v>0</v>
      </c>
      <c r="T254" s="91" t="str">
        <f>IFERROR(__xludf.DUMMYFUNCTION("IFERROR(REGEXREPLACE(unique(filter('Генеральный баннер'!$A:$A, 'Генеральный баннер'!$B:$B=$A254,'Генеральный баннер'!$C:$C=$B254,'Генеральный баннер'!$I:$I=$C254)), ""\d+"", """"),"""")"),"")</f>
        <v/>
      </c>
      <c r="U254" s="91" t="str">
        <f>IFERROR(__xludf.DUMMYFUNCTION("IFERROR(unique(filter('Генеральный баннер'!$F:$F, 'Генеральный баннер'!$B:$B=$A254,'Генеральный баннер'!$C:$C=$B254,'Генеральный баннер'!$I:$I=$C254)),"""")"),"")</f>
        <v/>
      </c>
      <c r="V254" s="92" t="str">
        <f t="shared" si="3"/>
        <v/>
      </c>
      <c r="W254" s="93">
        <f>IFERROR(__xludf.DUMMYFUNCTION("IFERROR(SWITCH(lower(join("" "",U254:V254)),""а миллионник"", 62.5,""б миллионник"", 75,""а мск"", 50, ""б мск"", 62.5, ""a остальное"", 70, ""б остальное"", 80)/100,0)"),0.0)</f>
        <v>0</v>
      </c>
      <c r="X254" s="91">
        <f t="shared" si="4"/>
        <v>0</v>
      </c>
    </row>
    <row r="255">
      <c r="A255" s="12"/>
      <c r="B255" s="12"/>
      <c r="C255" s="12"/>
      <c r="D255" s="91">
        <f>IFERROR(__xludf.DUMMYFUNCTION("IFERROR(sum(filter('Основной эфир'!$AA:$AA, 'Основной эфир'!$B:$B=$A255,'Основной эфир'!$C:$C=$B255,'Основной эфир'!$I:$I=$C255)), 0) "),0.0)</f>
        <v>0</v>
      </c>
      <c r="E255" s="91">
        <f>IFERROR(__xludf.DUMMYFUNCTION("IFERROR(sum(filter('Основной эфир'!$AC:$AC, 'Основной эфир'!$B:$B=$A255,'Основной эфир'!$C:$C=$B255,'Основной эфир'!$I:$I=$C255)), 0) "),0.0)</f>
        <v>0</v>
      </c>
      <c r="F255" s="91">
        <f>IFERROR(__xludf.DUMMYFUNCTION("IFERROR(sum(filter('Основной эфир'!$O:$O, 'Основной эфир'!$B:$B=$A255,'Основной эфир'!$C:$C=$B255,'Основной эфир'!$I:$I=$C255)), 0) "),0.0)</f>
        <v>0</v>
      </c>
      <c r="G255" s="91">
        <f>IFERROR(__xludf.DUMMYFUNCTION("IFERROR(sum(filter('Основной эфир'!$Q:$Q, 'Основной эфир'!$B:$B=$A255,'Основной эфир'!$C:$C=$B255,'Основной эфир'!$I:$I=$C255)), 0) "),0.0)</f>
        <v>0</v>
      </c>
      <c r="H255" s="91">
        <f>IFERROR(__xludf.DUMMYFUNCTION("IFERROR(AVERAGE(filter('Основной эфир'!$Y:$Y, 'Основной эфир'!$B:$B=$A255,'Основной эфир'!$C:$C=$B255,'Основной эфир'!$I:$I=$C255)), 0) "),0.0)</f>
        <v>0</v>
      </c>
      <c r="I255" s="91">
        <f>IFERROR(__xludf.DUMMYFUNCTION("IFERROR(AVERAGE(filter('Основной эфир'!$AE:$AE, 'Основной эфир'!$B:$B=$A255,'Основной эфир'!$C:$C=$B255,'Основной эфир'!$I:$I=$C255)), 0) "),0.0)</f>
        <v>0</v>
      </c>
      <c r="J255" s="91">
        <f>IFERROR(__xludf.DUMMYFUNCTION("IFERROR(SUM(filter('Основной эфир'!$AL:$AL, 'Основной эфир'!$B:$B=$A255,'Основной эфир'!$C:$C=$B255,'Основной эфир'!$I:$I=$C255)), 0) "),0.0)</f>
        <v>0</v>
      </c>
      <c r="K255" s="91" t="str">
        <f>IFERROR(__xludf.DUMMYFUNCTION("IFERROR(REGEXREPLACE(unique(filter('Основной эфир'!$A:$A, 'Основной эфир'!$B:$B=$A255,'Основной эфир'!$C:$C=$B255,'Основной эфир'!$I:$I=$C255)), ""\d+"", """"),"""")"),"")</f>
        <v/>
      </c>
      <c r="L255" s="91" t="str">
        <f>IFERROR(__xludf.DUMMYFUNCTION("IFERROR(unique(filter('Основной эфир'!$F:$F, 'Основной эфир'!$B:$B=$A255,'Основной эфир'!$C:$C=$B255,'Основной эфир'!$I:$I=$C255)),"""")"),"")</f>
        <v/>
      </c>
      <c r="M255" s="92" t="str">
        <f t="shared" si="1"/>
        <v/>
      </c>
      <c r="N255" s="93">
        <f>IFERROR(__xludf.DUMMYFUNCTION("IFERROR(SWITCH(lower(join("" "",L255:M255)),""а миллионник"", 62.5,""б миллионник"", 75,""а мск"", 50, ""б мск"", 62.5, ""a остальное"", 70, ""б остальное"", 80)/100,0)"),0.0)</f>
        <v>0</v>
      </c>
      <c r="O255" s="91">
        <f t="shared" si="2"/>
        <v>0</v>
      </c>
      <c r="P255" s="91">
        <f>IFERROR(__xludf.DUMMYFUNCTION("IFERROR(sum(filter('Генеральный баннер'!$O:$O, 'Генеральный баннер'!$B:$B=$A255,'Генеральный баннер'!$C:$C=$B255,'Генеральный баннер'!$I:$I=$C255)), 0) "),0.0)</f>
        <v>0</v>
      </c>
      <c r="Q255" s="91">
        <f>IFERROR(__xludf.DUMMYFUNCTION("IFERROR(sum(filter('Генеральный баннер'!$Q:$Q, 'Генеральный баннер'!$B:$B=$A255,'Генеральный баннер'!$C:$C=$B255,'Генеральный баннер'!$I:$I=$C255)), 0) "),0.0)</f>
        <v>0</v>
      </c>
      <c r="R255" s="91">
        <f>IFERROR(__xludf.DUMMYFUNCTION("IFERROR(AVERAGE(filter('Генеральный баннер'!$AA:$AA, 'Генеральный баннер'!$B:$B=$A255,'Генеральный баннер'!$C:$C=$B255,'Генеральный баннер'!$I:$I=$C255)), 0) "),0.0)</f>
        <v>0</v>
      </c>
      <c r="S255" s="91">
        <f>IFERROR(__xludf.DUMMYFUNCTION("IFERROR(SUM(filter('Генеральный баннер'!$AH:$AH, 'Генеральный баннер'!$B:$B=$A255,'Генеральный баннер'!$C:$C=$B255,'Генеральный баннер'!$I:$I=$C255)), 0) "),0.0)</f>
        <v>0</v>
      </c>
      <c r="T255" s="91" t="str">
        <f>IFERROR(__xludf.DUMMYFUNCTION("IFERROR(REGEXREPLACE(unique(filter('Генеральный баннер'!$A:$A, 'Генеральный баннер'!$B:$B=$A255,'Генеральный баннер'!$C:$C=$B255,'Генеральный баннер'!$I:$I=$C255)), ""\d+"", """"),"""")"),"")</f>
        <v/>
      </c>
      <c r="U255" s="91" t="str">
        <f>IFERROR(__xludf.DUMMYFUNCTION("IFERROR(unique(filter('Генеральный баннер'!$F:$F, 'Генеральный баннер'!$B:$B=$A255,'Генеральный баннер'!$C:$C=$B255,'Генеральный баннер'!$I:$I=$C255)),"""")"),"")</f>
        <v/>
      </c>
      <c r="V255" s="92" t="str">
        <f t="shared" si="3"/>
        <v/>
      </c>
      <c r="W255" s="93">
        <f>IFERROR(__xludf.DUMMYFUNCTION("IFERROR(SWITCH(lower(join("" "",U255:V255)),""а миллионник"", 62.5,""б миллионник"", 75,""а мск"", 50, ""б мск"", 62.5, ""a остальное"", 70, ""б остальное"", 80)/100,0)"),0.0)</f>
        <v>0</v>
      </c>
      <c r="X255" s="91">
        <f t="shared" si="4"/>
        <v>0</v>
      </c>
    </row>
    <row r="256">
      <c r="A256" s="12"/>
      <c r="B256" s="12"/>
      <c r="C256" s="12"/>
      <c r="D256" s="91">
        <f>IFERROR(__xludf.DUMMYFUNCTION("IFERROR(sum(filter('Основной эфир'!$AA:$AA, 'Основной эфир'!$B:$B=$A256,'Основной эфир'!$C:$C=$B256,'Основной эфир'!$I:$I=$C256)), 0) "),0.0)</f>
        <v>0</v>
      </c>
      <c r="E256" s="91">
        <f>IFERROR(__xludf.DUMMYFUNCTION("IFERROR(sum(filter('Основной эфир'!$AC:$AC, 'Основной эфир'!$B:$B=$A256,'Основной эфир'!$C:$C=$B256,'Основной эфир'!$I:$I=$C256)), 0) "),0.0)</f>
        <v>0</v>
      </c>
      <c r="F256" s="91">
        <f>IFERROR(__xludf.DUMMYFUNCTION("IFERROR(sum(filter('Основной эфир'!$O:$O, 'Основной эфир'!$B:$B=$A256,'Основной эфир'!$C:$C=$B256,'Основной эфир'!$I:$I=$C256)), 0) "),0.0)</f>
        <v>0</v>
      </c>
      <c r="G256" s="91">
        <f>IFERROR(__xludf.DUMMYFUNCTION("IFERROR(sum(filter('Основной эфир'!$Q:$Q, 'Основной эфир'!$B:$B=$A256,'Основной эфир'!$C:$C=$B256,'Основной эфир'!$I:$I=$C256)), 0) "),0.0)</f>
        <v>0</v>
      </c>
      <c r="H256" s="91">
        <f>IFERROR(__xludf.DUMMYFUNCTION("IFERROR(AVERAGE(filter('Основной эфир'!$Y:$Y, 'Основной эфир'!$B:$B=$A256,'Основной эфир'!$C:$C=$B256,'Основной эфир'!$I:$I=$C256)), 0) "),0.0)</f>
        <v>0</v>
      </c>
      <c r="I256" s="91">
        <f>IFERROR(__xludf.DUMMYFUNCTION("IFERROR(AVERAGE(filter('Основной эфир'!$AE:$AE, 'Основной эфир'!$B:$B=$A256,'Основной эфир'!$C:$C=$B256,'Основной эфир'!$I:$I=$C256)), 0) "),0.0)</f>
        <v>0</v>
      </c>
      <c r="J256" s="91">
        <f>IFERROR(__xludf.DUMMYFUNCTION("IFERROR(SUM(filter('Основной эфир'!$AL:$AL, 'Основной эфир'!$B:$B=$A256,'Основной эфир'!$C:$C=$B256,'Основной эфир'!$I:$I=$C256)), 0) "),0.0)</f>
        <v>0</v>
      </c>
      <c r="K256" s="91" t="str">
        <f>IFERROR(__xludf.DUMMYFUNCTION("IFERROR(REGEXREPLACE(unique(filter('Основной эфир'!$A:$A, 'Основной эфир'!$B:$B=$A256,'Основной эфир'!$C:$C=$B256,'Основной эфир'!$I:$I=$C256)), ""\d+"", """"),"""")"),"")</f>
        <v/>
      </c>
      <c r="L256" s="91" t="str">
        <f>IFERROR(__xludf.DUMMYFUNCTION("IFERROR(unique(filter('Основной эфир'!$F:$F, 'Основной эфир'!$B:$B=$A256,'Основной эфир'!$C:$C=$B256,'Основной эфир'!$I:$I=$C256)),"""")"),"")</f>
        <v/>
      </c>
      <c r="M256" s="92" t="str">
        <f t="shared" si="1"/>
        <v/>
      </c>
      <c r="N256" s="93">
        <f>IFERROR(__xludf.DUMMYFUNCTION("IFERROR(SWITCH(lower(join("" "",L256:M256)),""а миллионник"", 62.5,""б миллионник"", 75,""а мск"", 50, ""б мск"", 62.5, ""a остальное"", 70, ""б остальное"", 80)/100,0)"),0.0)</f>
        <v>0</v>
      </c>
      <c r="O256" s="91">
        <f t="shared" si="2"/>
        <v>0</v>
      </c>
      <c r="P256" s="91">
        <f>IFERROR(__xludf.DUMMYFUNCTION("IFERROR(sum(filter('Генеральный баннер'!$O:$O, 'Генеральный баннер'!$B:$B=$A256,'Генеральный баннер'!$C:$C=$B256,'Генеральный баннер'!$I:$I=$C256)), 0) "),0.0)</f>
        <v>0</v>
      </c>
      <c r="Q256" s="91">
        <f>IFERROR(__xludf.DUMMYFUNCTION("IFERROR(sum(filter('Генеральный баннер'!$Q:$Q, 'Генеральный баннер'!$B:$B=$A256,'Генеральный баннер'!$C:$C=$B256,'Генеральный баннер'!$I:$I=$C256)), 0) "),0.0)</f>
        <v>0</v>
      </c>
      <c r="R256" s="91">
        <f>IFERROR(__xludf.DUMMYFUNCTION("IFERROR(AVERAGE(filter('Генеральный баннер'!$AA:$AA, 'Генеральный баннер'!$B:$B=$A256,'Генеральный баннер'!$C:$C=$B256,'Генеральный баннер'!$I:$I=$C256)), 0) "),0.0)</f>
        <v>0</v>
      </c>
      <c r="S256" s="91">
        <f>IFERROR(__xludf.DUMMYFUNCTION("IFERROR(SUM(filter('Генеральный баннер'!$AH:$AH, 'Генеральный баннер'!$B:$B=$A256,'Генеральный баннер'!$C:$C=$B256,'Генеральный баннер'!$I:$I=$C256)), 0) "),0.0)</f>
        <v>0</v>
      </c>
      <c r="T256" s="91" t="str">
        <f>IFERROR(__xludf.DUMMYFUNCTION("IFERROR(REGEXREPLACE(unique(filter('Генеральный баннер'!$A:$A, 'Генеральный баннер'!$B:$B=$A256,'Генеральный баннер'!$C:$C=$B256,'Генеральный баннер'!$I:$I=$C256)), ""\d+"", """"),"""")"),"")</f>
        <v/>
      </c>
      <c r="U256" s="91" t="str">
        <f>IFERROR(__xludf.DUMMYFUNCTION("IFERROR(unique(filter('Генеральный баннер'!$F:$F, 'Генеральный баннер'!$B:$B=$A256,'Генеральный баннер'!$C:$C=$B256,'Генеральный баннер'!$I:$I=$C256)),"""")"),"")</f>
        <v/>
      </c>
      <c r="V256" s="92" t="str">
        <f t="shared" si="3"/>
        <v/>
      </c>
      <c r="W256" s="93">
        <f>IFERROR(__xludf.DUMMYFUNCTION("IFERROR(SWITCH(lower(join("" "",U256:V256)),""а миллионник"", 62.5,""б миллионник"", 75,""а мск"", 50, ""б мск"", 62.5, ""a остальное"", 70, ""б остальное"", 80)/100,0)"),0.0)</f>
        <v>0</v>
      </c>
      <c r="X256" s="91">
        <f t="shared" si="4"/>
        <v>0</v>
      </c>
    </row>
    <row r="257">
      <c r="A257" s="12"/>
      <c r="B257" s="12"/>
      <c r="C257" s="12"/>
      <c r="D257" s="91">
        <f>IFERROR(__xludf.DUMMYFUNCTION("IFERROR(sum(filter('Основной эфир'!$AA:$AA, 'Основной эфир'!$B:$B=$A257,'Основной эфир'!$C:$C=$B257,'Основной эфир'!$I:$I=$C257)), 0) "),0.0)</f>
        <v>0</v>
      </c>
      <c r="E257" s="91">
        <f>IFERROR(__xludf.DUMMYFUNCTION("IFERROR(sum(filter('Основной эфир'!$AC:$AC, 'Основной эфир'!$B:$B=$A257,'Основной эфир'!$C:$C=$B257,'Основной эфир'!$I:$I=$C257)), 0) "),0.0)</f>
        <v>0</v>
      </c>
      <c r="F257" s="91">
        <f>IFERROR(__xludf.DUMMYFUNCTION("IFERROR(sum(filter('Основной эфир'!$O:$O, 'Основной эфир'!$B:$B=$A257,'Основной эфир'!$C:$C=$B257,'Основной эфир'!$I:$I=$C257)), 0) "),0.0)</f>
        <v>0</v>
      </c>
      <c r="G257" s="91">
        <f>IFERROR(__xludf.DUMMYFUNCTION("IFERROR(sum(filter('Основной эфир'!$Q:$Q, 'Основной эфир'!$B:$B=$A257,'Основной эфир'!$C:$C=$B257,'Основной эфир'!$I:$I=$C257)), 0) "),0.0)</f>
        <v>0</v>
      </c>
      <c r="H257" s="91">
        <f>IFERROR(__xludf.DUMMYFUNCTION("IFERROR(AVERAGE(filter('Основной эфир'!$Y:$Y, 'Основной эфир'!$B:$B=$A257,'Основной эфир'!$C:$C=$B257,'Основной эфир'!$I:$I=$C257)), 0) "),0.0)</f>
        <v>0</v>
      </c>
      <c r="I257" s="91">
        <f>IFERROR(__xludf.DUMMYFUNCTION("IFERROR(AVERAGE(filter('Основной эфир'!$AE:$AE, 'Основной эфир'!$B:$B=$A257,'Основной эфир'!$C:$C=$B257,'Основной эфир'!$I:$I=$C257)), 0) "),0.0)</f>
        <v>0</v>
      </c>
      <c r="J257" s="91">
        <f>IFERROR(__xludf.DUMMYFUNCTION("IFERROR(SUM(filter('Основной эфир'!$AL:$AL, 'Основной эфир'!$B:$B=$A257,'Основной эфир'!$C:$C=$B257,'Основной эфир'!$I:$I=$C257)), 0) "),0.0)</f>
        <v>0</v>
      </c>
      <c r="K257" s="91" t="str">
        <f>IFERROR(__xludf.DUMMYFUNCTION("IFERROR(REGEXREPLACE(unique(filter('Основной эфир'!$A:$A, 'Основной эфир'!$B:$B=$A257,'Основной эфир'!$C:$C=$B257,'Основной эфир'!$I:$I=$C257)), ""\d+"", """"),"""")"),"")</f>
        <v/>
      </c>
      <c r="L257" s="91" t="str">
        <f>IFERROR(__xludf.DUMMYFUNCTION("IFERROR(unique(filter('Основной эфир'!$F:$F, 'Основной эфир'!$B:$B=$A257,'Основной эфир'!$C:$C=$B257,'Основной эфир'!$I:$I=$C257)),"""")"),"")</f>
        <v/>
      </c>
      <c r="M257" s="92" t="str">
        <f t="shared" si="1"/>
        <v/>
      </c>
      <c r="N257" s="93">
        <f>IFERROR(__xludf.DUMMYFUNCTION("IFERROR(SWITCH(lower(join("" "",L257:M257)),""а миллионник"", 62.5,""б миллионник"", 75,""а мск"", 50, ""б мск"", 62.5, ""a остальное"", 70, ""б остальное"", 80)/100,0)"),0.0)</f>
        <v>0</v>
      </c>
      <c r="O257" s="91">
        <f t="shared" si="2"/>
        <v>0</v>
      </c>
      <c r="P257" s="91">
        <f>IFERROR(__xludf.DUMMYFUNCTION("IFERROR(sum(filter('Генеральный баннер'!$O:$O, 'Генеральный баннер'!$B:$B=$A257,'Генеральный баннер'!$C:$C=$B257,'Генеральный баннер'!$I:$I=$C257)), 0) "),0.0)</f>
        <v>0</v>
      </c>
      <c r="Q257" s="91">
        <f>IFERROR(__xludf.DUMMYFUNCTION("IFERROR(sum(filter('Генеральный баннер'!$Q:$Q, 'Генеральный баннер'!$B:$B=$A257,'Генеральный баннер'!$C:$C=$B257,'Генеральный баннер'!$I:$I=$C257)), 0) "),0.0)</f>
        <v>0</v>
      </c>
      <c r="R257" s="91">
        <f>IFERROR(__xludf.DUMMYFUNCTION("IFERROR(AVERAGE(filter('Генеральный баннер'!$AA:$AA, 'Генеральный баннер'!$B:$B=$A257,'Генеральный баннер'!$C:$C=$B257,'Генеральный баннер'!$I:$I=$C257)), 0) "),0.0)</f>
        <v>0</v>
      </c>
      <c r="S257" s="91">
        <f>IFERROR(__xludf.DUMMYFUNCTION("IFERROR(SUM(filter('Генеральный баннер'!$AH:$AH, 'Генеральный баннер'!$B:$B=$A257,'Генеральный баннер'!$C:$C=$B257,'Генеральный баннер'!$I:$I=$C257)), 0) "),0.0)</f>
        <v>0</v>
      </c>
      <c r="T257" s="91" t="str">
        <f>IFERROR(__xludf.DUMMYFUNCTION("IFERROR(REGEXREPLACE(unique(filter('Генеральный баннер'!$A:$A, 'Генеральный баннер'!$B:$B=$A257,'Генеральный баннер'!$C:$C=$B257,'Генеральный баннер'!$I:$I=$C257)), ""\d+"", """"),"""")"),"")</f>
        <v/>
      </c>
      <c r="U257" s="91" t="str">
        <f>IFERROR(__xludf.DUMMYFUNCTION("IFERROR(unique(filter('Генеральный баннер'!$F:$F, 'Генеральный баннер'!$B:$B=$A257,'Генеральный баннер'!$C:$C=$B257,'Генеральный баннер'!$I:$I=$C257)),"""")"),"")</f>
        <v/>
      </c>
      <c r="V257" s="92" t="str">
        <f t="shared" si="3"/>
        <v/>
      </c>
      <c r="W257" s="93">
        <f>IFERROR(__xludf.DUMMYFUNCTION("IFERROR(SWITCH(lower(join("" "",U257:V257)),""а миллионник"", 62.5,""б миллионник"", 75,""а мск"", 50, ""б мск"", 62.5, ""a остальное"", 70, ""б остальное"", 80)/100,0)"),0.0)</f>
        <v>0</v>
      </c>
      <c r="X257" s="91">
        <f t="shared" si="4"/>
        <v>0</v>
      </c>
    </row>
    <row r="258">
      <c r="A258" s="12"/>
      <c r="B258" s="12"/>
      <c r="C258" s="12"/>
      <c r="D258" s="91">
        <f>IFERROR(__xludf.DUMMYFUNCTION("IFERROR(sum(filter('Основной эфир'!$AA:$AA, 'Основной эфир'!$B:$B=$A258,'Основной эфир'!$C:$C=$B258,'Основной эфир'!$I:$I=$C258)), 0) "),0.0)</f>
        <v>0</v>
      </c>
      <c r="E258" s="91">
        <f>IFERROR(__xludf.DUMMYFUNCTION("IFERROR(sum(filter('Основной эфир'!$AC:$AC, 'Основной эфир'!$B:$B=$A258,'Основной эфир'!$C:$C=$B258,'Основной эфир'!$I:$I=$C258)), 0) "),0.0)</f>
        <v>0</v>
      </c>
      <c r="F258" s="91">
        <f>IFERROR(__xludf.DUMMYFUNCTION("IFERROR(sum(filter('Основной эфир'!$O:$O, 'Основной эфир'!$B:$B=$A258,'Основной эфир'!$C:$C=$B258,'Основной эфир'!$I:$I=$C258)), 0) "),0.0)</f>
        <v>0</v>
      </c>
      <c r="G258" s="91">
        <f>IFERROR(__xludf.DUMMYFUNCTION("IFERROR(sum(filter('Основной эфир'!$Q:$Q, 'Основной эфир'!$B:$B=$A258,'Основной эфир'!$C:$C=$B258,'Основной эфир'!$I:$I=$C258)), 0) "),0.0)</f>
        <v>0</v>
      </c>
      <c r="H258" s="91">
        <f>IFERROR(__xludf.DUMMYFUNCTION("IFERROR(AVERAGE(filter('Основной эфир'!$Y:$Y, 'Основной эфир'!$B:$B=$A258,'Основной эфир'!$C:$C=$B258,'Основной эфир'!$I:$I=$C258)), 0) "),0.0)</f>
        <v>0</v>
      </c>
      <c r="I258" s="91">
        <f>IFERROR(__xludf.DUMMYFUNCTION("IFERROR(AVERAGE(filter('Основной эфир'!$AE:$AE, 'Основной эфир'!$B:$B=$A258,'Основной эфир'!$C:$C=$B258,'Основной эфир'!$I:$I=$C258)), 0) "),0.0)</f>
        <v>0</v>
      </c>
      <c r="J258" s="91">
        <f>IFERROR(__xludf.DUMMYFUNCTION("IFERROR(SUM(filter('Основной эфир'!$AL:$AL, 'Основной эфир'!$B:$B=$A258,'Основной эфир'!$C:$C=$B258,'Основной эфир'!$I:$I=$C258)), 0) "),0.0)</f>
        <v>0</v>
      </c>
      <c r="K258" s="91" t="str">
        <f>IFERROR(__xludf.DUMMYFUNCTION("IFERROR(REGEXREPLACE(unique(filter('Основной эфир'!$A:$A, 'Основной эфир'!$B:$B=$A258,'Основной эфир'!$C:$C=$B258,'Основной эфир'!$I:$I=$C258)), ""\d+"", """"),"""")"),"")</f>
        <v/>
      </c>
      <c r="L258" s="91" t="str">
        <f>IFERROR(__xludf.DUMMYFUNCTION("IFERROR(unique(filter('Основной эфир'!$F:$F, 'Основной эфир'!$B:$B=$A258,'Основной эфир'!$C:$C=$B258,'Основной эфир'!$I:$I=$C258)),"""")"),"")</f>
        <v/>
      </c>
      <c r="M258" s="92" t="str">
        <f t="shared" si="1"/>
        <v/>
      </c>
      <c r="N258" s="93">
        <f>IFERROR(__xludf.DUMMYFUNCTION("IFERROR(SWITCH(lower(join("" "",L258:M258)),""а миллионник"", 62.5,""б миллионник"", 75,""а мск"", 50, ""б мск"", 62.5, ""a остальное"", 70, ""б остальное"", 80)/100,0)"),0.0)</f>
        <v>0</v>
      </c>
      <c r="O258" s="91">
        <f t="shared" si="2"/>
        <v>0</v>
      </c>
      <c r="P258" s="91">
        <f>IFERROR(__xludf.DUMMYFUNCTION("IFERROR(sum(filter('Генеральный баннер'!$O:$O, 'Генеральный баннер'!$B:$B=$A258,'Генеральный баннер'!$C:$C=$B258,'Генеральный баннер'!$I:$I=$C258)), 0) "),0.0)</f>
        <v>0</v>
      </c>
      <c r="Q258" s="91">
        <f>IFERROR(__xludf.DUMMYFUNCTION("IFERROR(sum(filter('Генеральный баннер'!$Q:$Q, 'Генеральный баннер'!$B:$B=$A258,'Генеральный баннер'!$C:$C=$B258,'Генеральный баннер'!$I:$I=$C258)), 0) "),0.0)</f>
        <v>0</v>
      </c>
      <c r="R258" s="91">
        <f>IFERROR(__xludf.DUMMYFUNCTION("IFERROR(AVERAGE(filter('Генеральный баннер'!$AA:$AA, 'Генеральный баннер'!$B:$B=$A258,'Генеральный баннер'!$C:$C=$B258,'Генеральный баннер'!$I:$I=$C258)), 0) "),0.0)</f>
        <v>0</v>
      </c>
      <c r="S258" s="91">
        <f>IFERROR(__xludf.DUMMYFUNCTION("IFERROR(SUM(filter('Генеральный баннер'!$AH:$AH, 'Генеральный баннер'!$B:$B=$A258,'Генеральный баннер'!$C:$C=$B258,'Генеральный баннер'!$I:$I=$C258)), 0) "),0.0)</f>
        <v>0</v>
      </c>
      <c r="T258" s="91" t="str">
        <f>IFERROR(__xludf.DUMMYFUNCTION("IFERROR(REGEXREPLACE(unique(filter('Генеральный баннер'!$A:$A, 'Генеральный баннер'!$B:$B=$A258,'Генеральный баннер'!$C:$C=$B258,'Генеральный баннер'!$I:$I=$C258)), ""\d+"", """"),"""")"),"")</f>
        <v/>
      </c>
      <c r="U258" s="91" t="str">
        <f>IFERROR(__xludf.DUMMYFUNCTION("IFERROR(unique(filter('Генеральный баннер'!$F:$F, 'Генеральный баннер'!$B:$B=$A258,'Генеральный баннер'!$C:$C=$B258,'Генеральный баннер'!$I:$I=$C258)),"""")"),"")</f>
        <v/>
      </c>
      <c r="V258" s="92" t="str">
        <f t="shared" si="3"/>
        <v/>
      </c>
      <c r="W258" s="93">
        <f>IFERROR(__xludf.DUMMYFUNCTION("IFERROR(SWITCH(lower(join("" "",U258:V258)),""а миллионник"", 62.5,""б миллионник"", 75,""а мск"", 50, ""б мск"", 62.5, ""a остальное"", 70, ""б остальное"", 80)/100,0)"),0.0)</f>
        <v>0</v>
      </c>
      <c r="X258" s="91">
        <f t="shared" si="4"/>
        <v>0</v>
      </c>
    </row>
    <row r="259">
      <c r="A259" s="12"/>
      <c r="B259" s="12"/>
      <c r="C259" s="12"/>
      <c r="D259" s="91">
        <f>IFERROR(__xludf.DUMMYFUNCTION("IFERROR(sum(filter('Основной эфир'!$AA:$AA, 'Основной эфир'!$B:$B=$A259,'Основной эфир'!$C:$C=$B259,'Основной эфир'!$I:$I=$C259)), 0) "),0.0)</f>
        <v>0</v>
      </c>
      <c r="E259" s="91">
        <f>IFERROR(__xludf.DUMMYFUNCTION("IFERROR(sum(filter('Основной эфир'!$AC:$AC, 'Основной эфир'!$B:$B=$A259,'Основной эфир'!$C:$C=$B259,'Основной эфир'!$I:$I=$C259)), 0) "),0.0)</f>
        <v>0</v>
      </c>
      <c r="F259" s="91">
        <f>IFERROR(__xludf.DUMMYFUNCTION("IFERROR(sum(filter('Основной эфир'!$O:$O, 'Основной эфир'!$B:$B=$A259,'Основной эфир'!$C:$C=$B259,'Основной эфир'!$I:$I=$C259)), 0) "),0.0)</f>
        <v>0</v>
      </c>
      <c r="G259" s="91">
        <f>IFERROR(__xludf.DUMMYFUNCTION("IFERROR(sum(filter('Основной эфир'!$Q:$Q, 'Основной эфир'!$B:$B=$A259,'Основной эфир'!$C:$C=$B259,'Основной эфир'!$I:$I=$C259)), 0) "),0.0)</f>
        <v>0</v>
      </c>
      <c r="H259" s="91">
        <f>IFERROR(__xludf.DUMMYFUNCTION("IFERROR(AVERAGE(filter('Основной эфир'!$Y:$Y, 'Основной эфир'!$B:$B=$A259,'Основной эфир'!$C:$C=$B259,'Основной эфир'!$I:$I=$C259)), 0) "),0.0)</f>
        <v>0</v>
      </c>
      <c r="I259" s="91">
        <f>IFERROR(__xludf.DUMMYFUNCTION("IFERROR(AVERAGE(filter('Основной эфир'!$AE:$AE, 'Основной эфир'!$B:$B=$A259,'Основной эфир'!$C:$C=$B259,'Основной эфир'!$I:$I=$C259)), 0) "),0.0)</f>
        <v>0</v>
      </c>
      <c r="J259" s="91">
        <f>IFERROR(__xludf.DUMMYFUNCTION("IFERROR(SUM(filter('Основной эфир'!$AL:$AL, 'Основной эфир'!$B:$B=$A259,'Основной эфир'!$C:$C=$B259,'Основной эфир'!$I:$I=$C259)), 0) "),0.0)</f>
        <v>0</v>
      </c>
      <c r="K259" s="91" t="str">
        <f>IFERROR(__xludf.DUMMYFUNCTION("IFERROR(REGEXREPLACE(unique(filter('Основной эфир'!$A:$A, 'Основной эфир'!$B:$B=$A259,'Основной эфир'!$C:$C=$B259,'Основной эфир'!$I:$I=$C259)), ""\d+"", """"),"""")"),"")</f>
        <v/>
      </c>
      <c r="L259" s="91" t="str">
        <f>IFERROR(__xludf.DUMMYFUNCTION("IFERROR(unique(filter('Основной эфир'!$F:$F, 'Основной эфир'!$B:$B=$A259,'Основной эфир'!$C:$C=$B259,'Основной эфир'!$I:$I=$C259)),"""")"),"")</f>
        <v/>
      </c>
      <c r="M259" s="92" t="str">
        <f t="shared" si="1"/>
        <v/>
      </c>
      <c r="N259" s="93">
        <f>IFERROR(__xludf.DUMMYFUNCTION("IFERROR(SWITCH(lower(join("" "",L259:M259)),""а миллионник"", 62.5,""б миллионник"", 75,""а мск"", 50, ""б мск"", 62.5, ""a остальное"", 70, ""б остальное"", 80)/100,0)"),0.0)</f>
        <v>0</v>
      </c>
      <c r="O259" s="91">
        <f t="shared" si="2"/>
        <v>0</v>
      </c>
      <c r="P259" s="91">
        <f>IFERROR(__xludf.DUMMYFUNCTION("IFERROR(sum(filter('Генеральный баннер'!$O:$O, 'Генеральный баннер'!$B:$B=$A259,'Генеральный баннер'!$C:$C=$B259,'Генеральный баннер'!$I:$I=$C259)), 0) "),0.0)</f>
        <v>0</v>
      </c>
      <c r="Q259" s="91">
        <f>IFERROR(__xludf.DUMMYFUNCTION("IFERROR(sum(filter('Генеральный баннер'!$Q:$Q, 'Генеральный баннер'!$B:$B=$A259,'Генеральный баннер'!$C:$C=$B259,'Генеральный баннер'!$I:$I=$C259)), 0) "),0.0)</f>
        <v>0</v>
      </c>
      <c r="R259" s="91">
        <f>IFERROR(__xludf.DUMMYFUNCTION("IFERROR(AVERAGE(filter('Генеральный баннер'!$AA:$AA, 'Генеральный баннер'!$B:$B=$A259,'Генеральный баннер'!$C:$C=$B259,'Генеральный баннер'!$I:$I=$C259)), 0) "),0.0)</f>
        <v>0</v>
      </c>
      <c r="S259" s="91">
        <f>IFERROR(__xludf.DUMMYFUNCTION("IFERROR(SUM(filter('Генеральный баннер'!$AH:$AH, 'Генеральный баннер'!$B:$B=$A259,'Генеральный баннер'!$C:$C=$B259,'Генеральный баннер'!$I:$I=$C259)), 0) "),0.0)</f>
        <v>0</v>
      </c>
      <c r="T259" s="91" t="str">
        <f>IFERROR(__xludf.DUMMYFUNCTION("IFERROR(REGEXREPLACE(unique(filter('Генеральный баннер'!$A:$A, 'Генеральный баннер'!$B:$B=$A259,'Генеральный баннер'!$C:$C=$B259,'Генеральный баннер'!$I:$I=$C259)), ""\d+"", """"),"""")"),"")</f>
        <v/>
      </c>
      <c r="U259" s="91" t="str">
        <f>IFERROR(__xludf.DUMMYFUNCTION("IFERROR(unique(filter('Генеральный баннер'!$F:$F, 'Генеральный баннер'!$B:$B=$A259,'Генеральный баннер'!$C:$C=$B259,'Генеральный баннер'!$I:$I=$C259)),"""")"),"")</f>
        <v/>
      </c>
      <c r="V259" s="92" t="str">
        <f t="shared" si="3"/>
        <v/>
      </c>
      <c r="W259" s="93">
        <f>IFERROR(__xludf.DUMMYFUNCTION("IFERROR(SWITCH(lower(join("" "",U259:V259)),""а миллионник"", 62.5,""б миллионник"", 75,""а мск"", 50, ""б мск"", 62.5, ""a остальное"", 70, ""б остальное"", 80)/100,0)"),0.0)</f>
        <v>0</v>
      </c>
      <c r="X259" s="91">
        <f t="shared" si="4"/>
        <v>0</v>
      </c>
    </row>
    <row r="260">
      <c r="A260" s="12"/>
      <c r="B260" s="12"/>
      <c r="C260" s="12"/>
      <c r="D260" s="91">
        <f>IFERROR(__xludf.DUMMYFUNCTION("IFERROR(sum(filter('Основной эфир'!$AA:$AA, 'Основной эфир'!$B:$B=$A260,'Основной эфир'!$C:$C=$B260,'Основной эфир'!$I:$I=$C260)), 0) "),0.0)</f>
        <v>0</v>
      </c>
      <c r="E260" s="91">
        <f>IFERROR(__xludf.DUMMYFUNCTION("IFERROR(sum(filter('Основной эфир'!$AC:$AC, 'Основной эфир'!$B:$B=$A260,'Основной эфир'!$C:$C=$B260,'Основной эфир'!$I:$I=$C260)), 0) "),0.0)</f>
        <v>0</v>
      </c>
      <c r="F260" s="91">
        <f>IFERROR(__xludf.DUMMYFUNCTION("IFERROR(sum(filter('Основной эфир'!$O:$O, 'Основной эфир'!$B:$B=$A260,'Основной эфир'!$C:$C=$B260,'Основной эфир'!$I:$I=$C260)), 0) "),0.0)</f>
        <v>0</v>
      </c>
      <c r="G260" s="91">
        <f>IFERROR(__xludf.DUMMYFUNCTION("IFERROR(sum(filter('Основной эфир'!$Q:$Q, 'Основной эфир'!$B:$B=$A260,'Основной эфир'!$C:$C=$B260,'Основной эфир'!$I:$I=$C260)), 0) "),0.0)</f>
        <v>0</v>
      </c>
      <c r="H260" s="91">
        <f>IFERROR(__xludf.DUMMYFUNCTION("IFERROR(AVERAGE(filter('Основной эфир'!$Y:$Y, 'Основной эфир'!$B:$B=$A260,'Основной эфир'!$C:$C=$B260,'Основной эфир'!$I:$I=$C260)), 0) "),0.0)</f>
        <v>0</v>
      </c>
      <c r="I260" s="91">
        <f>IFERROR(__xludf.DUMMYFUNCTION("IFERROR(AVERAGE(filter('Основной эфир'!$AE:$AE, 'Основной эфир'!$B:$B=$A260,'Основной эфир'!$C:$C=$B260,'Основной эфир'!$I:$I=$C260)), 0) "),0.0)</f>
        <v>0</v>
      </c>
      <c r="J260" s="91">
        <f>IFERROR(__xludf.DUMMYFUNCTION("IFERROR(SUM(filter('Основной эфир'!$AL:$AL, 'Основной эфир'!$B:$B=$A260,'Основной эфир'!$C:$C=$B260,'Основной эфир'!$I:$I=$C260)), 0) "),0.0)</f>
        <v>0</v>
      </c>
      <c r="K260" s="91" t="str">
        <f>IFERROR(__xludf.DUMMYFUNCTION("IFERROR(REGEXREPLACE(unique(filter('Основной эфир'!$A:$A, 'Основной эфир'!$B:$B=$A260,'Основной эфир'!$C:$C=$B260,'Основной эфир'!$I:$I=$C260)), ""\d+"", """"),"""")"),"")</f>
        <v/>
      </c>
      <c r="L260" s="91" t="str">
        <f>IFERROR(__xludf.DUMMYFUNCTION("IFERROR(unique(filter('Основной эфир'!$F:$F, 'Основной эфир'!$B:$B=$A260,'Основной эфир'!$C:$C=$B260,'Основной эфир'!$I:$I=$C260)),"""")"),"")</f>
        <v/>
      </c>
      <c r="M260" s="92" t="str">
        <f t="shared" si="1"/>
        <v/>
      </c>
      <c r="N260" s="93">
        <f>IFERROR(__xludf.DUMMYFUNCTION("IFERROR(SWITCH(lower(join("" "",L260:M260)),""а миллионник"", 62.5,""б миллионник"", 75,""а мск"", 50, ""б мск"", 62.5, ""a остальное"", 70, ""б остальное"", 80)/100,0)"),0.0)</f>
        <v>0</v>
      </c>
      <c r="O260" s="91">
        <f t="shared" si="2"/>
        <v>0</v>
      </c>
      <c r="P260" s="91">
        <f>IFERROR(__xludf.DUMMYFUNCTION("IFERROR(sum(filter('Генеральный баннер'!$O:$O, 'Генеральный баннер'!$B:$B=$A260,'Генеральный баннер'!$C:$C=$B260,'Генеральный баннер'!$I:$I=$C260)), 0) "),0.0)</f>
        <v>0</v>
      </c>
      <c r="Q260" s="91">
        <f>IFERROR(__xludf.DUMMYFUNCTION("IFERROR(sum(filter('Генеральный баннер'!$Q:$Q, 'Генеральный баннер'!$B:$B=$A260,'Генеральный баннер'!$C:$C=$B260,'Генеральный баннер'!$I:$I=$C260)), 0) "),0.0)</f>
        <v>0</v>
      </c>
      <c r="R260" s="91">
        <f>IFERROR(__xludf.DUMMYFUNCTION("IFERROR(AVERAGE(filter('Генеральный баннер'!$AA:$AA, 'Генеральный баннер'!$B:$B=$A260,'Генеральный баннер'!$C:$C=$B260,'Генеральный баннер'!$I:$I=$C260)), 0) "),0.0)</f>
        <v>0</v>
      </c>
      <c r="S260" s="91">
        <f>IFERROR(__xludf.DUMMYFUNCTION("IFERROR(SUM(filter('Генеральный баннер'!$AH:$AH, 'Генеральный баннер'!$B:$B=$A260,'Генеральный баннер'!$C:$C=$B260,'Генеральный баннер'!$I:$I=$C260)), 0) "),0.0)</f>
        <v>0</v>
      </c>
      <c r="T260" s="91" t="str">
        <f>IFERROR(__xludf.DUMMYFUNCTION("IFERROR(REGEXREPLACE(unique(filter('Генеральный баннер'!$A:$A, 'Генеральный баннер'!$B:$B=$A260,'Генеральный баннер'!$C:$C=$B260,'Генеральный баннер'!$I:$I=$C260)), ""\d+"", """"),"""")"),"")</f>
        <v/>
      </c>
      <c r="U260" s="91" t="str">
        <f>IFERROR(__xludf.DUMMYFUNCTION("IFERROR(unique(filter('Генеральный баннер'!$F:$F, 'Генеральный баннер'!$B:$B=$A260,'Генеральный баннер'!$C:$C=$B260,'Генеральный баннер'!$I:$I=$C260)),"""")"),"")</f>
        <v/>
      </c>
      <c r="V260" s="92" t="str">
        <f t="shared" si="3"/>
        <v/>
      </c>
      <c r="W260" s="93">
        <f>IFERROR(__xludf.DUMMYFUNCTION("IFERROR(SWITCH(lower(join("" "",U260:V260)),""а миллионник"", 62.5,""б миллионник"", 75,""а мск"", 50, ""б мск"", 62.5, ""a остальное"", 70, ""б остальное"", 80)/100,0)"),0.0)</f>
        <v>0</v>
      </c>
      <c r="X260" s="91">
        <f t="shared" si="4"/>
        <v>0</v>
      </c>
    </row>
    <row r="261">
      <c r="A261" s="12"/>
      <c r="B261" s="12"/>
      <c r="C261" s="12"/>
      <c r="D261" s="91">
        <f>IFERROR(__xludf.DUMMYFUNCTION("IFERROR(sum(filter('Основной эфир'!$AA:$AA, 'Основной эфир'!$B:$B=$A261,'Основной эфир'!$C:$C=$B261,'Основной эфир'!$I:$I=$C261)), 0) "),0.0)</f>
        <v>0</v>
      </c>
      <c r="E261" s="91">
        <f>IFERROR(__xludf.DUMMYFUNCTION("IFERROR(sum(filter('Основной эфир'!$AC:$AC, 'Основной эфир'!$B:$B=$A261,'Основной эфир'!$C:$C=$B261,'Основной эфир'!$I:$I=$C261)), 0) "),0.0)</f>
        <v>0</v>
      </c>
      <c r="F261" s="91">
        <f>IFERROR(__xludf.DUMMYFUNCTION("IFERROR(sum(filter('Основной эфир'!$O:$O, 'Основной эфир'!$B:$B=$A261,'Основной эфир'!$C:$C=$B261,'Основной эфир'!$I:$I=$C261)), 0) "),0.0)</f>
        <v>0</v>
      </c>
      <c r="G261" s="91">
        <f>IFERROR(__xludf.DUMMYFUNCTION("IFERROR(sum(filter('Основной эфир'!$Q:$Q, 'Основной эфир'!$B:$B=$A261,'Основной эфир'!$C:$C=$B261,'Основной эфир'!$I:$I=$C261)), 0) "),0.0)</f>
        <v>0</v>
      </c>
      <c r="H261" s="91">
        <f>IFERROR(__xludf.DUMMYFUNCTION("IFERROR(AVERAGE(filter('Основной эфир'!$Y:$Y, 'Основной эфир'!$B:$B=$A261,'Основной эфир'!$C:$C=$B261,'Основной эфир'!$I:$I=$C261)), 0) "),0.0)</f>
        <v>0</v>
      </c>
      <c r="I261" s="91">
        <f>IFERROR(__xludf.DUMMYFUNCTION("IFERROR(AVERAGE(filter('Основной эфир'!$AE:$AE, 'Основной эфир'!$B:$B=$A261,'Основной эфир'!$C:$C=$B261,'Основной эфир'!$I:$I=$C261)), 0) "),0.0)</f>
        <v>0</v>
      </c>
      <c r="J261" s="91">
        <f>IFERROR(__xludf.DUMMYFUNCTION("IFERROR(SUM(filter('Основной эфир'!$AL:$AL, 'Основной эфир'!$B:$B=$A261,'Основной эфир'!$C:$C=$B261,'Основной эфир'!$I:$I=$C261)), 0) "),0.0)</f>
        <v>0</v>
      </c>
      <c r="K261" s="91" t="str">
        <f>IFERROR(__xludf.DUMMYFUNCTION("IFERROR(REGEXREPLACE(unique(filter('Основной эфир'!$A:$A, 'Основной эфир'!$B:$B=$A261,'Основной эфир'!$C:$C=$B261,'Основной эфир'!$I:$I=$C261)), ""\d+"", """"),"""")"),"")</f>
        <v/>
      </c>
      <c r="L261" s="91" t="str">
        <f>IFERROR(__xludf.DUMMYFUNCTION("IFERROR(unique(filter('Основной эфир'!$F:$F, 'Основной эфир'!$B:$B=$A261,'Основной эфир'!$C:$C=$B261,'Основной эфир'!$I:$I=$C261)),"""")"),"")</f>
        <v/>
      </c>
      <c r="M261" s="92" t="str">
        <f t="shared" si="1"/>
        <v/>
      </c>
      <c r="N261" s="93">
        <f>IFERROR(__xludf.DUMMYFUNCTION("IFERROR(SWITCH(lower(join("" "",L261:M261)),""а миллионник"", 62.5,""б миллионник"", 75,""а мск"", 50, ""б мск"", 62.5, ""a остальное"", 70, ""б остальное"", 80)/100,0)"),0.0)</f>
        <v>0</v>
      </c>
      <c r="O261" s="91">
        <f t="shared" si="2"/>
        <v>0</v>
      </c>
      <c r="P261" s="91">
        <f>IFERROR(__xludf.DUMMYFUNCTION("IFERROR(sum(filter('Генеральный баннер'!$O:$O, 'Генеральный баннер'!$B:$B=$A261,'Генеральный баннер'!$C:$C=$B261,'Генеральный баннер'!$I:$I=$C261)), 0) "),0.0)</f>
        <v>0</v>
      </c>
      <c r="Q261" s="91">
        <f>IFERROR(__xludf.DUMMYFUNCTION("IFERROR(sum(filter('Генеральный баннер'!$Q:$Q, 'Генеральный баннер'!$B:$B=$A261,'Генеральный баннер'!$C:$C=$B261,'Генеральный баннер'!$I:$I=$C261)), 0) "),0.0)</f>
        <v>0</v>
      </c>
      <c r="R261" s="91">
        <f>IFERROR(__xludf.DUMMYFUNCTION("IFERROR(AVERAGE(filter('Генеральный баннер'!$AA:$AA, 'Генеральный баннер'!$B:$B=$A261,'Генеральный баннер'!$C:$C=$B261,'Генеральный баннер'!$I:$I=$C261)), 0) "),0.0)</f>
        <v>0</v>
      </c>
      <c r="S261" s="91">
        <f>IFERROR(__xludf.DUMMYFUNCTION("IFERROR(SUM(filter('Генеральный баннер'!$AH:$AH, 'Генеральный баннер'!$B:$B=$A261,'Генеральный баннер'!$C:$C=$B261,'Генеральный баннер'!$I:$I=$C261)), 0) "),0.0)</f>
        <v>0</v>
      </c>
      <c r="T261" s="91" t="str">
        <f>IFERROR(__xludf.DUMMYFUNCTION("IFERROR(REGEXREPLACE(unique(filter('Генеральный баннер'!$A:$A, 'Генеральный баннер'!$B:$B=$A261,'Генеральный баннер'!$C:$C=$B261,'Генеральный баннер'!$I:$I=$C261)), ""\d+"", """"),"""")"),"")</f>
        <v/>
      </c>
      <c r="U261" s="91" t="str">
        <f>IFERROR(__xludf.DUMMYFUNCTION("IFERROR(unique(filter('Генеральный баннер'!$F:$F, 'Генеральный баннер'!$B:$B=$A261,'Генеральный баннер'!$C:$C=$B261,'Генеральный баннер'!$I:$I=$C261)),"""")"),"")</f>
        <v/>
      </c>
      <c r="V261" s="92" t="str">
        <f t="shared" si="3"/>
        <v/>
      </c>
      <c r="W261" s="93">
        <f>IFERROR(__xludf.DUMMYFUNCTION("IFERROR(SWITCH(lower(join("" "",U261:V261)),""а миллионник"", 62.5,""б миллионник"", 75,""а мск"", 50, ""б мск"", 62.5, ""a остальное"", 70, ""б остальное"", 80)/100,0)"),0.0)</f>
        <v>0</v>
      </c>
      <c r="X261" s="91">
        <f t="shared" si="4"/>
        <v>0</v>
      </c>
    </row>
    <row r="262">
      <c r="A262" s="12"/>
      <c r="B262" s="12"/>
      <c r="C262" s="12"/>
      <c r="D262" s="91">
        <f>IFERROR(__xludf.DUMMYFUNCTION("IFERROR(sum(filter('Основной эфир'!$AA:$AA, 'Основной эфир'!$B:$B=$A262,'Основной эфир'!$C:$C=$B262,'Основной эфир'!$I:$I=$C262)), 0) "),0.0)</f>
        <v>0</v>
      </c>
      <c r="E262" s="91">
        <f>IFERROR(__xludf.DUMMYFUNCTION("IFERROR(sum(filter('Основной эфир'!$AC:$AC, 'Основной эфир'!$B:$B=$A262,'Основной эфир'!$C:$C=$B262,'Основной эфир'!$I:$I=$C262)), 0) "),0.0)</f>
        <v>0</v>
      </c>
      <c r="F262" s="91">
        <f>IFERROR(__xludf.DUMMYFUNCTION("IFERROR(sum(filter('Основной эфир'!$O:$O, 'Основной эфир'!$B:$B=$A262,'Основной эфир'!$C:$C=$B262,'Основной эфир'!$I:$I=$C262)), 0) "),0.0)</f>
        <v>0</v>
      </c>
      <c r="G262" s="91">
        <f>IFERROR(__xludf.DUMMYFUNCTION("IFERROR(sum(filter('Основной эфир'!$Q:$Q, 'Основной эфир'!$B:$B=$A262,'Основной эфир'!$C:$C=$B262,'Основной эфир'!$I:$I=$C262)), 0) "),0.0)</f>
        <v>0</v>
      </c>
      <c r="H262" s="91">
        <f>IFERROR(__xludf.DUMMYFUNCTION("IFERROR(AVERAGE(filter('Основной эфир'!$Y:$Y, 'Основной эфир'!$B:$B=$A262,'Основной эфир'!$C:$C=$B262,'Основной эфир'!$I:$I=$C262)), 0) "),0.0)</f>
        <v>0</v>
      </c>
      <c r="I262" s="91">
        <f>IFERROR(__xludf.DUMMYFUNCTION("IFERROR(AVERAGE(filter('Основной эфир'!$AE:$AE, 'Основной эфир'!$B:$B=$A262,'Основной эфир'!$C:$C=$B262,'Основной эфир'!$I:$I=$C262)), 0) "),0.0)</f>
        <v>0</v>
      </c>
      <c r="J262" s="91">
        <f>IFERROR(__xludf.DUMMYFUNCTION("IFERROR(SUM(filter('Основной эфир'!$AL:$AL, 'Основной эфир'!$B:$B=$A262,'Основной эфир'!$C:$C=$B262,'Основной эфир'!$I:$I=$C262)), 0) "),0.0)</f>
        <v>0</v>
      </c>
      <c r="K262" s="91" t="str">
        <f>IFERROR(__xludf.DUMMYFUNCTION("IFERROR(REGEXREPLACE(unique(filter('Основной эфир'!$A:$A, 'Основной эфир'!$B:$B=$A262,'Основной эфир'!$C:$C=$B262,'Основной эфир'!$I:$I=$C262)), ""\d+"", """"),"""")"),"")</f>
        <v/>
      </c>
      <c r="L262" s="91" t="str">
        <f>IFERROR(__xludf.DUMMYFUNCTION("IFERROR(unique(filter('Основной эфир'!$F:$F, 'Основной эфир'!$B:$B=$A262,'Основной эфир'!$C:$C=$B262,'Основной эфир'!$I:$I=$C262)),"""")"),"")</f>
        <v/>
      </c>
      <c r="M262" s="92" t="str">
        <f t="shared" si="1"/>
        <v/>
      </c>
      <c r="N262" s="93">
        <f>IFERROR(__xludf.DUMMYFUNCTION("IFERROR(SWITCH(lower(join("" "",L262:M262)),""а миллионник"", 62.5,""б миллионник"", 75,""а мск"", 50, ""б мск"", 62.5, ""a остальное"", 70, ""б остальное"", 80)/100,0)"),0.0)</f>
        <v>0</v>
      </c>
      <c r="O262" s="91">
        <f t="shared" si="2"/>
        <v>0</v>
      </c>
      <c r="P262" s="91">
        <f>IFERROR(__xludf.DUMMYFUNCTION("IFERROR(sum(filter('Генеральный баннер'!$O:$O, 'Генеральный баннер'!$B:$B=$A262,'Генеральный баннер'!$C:$C=$B262,'Генеральный баннер'!$I:$I=$C262)), 0) "),0.0)</f>
        <v>0</v>
      </c>
      <c r="Q262" s="91">
        <f>IFERROR(__xludf.DUMMYFUNCTION("IFERROR(sum(filter('Генеральный баннер'!$Q:$Q, 'Генеральный баннер'!$B:$B=$A262,'Генеральный баннер'!$C:$C=$B262,'Генеральный баннер'!$I:$I=$C262)), 0) "),0.0)</f>
        <v>0</v>
      </c>
      <c r="R262" s="91">
        <f>IFERROR(__xludf.DUMMYFUNCTION("IFERROR(AVERAGE(filter('Генеральный баннер'!$AA:$AA, 'Генеральный баннер'!$B:$B=$A262,'Генеральный баннер'!$C:$C=$B262,'Генеральный баннер'!$I:$I=$C262)), 0) "),0.0)</f>
        <v>0</v>
      </c>
      <c r="S262" s="91">
        <f>IFERROR(__xludf.DUMMYFUNCTION("IFERROR(SUM(filter('Генеральный баннер'!$AH:$AH, 'Генеральный баннер'!$B:$B=$A262,'Генеральный баннер'!$C:$C=$B262,'Генеральный баннер'!$I:$I=$C262)), 0) "),0.0)</f>
        <v>0</v>
      </c>
      <c r="T262" s="91" t="str">
        <f>IFERROR(__xludf.DUMMYFUNCTION("IFERROR(REGEXREPLACE(unique(filter('Генеральный баннер'!$A:$A, 'Генеральный баннер'!$B:$B=$A262,'Генеральный баннер'!$C:$C=$B262,'Генеральный баннер'!$I:$I=$C262)), ""\d+"", """"),"""")"),"")</f>
        <v/>
      </c>
      <c r="U262" s="91" t="str">
        <f>IFERROR(__xludf.DUMMYFUNCTION("IFERROR(unique(filter('Генеральный баннер'!$F:$F, 'Генеральный баннер'!$B:$B=$A262,'Генеральный баннер'!$C:$C=$B262,'Генеральный баннер'!$I:$I=$C262)),"""")"),"")</f>
        <v/>
      </c>
      <c r="V262" s="92" t="str">
        <f t="shared" si="3"/>
        <v/>
      </c>
      <c r="W262" s="93">
        <f>IFERROR(__xludf.DUMMYFUNCTION("IFERROR(SWITCH(lower(join("" "",U262:V262)),""а миллионник"", 62.5,""б миллионник"", 75,""а мск"", 50, ""б мск"", 62.5, ""a остальное"", 70, ""б остальное"", 80)/100,0)"),0.0)</f>
        <v>0</v>
      </c>
      <c r="X262" s="91">
        <f t="shared" si="4"/>
        <v>0</v>
      </c>
    </row>
    <row r="263">
      <c r="A263" s="12"/>
      <c r="B263" s="12"/>
      <c r="C263" s="12"/>
      <c r="D263" s="91">
        <f>IFERROR(__xludf.DUMMYFUNCTION("IFERROR(sum(filter('Основной эфир'!$AA:$AA, 'Основной эфир'!$B:$B=$A263,'Основной эфир'!$C:$C=$B263,'Основной эфир'!$I:$I=$C263)), 0) "),0.0)</f>
        <v>0</v>
      </c>
      <c r="E263" s="91">
        <f>IFERROR(__xludf.DUMMYFUNCTION("IFERROR(sum(filter('Основной эфир'!$AC:$AC, 'Основной эфир'!$B:$B=$A263,'Основной эфир'!$C:$C=$B263,'Основной эфир'!$I:$I=$C263)), 0) "),0.0)</f>
        <v>0</v>
      </c>
      <c r="F263" s="91">
        <f>IFERROR(__xludf.DUMMYFUNCTION("IFERROR(sum(filter('Основной эфир'!$O:$O, 'Основной эфир'!$B:$B=$A263,'Основной эфир'!$C:$C=$B263,'Основной эфир'!$I:$I=$C263)), 0) "),0.0)</f>
        <v>0</v>
      </c>
      <c r="G263" s="91">
        <f>IFERROR(__xludf.DUMMYFUNCTION("IFERROR(sum(filter('Основной эфир'!$Q:$Q, 'Основной эфир'!$B:$B=$A263,'Основной эфир'!$C:$C=$B263,'Основной эфир'!$I:$I=$C263)), 0) "),0.0)</f>
        <v>0</v>
      </c>
      <c r="H263" s="91">
        <f>IFERROR(__xludf.DUMMYFUNCTION("IFERROR(AVERAGE(filter('Основной эфир'!$Y:$Y, 'Основной эфир'!$B:$B=$A263,'Основной эфир'!$C:$C=$B263,'Основной эфир'!$I:$I=$C263)), 0) "),0.0)</f>
        <v>0</v>
      </c>
      <c r="I263" s="91">
        <f>IFERROR(__xludf.DUMMYFUNCTION("IFERROR(AVERAGE(filter('Основной эфир'!$AE:$AE, 'Основной эфир'!$B:$B=$A263,'Основной эфир'!$C:$C=$B263,'Основной эфир'!$I:$I=$C263)), 0) "),0.0)</f>
        <v>0</v>
      </c>
      <c r="J263" s="91">
        <f>IFERROR(__xludf.DUMMYFUNCTION("IFERROR(SUM(filter('Основной эфир'!$AL:$AL, 'Основной эфир'!$B:$B=$A263,'Основной эфир'!$C:$C=$B263,'Основной эфир'!$I:$I=$C263)), 0) "),0.0)</f>
        <v>0</v>
      </c>
      <c r="K263" s="91" t="str">
        <f>IFERROR(__xludf.DUMMYFUNCTION("IFERROR(REGEXREPLACE(unique(filter('Основной эфир'!$A:$A, 'Основной эфир'!$B:$B=$A263,'Основной эфир'!$C:$C=$B263,'Основной эфир'!$I:$I=$C263)), ""\d+"", """"),"""")"),"")</f>
        <v/>
      </c>
      <c r="L263" s="91" t="str">
        <f>IFERROR(__xludf.DUMMYFUNCTION("IFERROR(unique(filter('Основной эфир'!$F:$F, 'Основной эфир'!$B:$B=$A263,'Основной эфир'!$C:$C=$B263,'Основной эфир'!$I:$I=$C263)),"""")"),"")</f>
        <v/>
      </c>
      <c r="M263" s="92" t="str">
        <f t="shared" si="1"/>
        <v/>
      </c>
      <c r="N263" s="93">
        <f>IFERROR(__xludf.DUMMYFUNCTION("IFERROR(SWITCH(lower(join("" "",L263:M263)),""а миллионник"", 62.5,""б миллионник"", 75,""а мск"", 50, ""б мск"", 62.5, ""a остальное"", 70, ""б остальное"", 80)/100,0)"),0.0)</f>
        <v>0</v>
      </c>
      <c r="O263" s="91">
        <f t="shared" si="2"/>
        <v>0</v>
      </c>
      <c r="P263" s="91">
        <f>IFERROR(__xludf.DUMMYFUNCTION("IFERROR(sum(filter('Генеральный баннер'!$O:$O, 'Генеральный баннер'!$B:$B=$A263,'Генеральный баннер'!$C:$C=$B263,'Генеральный баннер'!$I:$I=$C263)), 0) "),0.0)</f>
        <v>0</v>
      </c>
      <c r="Q263" s="91">
        <f>IFERROR(__xludf.DUMMYFUNCTION("IFERROR(sum(filter('Генеральный баннер'!$Q:$Q, 'Генеральный баннер'!$B:$B=$A263,'Генеральный баннер'!$C:$C=$B263,'Генеральный баннер'!$I:$I=$C263)), 0) "),0.0)</f>
        <v>0</v>
      </c>
      <c r="R263" s="91">
        <f>IFERROR(__xludf.DUMMYFUNCTION("IFERROR(AVERAGE(filter('Генеральный баннер'!$AA:$AA, 'Генеральный баннер'!$B:$B=$A263,'Генеральный баннер'!$C:$C=$B263,'Генеральный баннер'!$I:$I=$C263)), 0) "),0.0)</f>
        <v>0</v>
      </c>
      <c r="S263" s="91">
        <f>IFERROR(__xludf.DUMMYFUNCTION("IFERROR(SUM(filter('Генеральный баннер'!$AH:$AH, 'Генеральный баннер'!$B:$B=$A263,'Генеральный баннер'!$C:$C=$B263,'Генеральный баннер'!$I:$I=$C263)), 0) "),0.0)</f>
        <v>0</v>
      </c>
      <c r="T263" s="91" t="str">
        <f>IFERROR(__xludf.DUMMYFUNCTION("IFERROR(REGEXREPLACE(unique(filter('Генеральный баннер'!$A:$A, 'Генеральный баннер'!$B:$B=$A263,'Генеральный баннер'!$C:$C=$B263,'Генеральный баннер'!$I:$I=$C263)), ""\d+"", """"),"""")"),"")</f>
        <v/>
      </c>
      <c r="U263" s="91" t="str">
        <f>IFERROR(__xludf.DUMMYFUNCTION("IFERROR(unique(filter('Генеральный баннер'!$F:$F, 'Генеральный баннер'!$B:$B=$A263,'Генеральный баннер'!$C:$C=$B263,'Генеральный баннер'!$I:$I=$C263)),"""")"),"")</f>
        <v/>
      </c>
      <c r="V263" s="92" t="str">
        <f t="shared" si="3"/>
        <v/>
      </c>
      <c r="W263" s="93">
        <f>IFERROR(__xludf.DUMMYFUNCTION("IFERROR(SWITCH(lower(join("" "",U263:V263)),""а миллионник"", 62.5,""б миллионник"", 75,""а мск"", 50, ""б мск"", 62.5, ""a остальное"", 70, ""б остальное"", 80)/100,0)"),0.0)</f>
        <v>0</v>
      </c>
      <c r="X263" s="91">
        <f t="shared" si="4"/>
        <v>0</v>
      </c>
    </row>
    <row r="264">
      <c r="A264" s="12"/>
      <c r="B264" s="12"/>
      <c r="C264" s="12"/>
      <c r="D264" s="91">
        <f>IFERROR(__xludf.DUMMYFUNCTION("IFERROR(sum(filter('Основной эфир'!$AA:$AA, 'Основной эфир'!$B:$B=$A264,'Основной эфир'!$C:$C=$B264,'Основной эфир'!$I:$I=$C264)), 0) "),0.0)</f>
        <v>0</v>
      </c>
      <c r="E264" s="91">
        <f>IFERROR(__xludf.DUMMYFUNCTION("IFERROR(sum(filter('Основной эфир'!$AC:$AC, 'Основной эфир'!$B:$B=$A264,'Основной эфир'!$C:$C=$B264,'Основной эфир'!$I:$I=$C264)), 0) "),0.0)</f>
        <v>0</v>
      </c>
      <c r="F264" s="91">
        <f>IFERROR(__xludf.DUMMYFUNCTION("IFERROR(sum(filter('Основной эфир'!$O:$O, 'Основной эфир'!$B:$B=$A264,'Основной эфир'!$C:$C=$B264,'Основной эфир'!$I:$I=$C264)), 0) "),0.0)</f>
        <v>0</v>
      </c>
      <c r="G264" s="91">
        <f>IFERROR(__xludf.DUMMYFUNCTION("IFERROR(sum(filter('Основной эфир'!$Q:$Q, 'Основной эфир'!$B:$B=$A264,'Основной эфир'!$C:$C=$B264,'Основной эфир'!$I:$I=$C264)), 0) "),0.0)</f>
        <v>0</v>
      </c>
      <c r="H264" s="91">
        <f>IFERROR(__xludf.DUMMYFUNCTION("IFERROR(AVERAGE(filter('Основной эфир'!$Y:$Y, 'Основной эфир'!$B:$B=$A264,'Основной эфир'!$C:$C=$B264,'Основной эфир'!$I:$I=$C264)), 0) "),0.0)</f>
        <v>0</v>
      </c>
      <c r="I264" s="91">
        <f>IFERROR(__xludf.DUMMYFUNCTION("IFERROR(AVERAGE(filter('Основной эфир'!$AE:$AE, 'Основной эфир'!$B:$B=$A264,'Основной эфир'!$C:$C=$B264,'Основной эфир'!$I:$I=$C264)), 0) "),0.0)</f>
        <v>0</v>
      </c>
      <c r="J264" s="91">
        <f>IFERROR(__xludf.DUMMYFUNCTION("IFERROR(SUM(filter('Основной эфир'!$AL:$AL, 'Основной эфир'!$B:$B=$A264,'Основной эфир'!$C:$C=$B264,'Основной эфир'!$I:$I=$C264)), 0) "),0.0)</f>
        <v>0</v>
      </c>
      <c r="K264" s="91" t="str">
        <f>IFERROR(__xludf.DUMMYFUNCTION("IFERROR(REGEXREPLACE(unique(filter('Основной эфир'!$A:$A, 'Основной эфир'!$B:$B=$A264,'Основной эфир'!$C:$C=$B264,'Основной эфир'!$I:$I=$C264)), ""\d+"", """"),"""")"),"")</f>
        <v/>
      </c>
      <c r="L264" s="91" t="str">
        <f>IFERROR(__xludf.DUMMYFUNCTION("IFERROR(unique(filter('Основной эфир'!$F:$F, 'Основной эфир'!$B:$B=$A264,'Основной эфир'!$C:$C=$B264,'Основной эфир'!$I:$I=$C264)),"""")"),"")</f>
        <v/>
      </c>
      <c r="M264" s="92" t="str">
        <f t="shared" si="1"/>
        <v/>
      </c>
      <c r="N264" s="93">
        <f>IFERROR(__xludf.DUMMYFUNCTION("IFERROR(SWITCH(lower(join("" "",L264:M264)),""а миллионник"", 62.5,""б миллионник"", 75,""а мск"", 50, ""б мск"", 62.5, ""a остальное"", 70, ""б остальное"", 80)/100,0)"),0.0)</f>
        <v>0</v>
      </c>
      <c r="O264" s="91">
        <f t="shared" si="2"/>
        <v>0</v>
      </c>
      <c r="P264" s="91">
        <f>IFERROR(__xludf.DUMMYFUNCTION("IFERROR(sum(filter('Генеральный баннер'!$O:$O, 'Генеральный баннер'!$B:$B=$A264,'Генеральный баннер'!$C:$C=$B264,'Генеральный баннер'!$I:$I=$C264)), 0) "),0.0)</f>
        <v>0</v>
      </c>
      <c r="Q264" s="91">
        <f>IFERROR(__xludf.DUMMYFUNCTION("IFERROR(sum(filter('Генеральный баннер'!$Q:$Q, 'Генеральный баннер'!$B:$B=$A264,'Генеральный баннер'!$C:$C=$B264,'Генеральный баннер'!$I:$I=$C264)), 0) "),0.0)</f>
        <v>0</v>
      </c>
      <c r="R264" s="91">
        <f>IFERROR(__xludf.DUMMYFUNCTION("IFERROR(AVERAGE(filter('Генеральный баннер'!$AA:$AA, 'Генеральный баннер'!$B:$B=$A264,'Генеральный баннер'!$C:$C=$B264,'Генеральный баннер'!$I:$I=$C264)), 0) "),0.0)</f>
        <v>0</v>
      </c>
      <c r="S264" s="91">
        <f>IFERROR(__xludf.DUMMYFUNCTION("IFERROR(SUM(filter('Генеральный баннер'!$AH:$AH, 'Генеральный баннер'!$B:$B=$A264,'Генеральный баннер'!$C:$C=$B264,'Генеральный баннер'!$I:$I=$C264)), 0) "),0.0)</f>
        <v>0</v>
      </c>
      <c r="T264" s="91" t="str">
        <f>IFERROR(__xludf.DUMMYFUNCTION("IFERROR(REGEXREPLACE(unique(filter('Генеральный баннер'!$A:$A, 'Генеральный баннер'!$B:$B=$A264,'Генеральный баннер'!$C:$C=$B264,'Генеральный баннер'!$I:$I=$C264)), ""\d+"", """"),"""")"),"")</f>
        <v/>
      </c>
      <c r="U264" s="91" t="str">
        <f>IFERROR(__xludf.DUMMYFUNCTION("IFERROR(unique(filter('Генеральный баннер'!$F:$F, 'Генеральный баннер'!$B:$B=$A264,'Генеральный баннер'!$C:$C=$B264,'Генеральный баннер'!$I:$I=$C264)),"""")"),"")</f>
        <v/>
      </c>
      <c r="V264" s="92" t="str">
        <f t="shared" si="3"/>
        <v/>
      </c>
      <c r="W264" s="93">
        <f>IFERROR(__xludf.DUMMYFUNCTION("IFERROR(SWITCH(lower(join("" "",U264:V264)),""а миллионник"", 62.5,""б миллионник"", 75,""а мск"", 50, ""б мск"", 62.5, ""a остальное"", 70, ""б остальное"", 80)/100,0)"),0.0)</f>
        <v>0</v>
      </c>
      <c r="X264" s="91">
        <f t="shared" si="4"/>
        <v>0</v>
      </c>
    </row>
    <row r="265">
      <c r="A265" s="12"/>
      <c r="B265" s="12"/>
      <c r="C265" s="12"/>
      <c r="D265" s="91">
        <f>IFERROR(__xludf.DUMMYFUNCTION("IFERROR(sum(filter('Основной эфир'!$AA:$AA, 'Основной эфир'!$B:$B=$A265,'Основной эфир'!$C:$C=$B265,'Основной эфир'!$I:$I=$C265)), 0) "),0.0)</f>
        <v>0</v>
      </c>
      <c r="E265" s="91">
        <f>IFERROR(__xludf.DUMMYFUNCTION("IFERROR(sum(filter('Основной эфир'!$AC:$AC, 'Основной эфир'!$B:$B=$A265,'Основной эфир'!$C:$C=$B265,'Основной эфир'!$I:$I=$C265)), 0) "),0.0)</f>
        <v>0</v>
      </c>
      <c r="F265" s="91">
        <f>IFERROR(__xludf.DUMMYFUNCTION("IFERROR(sum(filter('Основной эфир'!$O:$O, 'Основной эфир'!$B:$B=$A265,'Основной эфир'!$C:$C=$B265,'Основной эфир'!$I:$I=$C265)), 0) "),0.0)</f>
        <v>0</v>
      </c>
      <c r="G265" s="91">
        <f>IFERROR(__xludf.DUMMYFUNCTION("IFERROR(sum(filter('Основной эфир'!$Q:$Q, 'Основной эфир'!$B:$B=$A265,'Основной эфир'!$C:$C=$B265,'Основной эфир'!$I:$I=$C265)), 0) "),0.0)</f>
        <v>0</v>
      </c>
      <c r="H265" s="91">
        <f>IFERROR(__xludf.DUMMYFUNCTION("IFERROR(AVERAGE(filter('Основной эфир'!$Y:$Y, 'Основной эфир'!$B:$B=$A265,'Основной эфир'!$C:$C=$B265,'Основной эфир'!$I:$I=$C265)), 0) "),0.0)</f>
        <v>0</v>
      </c>
      <c r="I265" s="91">
        <f>IFERROR(__xludf.DUMMYFUNCTION("IFERROR(AVERAGE(filter('Основной эфир'!$AE:$AE, 'Основной эфир'!$B:$B=$A265,'Основной эфир'!$C:$C=$B265,'Основной эфир'!$I:$I=$C265)), 0) "),0.0)</f>
        <v>0</v>
      </c>
      <c r="J265" s="91">
        <f>IFERROR(__xludf.DUMMYFUNCTION("IFERROR(SUM(filter('Основной эфир'!$AL:$AL, 'Основной эфир'!$B:$B=$A265,'Основной эфир'!$C:$C=$B265,'Основной эфир'!$I:$I=$C265)), 0) "),0.0)</f>
        <v>0</v>
      </c>
      <c r="K265" s="91" t="str">
        <f>IFERROR(__xludf.DUMMYFUNCTION("IFERROR(REGEXREPLACE(unique(filter('Основной эфир'!$A:$A, 'Основной эфир'!$B:$B=$A265,'Основной эфир'!$C:$C=$B265,'Основной эфир'!$I:$I=$C265)), ""\d+"", """"),"""")"),"")</f>
        <v/>
      </c>
      <c r="L265" s="91" t="str">
        <f>IFERROR(__xludf.DUMMYFUNCTION("IFERROR(unique(filter('Основной эфир'!$F:$F, 'Основной эфир'!$B:$B=$A265,'Основной эфир'!$C:$C=$B265,'Основной эфир'!$I:$I=$C265)),"""")"),"")</f>
        <v/>
      </c>
      <c r="M265" s="92" t="str">
        <f t="shared" si="1"/>
        <v/>
      </c>
      <c r="N265" s="93">
        <f>IFERROR(__xludf.DUMMYFUNCTION("IFERROR(SWITCH(lower(join("" "",L265:M265)),""а миллионник"", 62.5,""б миллионник"", 75,""а мск"", 50, ""б мск"", 62.5, ""a остальное"", 70, ""б остальное"", 80)/100,0)"),0.0)</f>
        <v>0</v>
      </c>
      <c r="O265" s="91">
        <f t="shared" si="2"/>
        <v>0</v>
      </c>
      <c r="P265" s="91">
        <f>IFERROR(__xludf.DUMMYFUNCTION("IFERROR(sum(filter('Генеральный баннер'!$O:$O, 'Генеральный баннер'!$B:$B=$A265,'Генеральный баннер'!$C:$C=$B265,'Генеральный баннер'!$I:$I=$C265)), 0) "),0.0)</f>
        <v>0</v>
      </c>
      <c r="Q265" s="91">
        <f>IFERROR(__xludf.DUMMYFUNCTION("IFERROR(sum(filter('Генеральный баннер'!$Q:$Q, 'Генеральный баннер'!$B:$B=$A265,'Генеральный баннер'!$C:$C=$B265,'Генеральный баннер'!$I:$I=$C265)), 0) "),0.0)</f>
        <v>0</v>
      </c>
      <c r="R265" s="91">
        <f>IFERROR(__xludf.DUMMYFUNCTION("IFERROR(AVERAGE(filter('Генеральный баннер'!$AA:$AA, 'Генеральный баннер'!$B:$B=$A265,'Генеральный баннер'!$C:$C=$B265,'Генеральный баннер'!$I:$I=$C265)), 0) "),0.0)</f>
        <v>0</v>
      </c>
      <c r="S265" s="91">
        <f>IFERROR(__xludf.DUMMYFUNCTION("IFERROR(SUM(filter('Генеральный баннер'!$AH:$AH, 'Генеральный баннер'!$B:$B=$A265,'Генеральный баннер'!$C:$C=$B265,'Генеральный баннер'!$I:$I=$C265)), 0) "),0.0)</f>
        <v>0</v>
      </c>
      <c r="T265" s="91" t="str">
        <f>IFERROR(__xludf.DUMMYFUNCTION("IFERROR(REGEXREPLACE(unique(filter('Генеральный баннер'!$A:$A, 'Генеральный баннер'!$B:$B=$A265,'Генеральный баннер'!$C:$C=$B265,'Генеральный баннер'!$I:$I=$C265)), ""\d+"", """"),"""")"),"")</f>
        <v/>
      </c>
      <c r="U265" s="91" t="str">
        <f>IFERROR(__xludf.DUMMYFUNCTION("IFERROR(unique(filter('Генеральный баннер'!$F:$F, 'Генеральный баннер'!$B:$B=$A265,'Генеральный баннер'!$C:$C=$B265,'Генеральный баннер'!$I:$I=$C265)),"""")"),"")</f>
        <v/>
      </c>
      <c r="V265" s="92" t="str">
        <f t="shared" si="3"/>
        <v/>
      </c>
      <c r="W265" s="93">
        <f>IFERROR(__xludf.DUMMYFUNCTION("IFERROR(SWITCH(lower(join("" "",U265:V265)),""а миллионник"", 62.5,""б миллионник"", 75,""а мск"", 50, ""б мск"", 62.5, ""a остальное"", 70, ""б остальное"", 80)/100,0)"),0.0)</f>
        <v>0</v>
      </c>
      <c r="X265" s="91">
        <f t="shared" si="4"/>
        <v>0</v>
      </c>
    </row>
    <row r="266">
      <c r="A266" s="12"/>
      <c r="B266" s="12"/>
      <c r="C266" s="12"/>
      <c r="D266" s="91">
        <f>IFERROR(__xludf.DUMMYFUNCTION("IFERROR(sum(filter('Основной эфир'!$AA:$AA, 'Основной эфир'!$B:$B=$A266,'Основной эфир'!$C:$C=$B266,'Основной эфир'!$I:$I=$C266)), 0) "),0.0)</f>
        <v>0</v>
      </c>
      <c r="E266" s="91">
        <f>IFERROR(__xludf.DUMMYFUNCTION("IFERROR(sum(filter('Основной эфир'!$AC:$AC, 'Основной эфир'!$B:$B=$A266,'Основной эфир'!$C:$C=$B266,'Основной эфир'!$I:$I=$C266)), 0) "),0.0)</f>
        <v>0</v>
      </c>
      <c r="F266" s="91">
        <f>IFERROR(__xludf.DUMMYFUNCTION("IFERROR(sum(filter('Основной эфир'!$O:$O, 'Основной эфир'!$B:$B=$A266,'Основной эфир'!$C:$C=$B266,'Основной эфир'!$I:$I=$C266)), 0) "),0.0)</f>
        <v>0</v>
      </c>
      <c r="G266" s="91">
        <f>IFERROR(__xludf.DUMMYFUNCTION("IFERROR(sum(filter('Основной эфир'!$Q:$Q, 'Основной эфир'!$B:$B=$A266,'Основной эфир'!$C:$C=$B266,'Основной эфир'!$I:$I=$C266)), 0) "),0.0)</f>
        <v>0</v>
      </c>
      <c r="H266" s="91">
        <f>IFERROR(__xludf.DUMMYFUNCTION("IFERROR(AVERAGE(filter('Основной эфир'!$Y:$Y, 'Основной эфир'!$B:$B=$A266,'Основной эфир'!$C:$C=$B266,'Основной эфир'!$I:$I=$C266)), 0) "),0.0)</f>
        <v>0</v>
      </c>
      <c r="I266" s="91">
        <f>IFERROR(__xludf.DUMMYFUNCTION("IFERROR(AVERAGE(filter('Основной эфир'!$AE:$AE, 'Основной эфир'!$B:$B=$A266,'Основной эфир'!$C:$C=$B266,'Основной эфир'!$I:$I=$C266)), 0) "),0.0)</f>
        <v>0</v>
      </c>
      <c r="J266" s="91">
        <f>IFERROR(__xludf.DUMMYFUNCTION("IFERROR(SUM(filter('Основной эфир'!$AL:$AL, 'Основной эфир'!$B:$B=$A266,'Основной эфир'!$C:$C=$B266,'Основной эфир'!$I:$I=$C266)), 0) "),0.0)</f>
        <v>0</v>
      </c>
      <c r="K266" s="91" t="str">
        <f>IFERROR(__xludf.DUMMYFUNCTION("IFERROR(REGEXREPLACE(unique(filter('Основной эфир'!$A:$A, 'Основной эфир'!$B:$B=$A266,'Основной эфир'!$C:$C=$B266,'Основной эфир'!$I:$I=$C266)), ""\d+"", """"),"""")"),"")</f>
        <v/>
      </c>
      <c r="L266" s="91" t="str">
        <f>IFERROR(__xludf.DUMMYFUNCTION("IFERROR(unique(filter('Основной эфир'!$F:$F, 'Основной эфир'!$B:$B=$A266,'Основной эфир'!$C:$C=$B266,'Основной эфир'!$I:$I=$C266)),"""")"),"")</f>
        <v/>
      </c>
      <c r="M266" s="92" t="str">
        <f t="shared" si="1"/>
        <v/>
      </c>
      <c r="N266" s="93">
        <f>IFERROR(__xludf.DUMMYFUNCTION("IFERROR(SWITCH(lower(join("" "",L266:M266)),""а миллионник"", 62.5,""б миллионник"", 75,""а мск"", 50, ""б мск"", 62.5, ""a остальное"", 70, ""б остальное"", 80)/100,0)"),0.0)</f>
        <v>0</v>
      </c>
      <c r="O266" s="91">
        <f t="shared" si="2"/>
        <v>0</v>
      </c>
      <c r="P266" s="91">
        <f>IFERROR(__xludf.DUMMYFUNCTION("IFERROR(sum(filter('Генеральный баннер'!$O:$O, 'Генеральный баннер'!$B:$B=$A266,'Генеральный баннер'!$C:$C=$B266,'Генеральный баннер'!$I:$I=$C266)), 0) "),0.0)</f>
        <v>0</v>
      </c>
      <c r="Q266" s="91">
        <f>IFERROR(__xludf.DUMMYFUNCTION("IFERROR(sum(filter('Генеральный баннер'!$Q:$Q, 'Генеральный баннер'!$B:$B=$A266,'Генеральный баннер'!$C:$C=$B266,'Генеральный баннер'!$I:$I=$C266)), 0) "),0.0)</f>
        <v>0</v>
      </c>
      <c r="R266" s="91">
        <f>IFERROR(__xludf.DUMMYFUNCTION("IFERROR(AVERAGE(filter('Генеральный баннер'!$AA:$AA, 'Генеральный баннер'!$B:$B=$A266,'Генеральный баннер'!$C:$C=$B266,'Генеральный баннер'!$I:$I=$C266)), 0) "),0.0)</f>
        <v>0</v>
      </c>
      <c r="S266" s="91">
        <f>IFERROR(__xludf.DUMMYFUNCTION("IFERROR(SUM(filter('Генеральный баннер'!$AH:$AH, 'Генеральный баннер'!$B:$B=$A266,'Генеральный баннер'!$C:$C=$B266,'Генеральный баннер'!$I:$I=$C266)), 0) "),0.0)</f>
        <v>0</v>
      </c>
      <c r="T266" s="91" t="str">
        <f>IFERROR(__xludf.DUMMYFUNCTION("IFERROR(REGEXREPLACE(unique(filter('Генеральный баннер'!$A:$A, 'Генеральный баннер'!$B:$B=$A266,'Генеральный баннер'!$C:$C=$B266,'Генеральный баннер'!$I:$I=$C266)), ""\d+"", """"),"""")"),"")</f>
        <v/>
      </c>
      <c r="U266" s="91" t="str">
        <f>IFERROR(__xludf.DUMMYFUNCTION("IFERROR(unique(filter('Генеральный баннер'!$F:$F, 'Генеральный баннер'!$B:$B=$A266,'Генеральный баннер'!$C:$C=$B266,'Генеральный баннер'!$I:$I=$C266)),"""")"),"")</f>
        <v/>
      </c>
      <c r="V266" s="92" t="str">
        <f t="shared" si="3"/>
        <v/>
      </c>
      <c r="W266" s="93">
        <f>IFERROR(__xludf.DUMMYFUNCTION("IFERROR(SWITCH(lower(join("" "",U266:V266)),""а миллионник"", 62.5,""б миллионник"", 75,""а мск"", 50, ""б мск"", 62.5, ""a остальное"", 70, ""б остальное"", 80)/100,0)"),0.0)</f>
        <v>0</v>
      </c>
      <c r="X266" s="91">
        <f t="shared" si="4"/>
        <v>0</v>
      </c>
    </row>
    <row r="267">
      <c r="A267" s="12"/>
      <c r="B267" s="12"/>
      <c r="C267" s="12"/>
      <c r="D267" s="91">
        <f>IFERROR(__xludf.DUMMYFUNCTION("IFERROR(sum(filter('Основной эфир'!$AA:$AA, 'Основной эфир'!$B:$B=$A267,'Основной эфир'!$C:$C=$B267,'Основной эфир'!$I:$I=$C267)), 0) "),0.0)</f>
        <v>0</v>
      </c>
      <c r="E267" s="91">
        <f>IFERROR(__xludf.DUMMYFUNCTION("IFERROR(sum(filter('Основной эфир'!$AC:$AC, 'Основной эфир'!$B:$B=$A267,'Основной эфир'!$C:$C=$B267,'Основной эфир'!$I:$I=$C267)), 0) "),0.0)</f>
        <v>0</v>
      </c>
      <c r="F267" s="91">
        <f>IFERROR(__xludf.DUMMYFUNCTION("IFERROR(sum(filter('Основной эфир'!$O:$O, 'Основной эфир'!$B:$B=$A267,'Основной эфир'!$C:$C=$B267,'Основной эфир'!$I:$I=$C267)), 0) "),0.0)</f>
        <v>0</v>
      </c>
      <c r="G267" s="91">
        <f>IFERROR(__xludf.DUMMYFUNCTION("IFERROR(sum(filter('Основной эфир'!$Q:$Q, 'Основной эфир'!$B:$B=$A267,'Основной эфир'!$C:$C=$B267,'Основной эфир'!$I:$I=$C267)), 0) "),0.0)</f>
        <v>0</v>
      </c>
      <c r="H267" s="91">
        <f>IFERROR(__xludf.DUMMYFUNCTION("IFERROR(AVERAGE(filter('Основной эфир'!$Y:$Y, 'Основной эфир'!$B:$B=$A267,'Основной эфир'!$C:$C=$B267,'Основной эфир'!$I:$I=$C267)), 0) "),0.0)</f>
        <v>0</v>
      </c>
      <c r="I267" s="91">
        <f>IFERROR(__xludf.DUMMYFUNCTION("IFERROR(AVERAGE(filter('Основной эфир'!$AE:$AE, 'Основной эфир'!$B:$B=$A267,'Основной эфир'!$C:$C=$B267,'Основной эфир'!$I:$I=$C267)), 0) "),0.0)</f>
        <v>0</v>
      </c>
      <c r="J267" s="91">
        <f>IFERROR(__xludf.DUMMYFUNCTION("IFERROR(SUM(filter('Основной эфир'!$AL:$AL, 'Основной эфир'!$B:$B=$A267,'Основной эфир'!$C:$C=$B267,'Основной эфир'!$I:$I=$C267)), 0) "),0.0)</f>
        <v>0</v>
      </c>
      <c r="K267" s="91" t="str">
        <f>IFERROR(__xludf.DUMMYFUNCTION("IFERROR(REGEXREPLACE(unique(filter('Основной эфир'!$A:$A, 'Основной эфир'!$B:$B=$A267,'Основной эфир'!$C:$C=$B267,'Основной эфир'!$I:$I=$C267)), ""\d+"", """"),"""")"),"")</f>
        <v/>
      </c>
      <c r="L267" s="91" t="str">
        <f>IFERROR(__xludf.DUMMYFUNCTION("IFERROR(unique(filter('Основной эфир'!$F:$F, 'Основной эфир'!$B:$B=$A267,'Основной эфир'!$C:$C=$B267,'Основной эфир'!$I:$I=$C267)),"""")"),"")</f>
        <v/>
      </c>
      <c r="M267" s="92" t="str">
        <f t="shared" si="1"/>
        <v/>
      </c>
      <c r="N267" s="93">
        <f>IFERROR(__xludf.DUMMYFUNCTION("IFERROR(SWITCH(lower(join("" "",L267:M267)),""а миллионник"", 62.5,""б миллионник"", 75,""а мск"", 50, ""б мск"", 62.5, ""a остальное"", 70, ""б остальное"", 80)/100,0)"),0.0)</f>
        <v>0</v>
      </c>
      <c r="O267" s="91">
        <f t="shared" si="2"/>
        <v>0</v>
      </c>
      <c r="P267" s="91">
        <f>IFERROR(__xludf.DUMMYFUNCTION("IFERROR(sum(filter('Генеральный баннер'!$O:$O, 'Генеральный баннер'!$B:$B=$A267,'Генеральный баннер'!$C:$C=$B267,'Генеральный баннер'!$I:$I=$C267)), 0) "),0.0)</f>
        <v>0</v>
      </c>
      <c r="Q267" s="91">
        <f>IFERROR(__xludf.DUMMYFUNCTION("IFERROR(sum(filter('Генеральный баннер'!$Q:$Q, 'Генеральный баннер'!$B:$B=$A267,'Генеральный баннер'!$C:$C=$B267,'Генеральный баннер'!$I:$I=$C267)), 0) "),0.0)</f>
        <v>0</v>
      </c>
      <c r="R267" s="91">
        <f>IFERROR(__xludf.DUMMYFUNCTION("IFERROR(AVERAGE(filter('Генеральный баннер'!$AA:$AA, 'Генеральный баннер'!$B:$B=$A267,'Генеральный баннер'!$C:$C=$B267,'Генеральный баннер'!$I:$I=$C267)), 0) "),0.0)</f>
        <v>0</v>
      </c>
      <c r="S267" s="91">
        <f>IFERROR(__xludf.DUMMYFUNCTION("IFERROR(SUM(filter('Генеральный баннер'!$AH:$AH, 'Генеральный баннер'!$B:$B=$A267,'Генеральный баннер'!$C:$C=$B267,'Генеральный баннер'!$I:$I=$C267)), 0) "),0.0)</f>
        <v>0</v>
      </c>
      <c r="T267" s="91" t="str">
        <f>IFERROR(__xludf.DUMMYFUNCTION("IFERROR(REGEXREPLACE(unique(filter('Генеральный баннер'!$A:$A, 'Генеральный баннер'!$B:$B=$A267,'Генеральный баннер'!$C:$C=$B267,'Генеральный баннер'!$I:$I=$C267)), ""\d+"", """"),"""")"),"")</f>
        <v/>
      </c>
      <c r="U267" s="91" t="str">
        <f>IFERROR(__xludf.DUMMYFUNCTION("IFERROR(unique(filter('Генеральный баннер'!$F:$F, 'Генеральный баннер'!$B:$B=$A267,'Генеральный баннер'!$C:$C=$B267,'Генеральный баннер'!$I:$I=$C267)),"""")"),"")</f>
        <v/>
      </c>
      <c r="V267" s="92" t="str">
        <f t="shared" si="3"/>
        <v/>
      </c>
      <c r="W267" s="93">
        <f>IFERROR(__xludf.DUMMYFUNCTION("IFERROR(SWITCH(lower(join("" "",U267:V267)),""а миллионник"", 62.5,""б миллионник"", 75,""а мск"", 50, ""б мск"", 62.5, ""a остальное"", 70, ""б остальное"", 80)/100,0)"),0.0)</f>
        <v>0</v>
      </c>
      <c r="X267" s="91">
        <f t="shared" si="4"/>
        <v>0</v>
      </c>
    </row>
    <row r="268">
      <c r="A268" s="12"/>
      <c r="B268" s="12"/>
      <c r="C268" s="12"/>
      <c r="D268" s="91">
        <f>IFERROR(__xludf.DUMMYFUNCTION("IFERROR(sum(filter('Основной эфир'!$AA:$AA, 'Основной эфир'!$B:$B=$A268,'Основной эфир'!$C:$C=$B268,'Основной эфир'!$I:$I=$C268)), 0) "),0.0)</f>
        <v>0</v>
      </c>
      <c r="E268" s="91">
        <f>IFERROR(__xludf.DUMMYFUNCTION("IFERROR(sum(filter('Основной эфир'!$AC:$AC, 'Основной эфир'!$B:$B=$A268,'Основной эфир'!$C:$C=$B268,'Основной эфир'!$I:$I=$C268)), 0) "),0.0)</f>
        <v>0</v>
      </c>
      <c r="F268" s="91">
        <f>IFERROR(__xludf.DUMMYFUNCTION("IFERROR(sum(filter('Основной эфир'!$O:$O, 'Основной эфир'!$B:$B=$A268,'Основной эфир'!$C:$C=$B268,'Основной эфир'!$I:$I=$C268)), 0) "),0.0)</f>
        <v>0</v>
      </c>
      <c r="G268" s="91">
        <f>IFERROR(__xludf.DUMMYFUNCTION("IFERROR(sum(filter('Основной эфир'!$Q:$Q, 'Основной эфир'!$B:$B=$A268,'Основной эфир'!$C:$C=$B268,'Основной эфир'!$I:$I=$C268)), 0) "),0.0)</f>
        <v>0</v>
      </c>
      <c r="H268" s="91">
        <f>IFERROR(__xludf.DUMMYFUNCTION("IFERROR(AVERAGE(filter('Основной эфир'!$Y:$Y, 'Основной эфир'!$B:$B=$A268,'Основной эфир'!$C:$C=$B268,'Основной эфир'!$I:$I=$C268)), 0) "),0.0)</f>
        <v>0</v>
      </c>
      <c r="I268" s="91">
        <f>IFERROR(__xludf.DUMMYFUNCTION("IFERROR(AVERAGE(filter('Основной эфир'!$AE:$AE, 'Основной эфир'!$B:$B=$A268,'Основной эфир'!$C:$C=$B268,'Основной эфир'!$I:$I=$C268)), 0) "),0.0)</f>
        <v>0</v>
      </c>
      <c r="J268" s="91">
        <f>IFERROR(__xludf.DUMMYFUNCTION("IFERROR(SUM(filter('Основной эфир'!$AL:$AL, 'Основной эфир'!$B:$B=$A268,'Основной эфир'!$C:$C=$B268,'Основной эфир'!$I:$I=$C268)), 0) "),0.0)</f>
        <v>0</v>
      </c>
      <c r="K268" s="91" t="str">
        <f>IFERROR(__xludf.DUMMYFUNCTION("IFERROR(REGEXREPLACE(unique(filter('Основной эфир'!$A:$A, 'Основной эфир'!$B:$B=$A268,'Основной эфир'!$C:$C=$B268,'Основной эфир'!$I:$I=$C268)), ""\d+"", """"),"""")"),"")</f>
        <v/>
      </c>
      <c r="L268" s="91" t="str">
        <f>IFERROR(__xludf.DUMMYFUNCTION("IFERROR(unique(filter('Основной эфир'!$F:$F, 'Основной эфир'!$B:$B=$A268,'Основной эфир'!$C:$C=$B268,'Основной эфир'!$I:$I=$C268)),"""")"),"")</f>
        <v/>
      </c>
      <c r="M268" s="92" t="str">
        <f t="shared" si="1"/>
        <v/>
      </c>
      <c r="N268" s="93">
        <f>IFERROR(__xludf.DUMMYFUNCTION("IFERROR(SWITCH(lower(join("" "",L268:M268)),""а миллионник"", 62.5,""б миллионник"", 75,""а мск"", 50, ""б мск"", 62.5, ""a остальное"", 70, ""б остальное"", 80)/100,0)"),0.0)</f>
        <v>0</v>
      </c>
      <c r="O268" s="91">
        <f t="shared" si="2"/>
        <v>0</v>
      </c>
      <c r="P268" s="91">
        <f>IFERROR(__xludf.DUMMYFUNCTION("IFERROR(sum(filter('Генеральный баннер'!$O:$O, 'Генеральный баннер'!$B:$B=$A268,'Генеральный баннер'!$C:$C=$B268,'Генеральный баннер'!$I:$I=$C268)), 0) "),0.0)</f>
        <v>0</v>
      </c>
      <c r="Q268" s="91">
        <f>IFERROR(__xludf.DUMMYFUNCTION("IFERROR(sum(filter('Генеральный баннер'!$Q:$Q, 'Генеральный баннер'!$B:$B=$A268,'Генеральный баннер'!$C:$C=$B268,'Генеральный баннер'!$I:$I=$C268)), 0) "),0.0)</f>
        <v>0</v>
      </c>
      <c r="R268" s="91">
        <f>IFERROR(__xludf.DUMMYFUNCTION("IFERROR(AVERAGE(filter('Генеральный баннер'!$AA:$AA, 'Генеральный баннер'!$B:$B=$A268,'Генеральный баннер'!$C:$C=$B268,'Генеральный баннер'!$I:$I=$C268)), 0) "),0.0)</f>
        <v>0</v>
      </c>
      <c r="S268" s="91">
        <f>IFERROR(__xludf.DUMMYFUNCTION("IFERROR(SUM(filter('Генеральный баннер'!$AH:$AH, 'Генеральный баннер'!$B:$B=$A268,'Генеральный баннер'!$C:$C=$B268,'Генеральный баннер'!$I:$I=$C268)), 0) "),0.0)</f>
        <v>0</v>
      </c>
      <c r="T268" s="91" t="str">
        <f>IFERROR(__xludf.DUMMYFUNCTION("IFERROR(REGEXREPLACE(unique(filter('Генеральный баннер'!$A:$A, 'Генеральный баннер'!$B:$B=$A268,'Генеральный баннер'!$C:$C=$B268,'Генеральный баннер'!$I:$I=$C268)), ""\d+"", """"),"""")"),"")</f>
        <v/>
      </c>
      <c r="U268" s="91" t="str">
        <f>IFERROR(__xludf.DUMMYFUNCTION("IFERROR(unique(filter('Генеральный баннер'!$F:$F, 'Генеральный баннер'!$B:$B=$A268,'Генеральный баннер'!$C:$C=$B268,'Генеральный баннер'!$I:$I=$C268)),"""")"),"")</f>
        <v/>
      </c>
      <c r="V268" s="92" t="str">
        <f t="shared" si="3"/>
        <v/>
      </c>
      <c r="W268" s="93">
        <f>IFERROR(__xludf.DUMMYFUNCTION("IFERROR(SWITCH(lower(join("" "",U268:V268)),""а миллионник"", 62.5,""б миллионник"", 75,""а мск"", 50, ""б мск"", 62.5, ""a остальное"", 70, ""б остальное"", 80)/100,0)"),0.0)</f>
        <v>0</v>
      </c>
      <c r="X268" s="91">
        <f t="shared" si="4"/>
        <v>0</v>
      </c>
    </row>
    <row r="269">
      <c r="A269" s="12"/>
      <c r="B269" s="12"/>
      <c r="C269" s="12"/>
      <c r="D269" s="91">
        <f>IFERROR(__xludf.DUMMYFUNCTION("IFERROR(sum(filter('Основной эфир'!$AA:$AA, 'Основной эфир'!$B:$B=$A269,'Основной эфир'!$C:$C=$B269,'Основной эфир'!$I:$I=$C269)), 0) "),0.0)</f>
        <v>0</v>
      </c>
      <c r="E269" s="91">
        <f>IFERROR(__xludf.DUMMYFUNCTION("IFERROR(sum(filter('Основной эфир'!$AC:$AC, 'Основной эфир'!$B:$B=$A269,'Основной эфир'!$C:$C=$B269,'Основной эфир'!$I:$I=$C269)), 0) "),0.0)</f>
        <v>0</v>
      </c>
      <c r="F269" s="91">
        <f>IFERROR(__xludf.DUMMYFUNCTION("IFERROR(sum(filter('Основной эфир'!$O:$O, 'Основной эфир'!$B:$B=$A269,'Основной эфир'!$C:$C=$B269,'Основной эфир'!$I:$I=$C269)), 0) "),0.0)</f>
        <v>0</v>
      </c>
      <c r="G269" s="91">
        <f>IFERROR(__xludf.DUMMYFUNCTION("IFERROR(sum(filter('Основной эфир'!$Q:$Q, 'Основной эфир'!$B:$B=$A269,'Основной эфир'!$C:$C=$B269,'Основной эфир'!$I:$I=$C269)), 0) "),0.0)</f>
        <v>0</v>
      </c>
      <c r="H269" s="91">
        <f>IFERROR(__xludf.DUMMYFUNCTION("IFERROR(AVERAGE(filter('Основной эфир'!$Y:$Y, 'Основной эфир'!$B:$B=$A269,'Основной эфир'!$C:$C=$B269,'Основной эфир'!$I:$I=$C269)), 0) "),0.0)</f>
        <v>0</v>
      </c>
      <c r="I269" s="91">
        <f>IFERROR(__xludf.DUMMYFUNCTION("IFERROR(AVERAGE(filter('Основной эфир'!$AE:$AE, 'Основной эфир'!$B:$B=$A269,'Основной эфир'!$C:$C=$B269,'Основной эфир'!$I:$I=$C269)), 0) "),0.0)</f>
        <v>0</v>
      </c>
      <c r="J269" s="91">
        <f>IFERROR(__xludf.DUMMYFUNCTION("IFERROR(SUM(filter('Основной эфир'!$AL:$AL, 'Основной эфир'!$B:$B=$A269,'Основной эфир'!$C:$C=$B269,'Основной эфир'!$I:$I=$C269)), 0) "),0.0)</f>
        <v>0</v>
      </c>
      <c r="K269" s="91" t="str">
        <f>IFERROR(__xludf.DUMMYFUNCTION("IFERROR(REGEXREPLACE(unique(filter('Основной эфир'!$A:$A, 'Основной эфир'!$B:$B=$A269,'Основной эфир'!$C:$C=$B269,'Основной эфир'!$I:$I=$C269)), ""\d+"", """"),"""")"),"")</f>
        <v/>
      </c>
      <c r="L269" s="91" t="str">
        <f>IFERROR(__xludf.DUMMYFUNCTION("IFERROR(unique(filter('Основной эфир'!$F:$F, 'Основной эфир'!$B:$B=$A269,'Основной эфир'!$C:$C=$B269,'Основной эфир'!$I:$I=$C269)),"""")"),"")</f>
        <v/>
      </c>
      <c r="M269" s="92" t="str">
        <f t="shared" si="1"/>
        <v/>
      </c>
      <c r="N269" s="93">
        <f>IFERROR(__xludf.DUMMYFUNCTION("IFERROR(SWITCH(lower(join("" "",L269:M269)),""а миллионник"", 62.5,""б миллионник"", 75,""а мск"", 50, ""б мск"", 62.5, ""a остальное"", 70, ""б остальное"", 80)/100,0)"),0.0)</f>
        <v>0</v>
      </c>
      <c r="O269" s="91">
        <f t="shared" si="2"/>
        <v>0</v>
      </c>
      <c r="P269" s="91">
        <f>IFERROR(__xludf.DUMMYFUNCTION("IFERROR(sum(filter('Генеральный баннер'!$O:$O, 'Генеральный баннер'!$B:$B=$A269,'Генеральный баннер'!$C:$C=$B269,'Генеральный баннер'!$I:$I=$C269)), 0) "),0.0)</f>
        <v>0</v>
      </c>
      <c r="Q269" s="91">
        <f>IFERROR(__xludf.DUMMYFUNCTION("IFERROR(sum(filter('Генеральный баннер'!$Q:$Q, 'Генеральный баннер'!$B:$B=$A269,'Генеральный баннер'!$C:$C=$B269,'Генеральный баннер'!$I:$I=$C269)), 0) "),0.0)</f>
        <v>0</v>
      </c>
      <c r="R269" s="91">
        <f>IFERROR(__xludf.DUMMYFUNCTION("IFERROR(AVERAGE(filter('Генеральный баннер'!$AA:$AA, 'Генеральный баннер'!$B:$B=$A269,'Генеральный баннер'!$C:$C=$B269,'Генеральный баннер'!$I:$I=$C269)), 0) "),0.0)</f>
        <v>0</v>
      </c>
      <c r="S269" s="91">
        <f>IFERROR(__xludf.DUMMYFUNCTION("IFERROR(SUM(filter('Генеральный баннер'!$AH:$AH, 'Генеральный баннер'!$B:$B=$A269,'Генеральный баннер'!$C:$C=$B269,'Генеральный баннер'!$I:$I=$C269)), 0) "),0.0)</f>
        <v>0</v>
      </c>
      <c r="T269" s="91" t="str">
        <f>IFERROR(__xludf.DUMMYFUNCTION("IFERROR(REGEXREPLACE(unique(filter('Генеральный баннер'!$A:$A, 'Генеральный баннер'!$B:$B=$A269,'Генеральный баннер'!$C:$C=$B269,'Генеральный баннер'!$I:$I=$C269)), ""\d+"", """"),"""")"),"")</f>
        <v/>
      </c>
      <c r="U269" s="91" t="str">
        <f>IFERROR(__xludf.DUMMYFUNCTION("IFERROR(unique(filter('Генеральный баннер'!$F:$F, 'Генеральный баннер'!$B:$B=$A269,'Генеральный баннер'!$C:$C=$B269,'Генеральный баннер'!$I:$I=$C269)),"""")"),"")</f>
        <v/>
      </c>
      <c r="V269" s="92" t="str">
        <f t="shared" si="3"/>
        <v/>
      </c>
      <c r="W269" s="93">
        <f>IFERROR(__xludf.DUMMYFUNCTION("IFERROR(SWITCH(lower(join("" "",U269:V269)),""а миллионник"", 62.5,""б миллионник"", 75,""а мск"", 50, ""б мск"", 62.5, ""a остальное"", 70, ""б остальное"", 80)/100,0)"),0.0)</f>
        <v>0</v>
      </c>
      <c r="X269" s="91">
        <f t="shared" si="4"/>
        <v>0</v>
      </c>
    </row>
    <row r="270">
      <c r="A270" s="12"/>
      <c r="B270" s="12"/>
      <c r="C270" s="12"/>
      <c r="D270" s="91">
        <f>IFERROR(__xludf.DUMMYFUNCTION("IFERROR(sum(filter('Основной эфир'!$AA:$AA, 'Основной эфир'!$B:$B=$A270,'Основной эфир'!$C:$C=$B270,'Основной эфир'!$I:$I=$C270)), 0) "),0.0)</f>
        <v>0</v>
      </c>
      <c r="E270" s="91">
        <f>IFERROR(__xludf.DUMMYFUNCTION("IFERROR(sum(filter('Основной эфир'!$AC:$AC, 'Основной эфир'!$B:$B=$A270,'Основной эфир'!$C:$C=$B270,'Основной эфир'!$I:$I=$C270)), 0) "),0.0)</f>
        <v>0</v>
      </c>
      <c r="F270" s="91">
        <f>IFERROR(__xludf.DUMMYFUNCTION("IFERROR(sum(filter('Основной эфир'!$O:$O, 'Основной эфир'!$B:$B=$A270,'Основной эфир'!$C:$C=$B270,'Основной эфир'!$I:$I=$C270)), 0) "),0.0)</f>
        <v>0</v>
      </c>
      <c r="G270" s="91">
        <f>IFERROR(__xludf.DUMMYFUNCTION("IFERROR(sum(filter('Основной эфир'!$Q:$Q, 'Основной эфир'!$B:$B=$A270,'Основной эфир'!$C:$C=$B270,'Основной эфир'!$I:$I=$C270)), 0) "),0.0)</f>
        <v>0</v>
      </c>
      <c r="H270" s="91">
        <f>IFERROR(__xludf.DUMMYFUNCTION("IFERROR(AVERAGE(filter('Основной эфир'!$Y:$Y, 'Основной эфир'!$B:$B=$A270,'Основной эфир'!$C:$C=$B270,'Основной эфир'!$I:$I=$C270)), 0) "),0.0)</f>
        <v>0</v>
      </c>
      <c r="I270" s="91">
        <f>IFERROR(__xludf.DUMMYFUNCTION("IFERROR(AVERAGE(filter('Основной эфир'!$AE:$AE, 'Основной эфир'!$B:$B=$A270,'Основной эфир'!$C:$C=$B270,'Основной эфир'!$I:$I=$C270)), 0) "),0.0)</f>
        <v>0</v>
      </c>
      <c r="J270" s="91">
        <f>IFERROR(__xludf.DUMMYFUNCTION("IFERROR(SUM(filter('Основной эфир'!$AL:$AL, 'Основной эфир'!$B:$B=$A270,'Основной эфир'!$C:$C=$B270,'Основной эфир'!$I:$I=$C270)), 0) "),0.0)</f>
        <v>0</v>
      </c>
      <c r="K270" s="91" t="str">
        <f>IFERROR(__xludf.DUMMYFUNCTION("IFERROR(REGEXREPLACE(unique(filter('Основной эфир'!$A:$A, 'Основной эфир'!$B:$B=$A270,'Основной эфир'!$C:$C=$B270,'Основной эфир'!$I:$I=$C270)), ""\d+"", """"),"""")"),"")</f>
        <v/>
      </c>
      <c r="L270" s="91" t="str">
        <f>IFERROR(__xludf.DUMMYFUNCTION("IFERROR(unique(filter('Основной эфир'!$F:$F, 'Основной эфир'!$B:$B=$A270,'Основной эфир'!$C:$C=$B270,'Основной эфир'!$I:$I=$C270)),"""")"),"")</f>
        <v/>
      </c>
      <c r="M270" s="92" t="str">
        <f t="shared" si="1"/>
        <v/>
      </c>
      <c r="N270" s="93">
        <f>IFERROR(__xludf.DUMMYFUNCTION("IFERROR(SWITCH(lower(join("" "",L270:M270)),""а миллионник"", 62.5,""б миллионник"", 75,""а мск"", 50, ""б мск"", 62.5, ""a остальное"", 70, ""б остальное"", 80)/100,0)"),0.0)</f>
        <v>0</v>
      </c>
      <c r="O270" s="91">
        <f t="shared" si="2"/>
        <v>0</v>
      </c>
      <c r="P270" s="91">
        <f>IFERROR(__xludf.DUMMYFUNCTION("IFERROR(sum(filter('Генеральный баннер'!$O:$O, 'Генеральный баннер'!$B:$B=$A270,'Генеральный баннер'!$C:$C=$B270,'Генеральный баннер'!$I:$I=$C270)), 0) "),0.0)</f>
        <v>0</v>
      </c>
      <c r="Q270" s="91">
        <f>IFERROR(__xludf.DUMMYFUNCTION("IFERROR(sum(filter('Генеральный баннер'!$Q:$Q, 'Генеральный баннер'!$B:$B=$A270,'Генеральный баннер'!$C:$C=$B270,'Генеральный баннер'!$I:$I=$C270)), 0) "),0.0)</f>
        <v>0</v>
      </c>
      <c r="R270" s="91">
        <f>IFERROR(__xludf.DUMMYFUNCTION("IFERROR(AVERAGE(filter('Генеральный баннер'!$AA:$AA, 'Генеральный баннер'!$B:$B=$A270,'Генеральный баннер'!$C:$C=$B270,'Генеральный баннер'!$I:$I=$C270)), 0) "),0.0)</f>
        <v>0</v>
      </c>
      <c r="S270" s="91">
        <f>IFERROR(__xludf.DUMMYFUNCTION("IFERROR(SUM(filter('Генеральный баннер'!$AH:$AH, 'Генеральный баннер'!$B:$B=$A270,'Генеральный баннер'!$C:$C=$B270,'Генеральный баннер'!$I:$I=$C270)), 0) "),0.0)</f>
        <v>0</v>
      </c>
      <c r="T270" s="91" t="str">
        <f>IFERROR(__xludf.DUMMYFUNCTION("IFERROR(REGEXREPLACE(unique(filter('Генеральный баннер'!$A:$A, 'Генеральный баннер'!$B:$B=$A270,'Генеральный баннер'!$C:$C=$B270,'Генеральный баннер'!$I:$I=$C270)), ""\d+"", """"),"""")"),"")</f>
        <v/>
      </c>
      <c r="U270" s="91" t="str">
        <f>IFERROR(__xludf.DUMMYFUNCTION("IFERROR(unique(filter('Генеральный баннер'!$F:$F, 'Генеральный баннер'!$B:$B=$A270,'Генеральный баннер'!$C:$C=$B270,'Генеральный баннер'!$I:$I=$C270)),"""")"),"")</f>
        <v/>
      </c>
      <c r="V270" s="92" t="str">
        <f t="shared" si="3"/>
        <v/>
      </c>
      <c r="W270" s="93">
        <f>IFERROR(__xludf.DUMMYFUNCTION("IFERROR(SWITCH(lower(join("" "",U270:V270)),""а миллионник"", 62.5,""б миллионник"", 75,""а мск"", 50, ""б мск"", 62.5, ""a остальное"", 70, ""б остальное"", 80)/100,0)"),0.0)</f>
        <v>0</v>
      </c>
      <c r="X270" s="91">
        <f t="shared" si="4"/>
        <v>0</v>
      </c>
    </row>
    <row r="271">
      <c r="A271" s="12"/>
      <c r="B271" s="12"/>
      <c r="C271" s="12"/>
      <c r="D271" s="91">
        <f>IFERROR(__xludf.DUMMYFUNCTION("IFERROR(sum(filter('Основной эфир'!$AA:$AA, 'Основной эфир'!$B:$B=$A271,'Основной эфир'!$C:$C=$B271,'Основной эфир'!$I:$I=$C271)), 0) "),0.0)</f>
        <v>0</v>
      </c>
      <c r="E271" s="91">
        <f>IFERROR(__xludf.DUMMYFUNCTION("IFERROR(sum(filter('Основной эфир'!$AC:$AC, 'Основной эфир'!$B:$B=$A271,'Основной эфир'!$C:$C=$B271,'Основной эфир'!$I:$I=$C271)), 0) "),0.0)</f>
        <v>0</v>
      </c>
      <c r="F271" s="91">
        <f>IFERROR(__xludf.DUMMYFUNCTION("IFERROR(sum(filter('Основной эфир'!$O:$O, 'Основной эфир'!$B:$B=$A271,'Основной эфир'!$C:$C=$B271,'Основной эфир'!$I:$I=$C271)), 0) "),0.0)</f>
        <v>0</v>
      </c>
      <c r="G271" s="91">
        <f>IFERROR(__xludf.DUMMYFUNCTION("IFERROR(sum(filter('Основной эфир'!$Q:$Q, 'Основной эфир'!$B:$B=$A271,'Основной эфир'!$C:$C=$B271,'Основной эфир'!$I:$I=$C271)), 0) "),0.0)</f>
        <v>0</v>
      </c>
      <c r="H271" s="91">
        <f>IFERROR(__xludf.DUMMYFUNCTION("IFERROR(AVERAGE(filter('Основной эфир'!$Y:$Y, 'Основной эфир'!$B:$B=$A271,'Основной эфир'!$C:$C=$B271,'Основной эфир'!$I:$I=$C271)), 0) "),0.0)</f>
        <v>0</v>
      </c>
      <c r="I271" s="91">
        <f>IFERROR(__xludf.DUMMYFUNCTION("IFERROR(AVERAGE(filter('Основной эфир'!$AE:$AE, 'Основной эфир'!$B:$B=$A271,'Основной эфир'!$C:$C=$B271,'Основной эфир'!$I:$I=$C271)), 0) "),0.0)</f>
        <v>0</v>
      </c>
      <c r="J271" s="91">
        <f>IFERROR(__xludf.DUMMYFUNCTION("IFERROR(SUM(filter('Основной эфир'!$AL:$AL, 'Основной эфир'!$B:$B=$A271,'Основной эфир'!$C:$C=$B271,'Основной эфир'!$I:$I=$C271)), 0) "),0.0)</f>
        <v>0</v>
      </c>
      <c r="K271" s="91" t="str">
        <f>IFERROR(__xludf.DUMMYFUNCTION("IFERROR(REGEXREPLACE(unique(filter('Основной эфир'!$A:$A, 'Основной эфир'!$B:$B=$A271,'Основной эфир'!$C:$C=$B271,'Основной эфир'!$I:$I=$C271)), ""\d+"", """"),"""")"),"")</f>
        <v/>
      </c>
      <c r="L271" s="91" t="str">
        <f>IFERROR(__xludf.DUMMYFUNCTION("IFERROR(unique(filter('Основной эфир'!$F:$F, 'Основной эфир'!$B:$B=$A271,'Основной эфир'!$C:$C=$B271,'Основной эфир'!$I:$I=$C271)),"""")"),"")</f>
        <v/>
      </c>
      <c r="M271" s="92" t="str">
        <f t="shared" si="1"/>
        <v/>
      </c>
      <c r="N271" s="93">
        <f>IFERROR(__xludf.DUMMYFUNCTION("IFERROR(SWITCH(lower(join("" "",L271:M271)),""а миллионник"", 62.5,""б миллионник"", 75,""а мск"", 50, ""б мск"", 62.5, ""a остальное"", 70, ""б остальное"", 80)/100,0)"),0.0)</f>
        <v>0</v>
      </c>
      <c r="O271" s="91">
        <f t="shared" si="2"/>
        <v>0</v>
      </c>
      <c r="P271" s="91">
        <f>IFERROR(__xludf.DUMMYFUNCTION("IFERROR(sum(filter('Генеральный баннер'!$O:$O, 'Генеральный баннер'!$B:$B=$A271,'Генеральный баннер'!$C:$C=$B271,'Генеральный баннер'!$I:$I=$C271)), 0) "),0.0)</f>
        <v>0</v>
      </c>
      <c r="Q271" s="91">
        <f>IFERROR(__xludf.DUMMYFUNCTION("IFERROR(sum(filter('Генеральный баннер'!$Q:$Q, 'Генеральный баннер'!$B:$B=$A271,'Генеральный баннер'!$C:$C=$B271,'Генеральный баннер'!$I:$I=$C271)), 0) "),0.0)</f>
        <v>0</v>
      </c>
      <c r="R271" s="91">
        <f>IFERROR(__xludf.DUMMYFUNCTION("IFERROR(AVERAGE(filter('Генеральный баннер'!$AA:$AA, 'Генеральный баннер'!$B:$B=$A271,'Генеральный баннер'!$C:$C=$B271,'Генеральный баннер'!$I:$I=$C271)), 0) "),0.0)</f>
        <v>0</v>
      </c>
      <c r="S271" s="91">
        <f>IFERROR(__xludf.DUMMYFUNCTION("IFERROR(SUM(filter('Генеральный баннер'!$AH:$AH, 'Генеральный баннер'!$B:$B=$A271,'Генеральный баннер'!$C:$C=$B271,'Генеральный баннер'!$I:$I=$C271)), 0) "),0.0)</f>
        <v>0</v>
      </c>
      <c r="T271" s="91" t="str">
        <f>IFERROR(__xludf.DUMMYFUNCTION("IFERROR(REGEXREPLACE(unique(filter('Генеральный баннер'!$A:$A, 'Генеральный баннер'!$B:$B=$A271,'Генеральный баннер'!$C:$C=$B271,'Генеральный баннер'!$I:$I=$C271)), ""\d+"", """"),"""")"),"")</f>
        <v/>
      </c>
      <c r="U271" s="91" t="str">
        <f>IFERROR(__xludf.DUMMYFUNCTION("IFERROR(unique(filter('Генеральный баннер'!$F:$F, 'Генеральный баннер'!$B:$B=$A271,'Генеральный баннер'!$C:$C=$B271,'Генеральный баннер'!$I:$I=$C271)),"""")"),"")</f>
        <v/>
      </c>
      <c r="V271" s="92" t="str">
        <f t="shared" si="3"/>
        <v/>
      </c>
      <c r="W271" s="93">
        <f>IFERROR(__xludf.DUMMYFUNCTION("IFERROR(SWITCH(lower(join("" "",U271:V271)),""а миллионник"", 62.5,""б миллионник"", 75,""а мск"", 50, ""б мск"", 62.5, ""a остальное"", 70, ""б остальное"", 80)/100,0)"),0.0)</f>
        <v>0</v>
      </c>
      <c r="X271" s="91">
        <f t="shared" si="4"/>
        <v>0</v>
      </c>
    </row>
    <row r="272">
      <c r="A272" s="12"/>
      <c r="B272" s="12"/>
      <c r="C272" s="12"/>
      <c r="D272" s="91">
        <f>IFERROR(__xludf.DUMMYFUNCTION("IFERROR(sum(filter('Основной эфир'!$AA:$AA, 'Основной эфир'!$B:$B=$A272,'Основной эфир'!$C:$C=$B272,'Основной эфир'!$I:$I=$C272)), 0) "),0.0)</f>
        <v>0</v>
      </c>
      <c r="E272" s="91">
        <f>IFERROR(__xludf.DUMMYFUNCTION("IFERROR(sum(filter('Основной эфир'!$AC:$AC, 'Основной эфир'!$B:$B=$A272,'Основной эфир'!$C:$C=$B272,'Основной эфир'!$I:$I=$C272)), 0) "),0.0)</f>
        <v>0</v>
      </c>
      <c r="F272" s="91">
        <f>IFERROR(__xludf.DUMMYFUNCTION("IFERROR(sum(filter('Основной эфир'!$O:$O, 'Основной эфир'!$B:$B=$A272,'Основной эфир'!$C:$C=$B272,'Основной эфир'!$I:$I=$C272)), 0) "),0.0)</f>
        <v>0</v>
      </c>
      <c r="G272" s="91">
        <f>IFERROR(__xludf.DUMMYFUNCTION("IFERROR(sum(filter('Основной эфир'!$Q:$Q, 'Основной эфир'!$B:$B=$A272,'Основной эфир'!$C:$C=$B272,'Основной эфир'!$I:$I=$C272)), 0) "),0.0)</f>
        <v>0</v>
      </c>
      <c r="H272" s="91">
        <f>IFERROR(__xludf.DUMMYFUNCTION("IFERROR(AVERAGE(filter('Основной эфир'!$Y:$Y, 'Основной эфир'!$B:$B=$A272,'Основной эфир'!$C:$C=$B272,'Основной эфир'!$I:$I=$C272)), 0) "),0.0)</f>
        <v>0</v>
      </c>
      <c r="I272" s="91">
        <f>IFERROR(__xludf.DUMMYFUNCTION("IFERROR(AVERAGE(filter('Основной эфир'!$AE:$AE, 'Основной эфир'!$B:$B=$A272,'Основной эфир'!$C:$C=$B272,'Основной эфир'!$I:$I=$C272)), 0) "),0.0)</f>
        <v>0</v>
      </c>
      <c r="J272" s="91">
        <f>IFERROR(__xludf.DUMMYFUNCTION("IFERROR(SUM(filter('Основной эфир'!$AL:$AL, 'Основной эфир'!$B:$B=$A272,'Основной эфир'!$C:$C=$B272,'Основной эфир'!$I:$I=$C272)), 0) "),0.0)</f>
        <v>0</v>
      </c>
      <c r="K272" s="91" t="str">
        <f>IFERROR(__xludf.DUMMYFUNCTION("IFERROR(REGEXREPLACE(unique(filter('Основной эфир'!$A:$A, 'Основной эфир'!$B:$B=$A272,'Основной эфир'!$C:$C=$B272,'Основной эфир'!$I:$I=$C272)), ""\d+"", """"),"""")"),"")</f>
        <v/>
      </c>
      <c r="L272" s="91" t="str">
        <f>IFERROR(__xludf.DUMMYFUNCTION("IFERROR(unique(filter('Основной эфир'!$F:$F, 'Основной эфир'!$B:$B=$A272,'Основной эфир'!$C:$C=$B272,'Основной эфир'!$I:$I=$C272)),"""")"),"")</f>
        <v/>
      </c>
      <c r="M272" s="92" t="str">
        <f t="shared" si="1"/>
        <v/>
      </c>
      <c r="N272" s="93">
        <f>IFERROR(__xludf.DUMMYFUNCTION("IFERROR(SWITCH(lower(join("" "",L272:M272)),""а миллионник"", 62.5,""б миллионник"", 75,""а мск"", 50, ""б мск"", 62.5, ""a остальное"", 70, ""б остальное"", 80)/100,0)"),0.0)</f>
        <v>0</v>
      </c>
      <c r="O272" s="91">
        <f t="shared" si="2"/>
        <v>0</v>
      </c>
      <c r="P272" s="91">
        <f>IFERROR(__xludf.DUMMYFUNCTION("IFERROR(sum(filter('Генеральный баннер'!$O:$O, 'Генеральный баннер'!$B:$B=$A272,'Генеральный баннер'!$C:$C=$B272,'Генеральный баннер'!$I:$I=$C272)), 0) "),0.0)</f>
        <v>0</v>
      </c>
      <c r="Q272" s="91">
        <f>IFERROR(__xludf.DUMMYFUNCTION("IFERROR(sum(filter('Генеральный баннер'!$Q:$Q, 'Генеральный баннер'!$B:$B=$A272,'Генеральный баннер'!$C:$C=$B272,'Генеральный баннер'!$I:$I=$C272)), 0) "),0.0)</f>
        <v>0</v>
      </c>
      <c r="R272" s="91">
        <f>IFERROR(__xludf.DUMMYFUNCTION("IFERROR(AVERAGE(filter('Генеральный баннер'!$AA:$AA, 'Генеральный баннер'!$B:$B=$A272,'Генеральный баннер'!$C:$C=$B272,'Генеральный баннер'!$I:$I=$C272)), 0) "),0.0)</f>
        <v>0</v>
      </c>
      <c r="S272" s="91">
        <f>IFERROR(__xludf.DUMMYFUNCTION("IFERROR(SUM(filter('Генеральный баннер'!$AH:$AH, 'Генеральный баннер'!$B:$B=$A272,'Генеральный баннер'!$C:$C=$B272,'Генеральный баннер'!$I:$I=$C272)), 0) "),0.0)</f>
        <v>0</v>
      </c>
      <c r="T272" s="91" t="str">
        <f>IFERROR(__xludf.DUMMYFUNCTION("IFERROR(REGEXREPLACE(unique(filter('Генеральный баннер'!$A:$A, 'Генеральный баннер'!$B:$B=$A272,'Генеральный баннер'!$C:$C=$B272,'Генеральный баннер'!$I:$I=$C272)), ""\d+"", """"),"""")"),"")</f>
        <v/>
      </c>
      <c r="U272" s="91" t="str">
        <f>IFERROR(__xludf.DUMMYFUNCTION("IFERROR(unique(filter('Генеральный баннер'!$F:$F, 'Генеральный баннер'!$B:$B=$A272,'Генеральный баннер'!$C:$C=$B272,'Генеральный баннер'!$I:$I=$C272)),"""")"),"")</f>
        <v/>
      </c>
      <c r="V272" s="92" t="str">
        <f t="shared" si="3"/>
        <v/>
      </c>
      <c r="W272" s="93">
        <f>IFERROR(__xludf.DUMMYFUNCTION("IFERROR(SWITCH(lower(join("" "",U272:V272)),""а миллионник"", 62.5,""б миллионник"", 75,""а мск"", 50, ""б мск"", 62.5, ""a остальное"", 70, ""б остальное"", 80)/100,0)"),0.0)</f>
        <v>0</v>
      </c>
      <c r="X272" s="91">
        <f t="shared" si="4"/>
        <v>0</v>
      </c>
    </row>
    <row r="273">
      <c r="A273" s="12"/>
      <c r="B273" s="12"/>
      <c r="C273" s="12"/>
      <c r="D273" s="91">
        <f>IFERROR(__xludf.DUMMYFUNCTION("IFERROR(sum(filter('Основной эфир'!$AA:$AA, 'Основной эфир'!$B:$B=$A273,'Основной эфир'!$C:$C=$B273,'Основной эфир'!$I:$I=$C273)), 0) "),0.0)</f>
        <v>0</v>
      </c>
      <c r="E273" s="91">
        <f>IFERROR(__xludf.DUMMYFUNCTION("IFERROR(sum(filter('Основной эфир'!$AC:$AC, 'Основной эфир'!$B:$B=$A273,'Основной эфир'!$C:$C=$B273,'Основной эфир'!$I:$I=$C273)), 0) "),0.0)</f>
        <v>0</v>
      </c>
      <c r="F273" s="91">
        <f>IFERROR(__xludf.DUMMYFUNCTION("IFERROR(sum(filter('Основной эфир'!$O:$O, 'Основной эфир'!$B:$B=$A273,'Основной эфир'!$C:$C=$B273,'Основной эфир'!$I:$I=$C273)), 0) "),0.0)</f>
        <v>0</v>
      </c>
      <c r="G273" s="91">
        <f>IFERROR(__xludf.DUMMYFUNCTION("IFERROR(sum(filter('Основной эфир'!$Q:$Q, 'Основной эфир'!$B:$B=$A273,'Основной эфир'!$C:$C=$B273,'Основной эфир'!$I:$I=$C273)), 0) "),0.0)</f>
        <v>0</v>
      </c>
      <c r="H273" s="91">
        <f>IFERROR(__xludf.DUMMYFUNCTION("IFERROR(AVERAGE(filter('Основной эфир'!$Y:$Y, 'Основной эфир'!$B:$B=$A273,'Основной эфир'!$C:$C=$B273,'Основной эфир'!$I:$I=$C273)), 0) "),0.0)</f>
        <v>0</v>
      </c>
      <c r="I273" s="91">
        <f>IFERROR(__xludf.DUMMYFUNCTION("IFERROR(AVERAGE(filter('Основной эфир'!$AE:$AE, 'Основной эфир'!$B:$B=$A273,'Основной эфир'!$C:$C=$B273,'Основной эфир'!$I:$I=$C273)), 0) "),0.0)</f>
        <v>0</v>
      </c>
      <c r="J273" s="91">
        <f>IFERROR(__xludf.DUMMYFUNCTION("IFERROR(SUM(filter('Основной эфир'!$AL:$AL, 'Основной эфир'!$B:$B=$A273,'Основной эфир'!$C:$C=$B273,'Основной эфир'!$I:$I=$C273)), 0) "),0.0)</f>
        <v>0</v>
      </c>
      <c r="K273" s="91" t="str">
        <f>IFERROR(__xludf.DUMMYFUNCTION("IFERROR(REGEXREPLACE(unique(filter('Основной эфир'!$A:$A, 'Основной эфир'!$B:$B=$A273,'Основной эфир'!$C:$C=$B273,'Основной эфир'!$I:$I=$C273)), ""\d+"", """"),"""")"),"")</f>
        <v/>
      </c>
      <c r="L273" s="91" t="str">
        <f>IFERROR(__xludf.DUMMYFUNCTION("IFERROR(unique(filter('Основной эфир'!$F:$F, 'Основной эфир'!$B:$B=$A273,'Основной эфир'!$C:$C=$B273,'Основной эфир'!$I:$I=$C273)),"""")"),"")</f>
        <v/>
      </c>
      <c r="M273" s="92" t="str">
        <f t="shared" si="1"/>
        <v/>
      </c>
      <c r="N273" s="93">
        <f>IFERROR(__xludf.DUMMYFUNCTION("IFERROR(SWITCH(lower(join("" "",L273:M273)),""а миллионник"", 62.5,""б миллионник"", 75,""а мск"", 50, ""б мск"", 62.5, ""a остальное"", 70, ""б остальное"", 80)/100,0)"),0.0)</f>
        <v>0</v>
      </c>
      <c r="O273" s="91">
        <f t="shared" si="2"/>
        <v>0</v>
      </c>
      <c r="P273" s="91">
        <f>IFERROR(__xludf.DUMMYFUNCTION("IFERROR(sum(filter('Генеральный баннер'!$O:$O, 'Генеральный баннер'!$B:$B=$A273,'Генеральный баннер'!$C:$C=$B273,'Генеральный баннер'!$I:$I=$C273)), 0) "),0.0)</f>
        <v>0</v>
      </c>
      <c r="Q273" s="91">
        <f>IFERROR(__xludf.DUMMYFUNCTION("IFERROR(sum(filter('Генеральный баннер'!$Q:$Q, 'Генеральный баннер'!$B:$B=$A273,'Генеральный баннер'!$C:$C=$B273,'Генеральный баннер'!$I:$I=$C273)), 0) "),0.0)</f>
        <v>0</v>
      </c>
      <c r="R273" s="91">
        <f>IFERROR(__xludf.DUMMYFUNCTION("IFERROR(AVERAGE(filter('Генеральный баннер'!$AA:$AA, 'Генеральный баннер'!$B:$B=$A273,'Генеральный баннер'!$C:$C=$B273,'Генеральный баннер'!$I:$I=$C273)), 0) "),0.0)</f>
        <v>0</v>
      </c>
      <c r="S273" s="91">
        <f>IFERROR(__xludf.DUMMYFUNCTION("IFERROR(SUM(filter('Генеральный баннер'!$AH:$AH, 'Генеральный баннер'!$B:$B=$A273,'Генеральный баннер'!$C:$C=$B273,'Генеральный баннер'!$I:$I=$C273)), 0) "),0.0)</f>
        <v>0</v>
      </c>
      <c r="T273" s="91" t="str">
        <f>IFERROR(__xludf.DUMMYFUNCTION("IFERROR(REGEXREPLACE(unique(filter('Генеральный баннер'!$A:$A, 'Генеральный баннер'!$B:$B=$A273,'Генеральный баннер'!$C:$C=$B273,'Генеральный баннер'!$I:$I=$C273)), ""\d+"", """"),"""")"),"")</f>
        <v/>
      </c>
      <c r="U273" s="91" t="str">
        <f>IFERROR(__xludf.DUMMYFUNCTION("IFERROR(unique(filter('Генеральный баннер'!$F:$F, 'Генеральный баннер'!$B:$B=$A273,'Генеральный баннер'!$C:$C=$B273,'Генеральный баннер'!$I:$I=$C273)),"""")"),"")</f>
        <v/>
      </c>
      <c r="V273" s="92" t="str">
        <f t="shared" si="3"/>
        <v/>
      </c>
      <c r="W273" s="93">
        <f>IFERROR(__xludf.DUMMYFUNCTION("IFERROR(SWITCH(lower(join("" "",U273:V273)),""а миллионник"", 62.5,""б миллионник"", 75,""а мск"", 50, ""б мск"", 62.5, ""a остальное"", 70, ""б остальное"", 80)/100,0)"),0.0)</f>
        <v>0</v>
      </c>
      <c r="X273" s="91">
        <f t="shared" si="4"/>
        <v>0</v>
      </c>
    </row>
    <row r="274">
      <c r="A274" s="12"/>
      <c r="B274" s="12"/>
      <c r="C274" s="12"/>
      <c r="D274" s="91">
        <f>IFERROR(__xludf.DUMMYFUNCTION("IFERROR(sum(filter('Основной эфир'!$AA:$AA, 'Основной эфир'!$B:$B=$A274,'Основной эфир'!$C:$C=$B274,'Основной эфир'!$I:$I=$C274)), 0) "),0.0)</f>
        <v>0</v>
      </c>
      <c r="E274" s="91">
        <f>IFERROR(__xludf.DUMMYFUNCTION("IFERROR(sum(filter('Основной эфир'!$AC:$AC, 'Основной эфир'!$B:$B=$A274,'Основной эфир'!$C:$C=$B274,'Основной эфир'!$I:$I=$C274)), 0) "),0.0)</f>
        <v>0</v>
      </c>
      <c r="F274" s="91">
        <f>IFERROR(__xludf.DUMMYFUNCTION("IFERROR(sum(filter('Основной эфир'!$O:$O, 'Основной эфир'!$B:$B=$A274,'Основной эфир'!$C:$C=$B274,'Основной эфир'!$I:$I=$C274)), 0) "),0.0)</f>
        <v>0</v>
      </c>
      <c r="G274" s="91">
        <f>IFERROR(__xludf.DUMMYFUNCTION("IFERROR(sum(filter('Основной эфир'!$Q:$Q, 'Основной эфир'!$B:$B=$A274,'Основной эфир'!$C:$C=$B274,'Основной эфир'!$I:$I=$C274)), 0) "),0.0)</f>
        <v>0</v>
      </c>
      <c r="H274" s="91">
        <f>IFERROR(__xludf.DUMMYFUNCTION("IFERROR(AVERAGE(filter('Основной эфир'!$Y:$Y, 'Основной эфир'!$B:$B=$A274,'Основной эфир'!$C:$C=$B274,'Основной эфир'!$I:$I=$C274)), 0) "),0.0)</f>
        <v>0</v>
      </c>
      <c r="I274" s="91">
        <f>IFERROR(__xludf.DUMMYFUNCTION("IFERROR(AVERAGE(filter('Основной эфир'!$AE:$AE, 'Основной эфир'!$B:$B=$A274,'Основной эфир'!$C:$C=$B274,'Основной эфир'!$I:$I=$C274)), 0) "),0.0)</f>
        <v>0</v>
      </c>
      <c r="J274" s="91">
        <f>IFERROR(__xludf.DUMMYFUNCTION("IFERROR(SUM(filter('Основной эфир'!$AL:$AL, 'Основной эфир'!$B:$B=$A274,'Основной эфир'!$C:$C=$B274,'Основной эфир'!$I:$I=$C274)), 0) "),0.0)</f>
        <v>0</v>
      </c>
      <c r="K274" s="91" t="str">
        <f>IFERROR(__xludf.DUMMYFUNCTION("IFERROR(REGEXREPLACE(unique(filter('Основной эфир'!$A:$A, 'Основной эфир'!$B:$B=$A274,'Основной эфир'!$C:$C=$B274,'Основной эфир'!$I:$I=$C274)), ""\d+"", """"),"""")"),"")</f>
        <v/>
      </c>
      <c r="L274" s="91" t="str">
        <f>IFERROR(__xludf.DUMMYFUNCTION("IFERROR(unique(filter('Основной эфир'!$F:$F, 'Основной эфир'!$B:$B=$A274,'Основной эфир'!$C:$C=$B274,'Основной эфир'!$I:$I=$C274)),"""")"),"")</f>
        <v/>
      </c>
      <c r="M274" s="92" t="str">
        <f t="shared" si="1"/>
        <v/>
      </c>
      <c r="N274" s="93">
        <f>IFERROR(__xludf.DUMMYFUNCTION("IFERROR(SWITCH(lower(join("" "",L274:M274)),""а миллионник"", 62.5,""б миллионник"", 75,""а мск"", 50, ""б мск"", 62.5, ""a остальное"", 70, ""б остальное"", 80)/100,0)"),0.0)</f>
        <v>0</v>
      </c>
      <c r="O274" s="91">
        <f t="shared" si="2"/>
        <v>0</v>
      </c>
      <c r="P274" s="91">
        <f>IFERROR(__xludf.DUMMYFUNCTION("IFERROR(sum(filter('Генеральный баннер'!$O:$O, 'Генеральный баннер'!$B:$B=$A274,'Генеральный баннер'!$C:$C=$B274,'Генеральный баннер'!$I:$I=$C274)), 0) "),0.0)</f>
        <v>0</v>
      </c>
      <c r="Q274" s="91">
        <f>IFERROR(__xludf.DUMMYFUNCTION("IFERROR(sum(filter('Генеральный баннер'!$Q:$Q, 'Генеральный баннер'!$B:$B=$A274,'Генеральный баннер'!$C:$C=$B274,'Генеральный баннер'!$I:$I=$C274)), 0) "),0.0)</f>
        <v>0</v>
      </c>
      <c r="R274" s="91">
        <f>IFERROR(__xludf.DUMMYFUNCTION("IFERROR(AVERAGE(filter('Генеральный баннер'!$AA:$AA, 'Генеральный баннер'!$B:$B=$A274,'Генеральный баннер'!$C:$C=$B274,'Генеральный баннер'!$I:$I=$C274)), 0) "),0.0)</f>
        <v>0</v>
      </c>
      <c r="S274" s="91">
        <f>IFERROR(__xludf.DUMMYFUNCTION("IFERROR(SUM(filter('Генеральный баннер'!$AH:$AH, 'Генеральный баннер'!$B:$B=$A274,'Генеральный баннер'!$C:$C=$B274,'Генеральный баннер'!$I:$I=$C274)), 0) "),0.0)</f>
        <v>0</v>
      </c>
      <c r="T274" s="91" t="str">
        <f>IFERROR(__xludf.DUMMYFUNCTION("IFERROR(REGEXREPLACE(unique(filter('Генеральный баннер'!$A:$A, 'Генеральный баннер'!$B:$B=$A274,'Генеральный баннер'!$C:$C=$B274,'Генеральный баннер'!$I:$I=$C274)), ""\d+"", """"),"""")"),"")</f>
        <v/>
      </c>
      <c r="U274" s="91" t="str">
        <f>IFERROR(__xludf.DUMMYFUNCTION("IFERROR(unique(filter('Генеральный баннер'!$F:$F, 'Генеральный баннер'!$B:$B=$A274,'Генеральный баннер'!$C:$C=$B274,'Генеральный баннер'!$I:$I=$C274)),"""")"),"")</f>
        <v/>
      </c>
      <c r="V274" s="92" t="str">
        <f t="shared" si="3"/>
        <v/>
      </c>
      <c r="W274" s="93">
        <f>IFERROR(__xludf.DUMMYFUNCTION("IFERROR(SWITCH(lower(join("" "",U274:V274)),""а миллионник"", 62.5,""б миллионник"", 75,""а мск"", 50, ""б мск"", 62.5, ""a остальное"", 70, ""б остальное"", 80)/100,0)"),0.0)</f>
        <v>0</v>
      </c>
      <c r="X274" s="91">
        <f t="shared" si="4"/>
        <v>0</v>
      </c>
    </row>
    <row r="275">
      <c r="A275" s="12"/>
      <c r="B275" s="12"/>
      <c r="C275" s="12"/>
      <c r="D275" s="91">
        <f>IFERROR(__xludf.DUMMYFUNCTION("IFERROR(sum(filter('Основной эфир'!$AA:$AA, 'Основной эфир'!$B:$B=$A275,'Основной эфир'!$C:$C=$B275,'Основной эфир'!$I:$I=$C275)), 0) "),0.0)</f>
        <v>0</v>
      </c>
      <c r="E275" s="91">
        <f>IFERROR(__xludf.DUMMYFUNCTION("IFERROR(sum(filter('Основной эфир'!$AC:$AC, 'Основной эфир'!$B:$B=$A275,'Основной эфир'!$C:$C=$B275,'Основной эфир'!$I:$I=$C275)), 0) "),0.0)</f>
        <v>0</v>
      </c>
      <c r="F275" s="91">
        <f>IFERROR(__xludf.DUMMYFUNCTION("IFERROR(sum(filter('Основной эфир'!$O:$O, 'Основной эфир'!$B:$B=$A275,'Основной эфир'!$C:$C=$B275,'Основной эфир'!$I:$I=$C275)), 0) "),0.0)</f>
        <v>0</v>
      </c>
      <c r="G275" s="91">
        <f>IFERROR(__xludf.DUMMYFUNCTION("IFERROR(sum(filter('Основной эфир'!$Q:$Q, 'Основной эфир'!$B:$B=$A275,'Основной эфир'!$C:$C=$B275,'Основной эфир'!$I:$I=$C275)), 0) "),0.0)</f>
        <v>0</v>
      </c>
      <c r="H275" s="91">
        <f>IFERROR(__xludf.DUMMYFUNCTION("IFERROR(AVERAGE(filter('Основной эфир'!$Y:$Y, 'Основной эфир'!$B:$B=$A275,'Основной эфир'!$C:$C=$B275,'Основной эфир'!$I:$I=$C275)), 0) "),0.0)</f>
        <v>0</v>
      </c>
      <c r="I275" s="91">
        <f>IFERROR(__xludf.DUMMYFUNCTION("IFERROR(AVERAGE(filter('Основной эфир'!$AE:$AE, 'Основной эфир'!$B:$B=$A275,'Основной эфир'!$C:$C=$B275,'Основной эфир'!$I:$I=$C275)), 0) "),0.0)</f>
        <v>0</v>
      </c>
      <c r="J275" s="91">
        <f>IFERROR(__xludf.DUMMYFUNCTION("IFERROR(SUM(filter('Основной эфир'!$AL:$AL, 'Основной эфир'!$B:$B=$A275,'Основной эфир'!$C:$C=$B275,'Основной эфир'!$I:$I=$C275)), 0) "),0.0)</f>
        <v>0</v>
      </c>
      <c r="K275" s="91" t="str">
        <f>IFERROR(__xludf.DUMMYFUNCTION("IFERROR(REGEXREPLACE(unique(filter('Основной эфир'!$A:$A, 'Основной эфир'!$B:$B=$A275,'Основной эфир'!$C:$C=$B275,'Основной эфир'!$I:$I=$C275)), ""\d+"", """"),"""")"),"")</f>
        <v/>
      </c>
      <c r="L275" s="91" t="str">
        <f>IFERROR(__xludf.DUMMYFUNCTION("IFERROR(unique(filter('Основной эфир'!$F:$F, 'Основной эфир'!$B:$B=$A275,'Основной эфир'!$C:$C=$B275,'Основной эфир'!$I:$I=$C275)),"""")"),"")</f>
        <v/>
      </c>
      <c r="M275" s="92" t="str">
        <f t="shared" si="1"/>
        <v/>
      </c>
      <c r="N275" s="93">
        <f>IFERROR(__xludf.DUMMYFUNCTION("IFERROR(SWITCH(lower(join("" "",L275:M275)),""а миллионник"", 62.5,""б миллионник"", 75,""а мск"", 50, ""б мск"", 62.5, ""a остальное"", 70, ""б остальное"", 80)/100,0)"),0.0)</f>
        <v>0</v>
      </c>
      <c r="O275" s="91">
        <f t="shared" si="2"/>
        <v>0</v>
      </c>
      <c r="P275" s="91">
        <f>IFERROR(__xludf.DUMMYFUNCTION("IFERROR(sum(filter('Генеральный баннер'!$O:$O, 'Генеральный баннер'!$B:$B=$A275,'Генеральный баннер'!$C:$C=$B275,'Генеральный баннер'!$I:$I=$C275)), 0) "),0.0)</f>
        <v>0</v>
      </c>
      <c r="Q275" s="91">
        <f>IFERROR(__xludf.DUMMYFUNCTION("IFERROR(sum(filter('Генеральный баннер'!$Q:$Q, 'Генеральный баннер'!$B:$B=$A275,'Генеральный баннер'!$C:$C=$B275,'Генеральный баннер'!$I:$I=$C275)), 0) "),0.0)</f>
        <v>0</v>
      </c>
      <c r="R275" s="91">
        <f>IFERROR(__xludf.DUMMYFUNCTION("IFERROR(AVERAGE(filter('Генеральный баннер'!$AA:$AA, 'Генеральный баннер'!$B:$B=$A275,'Генеральный баннер'!$C:$C=$B275,'Генеральный баннер'!$I:$I=$C275)), 0) "),0.0)</f>
        <v>0</v>
      </c>
      <c r="S275" s="91">
        <f>IFERROR(__xludf.DUMMYFUNCTION("IFERROR(SUM(filter('Генеральный баннер'!$AH:$AH, 'Генеральный баннер'!$B:$B=$A275,'Генеральный баннер'!$C:$C=$B275,'Генеральный баннер'!$I:$I=$C275)), 0) "),0.0)</f>
        <v>0</v>
      </c>
      <c r="T275" s="91" t="str">
        <f>IFERROR(__xludf.DUMMYFUNCTION("IFERROR(REGEXREPLACE(unique(filter('Генеральный баннер'!$A:$A, 'Генеральный баннер'!$B:$B=$A275,'Генеральный баннер'!$C:$C=$B275,'Генеральный баннер'!$I:$I=$C275)), ""\d+"", """"),"""")"),"")</f>
        <v/>
      </c>
      <c r="U275" s="91" t="str">
        <f>IFERROR(__xludf.DUMMYFUNCTION("IFERROR(unique(filter('Генеральный баннер'!$F:$F, 'Генеральный баннер'!$B:$B=$A275,'Генеральный баннер'!$C:$C=$B275,'Генеральный баннер'!$I:$I=$C275)),"""")"),"")</f>
        <v/>
      </c>
      <c r="V275" s="92" t="str">
        <f t="shared" si="3"/>
        <v/>
      </c>
      <c r="W275" s="93">
        <f>IFERROR(__xludf.DUMMYFUNCTION("IFERROR(SWITCH(lower(join("" "",U275:V275)),""а миллионник"", 62.5,""б миллионник"", 75,""а мск"", 50, ""б мск"", 62.5, ""a остальное"", 70, ""б остальное"", 80)/100,0)"),0.0)</f>
        <v>0</v>
      </c>
      <c r="X275" s="91">
        <f t="shared" si="4"/>
        <v>0</v>
      </c>
    </row>
    <row r="276">
      <c r="A276" s="12"/>
      <c r="B276" s="12"/>
      <c r="C276" s="12"/>
      <c r="D276" s="91">
        <f>IFERROR(__xludf.DUMMYFUNCTION("IFERROR(sum(filter('Основной эфир'!$AA:$AA, 'Основной эфир'!$B:$B=$A276,'Основной эфир'!$C:$C=$B276,'Основной эфир'!$I:$I=$C276)), 0) "),0.0)</f>
        <v>0</v>
      </c>
      <c r="E276" s="91">
        <f>IFERROR(__xludf.DUMMYFUNCTION("IFERROR(sum(filter('Основной эфир'!$AC:$AC, 'Основной эфир'!$B:$B=$A276,'Основной эфир'!$C:$C=$B276,'Основной эфир'!$I:$I=$C276)), 0) "),0.0)</f>
        <v>0</v>
      </c>
      <c r="F276" s="91">
        <f>IFERROR(__xludf.DUMMYFUNCTION("IFERROR(sum(filter('Основной эфир'!$O:$O, 'Основной эфир'!$B:$B=$A276,'Основной эфир'!$C:$C=$B276,'Основной эфир'!$I:$I=$C276)), 0) "),0.0)</f>
        <v>0</v>
      </c>
      <c r="G276" s="91">
        <f>IFERROR(__xludf.DUMMYFUNCTION("IFERROR(sum(filter('Основной эфир'!$Q:$Q, 'Основной эфир'!$B:$B=$A276,'Основной эфир'!$C:$C=$B276,'Основной эфир'!$I:$I=$C276)), 0) "),0.0)</f>
        <v>0</v>
      </c>
      <c r="H276" s="91">
        <f>IFERROR(__xludf.DUMMYFUNCTION("IFERROR(AVERAGE(filter('Основной эфир'!$Y:$Y, 'Основной эфир'!$B:$B=$A276,'Основной эфир'!$C:$C=$B276,'Основной эфир'!$I:$I=$C276)), 0) "),0.0)</f>
        <v>0</v>
      </c>
      <c r="I276" s="91">
        <f>IFERROR(__xludf.DUMMYFUNCTION("IFERROR(AVERAGE(filter('Основной эфир'!$AE:$AE, 'Основной эфир'!$B:$B=$A276,'Основной эфир'!$C:$C=$B276,'Основной эфир'!$I:$I=$C276)), 0) "),0.0)</f>
        <v>0</v>
      </c>
      <c r="J276" s="91">
        <f>IFERROR(__xludf.DUMMYFUNCTION("IFERROR(SUM(filter('Основной эфир'!$AL:$AL, 'Основной эфир'!$B:$B=$A276,'Основной эфир'!$C:$C=$B276,'Основной эфир'!$I:$I=$C276)), 0) "),0.0)</f>
        <v>0</v>
      </c>
      <c r="K276" s="91" t="str">
        <f>IFERROR(__xludf.DUMMYFUNCTION("IFERROR(REGEXREPLACE(unique(filter('Основной эфир'!$A:$A, 'Основной эфир'!$B:$B=$A276,'Основной эфир'!$C:$C=$B276,'Основной эфир'!$I:$I=$C276)), ""\d+"", """"),"""")"),"")</f>
        <v/>
      </c>
      <c r="L276" s="91" t="str">
        <f>IFERROR(__xludf.DUMMYFUNCTION("IFERROR(unique(filter('Основной эфир'!$F:$F, 'Основной эфир'!$B:$B=$A276,'Основной эфир'!$C:$C=$B276,'Основной эфир'!$I:$I=$C276)),"""")"),"")</f>
        <v/>
      </c>
      <c r="M276" s="92" t="str">
        <f t="shared" si="1"/>
        <v/>
      </c>
      <c r="N276" s="93">
        <f>IFERROR(__xludf.DUMMYFUNCTION("IFERROR(SWITCH(lower(join("" "",L276:M276)),""а миллионник"", 62.5,""б миллионник"", 75,""а мск"", 50, ""б мск"", 62.5, ""a остальное"", 70, ""б остальное"", 80)/100,0)"),0.0)</f>
        <v>0</v>
      </c>
      <c r="O276" s="91">
        <f t="shared" si="2"/>
        <v>0</v>
      </c>
      <c r="P276" s="91">
        <f>IFERROR(__xludf.DUMMYFUNCTION("IFERROR(sum(filter('Генеральный баннер'!$O:$O, 'Генеральный баннер'!$B:$B=$A276,'Генеральный баннер'!$C:$C=$B276,'Генеральный баннер'!$I:$I=$C276)), 0) "),0.0)</f>
        <v>0</v>
      </c>
      <c r="Q276" s="91">
        <f>IFERROR(__xludf.DUMMYFUNCTION("IFERROR(sum(filter('Генеральный баннер'!$Q:$Q, 'Генеральный баннер'!$B:$B=$A276,'Генеральный баннер'!$C:$C=$B276,'Генеральный баннер'!$I:$I=$C276)), 0) "),0.0)</f>
        <v>0</v>
      </c>
      <c r="R276" s="91">
        <f>IFERROR(__xludf.DUMMYFUNCTION("IFERROR(AVERAGE(filter('Генеральный баннер'!$AA:$AA, 'Генеральный баннер'!$B:$B=$A276,'Генеральный баннер'!$C:$C=$B276,'Генеральный баннер'!$I:$I=$C276)), 0) "),0.0)</f>
        <v>0</v>
      </c>
      <c r="S276" s="91">
        <f>IFERROR(__xludf.DUMMYFUNCTION("IFERROR(SUM(filter('Генеральный баннер'!$AH:$AH, 'Генеральный баннер'!$B:$B=$A276,'Генеральный баннер'!$C:$C=$B276,'Генеральный баннер'!$I:$I=$C276)), 0) "),0.0)</f>
        <v>0</v>
      </c>
      <c r="T276" s="91" t="str">
        <f>IFERROR(__xludf.DUMMYFUNCTION("IFERROR(REGEXREPLACE(unique(filter('Генеральный баннер'!$A:$A, 'Генеральный баннер'!$B:$B=$A276,'Генеральный баннер'!$C:$C=$B276,'Генеральный баннер'!$I:$I=$C276)), ""\d+"", """"),"""")"),"")</f>
        <v/>
      </c>
      <c r="U276" s="91" t="str">
        <f>IFERROR(__xludf.DUMMYFUNCTION("IFERROR(unique(filter('Генеральный баннер'!$F:$F, 'Генеральный баннер'!$B:$B=$A276,'Генеральный баннер'!$C:$C=$B276,'Генеральный баннер'!$I:$I=$C276)),"""")"),"")</f>
        <v/>
      </c>
      <c r="V276" s="92" t="str">
        <f t="shared" si="3"/>
        <v/>
      </c>
      <c r="W276" s="93">
        <f>IFERROR(__xludf.DUMMYFUNCTION("IFERROR(SWITCH(lower(join("" "",U276:V276)),""а миллионник"", 62.5,""б миллионник"", 75,""а мск"", 50, ""б мск"", 62.5, ""a остальное"", 70, ""б остальное"", 80)/100,0)"),0.0)</f>
        <v>0</v>
      </c>
      <c r="X276" s="91">
        <f t="shared" si="4"/>
        <v>0</v>
      </c>
    </row>
    <row r="277">
      <c r="A277" s="12"/>
      <c r="B277" s="12"/>
      <c r="C277" s="12"/>
      <c r="D277" s="91">
        <f>IFERROR(__xludf.DUMMYFUNCTION("IFERROR(sum(filter('Основной эфир'!$AA:$AA, 'Основной эфир'!$B:$B=$A277,'Основной эфир'!$C:$C=$B277,'Основной эфир'!$I:$I=$C277)), 0) "),0.0)</f>
        <v>0</v>
      </c>
      <c r="E277" s="91">
        <f>IFERROR(__xludf.DUMMYFUNCTION("IFERROR(sum(filter('Основной эфир'!$AC:$AC, 'Основной эфир'!$B:$B=$A277,'Основной эфир'!$C:$C=$B277,'Основной эфир'!$I:$I=$C277)), 0) "),0.0)</f>
        <v>0</v>
      </c>
      <c r="F277" s="91">
        <f>IFERROR(__xludf.DUMMYFUNCTION("IFERROR(sum(filter('Основной эфир'!$O:$O, 'Основной эфир'!$B:$B=$A277,'Основной эфир'!$C:$C=$B277,'Основной эфир'!$I:$I=$C277)), 0) "),0.0)</f>
        <v>0</v>
      </c>
      <c r="G277" s="91">
        <f>IFERROR(__xludf.DUMMYFUNCTION("IFERROR(sum(filter('Основной эфир'!$Q:$Q, 'Основной эфир'!$B:$B=$A277,'Основной эфир'!$C:$C=$B277,'Основной эфир'!$I:$I=$C277)), 0) "),0.0)</f>
        <v>0</v>
      </c>
      <c r="H277" s="91">
        <f>IFERROR(__xludf.DUMMYFUNCTION("IFERROR(AVERAGE(filter('Основной эфир'!$Y:$Y, 'Основной эфир'!$B:$B=$A277,'Основной эфир'!$C:$C=$B277,'Основной эфир'!$I:$I=$C277)), 0) "),0.0)</f>
        <v>0</v>
      </c>
      <c r="I277" s="91">
        <f>IFERROR(__xludf.DUMMYFUNCTION("IFERROR(AVERAGE(filter('Основной эфир'!$AE:$AE, 'Основной эфир'!$B:$B=$A277,'Основной эфир'!$C:$C=$B277,'Основной эфир'!$I:$I=$C277)), 0) "),0.0)</f>
        <v>0</v>
      </c>
      <c r="J277" s="91">
        <f>IFERROR(__xludf.DUMMYFUNCTION("IFERROR(SUM(filter('Основной эфир'!$AL:$AL, 'Основной эфир'!$B:$B=$A277,'Основной эфир'!$C:$C=$B277,'Основной эфир'!$I:$I=$C277)), 0) "),0.0)</f>
        <v>0</v>
      </c>
      <c r="K277" s="91" t="str">
        <f>IFERROR(__xludf.DUMMYFUNCTION("IFERROR(REGEXREPLACE(unique(filter('Основной эфир'!$A:$A, 'Основной эфир'!$B:$B=$A277,'Основной эфир'!$C:$C=$B277,'Основной эфир'!$I:$I=$C277)), ""\d+"", """"),"""")"),"")</f>
        <v/>
      </c>
      <c r="L277" s="91" t="str">
        <f>IFERROR(__xludf.DUMMYFUNCTION("IFERROR(unique(filter('Основной эфир'!$F:$F, 'Основной эфир'!$B:$B=$A277,'Основной эфир'!$C:$C=$B277,'Основной эфир'!$I:$I=$C277)),"""")"),"")</f>
        <v/>
      </c>
      <c r="M277" s="92" t="str">
        <f t="shared" si="1"/>
        <v/>
      </c>
      <c r="N277" s="93">
        <f>IFERROR(__xludf.DUMMYFUNCTION("IFERROR(SWITCH(lower(join("" "",L277:M277)),""а миллионник"", 62.5,""б миллионник"", 75,""а мск"", 50, ""б мск"", 62.5, ""a остальное"", 70, ""б остальное"", 80)/100,0)"),0.0)</f>
        <v>0</v>
      </c>
      <c r="O277" s="91">
        <f t="shared" si="2"/>
        <v>0</v>
      </c>
      <c r="P277" s="91">
        <f>IFERROR(__xludf.DUMMYFUNCTION("IFERROR(sum(filter('Генеральный баннер'!$O:$O, 'Генеральный баннер'!$B:$B=$A277,'Генеральный баннер'!$C:$C=$B277,'Генеральный баннер'!$I:$I=$C277)), 0) "),0.0)</f>
        <v>0</v>
      </c>
      <c r="Q277" s="91">
        <f>IFERROR(__xludf.DUMMYFUNCTION("IFERROR(sum(filter('Генеральный баннер'!$Q:$Q, 'Генеральный баннер'!$B:$B=$A277,'Генеральный баннер'!$C:$C=$B277,'Генеральный баннер'!$I:$I=$C277)), 0) "),0.0)</f>
        <v>0</v>
      </c>
      <c r="R277" s="91">
        <f>IFERROR(__xludf.DUMMYFUNCTION("IFERROR(AVERAGE(filter('Генеральный баннер'!$AA:$AA, 'Генеральный баннер'!$B:$B=$A277,'Генеральный баннер'!$C:$C=$B277,'Генеральный баннер'!$I:$I=$C277)), 0) "),0.0)</f>
        <v>0</v>
      </c>
      <c r="S277" s="91">
        <f>IFERROR(__xludf.DUMMYFUNCTION("IFERROR(SUM(filter('Генеральный баннер'!$AH:$AH, 'Генеральный баннер'!$B:$B=$A277,'Генеральный баннер'!$C:$C=$B277,'Генеральный баннер'!$I:$I=$C277)), 0) "),0.0)</f>
        <v>0</v>
      </c>
      <c r="T277" s="91" t="str">
        <f>IFERROR(__xludf.DUMMYFUNCTION("IFERROR(REGEXREPLACE(unique(filter('Генеральный баннер'!$A:$A, 'Генеральный баннер'!$B:$B=$A277,'Генеральный баннер'!$C:$C=$B277,'Генеральный баннер'!$I:$I=$C277)), ""\d+"", """"),"""")"),"")</f>
        <v/>
      </c>
      <c r="U277" s="91" t="str">
        <f>IFERROR(__xludf.DUMMYFUNCTION("IFERROR(unique(filter('Генеральный баннер'!$F:$F, 'Генеральный баннер'!$B:$B=$A277,'Генеральный баннер'!$C:$C=$B277,'Генеральный баннер'!$I:$I=$C277)),"""")"),"")</f>
        <v/>
      </c>
      <c r="V277" s="92" t="str">
        <f t="shared" si="3"/>
        <v/>
      </c>
      <c r="W277" s="93">
        <f>IFERROR(__xludf.DUMMYFUNCTION("IFERROR(SWITCH(lower(join("" "",U277:V277)),""а миллионник"", 62.5,""б миллионник"", 75,""а мск"", 50, ""б мск"", 62.5, ""a остальное"", 70, ""б остальное"", 80)/100,0)"),0.0)</f>
        <v>0</v>
      </c>
      <c r="X277" s="91">
        <f t="shared" si="4"/>
        <v>0</v>
      </c>
    </row>
    <row r="278">
      <c r="A278" s="12"/>
      <c r="B278" s="12"/>
      <c r="C278" s="12"/>
      <c r="D278" s="91">
        <f>IFERROR(__xludf.DUMMYFUNCTION("IFERROR(sum(filter('Основной эфир'!$AA:$AA, 'Основной эфир'!$B:$B=$A278,'Основной эфир'!$C:$C=$B278,'Основной эфир'!$I:$I=$C278)), 0) "),0.0)</f>
        <v>0</v>
      </c>
      <c r="E278" s="91">
        <f>IFERROR(__xludf.DUMMYFUNCTION("IFERROR(sum(filter('Основной эфир'!$AC:$AC, 'Основной эфир'!$B:$B=$A278,'Основной эфир'!$C:$C=$B278,'Основной эфир'!$I:$I=$C278)), 0) "),0.0)</f>
        <v>0</v>
      </c>
      <c r="F278" s="91">
        <f>IFERROR(__xludf.DUMMYFUNCTION("IFERROR(sum(filter('Основной эфир'!$O:$O, 'Основной эфир'!$B:$B=$A278,'Основной эфир'!$C:$C=$B278,'Основной эфир'!$I:$I=$C278)), 0) "),0.0)</f>
        <v>0</v>
      </c>
      <c r="G278" s="91">
        <f>IFERROR(__xludf.DUMMYFUNCTION("IFERROR(sum(filter('Основной эфир'!$Q:$Q, 'Основной эфир'!$B:$B=$A278,'Основной эфир'!$C:$C=$B278,'Основной эфир'!$I:$I=$C278)), 0) "),0.0)</f>
        <v>0</v>
      </c>
      <c r="H278" s="91">
        <f>IFERROR(__xludf.DUMMYFUNCTION("IFERROR(AVERAGE(filter('Основной эфир'!$Y:$Y, 'Основной эфир'!$B:$B=$A278,'Основной эфир'!$C:$C=$B278,'Основной эфир'!$I:$I=$C278)), 0) "),0.0)</f>
        <v>0</v>
      </c>
      <c r="I278" s="91">
        <f>IFERROR(__xludf.DUMMYFUNCTION("IFERROR(AVERAGE(filter('Основной эфир'!$AE:$AE, 'Основной эфир'!$B:$B=$A278,'Основной эфир'!$C:$C=$B278,'Основной эфир'!$I:$I=$C278)), 0) "),0.0)</f>
        <v>0</v>
      </c>
      <c r="J278" s="91">
        <f>IFERROR(__xludf.DUMMYFUNCTION("IFERROR(SUM(filter('Основной эфир'!$AL:$AL, 'Основной эфир'!$B:$B=$A278,'Основной эфир'!$C:$C=$B278,'Основной эфир'!$I:$I=$C278)), 0) "),0.0)</f>
        <v>0</v>
      </c>
      <c r="K278" s="91" t="str">
        <f>IFERROR(__xludf.DUMMYFUNCTION("IFERROR(REGEXREPLACE(unique(filter('Основной эфир'!$A:$A, 'Основной эфир'!$B:$B=$A278,'Основной эфир'!$C:$C=$B278,'Основной эфир'!$I:$I=$C278)), ""\d+"", """"),"""")"),"")</f>
        <v/>
      </c>
      <c r="L278" s="91" t="str">
        <f>IFERROR(__xludf.DUMMYFUNCTION("IFERROR(unique(filter('Основной эфир'!$F:$F, 'Основной эфир'!$B:$B=$A278,'Основной эфир'!$C:$C=$B278,'Основной эфир'!$I:$I=$C278)),"""")"),"")</f>
        <v/>
      </c>
      <c r="M278" s="92" t="str">
        <f t="shared" si="1"/>
        <v/>
      </c>
      <c r="N278" s="93">
        <f>IFERROR(__xludf.DUMMYFUNCTION("IFERROR(SWITCH(lower(join("" "",L278:M278)),""а миллионник"", 62.5,""б миллионник"", 75,""а мск"", 50, ""б мск"", 62.5, ""a остальное"", 70, ""б остальное"", 80)/100,0)"),0.0)</f>
        <v>0</v>
      </c>
      <c r="O278" s="91">
        <f t="shared" si="2"/>
        <v>0</v>
      </c>
      <c r="P278" s="91">
        <f>IFERROR(__xludf.DUMMYFUNCTION("IFERROR(sum(filter('Генеральный баннер'!$O:$O, 'Генеральный баннер'!$B:$B=$A278,'Генеральный баннер'!$C:$C=$B278,'Генеральный баннер'!$I:$I=$C278)), 0) "),0.0)</f>
        <v>0</v>
      </c>
      <c r="Q278" s="91">
        <f>IFERROR(__xludf.DUMMYFUNCTION("IFERROR(sum(filter('Генеральный баннер'!$Q:$Q, 'Генеральный баннер'!$B:$B=$A278,'Генеральный баннер'!$C:$C=$B278,'Генеральный баннер'!$I:$I=$C278)), 0) "),0.0)</f>
        <v>0</v>
      </c>
      <c r="R278" s="91">
        <f>IFERROR(__xludf.DUMMYFUNCTION("IFERROR(AVERAGE(filter('Генеральный баннер'!$AA:$AA, 'Генеральный баннер'!$B:$B=$A278,'Генеральный баннер'!$C:$C=$B278,'Генеральный баннер'!$I:$I=$C278)), 0) "),0.0)</f>
        <v>0</v>
      </c>
      <c r="S278" s="91">
        <f>IFERROR(__xludf.DUMMYFUNCTION("IFERROR(SUM(filter('Генеральный баннер'!$AH:$AH, 'Генеральный баннер'!$B:$B=$A278,'Генеральный баннер'!$C:$C=$B278,'Генеральный баннер'!$I:$I=$C278)), 0) "),0.0)</f>
        <v>0</v>
      </c>
      <c r="T278" s="91" t="str">
        <f>IFERROR(__xludf.DUMMYFUNCTION("IFERROR(REGEXREPLACE(unique(filter('Генеральный баннер'!$A:$A, 'Генеральный баннер'!$B:$B=$A278,'Генеральный баннер'!$C:$C=$B278,'Генеральный баннер'!$I:$I=$C278)), ""\d+"", """"),"""")"),"")</f>
        <v/>
      </c>
      <c r="U278" s="91" t="str">
        <f>IFERROR(__xludf.DUMMYFUNCTION("IFERROR(unique(filter('Генеральный баннер'!$F:$F, 'Генеральный баннер'!$B:$B=$A278,'Генеральный баннер'!$C:$C=$B278,'Генеральный баннер'!$I:$I=$C278)),"""")"),"")</f>
        <v/>
      </c>
      <c r="V278" s="92" t="str">
        <f t="shared" si="3"/>
        <v/>
      </c>
      <c r="W278" s="93">
        <f>IFERROR(__xludf.DUMMYFUNCTION("IFERROR(SWITCH(lower(join("" "",U278:V278)),""а миллионник"", 62.5,""б миллионник"", 75,""а мск"", 50, ""б мск"", 62.5, ""a остальное"", 70, ""б остальное"", 80)/100,0)"),0.0)</f>
        <v>0</v>
      </c>
      <c r="X278" s="91">
        <f t="shared" si="4"/>
        <v>0</v>
      </c>
    </row>
    <row r="279">
      <c r="A279" s="12"/>
      <c r="B279" s="12"/>
      <c r="C279" s="12"/>
      <c r="D279" s="91">
        <f>IFERROR(__xludf.DUMMYFUNCTION("IFERROR(sum(filter('Основной эфир'!$AA:$AA, 'Основной эфир'!$B:$B=$A279,'Основной эфир'!$C:$C=$B279,'Основной эфир'!$I:$I=$C279)), 0) "),0.0)</f>
        <v>0</v>
      </c>
      <c r="E279" s="91">
        <f>IFERROR(__xludf.DUMMYFUNCTION("IFERROR(sum(filter('Основной эфир'!$AC:$AC, 'Основной эфир'!$B:$B=$A279,'Основной эфир'!$C:$C=$B279,'Основной эфир'!$I:$I=$C279)), 0) "),0.0)</f>
        <v>0</v>
      </c>
      <c r="F279" s="91">
        <f>IFERROR(__xludf.DUMMYFUNCTION("IFERROR(sum(filter('Основной эфир'!$O:$O, 'Основной эфир'!$B:$B=$A279,'Основной эфир'!$C:$C=$B279,'Основной эфир'!$I:$I=$C279)), 0) "),0.0)</f>
        <v>0</v>
      </c>
      <c r="G279" s="91">
        <f>IFERROR(__xludf.DUMMYFUNCTION("IFERROR(sum(filter('Основной эфир'!$Q:$Q, 'Основной эфир'!$B:$B=$A279,'Основной эфир'!$C:$C=$B279,'Основной эфир'!$I:$I=$C279)), 0) "),0.0)</f>
        <v>0</v>
      </c>
      <c r="H279" s="91">
        <f>IFERROR(__xludf.DUMMYFUNCTION("IFERROR(AVERAGE(filter('Основной эфир'!$Y:$Y, 'Основной эфир'!$B:$B=$A279,'Основной эфир'!$C:$C=$B279,'Основной эфир'!$I:$I=$C279)), 0) "),0.0)</f>
        <v>0</v>
      </c>
      <c r="I279" s="91">
        <f>IFERROR(__xludf.DUMMYFUNCTION("IFERROR(AVERAGE(filter('Основной эфир'!$AE:$AE, 'Основной эфир'!$B:$B=$A279,'Основной эфир'!$C:$C=$B279,'Основной эфир'!$I:$I=$C279)), 0) "),0.0)</f>
        <v>0</v>
      </c>
      <c r="J279" s="91">
        <f>IFERROR(__xludf.DUMMYFUNCTION("IFERROR(SUM(filter('Основной эфир'!$AL:$AL, 'Основной эфир'!$B:$B=$A279,'Основной эфир'!$C:$C=$B279,'Основной эфир'!$I:$I=$C279)), 0) "),0.0)</f>
        <v>0</v>
      </c>
      <c r="K279" s="91" t="str">
        <f>IFERROR(__xludf.DUMMYFUNCTION("IFERROR(REGEXREPLACE(unique(filter('Основной эфир'!$A:$A, 'Основной эфир'!$B:$B=$A279,'Основной эфир'!$C:$C=$B279,'Основной эфир'!$I:$I=$C279)), ""\d+"", """"),"""")"),"")</f>
        <v/>
      </c>
      <c r="L279" s="91" t="str">
        <f>IFERROR(__xludf.DUMMYFUNCTION("IFERROR(unique(filter('Основной эфир'!$F:$F, 'Основной эфир'!$B:$B=$A279,'Основной эфир'!$C:$C=$B279,'Основной эфир'!$I:$I=$C279)),"""")"),"")</f>
        <v/>
      </c>
      <c r="M279" s="92" t="str">
        <f t="shared" si="1"/>
        <v/>
      </c>
      <c r="N279" s="93">
        <f>IFERROR(__xludf.DUMMYFUNCTION("IFERROR(SWITCH(lower(join("" "",L279:M279)),""а миллионник"", 62.5,""б миллионник"", 75,""а мск"", 50, ""б мск"", 62.5, ""a остальное"", 70, ""б остальное"", 80)/100,0)"),0.0)</f>
        <v>0</v>
      </c>
      <c r="O279" s="91">
        <f t="shared" si="2"/>
        <v>0</v>
      </c>
      <c r="P279" s="91">
        <f>IFERROR(__xludf.DUMMYFUNCTION("IFERROR(sum(filter('Генеральный баннер'!$O:$O, 'Генеральный баннер'!$B:$B=$A279,'Генеральный баннер'!$C:$C=$B279,'Генеральный баннер'!$I:$I=$C279)), 0) "),0.0)</f>
        <v>0</v>
      </c>
      <c r="Q279" s="91">
        <f>IFERROR(__xludf.DUMMYFUNCTION("IFERROR(sum(filter('Генеральный баннер'!$Q:$Q, 'Генеральный баннер'!$B:$B=$A279,'Генеральный баннер'!$C:$C=$B279,'Генеральный баннер'!$I:$I=$C279)), 0) "),0.0)</f>
        <v>0</v>
      </c>
      <c r="R279" s="91">
        <f>IFERROR(__xludf.DUMMYFUNCTION("IFERROR(AVERAGE(filter('Генеральный баннер'!$AA:$AA, 'Генеральный баннер'!$B:$B=$A279,'Генеральный баннер'!$C:$C=$B279,'Генеральный баннер'!$I:$I=$C279)), 0) "),0.0)</f>
        <v>0</v>
      </c>
      <c r="S279" s="91">
        <f>IFERROR(__xludf.DUMMYFUNCTION("IFERROR(SUM(filter('Генеральный баннер'!$AH:$AH, 'Генеральный баннер'!$B:$B=$A279,'Генеральный баннер'!$C:$C=$B279,'Генеральный баннер'!$I:$I=$C279)), 0) "),0.0)</f>
        <v>0</v>
      </c>
      <c r="T279" s="91" t="str">
        <f>IFERROR(__xludf.DUMMYFUNCTION("IFERROR(REGEXREPLACE(unique(filter('Генеральный баннер'!$A:$A, 'Генеральный баннер'!$B:$B=$A279,'Генеральный баннер'!$C:$C=$B279,'Генеральный баннер'!$I:$I=$C279)), ""\d+"", """"),"""")"),"")</f>
        <v/>
      </c>
      <c r="U279" s="91" t="str">
        <f>IFERROR(__xludf.DUMMYFUNCTION("IFERROR(unique(filter('Генеральный баннер'!$F:$F, 'Генеральный баннер'!$B:$B=$A279,'Генеральный баннер'!$C:$C=$B279,'Генеральный баннер'!$I:$I=$C279)),"""")"),"")</f>
        <v/>
      </c>
      <c r="V279" s="92" t="str">
        <f t="shared" si="3"/>
        <v/>
      </c>
      <c r="W279" s="93">
        <f>IFERROR(__xludf.DUMMYFUNCTION("IFERROR(SWITCH(lower(join("" "",U279:V279)),""а миллионник"", 62.5,""б миллионник"", 75,""а мск"", 50, ""б мск"", 62.5, ""a остальное"", 70, ""б остальное"", 80)/100,0)"),0.0)</f>
        <v>0</v>
      </c>
      <c r="X279" s="91">
        <f t="shared" si="4"/>
        <v>0</v>
      </c>
    </row>
    <row r="280">
      <c r="A280" s="12"/>
      <c r="B280" s="12"/>
      <c r="C280" s="12"/>
      <c r="D280" s="91">
        <f>IFERROR(__xludf.DUMMYFUNCTION("IFERROR(sum(filter('Основной эфир'!$AA:$AA, 'Основной эфир'!$B:$B=$A280,'Основной эфир'!$C:$C=$B280,'Основной эфир'!$I:$I=$C280)), 0) "),0.0)</f>
        <v>0</v>
      </c>
      <c r="E280" s="91">
        <f>IFERROR(__xludf.DUMMYFUNCTION("IFERROR(sum(filter('Основной эфир'!$AC:$AC, 'Основной эфир'!$B:$B=$A280,'Основной эфир'!$C:$C=$B280,'Основной эфир'!$I:$I=$C280)), 0) "),0.0)</f>
        <v>0</v>
      </c>
      <c r="F280" s="91">
        <f>IFERROR(__xludf.DUMMYFUNCTION("IFERROR(sum(filter('Основной эфир'!$O:$O, 'Основной эфир'!$B:$B=$A280,'Основной эфир'!$C:$C=$B280,'Основной эфир'!$I:$I=$C280)), 0) "),0.0)</f>
        <v>0</v>
      </c>
      <c r="G280" s="91">
        <f>IFERROR(__xludf.DUMMYFUNCTION("IFERROR(sum(filter('Основной эфир'!$Q:$Q, 'Основной эфир'!$B:$B=$A280,'Основной эфир'!$C:$C=$B280,'Основной эфир'!$I:$I=$C280)), 0) "),0.0)</f>
        <v>0</v>
      </c>
      <c r="H280" s="91">
        <f>IFERROR(__xludf.DUMMYFUNCTION("IFERROR(AVERAGE(filter('Основной эфир'!$Y:$Y, 'Основной эфир'!$B:$B=$A280,'Основной эфир'!$C:$C=$B280,'Основной эфир'!$I:$I=$C280)), 0) "),0.0)</f>
        <v>0</v>
      </c>
      <c r="I280" s="91">
        <f>IFERROR(__xludf.DUMMYFUNCTION("IFERROR(AVERAGE(filter('Основной эфир'!$AE:$AE, 'Основной эфир'!$B:$B=$A280,'Основной эфир'!$C:$C=$B280,'Основной эфир'!$I:$I=$C280)), 0) "),0.0)</f>
        <v>0</v>
      </c>
      <c r="J280" s="91">
        <f>IFERROR(__xludf.DUMMYFUNCTION("IFERROR(SUM(filter('Основной эфир'!$AL:$AL, 'Основной эфир'!$B:$B=$A280,'Основной эфир'!$C:$C=$B280,'Основной эфир'!$I:$I=$C280)), 0) "),0.0)</f>
        <v>0</v>
      </c>
      <c r="K280" s="91" t="str">
        <f>IFERROR(__xludf.DUMMYFUNCTION("IFERROR(REGEXREPLACE(unique(filter('Основной эфир'!$A:$A, 'Основной эфир'!$B:$B=$A280,'Основной эфир'!$C:$C=$B280,'Основной эфир'!$I:$I=$C280)), ""\d+"", """"),"""")"),"")</f>
        <v/>
      </c>
      <c r="L280" s="91" t="str">
        <f>IFERROR(__xludf.DUMMYFUNCTION("IFERROR(unique(filter('Основной эфир'!$F:$F, 'Основной эфир'!$B:$B=$A280,'Основной эфир'!$C:$C=$B280,'Основной эфир'!$I:$I=$C280)),"""")"),"")</f>
        <v/>
      </c>
      <c r="M280" s="92" t="str">
        <f t="shared" si="1"/>
        <v/>
      </c>
      <c r="N280" s="93">
        <f>IFERROR(__xludf.DUMMYFUNCTION("IFERROR(SWITCH(lower(join("" "",L280:M280)),""а миллионник"", 62.5,""б миллионник"", 75,""а мск"", 50, ""б мск"", 62.5, ""a остальное"", 70, ""б остальное"", 80)/100,0)"),0.0)</f>
        <v>0</v>
      </c>
      <c r="O280" s="91">
        <f t="shared" si="2"/>
        <v>0</v>
      </c>
      <c r="P280" s="91">
        <f>IFERROR(__xludf.DUMMYFUNCTION("IFERROR(sum(filter('Генеральный баннер'!$O:$O, 'Генеральный баннер'!$B:$B=$A280,'Генеральный баннер'!$C:$C=$B280,'Генеральный баннер'!$I:$I=$C280)), 0) "),0.0)</f>
        <v>0</v>
      </c>
      <c r="Q280" s="91">
        <f>IFERROR(__xludf.DUMMYFUNCTION("IFERROR(sum(filter('Генеральный баннер'!$Q:$Q, 'Генеральный баннер'!$B:$B=$A280,'Генеральный баннер'!$C:$C=$B280,'Генеральный баннер'!$I:$I=$C280)), 0) "),0.0)</f>
        <v>0</v>
      </c>
      <c r="R280" s="91">
        <f>IFERROR(__xludf.DUMMYFUNCTION("IFERROR(AVERAGE(filter('Генеральный баннер'!$AA:$AA, 'Генеральный баннер'!$B:$B=$A280,'Генеральный баннер'!$C:$C=$B280,'Генеральный баннер'!$I:$I=$C280)), 0) "),0.0)</f>
        <v>0</v>
      </c>
      <c r="S280" s="91">
        <f>IFERROR(__xludf.DUMMYFUNCTION("IFERROR(SUM(filter('Генеральный баннер'!$AH:$AH, 'Генеральный баннер'!$B:$B=$A280,'Генеральный баннер'!$C:$C=$B280,'Генеральный баннер'!$I:$I=$C280)), 0) "),0.0)</f>
        <v>0</v>
      </c>
      <c r="T280" s="91" t="str">
        <f>IFERROR(__xludf.DUMMYFUNCTION("IFERROR(REGEXREPLACE(unique(filter('Генеральный баннер'!$A:$A, 'Генеральный баннер'!$B:$B=$A280,'Генеральный баннер'!$C:$C=$B280,'Генеральный баннер'!$I:$I=$C280)), ""\d+"", """"),"""")"),"")</f>
        <v/>
      </c>
      <c r="U280" s="91" t="str">
        <f>IFERROR(__xludf.DUMMYFUNCTION("IFERROR(unique(filter('Генеральный баннер'!$F:$F, 'Генеральный баннер'!$B:$B=$A280,'Генеральный баннер'!$C:$C=$B280,'Генеральный баннер'!$I:$I=$C280)),"""")"),"")</f>
        <v/>
      </c>
      <c r="V280" s="92" t="str">
        <f t="shared" si="3"/>
        <v/>
      </c>
      <c r="W280" s="93">
        <f>IFERROR(__xludf.DUMMYFUNCTION("IFERROR(SWITCH(lower(join("" "",U280:V280)),""а миллионник"", 62.5,""б миллионник"", 75,""а мск"", 50, ""б мск"", 62.5, ""a остальное"", 70, ""б остальное"", 80)/100,0)"),0.0)</f>
        <v>0</v>
      </c>
      <c r="X280" s="91">
        <f t="shared" si="4"/>
        <v>0</v>
      </c>
    </row>
    <row r="281">
      <c r="A281" s="12"/>
      <c r="B281" s="12"/>
      <c r="C281" s="12"/>
      <c r="D281" s="91">
        <f>IFERROR(__xludf.DUMMYFUNCTION("IFERROR(sum(filter('Основной эфир'!$AA:$AA, 'Основной эфир'!$B:$B=$A281,'Основной эфир'!$C:$C=$B281,'Основной эфир'!$I:$I=$C281)), 0) "),0.0)</f>
        <v>0</v>
      </c>
      <c r="E281" s="91">
        <f>IFERROR(__xludf.DUMMYFUNCTION("IFERROR(sum(filter('Основной эфир'!$AC:$AC, 'Основной эфир'!$B:$B=$A281,'Основной эфир'!$C:$C=$B281,'Основной эфир'!$I:$I=$C281)), 0) "),0.0)</f>
        <v>0</v>
      </c>
      <c r="F281" s="91">
        <f>IFERROR(__xludf.DUMMYFUNCTION("IFERROR(sum(filter('Основной эфир'!$O:$O, 'Основной эфир'!$B:$B=$A281,'Основной эфир'!$C:$C=$B281,'Основной эфир'!$I:$I=$C281)), 0) "),0.0)</f>
        <v>0</v>
      </c>
      <c r="G281" s="91">
        <f>IFERROR(__xludf.DUMMYFUNCTION("IFERROR(sum(filter('Основной эфир'!$Q:$Q, 'Основной эфир'!$B:$B=$A281,'Основной эфир'!$C:$C=$B281,'Основной эфир'!$I:$I=$C281)), 0) "),0.0)</f>
        <v>0</v>
      </c>
      <c r="H281" s="91">
        <f>IFERROR(__xludf.DUMMYFUNCTION("IFERROR(AVERAGE(filter('Основной эфир'!$Y:$Y, 'Основной эфир'!$B:$B=$A281,'Основной эфир'!$C:$C=$B281,'Основной эфир'!$I:$I=$C281)), 0) "),0.0)</f>
        <v>0</v>
      </c>
      <c r="I281" s="91">
        <f>IFERROR(__xludf.DUMMYFUNCTION("IFERROR(AVERAGE(filter('Основной эфир'!$AE:$AE, 'Основной эфир'!$B:$B=$A281,'Основной эфир'!$C:$C=$B281,'Основной эфир'!$I:$I=$C281)), 0) "),0.0)</f>
        <v>0</v>
      </c>
      <c r="J281" s="91">
        <f>IFERROR(__xludf.DUMMYFUNCTION("IFERROR(SUM(filter('Основной эфир'!$AL:$AL, 'Основной эфир'!$B:$B=$A281,'Основной эфир'!$C:$C=$B281,'Основной эфир'!$I:$I=$C281)), 0) "),0.0)</f>
        <v>0</v>
      </c>
      <c r="K281" s="91" t="str">
        <f>IFERROR(__xludf.DUMMYFUNCTION("IFERROR(REGEXREPLACE(unique(filter('Основной эфир'!$A:$A, 'Основной эфир'!$B:$B=$A281,'Основной эфир'!$C:$C=$B281,'Основной эфир'!$I:$I=$C281)), ""\d+"", """"),"""")"),"")</f>
        <v/>
      </c>
      <c r="L281" s="91" t="str">
        <f>IFERROR(__xludf.DUMMYFUNCTION("IFERROR(unique(filter('Основной эфир'!$F:$F, 'Основной эфир'!$B:$B=$A281,'Основной эфир'!$C:$C=$B281,'Основной эфир'!$I:$I=$C281)),"""")"),"")</f>
        <v/>
      </c>
      <c r="M281" s="92" t="str">
        <f t="shared" si="1"/>
        <v/>
      </c>
      <c r="N281" s="93">
        <f>IFERROR(__xludf.DUMMYFUNCTION("IFERROR(SWITCH(lower(join("" "",L281:M281)),""а миллионник"", 62.5,""б миллионник"", 75,""а мск"", 50, ""б мск"", 62.5, ""a остальное"", 70, ""б остальное"", 80)/100,0)"),0.0)</f>
        <v>0</v>
      </c>
      <c r="O281" s="91">
        <f t="shared" si="2"/>
        <v>0</v>
      </c>
      <c r="P281" s="91">
        <f>IFERROR(__xludf.DUMMYFUNCTION("IFERROR(sum(filter('Генеральный баннер'!$O:$O, 'Генеральный баннер'!$B:$B=$A281,'Генеральный баннер'!$C:$C=$B281,'Генеральный баннер'!$I:$I=$C281)), 0) "),0.0)</f>
        <v>0</v>
      </c>
      <c r="Q281" s="91">
        <f>IFERROR(__xludf.DUMMYFUNCTION("IFERROR(sum(filter('Генеральный баннер'!$Q:$Q, 'Генеральный баннер'!$B:$B=$A281,'Генеральный баннер'!$C:$C=$B281,'Генеральный баннер'!$I:$I=$C281)), 0) "),0.0)</f>
        <v>0</v>
      </c>
      <c r="R281" s="91">
        <f>IFERROR(__xludf.DUMMYFUNCTION("IFERROR(AVERAGE(filter('Генеральный баннер'!$AA:$AA, 'Генеральный баннер'!$B:$B=$A281,'Генеральный баннер'!$C:$C=$B281,'Генеральный баннер'!$I:$I=$C281)), 0) "),0.0)</f>
        <v>0</v>
      </c>
      <c r="S281" s="91">
        <f>IFERROR(__xludf.DUMMYFUNCTION("IFERROR(SUM(filter('Генеральный баннер'!$AH:$AH, 'Генеральный баннер'!$B:$B=$A281,'Генеральный баннер'!$C:$C=$B281,'Генеральный баннер'!$I:$I=$C281)), 0) "),0.0)</f>
        <v>0</v>
      </c>
      <c r="T281" s="91" t="str">
        <f>IFERROR(__xludf.DUMMYFUNCTION("IFERROR(REGEXREPLACE(unique(filter('Генеральный баннер'!$A:$A, 'Генеральный баннер'!$B:$B=$A281,'Генеральный баннер'!$C:$C=$B281,'Генеральный баннер'!$I:$I=$C281)), ""\d+"", """"),"""")"),"")</f>
        <v/>
      </c>
      <c r="U281" s="91" t="str">
        <f>IFERROR(__xludf.DUMMYFUNCTION("IFERROR(unique(filter('Генеральный баннер'!$F:$F, 'Генеральный баннер'!$B:$B=$A281,'Генеральный баннер'!$C:$C=$B281,'Генеральный баннер'!$I:$I=$C281)),"""")"),"")</f>
        <v/>
      </c>
      <c r="V281" s="92" t="str">
        <f t="shared" si="3"/>
        <v/>
      </c>
      <c r="W281" s="93">
        <f>IFERROR(__xludf.DUMMYFUNCTION("IFERROR(SWITCH(lower(join("" "",U281:V281)),""а миллионник"", 62.5,""б миллионник"", 75,""а мск"", 50, ""б мск"", 62.5, ""a остальное"", 70, ""б остальное"", 80)/100,0)"),0.0)</f>
        <v>0</v>
      </c>
      <c r="X281" s="91">
        <f t="shared" si="4"/>
        <v>0</v>
      </c>
    </row>
    <row r="282">
      <c r="A282" s="12"/>
      <c r="B282" s="12"/>
      <c r="C282" s="12"/>
      <c r="D282" s="91">
        <f>IFERROR(__xludf.DUMMYFUNCTION("IFERROR(sum(filter('Основной эфир'!$AA:$AA, 'Основной эфир'!$B:$B=$A282,'Основной эфир'!$C:$C=$B282,'Основной эфир'!$I:$I=$C282)), 0) "),0.0)</f>
        <v>0</v>
      </c>
      <c r="E282" s="91">
        <f>IFERROR(__xludf.DUMMYFUNCTION("IFERROR(sum(filter('Основной эфир'!$AC:$AC, 'Основной эфир'!$B:$B=$A282,'Основной эфир'!$C:$C=$B282,'Основной эфир'!$I:$I=$C282)), 0) "),0.0)</f>
        <v>0</v>
      </c>
      <c r="F282" s="91">
        <f>IFERROR(__xludf.DUMMYFUNCTION("IFERROR(sum(filter('Основной эфир'!$O:$O, 'Основной эфир'!$B:$B=$A282,'Основной эфир'!$C:$C=$B282,'Основной эфир'!$I:$I=$C282)), 0) "),0.0)</f>
        <v>0</v>
      </c>
      <c r="G282" s="91">
        <f>IFERROR(__xludf.DUMMYFUNCTION("IFERROR(sum(filter('Основной эфир'!$Q:$Q, 'Основной эфир'!$B:$B=$A282,'Основной эфир'!$C:$C=$B282,'Основной эфир'!$I:$I=$C282)), 0) "),0.0)</f>
        <v>0</v>
      </c>
      <c r="H282" s="91">
        <f>IFERROR(__xludf.DUMMYFUNCTION("IFERROR(AVERAGE(filter('Основной эфир'!$Y:$Y, 'Основной эфир'!$B:$B=$A282,'Основной эфир'!$C:$C=$B282,'Основной эфир'!$I:$I=$C282)), 0) "),0.0)</f>
        <v>0</v>
      </c>
      <c r="I282" s="91">
        <f>IFERROR(__xludf.DUMMYFUNCTION("IFERROR(AVERAGE(filter('Основной эфир'!$AE:$AE, 'Основной эфир'!$B:$B=$A282,'Основной эфир'!$C:$C=$B282,'Основной эфир'!$I:$I=$C282)), 0) "),0.0)</f>
        <v>0</v>
      </c>
      <c r="J282" s="91">
        <f>IFERROR(__xludf.DUMMYFUNCTION("IFERROR(SUM(filter('Основной эфир'!$AL:$AL, 'Основной эфир'!$B:$B=$A282,'Основной эфир'!$C:$C=$B282,'Основной эфир'!$I:$I=$C282)), 0) "),0.0)</f>
        <v>0</v>
      </c>
      <c r="K282" s="91" t="str">
        <f>IFERROR(__xludf.DUMMYFUNCTION("IFERROR(REGEXREPLACE(unique(filter('Основной эфир'!$A:$A, 'Основной эфир'!$B:$B=$A282,'Основной эфир'!$C:$C=$B282,'Основной эфир'!$I:$I=$C282)), ""\d+"", """"),"""")"),"")</f>
        <v/>
      </c>
      <c r="L282" s="91" t="str">
        <f>IFERROR(__xludf.DUMMYFUNCTION("IFERROR(unique(filter('Основной эфир'!$F:$F, 'Основной эфир'!$B:$B=$A282,'Основной эфир'!$C:$C=$B282,'Основной эфир'!$I:$I=$C282)),"""")"),"")</f>
        <v/>
      </c>
      <c r="M282" s="92" t="str">
        <f t="shared" si="1"/>
        <v/>
      </c>
      <c r="N282" s="93">
        <f>IFERROR(__xludf.DUMMYFUNCTION("IFERROR(SWITCH(lower(join("" "",L282:M282)),""а миллионник"", 62.5,""б миллионник"", 75,""а мск"", 50, ""б мск"", 62.5, ""a остальное"", 70, ""б остальное"", 80)/100,0)"),0.0)</f>
        <v>0</v>
      </c>
      <c r="O282" s="91">
        <f t="shared" si="2"/>
        <v>0</v>
      </c>
      <c r="P282" s="91">
        <f>IFERROR(__xludf.DUMMYFUNCTION("IFERROR(sum(filter('Генеральный баннер'!$O:$O, 'Генеральный баннер'!$B:$B=$A282,'Генеральный баннер'!$C:$C=$B282,'Генеральный баннер'!$I:$I=$C282)), 0) "),0.0)</f>
        <v>0</v>
      </c>
      <c r="Q282" s="91">
        <f>IFERROR(__xludf.DUMMYFUNCTION("IFERROR(sum(filter('Генеральный баннер'!$Q:$Q, 'Генеральный баннер'!$B:$B=$A282,'Генеральный баннер'!$C:$C=$B282,'Генеральный баннер'!$I:$I=$C282)), 0) "),0.0)</f>
        <v>0</v>
      </c>
      <c r="R282" s="91">
        <f>IFERROR(__xludf.DUMMYFUNCTION("IFERROR(AVERAGE(filter('Генеральный баннер'!$AA:$AA, 'Генеральный баннер'!$B:$B=$A282,'Генеральный баннер'!$C:$C=$B282,'Генеральный баннер'!$I:$I=$C282)), 0) "),0.0)</f>
        <v>0</v>
      </c>
      <c r="S282" s="91">
        <f>IFERROR(__xludf.DUMMYFUNCTION("IFERROR(SUM(filter('Генеральный баннер'!$AH:$AH, 'Генеральный баннер'!$B:$B=$A282,'Генеральный баннер'!$C:$C=$B282,'Генеральный баннер'!$I:$I=$C282)), 0) "),0.0)</f>
        <v>0</v>
      </c>
      <c r="T282" s="91" t="str">
        <f>IFERROR(__xludf.DUMMYFUNCTION("IFERROR(REGEXREPLACE(unique(filter('Генеральный баннер'!$A:$A, 'Генеральный баннер'!$B:$B=$A282,'Генеральный баннер'!$C:$C=$B282,'Генеральный баннер'!$I:$I=$C282)), ""\d+"", """"),"""")"),"")</f>
        <v/>
      </c>
      <c r="U282" s="91" t="str">
        <f>IFERROR(__xludf.DUMMYFUNCTION("IFERROR(unique(filter('Генеральный баннер'!$F:$F, 'Генеральный баннер'!$B:$B=$A282,'Генеральный баннер'!$C:$C=$B282,'Генеральный баннер'!$I:$I=$C282)),"""")"),"")</f>
        <v/>
      </c>
      <c r="V282" s="92" t="str">
        <f t="shared" si="3"/>
        <v/>
      </c>
      <c r="W282" s="93">
        <f>IFERROR(__xludf.DUMMYFUNCTION("IFERROR(SWITCH(lower(join("" "",U282:V282)),""а миллионник"", 62.5,""б миллионник"", 75,""а мск"", 50, ""б мск"", 62.5, ""a остальное"", 70, ""б остальное"", 80)/100,0)"),0.0)</f>
        <v>0</v>
      </c>
      <c r="X282" s="91">
        <f t="shared" si="4"/>
        <v>0</v>
      </c>
    </row>
    <row r="283">
      <c r="A283" s="12"/>
      <c r="B283" s="12"/>
      <c r="C283" s="12"/>
      <c r="D283" s="91">
        <f>IFERROR(__xludf.DUMMYFUNCTION("IFERROR(sum(filter('Основной эфир'!$AA:$AA, 'Основной эфир'!$B:$B=$A283,'Основной эфир'!$C:$C=$B283,'Основной эфир'!$I:$I=$C283)), 0) "),0.0)</f>
        <v>0</v>
      </c>
      <c r="E283" s="91">
        <f>IFERROR(__xludf.DUMMYFUNCTION("IFERROR(sum(filter('Основной эфир'!$AC:$AC, 'Основной эфир'!$B:$B=$A283,'Основной эфир'!$C:$C=$B283,'Основной эфир'!$I:$I=$C283)), 0) "),0.0)</f>
        <v>0</v>
      </c>
      <c r="F283" s="91">
        <f>IFERROR(__xludf.DUMMYFUNCTION("IFERROR(sum(filter('Основной эфир'!$O:$O, 'Основной эфир'!$B:$B=$A283,'Основной эфир'!$C:$C=$B283,'Основной эфир'!$I:$I=$C283)), 0) "),0.0)</f>
        <v>0</v>
      </c>
      <c r="G283" s="91">
        <f>IFERROR(__xludf.DUMMYFUNCTION("IFERROR(sum(filter('Основной эфир'!$Q:$Q, 'Основной эфир'!$B:$B=$A283,'Основной эфир'!$C:$C=$B283,'Основной эфир'!$I:$I=$C283)), 0) "),0.0)</f>
        <v>0</v>
      </c>
      <c r="H283" s="91">
        <f>IFERROR(__xludf.DUMMYFUNCTION("IFERROR(AVERAGE(filter('Основной эфир'!$Y:$Y, 'Основной эфир'!$B:$B=$A283,'Основной эфир'!$C:$C=$B283,'Основной эфир'!$I:$I=$C283)), 0) "),0.0)</f>
        <v>0</v>
      </c>
      <c r="I283" s="91">
        <f>IFERROR(__xludf.DUMMYFUNCTION("IFERROR(AVERAGE(filter('Основной эфир'!$AE:$AE, 'Основной эфир'!$B:$B=$A283,'Основной эфир'!$C:$C=$B283,'Основной эфир'!$I:$I=$C283)), 0) "),0.0)</f>
        <v>0</v>
      </c>
      <c r="J283" s="91">
        <f>IFERROR(__xludf.DUMMYFUNCTION("IFERROR(SUM(filter('Основной эфир'!$AL:$AL, 'Основной эфир'!$B:$B=$A283,'Основной эфир'!$C:$C=$B283,'Основной эфир'!$I:$I=$C283)), 0) "),0.0)</f>
        <v>0</v>
      </c>
      <c r="K283" s="91" t="str">
        <f>IFERROR(__xludf.DUMMYFUNCTION("IFERROR(REGEXREPLACE(unique(filter('Основной эфир'!$A:$A, 'Основной эфир'!$B:$B=$A283,'Основной эфир'!$C:$C=$B283,'Основной эфир'!$I:$I=$C283)), ""\d+"", """"),"""")"),"")</f>
        <v/>
      </c>
      <c r="L283" s="91" t="str">
        <f>IFERROR(__xludf.DUMMYFUNCTION("IFERROR(unique(filter('Основной эфир'!$F:$F, 'Основной эфир'!$B:$B=$A283,'Основной эфир'!$C:$C=$B283,'Основной эфир'!$I:$I=$C283)),"""")"),"")</f>
        <v/>
      </c>
      <c r="M283" s="92" t="str">
        <f t="shared" si="1"/>
        <v/>
      </c>
      <c r="N283" s="93">
        <f>IFERROR(__xludf.DUMMYFUNCTION("IFERROR(SWITCH(lower(join("" "",L283:M283)),""а миллионник"", 62.5,""б миллионник"", 75,""а мск"", 50, ""б мск"", 62.5, ""a остальное"", 70, ""б остальное"", 80)/100,0)"),0.0)</f>
        <v>0</v>
      </c>
      <c r="O283" s="91">
        <f t="shared" si="2"/>
        <v>0</v>
      </c>
      <c r="P283" s="91">
        <f>IFERROR(__xludf.DUMMYFUNCTION("IFERROR(sum(filter('Генеральный баннер'!$O:$O, 'Генеральный баннер'!$B:$B=$A283,'Генеральный баннер'!$C:$C=$B283,'Генеральный баннер'!$I:$I=$C283)), 0) "),0.0)</f>
        <v>0</v>
      </c>
      <c r="Q283" s="91">
        <f>IFERROR(__xludf.DUMMYFUNCTION("IFERROR(sum(filter('Генеральный баннер'!$Q:$Q, 'Генеральный баннер'!$B:$B=$A283,'Генеральный баннер'!$C:$C=$B283,'Генеральный баннер'!$I:$I=$C283)), 0) "),0.0)</f>
        <v>0</v>
      </c>
      <c r="R283" s="91">
        <f>IFERROR(__xludf.DUMMYFUNCTION("IFERROR(AVERAGE(filter('Генеральный баннер'!$AA:$AA, 'Генеральный баннер'!$B:$B=$A283,'Генеральный баннер'!$C:$C=$B283,'Генеральный баннер'!$I:$I=$C283)), 0) "),0.0)</f>
        <v>0</v>
      </c>
      <c r="S283" s="91">
        <f>IFERROR(__xludf.DUMMYFUNCTION("IFERROR(SUM(filter('Генеральный баннер'!$AH:$AH, 'Генеральный баннер'!$B:$B=$A283,'Генеральный баннер'!$C:$C=$B283,'Генеральный баннер'!$I:$I=$C283)), 0) "),0.0)</f>
        <v>0</v>
      </c>
      <c r="T283" s="91" t="str">
        <f>IFERROR(__xludf.DUMMYFUNCTION("IFERROR(REGEXREPLACE(unique(filter('Генеральный баннер'!$A:$A, 'Генеральный баннер'!$B:$B=$A283,'Генеральный баннер'!$C:$C=$B283,'Генеральный баннер'!$I:$I=$C283)), ""\d+"", """"),"""")"),"")</f>
        <v/>
      </c>
      <c r="U283" s="91" t="str">
        <f>IFERROR(__xludf.DUMMYFUNCTION("IFERROR(unique(filter('Генеральный баннер'!$F:$F, 'Генеральный баннер'!$B:$B=$A283,'Генеральный баннер'!$C:$C=$B283,'Генеральный баннер'!$I:$I=$C283)),"""")"),"")</f>
        <v/>
      </c>
      <c r="V283" s="92" t="str">
        <f t="shared" si="3"/>
        <v/>
      </c>
      <c r="W283" s="93">
        <f>IFERROR(__xludf.DUMMYFUNCTION("IFERROR(SWITCH(lower(join("" "",U283:V283)),""а миллионник"", 62.5,""б миллионник"", 75,""а мск"", 50, ""б мск"", 62.5, ""a остальное"", 70, ""б остальное"", 80)/100,0)"),0.0)</f>
        <v>0</v>
      </c>
      <c r="X283" s="91">
        <f t="shared" si="4"/>
        <v>0</v>
      </c>
    </row>
    <row r="284">
      <c r="A284" s="12"/>
      <c r="B284" s="12"/>
      <c r="C284" s="12"/>
      <c r="D284" s="91">
        <f>IFERROR(__xludf.DUMMYFUNCTION("IFERROR(sum(filter('Основной эфир'!$AA:$AA, 'Основной эфир'!$B:$B=$A284,'Основной эфир'!$C:$C=$B284,'Основной эфир'!$I:$I=$C284)), 0) "),0.0)</f>
        <v>0</v>
      </c>
      <c r="E284" s="91">
        <f>IFERROR(__xludf.DUMMYFUNCTION("IFERROR(sum(filter('Основной эфир'!$AC:$AC, 'Основной эфир'!$B:$B=$A284,'Основной эфир'!$C:$C=$B284,'Основной эфир'!$I:$I=$C284)), 0) "),0.0)</f>
        <v>0</v>
      </c>
      <c r="F284" s="91">
        <f>IFERROR(__xludf.DUMMYFUNCTION("IFERROR(sum(filter('Основной эфир'!$O:$O, 'Основной эфир'!$B:$B=$A284,'Основной эфир'!$C:$C=$B284,'Основной эфир'!$I:$I=$C284)), 0) "),0.0)</f>
        <v>0</v>
      </c>
      <c r="G284" s="91">
        <f>IFERROR(__xludf.DUMMYFUNCTION("IFERROR(sum(filter('Основной эфир'!$Q:$Q, 'Основной эфир'!$B:$B=$A284,'Основной эфир'!$C:$C=$B284,'Основной эфир'!$I:$I=$C284)), 0) "),0.0)</f>
        <v>0</v>
      </c>
      <c r="H284" s="91">
        <f>IFERROR(__xludf.DUMMYFUNCTION("IFERROR(AVERAGE(filter('Основной эфир'!$Y:$Y, 'Основной эфир'!$B:$B=$A284,'Основной эфир'!$C:$C=$B284,'Основной эфир'!$I:$I=$C284)), 0) "),0.0)</f>
        <v>0</v>
      </c>
      <c r="I284" s="91">
        <f>IFERROR(__xludf.DUMMYFUNCTION("IFERROR(AVERAGE(filter('Основной эфир'!$AE:$AE, 'Основной эфир'!$B:$B=$A284,'Основной эфир'!$C:$C=$B284,'Основной эфир'!$I:$I=$C284)), 0) "),0.0)</f>
        <v>0</v>
      </c>
      <c r="J284" s="91">
        <f>IFERROR(__xludf.DUMMYFUNCTION("IFERROR(SUM(filter('Основной эфир'!$AL:$AL, 'Основной эфир'!$B:$B=$A284,'Основной эфир'!$C:$C=$B284,'Основной эфир'!$I:$I=$C284)), 0) "),0.0)</f>
        <v>0</v>
      </c>
      <c r="K284" s="91" t="str">
        <f>IFERROR(__xludf.DUMMYFUNCTION("IFERROR(REGEXREPLACE(unique(filter('Основной эфир'!$A:$A, 'Основной эфир'!$B:$B=$A284,'Основной эфир'!$C:$C=$B284,'Основной эфир'!$I:$I=$C284)), ""\d+"", """"),"""")"),"")</f>
        <v/>
      </c>
      <c r="L284" s="91" t="str">
        <f>IFERROR(__xludf.DUMMYFUNCTION("IFERROR(unique(filter('Основной эфир'!$F:$F, 'Основной эфир'!$B:$B=$A284,'Основной эфир'!$C:$C=$B284,'Основной эфир'!$I:$I=$C284)),"""")"),"")</f>
        <v/>
      </c>
      <c r="M284" s="92" t="str">
        <f t="shared" si="1"/>
        <v/>
      </c>
      <c r="N284" s="93">
        <f>IFERROR(__xludf.DUMMYFUNCTION("IFERROR(SWITCH(lower(join("" "",L284:M284)),""а миллионник"", 62.5,""б миллионник"", 75,""а мск"", 50, ""б мск"", 62.5, ""a остальное"", 70, ""б остальное"", 80)/100,0)"),0.0)</f>
        <v>0</v>
      </c>
      <c r="O284" s="91">
        <f t="shared" si="2"/>
        <v>0</v>
      </c>
      <c r="P284" s="91">
        <f>IFERROR(__xludf.DUMMYFUNCTION("IFERROR(sum(filter('Генеральный баннер'!$O:$O, 'Генеральный баннер'!$B:$B=$A284,'Генеральный баннер'!$C:$C=$B284,'Генеральный баннер'!$I:$I=$C284)), 0) "),0.0)</f>
        <v>0</v>
      </c>
      <c r="Q284" s="91">
        <f>IFERROR(__xludf.DUMMYFUNCTION("IFERROR(sum(filter('Генеральный баннер'!$Q:$Q, 'Генеральный баннер'!$B:$B=$A284,'Генеральный баннер'!$C:$C=$B284,'Генеральный баннер'!$I:$I=$C284)), 0) "),0.0)</f>
        <v>0</v>
      </c>
      <c r="R284" s="91">
        <f>IFERROR(__xludf.DUMMYFUNCTION("IFERROR(AVERAGE(filter('Генеральный баннер'!$AA:$AA, 'Генеральный баннер'!$B:$B=$A284,'Генеральный баннер'!$C:$C=$B284,'Генеральный баннер'!$I:$I=$C284)), 0) "),0.0)</f>
        <v>0</v>
      </c>
      <c r="S284" s="91">
        <f>IFERROR(__xludf.DUMMYFUNCTION("IFERROR(SUM(filter('Генеральный баннер'!$AH:$AH, 'Генеральный баннер'!$B:$B=$A284,'Генеральный баннер'!$C:$C=$B284,'Генеральный баннер'!$I:$I=$C284)), 0) "),0.0)</f>
        <v>0</v>
      </c>
      <c r="T284" s="91" t="str">
        <f>IFERROR(__xludf.DUMMYFUNCTION("IFERROR(REGEXREPLACE(unique(filter('Генеральный баннер'!$A:$A, 'Генеральный баннер'!$B:$B=$A284,'Генеральный баннер'!$C:$C=$B284,'Генеральный баннер'!$I:$I=$C284)), ""\d+"", """"),"""")"),"")</f>
        <v/>
      </c>
      <c r="U284" s="91" t="str">
        <f>IFERROR(__xludf.DUMMYFUNCTION("IFERROR(unique(filter('Генеральный баннер'!$F:$F, 'Генеральный баннер'!$B:$B=$A284,'Генеральный баннер'!$C:$C=$B284,'Генеральный баннер'!$I:$I=$C284)),"""")"),"")</f>
        <v/>
      </c>
      <c r="V284" s="92" t="str">
        <f t="shared" si="3"/>
        <v/>
      </c>
      <c r="W284" s="93">
        <f>IFERROR(__xludf.DUMMYFUNCTION("IFERROR(SWITCH(lower(join("" "",U284:V284)),""а миллионник"", 62.5,""б миллионник"", 75,""а мск"", 50, ""б мск"", 62.5, ""a остальное"", 70, ""б остальное"", 80)/100,0)"),0.0)</f>
        <v>0</v>
      </c>
      <c r="X284" s="91">
        <f t="shared" si="4"/>
        <v>0</v>
      </c>
    </row>
    <row r="285">
      <c r="A285" s="12"/>
      <c r="B285" s="12"/>
      <c r="C285" s="12"/>
      <c r="D285" s="91">
        <f>IFERROR(__xludf.DUMMYFUNCTION("IFERROR(sum(filter('Основной эфир'!$AA:$AA, 'Основной эфир'!$B:$B=$A285,'Основной эфир'!$C:$C=$B285,'Основной эфир'!$I:$I=$C285)), 0) "),0.0)</f>
        <v>0</v>
      </c>
      <c r="E285" s="91">
        <f>IFERROR(__xludf.DUMMYFUNCTION("IFERROR(sum(filter('Основной эфир'!$AC:$AC, 'Основной эфир'!$B:$B=$A285,'Основной эфир'!$C:$C=$B285,'Основной эфир'!$I:$I=$C285)), 0) "),0.0)</f>
        <v>0</v>
      </c>
      <c r="F285" s="91">
        <f>IFERROR(__xludf.DUMMYFUNCTION("IFERROR(sum(filter('Основной эфир'!$O:$O, 'Основной эфир'!$B:$B=$A285,'Основной эфир'!$C:$C=$B285,'Основной эфир'!$I:$I=$C285)), 0) "),0.0)</f>
        <v>0</v>
      </c>
      <c r="G285" s="91">
        <f>IFERROR(__xludf.DUMMYFUNCTION("IFERROR(sum(filter('Основной эфир'!$Q:$Q, 'Основной эфир'!$B:$B=$A285,'Основной эфир'!$C:$C=$B285,'Основной эфир'!$I:$I=$C285)), 0) "),0.0)</f>
        <v>0</v>
      </c>
      <c r="H285" s="91">
        <f>IFERROR(__xludf.DUMMYFUNCTION("IFERROR(AVERAGE(filter('Основной эфир'!$Y:$Y, 'Основной эфир'!$B:$B=$A285,'Основной эфир'!$C:$C=$B285,'Основной эфир'!$I:$I=$C285)), 0) "),0.0)</f>
        <v>0</v>
      </c>
      <c r="I285" s="91">
        <f>IFERROR(__xludf.DUMMYFUNCTION("IFERROR(AVERAGE(filter('Основной эфир'!$AE:$AE, 'Основной эфир'!$B:$B=$A285,'Основной эфир'!$C:$C=$B285,'Основной эфир'!$I:$I=$C285)), 0) "),0.0)</f>
        <v>0</v>
      </c>
      <c r="J285" s="91">
        <f>IFERROR(__xludf.DUMMYFUNCTION("IFERROR(SUM(filter('Основной эфир'!$AL:$AL, 'Основной эфир'!$B:$B=$A285,'Основной эфир'!$C:$C=$B285,'Основной эфир'!$I:$I=$C285)), 0) "),0.0)</f>
        <v>0</v>
      </c>
      <c r="K285" s="91" t="str">
        <f>IFERROR(__xludf.DUMMYFUNCTION("IFERROR(REGEXREPLACE(unique(filter('Основной эфир'!$A:$A, 'Основной эфир'!$B:$B=$A285,'Основной эфир'!$C:$C=$B285,'Основной эфир'!$I:$I=$C285)), ""\d+"", """"),"""")"),"")</f>
        <v/>
      </c>
      <c r="L285" s="91" t="str">
        <f>IFERROR(__xludf.DUMMYFUNCTION("IFERROR(unique(filter('Основной эфир'!$F:$F, 'Основной эфир'!$B:$B=$A285,'Основной эфир'!$C:$C=$B285,'Основной эфир'!$I:$I=$C285)),"""")"),"")</f>
        <v/>
      </c>
      <c r="M285" s="92" t="str">
        <f t="shared" si="1"/>
        <v/>
      </c>
      <c r="N285" s="93">
        <f>IFERROR(__xludf.DUMMYFUNCTION("IFERROR(SWITCH(lower(join("" "",L285:M285)),""а миллионник"", 62.5,""б миллионник"", 75,""а мск"", 50, ""б мск"", 62.5, ""a остальное"", 70, ""б остальное"", 80)/100,0)"),0.0)</f>
        <v>0</v>
      </c>
      <c r="O285" s="91">
        <f t="shared" si="2"/>
        <v>0</v>
      </c>
      <c r="P285" s="91">
        <f>IFERROR(__xludf.DUMMYFUNCTION("IFERROR(sum(filter('Генеральный баннер'!$O:$O, 'Генеральный баннер'!$B:$B=$A285,'Генеральный баннер'!$C:$C=$B285,'Генеральный баннер'!$I:$I=$C285)), 0) "),0.0)</f>
        <v>0</v>
      </c>
      <c r="Q285" s="91">
        <f>IFERROR(__xludf.DUMMYFUNCTION("IFERROR(sum(filter('Генеральный баннер'!$Q:$Q, 'Генеральный баннер'!$B:$B=$A285,'Генеральный баннер'!$C:$C=$B285,'Генеральный баннер'!$I:$I=$C285)), 0) "),0.0)</f>
        <v>0</v>
      </c>
      <c r="R285" s="91">
        <f>IFERROR(__xludf.DUMMYFUNCTION("IFERROR(AVERAGE(filter('Генеральный баннер'!$AA:$AA, 'Генеральный баннер'!$B:$B=$A285,'Генеральный баннер'!$C:$C=$B285,'Генеральный баннер'!$I:$I=$C285)), 0) "),0.0)</f>
        <v>0</v>
      </c>
      <c r="S285" s="91">
        <f>IFERROR(__xludf.DUMMYFUNCTION("IFERROR(SUM(filter('Генеральный баннер'!$AH:$AH, 'Генеральный баннер'!$B:$B=$A285,'Генеральный баннер'!$C:$C=$B285,'Генеральный баннер'!$I:$I=$C285)), 0) "),0.0)</f>
        <v>0</v>
      </c>
      <c r="T285" s="91" t="str">
        <f>IFERROR(__xludf.DUMMYFUNCTION("IFERROR(REGEXREPLACE(unique(filter('Генеральный баннер'!$A:$A, 'Генеральный баннер'!$B:$B=$A285,'Генеральный баннер'!$C:$C=$B285,'Генеральный баннер'!$I:$I=$C285)), ""\d+"", """"),"""")"),"")</f>
        <v/>
      </c>
      <c r="U285" s="91" t="str">
        <f>IFERROR(__xludf.DUMMYFUNCTION("IFERROR(unique(filter('Генеральный баннер'!$F:$F, 'Генеральный баннер'!$B:$B=$A285,'Генеральный баннер'!$C:$C=$B285,'Генеральный баннер'!$I:$I=$C285)),"""")"),"")</f>
        <v/>
      </c>
      <c r="V285" s="92" t="str">
        <f t="shared" si="3"/>
        <v/>
      </c>
      <c r="W285" s="93">
        <f>IFERROR(__xludf.DUMMYFUNCTION("IFERROR(SWITCH(lower(join("" "",U285:V285)),""а миллионник"", 62.5,""б миллионник"", 75,""а мск"", 50, ""б мск"", 62.5, ""a остальное"", 70, ""б остальное"", 80)/100,0)"),0.0)</f>
        <v>0</v>
      </c>
      <c r="X285" s="91">
        <f t="shared" si="4"/>
        <v>0</v>
      </c>
    </row>
    <row r="286">
      <c r="A286" s="12"/>
      <c r="B286" s="12"/>
      <c r="C286" s="12"/>
      <c r="D286" s="91">
        <f>IFERROR(__xludf.DUMMYFUNCTION("IFERROR(sum(filter('Основной эфир'!$AA:$AA, 'Основной эфир'!$B:$B=$A286,'Основной эфир'!$C:$C=$B286,'Основной эфир'!$I:$I=$C286)), 0) "),0.0)</f>
        <v>0</v>
      </c>
      <c r="E286" s="91">
        <f>IFERROR(__xludf.DUMMYFUNCTION("IFERROR(sum(filter('Основной эфир'!$AC:$AC, 'Основной эфир'!$B:$B=$A286,'Основной эфир'!$C:$C=$B286,'Основной эфир'!$I:$I=$C286)), 0) "),0.0)</f>
        <v>0</v>
      </c>
      <c r="F286" s="91">
        <f>IFERROR(__xludf.DUMMYFUNCTION("IFERROR(sum(filter('Основной эфир'!$O:$O, 'Основной эфир'!$B:$B=$A286,'Основной эфир'!$C:$C=$B286,'Основной эфир'!$I:$I=$C286)), 0) "),0.0)</f>
        <v>0</v>
      </c>
      <c r="G286" s="91">
        <f>IFERROR(__xludf.DUMMYFUNCTION("IFERROR(sum(filter('Основной эфир'!$Q:$Q, 'Основной эфир'!$B:$B=$A286,'Основной эфир'!$C:$C=$B286,'Основной эфир'!$I:$I=$C286)), 0) "),0.0)</f>
        <v>0</v>
      </c>
      <c r="H286" s="91">
        <f>IFERROR(__xludf.DUMMYFUNCTION("IFERROR(AVERAGE(filter('Основной эфир'!$Y:$Y, 'Основной эфир'!$B:$B=$A286,'Основной эфир'!$C:$C=$B286,'Основной эфир'!$I:$I=$C286)), 0) "),0.0)</f>
        <v>0</v>
      </c>
      <c r="I286" s="91">
        <f>IFERROR(__xludf.DUMMYFUNCTION("IFERROR(AVERAGE(filter('Основной эфир'!$AE:$AE, 'Основной эфир'!$B:$B=$A286,'Основной эфир'!$C:$C=$B286,'Основной эфир'!$I:$I=$C286)), 0) "),0.0)</f>
        <v>0</v>
      </c>
      <c r="J286" s="91">
        <f>IFERROR(__xludf.DUMMYFUNCTION("IFERROR(SUM(filter('Основной эфир'!$AL:$AL, 'Основной эфир'!$B:$B=$A286,'Основной эфир'!$C:$C=$B286,'Основной эфир'!$I:$I=$C286)), 0) "),0.0)</f>
        <v>0</v>
      </c>
      <c r="K286" s="91" t="str">
        <f>IFERROR(__xludf.DUMMYFUNCTION("IFERROR(REGEXREPLACE(unique(filter('Основной эфир'!$A:$A, 'Основной эфир'!$B:$B=$A286,'Основной эфир'!$C:$C=$B286,'Основной эфир'!$I:$I=$C286)), ""\d+"", """"),"""")"),"")</f>
        <v/>
      </c>
      <c r="L286" s="91" t="str">
        <f>IFERROR(__xludf.DUMMYFUNCTION("IFERROR(unique(filter('Основной эфир'!$F:$F, 'Основной эфир'!$B:$B=$A286,'Основной эфир'!$C:$C=$B286,'Основной эфир'!$I:$I=$C286)),"""")"),"")</f>
        <v/>
      </c>
      <c r="M286" s="92" t="str">
        <f t="shared" si="1"/>
        <v/>
      </c>
      <c r="N286" s="93">
        <f>IFERROR(__xludf.DUMMYFUNCTION("IFERROR(SWITCH(lower(join("" "",L286:M286)),""а миллионник"", 62.5,""б миллионник"", 75,""а мск"", 50, ""б мск"", 62.5, ""a остальное"", 70, ""б остальное"", 80)/100,0)"),0.0)</f>
        <v>0</v>
      </c>
      <c r="O286" s="91">
        <f t="shared" si="2"/>
        <v>0</v>
      </c>
      <c r="P286" s="91">
        <f>IFERROR(__xludf.DUMMYFUNCTION("IFERROR(sum(filter('Генеральный баннер'!$O:$O, 'Генеральный баннер'!$B:$B=$A286,'Генеральный баннер'!$C:$C=$B286,'Генеральный баннер'!$I:$I=$C286)), 0) "),0.0)</f>
        <v>0</v>
      </c>
      <c r="Q286" s="91">
        <f>IFERROR(__xludf.DUMMYFUNCTION("IFERROR(sum(filter('Генеральный баннер'!$Q:$Q, 'Генеральный баннер'!$B:$B=$A286,'Генеральный баннер'!$C:$C=$B286,'Генеральный баннер'!$I:$I=$C286)), 0) "),0.0)</f>
        <v>0</v>
      </c>
      <c r="R286" s="91">
        <f>IFERROR(__xludf.DUMMYFUNCTION("IFERROR(AVERAGE(filter('Генеральный баннер'!$AA:$AA, 'Генеральный баннер'!$B:$B=$A286,'Генеральный баннер'!$C:$C=$B286,'Генеральный баннер'!$I:$I=$C286)), 0) "),0.0)</f>
        <v>0</v>
      </c>
      <c r="S286" s="91">
        <f>IFERROR(__xludf.DUMMYFUNCTION("IFERROR(SUM(filter('Генеральный баннер'!$AH:$AH, 'Генеральный баннер'!$B:$B=$A286,'Генеральный баннер'!$C:$C=$B286,'Генеральный баннер'!$I:$I=$C286)), 0) "),0.0)</f>
        <v>0</v>
      </c>
      <c r="T286" s="91" t="str">
        <f>IFERROR(__xludf.DUMMYFUNCTION("IFERROR(REGEXREPLACE(unique(filter('Генеральный баннер'!$A:$A, 'Генеральный баннер'!$B:$B=$A286,'Генеральный баннер'!$C:$C=$B286,'Генеральный баннер'!$I:$I=$C286)), ""\d+"", """"),"""")"),"")</f>
        <v/>
      </c>
      <c r="U286" s="91" t="str">
        <f>IFERROR(__xludf.DUMMYFUNCTION("IFERROR(unique(filter('Генеральный баннер'!$F:$F, 'Генеральный баннер'!$B:$B=$A286,'Генеральный баннер'!$C:$C=$B286,'Генеральный баннер'!$I:$I=$C286)),"""")"),"")</f>
        <v/>
      </c>
      <c r="V286" s="92" t="str">
        <f t="shared" si="3"/>
        <v/>
      </c>
      <c r="W286" s="93">
        <f>IFERROR(__xludf.DUMMYFUNCTION("IFERROR(SWITCH(lower(join("" "",U286:V286)),""а миллионник"", 62.5,""б миллионник"", 75,""а мск"", 50, ""б мск"", 62.5, ""a остальное"", 70, ""б остальное"", 80)/100,0)"),0.0)</f>
        <v>0</v>
      </c>
      <c r="X286" s="91">
        <f t="shared" si="4"/>
        <v>0</v>
      </c>
    </row>
    <row r="287">
      <c r="A287" s="12"/>
      <c r="B287" s="12"/>
      <c r="C287" s="12"/>
      <c r="D287" s="91">
        <f>IFERROR(__xludf.DUMMYFUNCTION("IFERROR(sum(filter('Основной эфир'!$AA:$AA, 'Основной эфир'!$B:$B=$A287,'Основной эфир'!$C:$C=$B287,'Основной эфир'!$I:$I=$C287)), 0) "),0.0)</f>
        <v>0</v>
      </c>
      <c r="E287" s="91">
        <f>IFERROR(__xludf.DUMMYFUNCTION("IFERROR(sum(filter('Основной эфир'!$AC:$AC, 'Основной эфир'!$B:$B=$A287,'Основной эфир'!$C:$C=$B287,'Основной эфир'!$I:$I=$C287)), 0) "),0.0)</f>
        <v>0</v>
      </c>
      <c r="F287" s="91">
        <f>IFERROR(__xludf.DUMMYFUNCTION("IFERROR(sum(filter('Основной эфир'!$O:$O, 'Основной эфир'!$B:$B=$A287,'Основной эфир'!$C:$C=$B287,'Основной эфир'!$I:$I=$C287)), 0) "),0.0)</f>
        <v>0</v>
      </c>
      <c r="G287" s="91">
        <f>IFERROR(__xludf.DUMMYFUNCTION("IFERROR(sum(filter('Основной эфир'!$Q:$Q, 'Основной эфир'!$B:$B=$A287,'Основной эфир'!$C:$C=$B287,'Основной эфир'!$I:$I=$C287)), 0) "),0.0)</f>
        <v>0</v>
      </c>
      <c r="H287" s="91">
        <f>IFERROR(__xludf.DUMMYFUNCTION("IFERROR(AVERAGE(filter('Основной эфир'!$Y:$Y, 'Основной эфир'!$B:$B=$A287,'Основной эфир'!$C:$C=$B287,'Основной эфир'!$I:$I=$C287)), 0) "),0.0)</f>
        <v>0</v>
      </c>
      <c r="I287" s="91">
        <f>IFERROR(__xludf.DUMMYFUNCTION("IFERROR(AVERAGE(filter('Основной эфир'!$AE:$AE, 'Основной эфир'!$B:$B=$A287,'Основной эфир'!$C:$C=$B287,'Основной эфир'!$I:$I=$C287)), 0) "),0.0)</f>
        <v>0</v>
      </c>
      <c r="J287" s="91">
        <f>IFERROR(__xludf.DUMMYFUNCTION("IFERROR(SUM(filter('Основной эфир'!$AL:$AL, 'Основной эфир'!$B:$B=$A287,'Основной эфир'!$C:$C=$B287,'Основной эфир'!$I:$I=$C287)), 0) "),0.0)</f>
        <v>0</v>
      </c>
      <c r="K287" s="91" t="str">
        <f>IFERROR(__xludf.DUMMYFUNCTION("IFERROR(REGEXREPLACE(unique(filter('Основной эфир'!$A:$A, 'Основной эфир'!$B:$B=$A287,'Основной эфир'!$C:$C=$B287,'Основной эфир'!$I:$I=$C287)), ""\d+"", """"),"""")"),"")</f>
        <v/>
      </c>
      <c r="L287" s="91" t="str">
        <f>IFERROR(__xludf.DUMMYFUNCTION("IFERROR(unique(filter('Основной эфир'!$F:$F, 'Основной эфир'!$B:$B=$A287,'Основной эфир'!$C:$C=$B287,'Основной эфир'!$I:$I=$C287)),"""")"),"")</f>
        <v/>
      </c>
      <c r="M287" s="92" t="str">
        <f t="shared" si="1"/>
        <v/>
      </c>
      <c r="N287" s="93">
        <f>IFERROR(__xludf.DUMMYFUNCTION("IFERROR(SWITCH(lower(join("" "",L287:M287)),""а миллионник"", 62.5,""б миллионник"", 75,""а мск"", 50, ""б мск"", 62.5, ""a остальное"", 70, ""б остальное"", 80)/100,0)"),0.0)</f>
        <v>0</v>
      </c>
      <c r="O287" s="91">
        <f t="shared" si="2"/>
        <v>0</v>
      </c>
      <c r="P287" s="91">
        <f>IFERROR(__xludf.DUMMYFUNCTION("IFERROR(sum(filter('Генеральный баннер'!$O:$O, 'Генеральный баннер'!$B:$B=$A287,'Генеральный баннер'!$C:$C=$B287,'Генеральный баннер'!$I:$I=$C287)), 0) "),0.0)</f>
        <v>0</v>
      </c>
      <c r="Q287" s="91">
        <f>IFERROR(__xludf.DUMMYFUNCTION("IFERROR(sum(filter('Генеральный баннер'!$Q:$Q, 'Генеральный баннер'!$B:$B=$A287,'Генеральный баннер'!$C:$C=$B287,'Генеральный баннер'!$I:$I=$C287)), 0) "),0.0)</f>
        <v>0</v>
      </c>
      <c r="R287" s="91">
        <f>IFERROR(__xludf.DUMMYFUNCTION("IFERROR(AVERAGE(filter('Генеральный баннер'!$AA:$AA, 'Генеральный баннер'!$B:$B=$A287,'Генеральный баннер'!$C:$C=$B287,'Генеральный баннер'!$I:$I=$C287)), 0) "),0.0)</f>
        <v>0</v>
      </c>
      <c r="S287" s="91">
        <f>IFERROR(__xludf.DUMMYFUNCTION("IFERROR(SUM(filter('Генеральный баннер'!$AH:$AH, 'Генеральный баннер'!$B:$B=$A287,'Генеральный баннер'!$C:$C=$B287,'Генеральный баннер'!$I:$I=$C287)), 0) "),0.0)</f>
        <v>0</v>
      </c>
      <c r="T287" s="91" t="str">
        <f>IFERROR(__xludf.DUMMYFUNCTION("IFERROR(REGEXREPLACE(unique(filter('Генеральный баннер'!$A:$A, 'Генеральный баннер'!$B:$B=$A287,'Генеральный баннер'!$C:$C=$B287,'Генеральный баннер'!$I:$I=$C287)), ""\d+"", """"),"""")"),"")</f>
        <v/>
      </c>
      <c r="U287" s="91" t="str">
        <f>IFERROR(__xludf.DUMMYFUNCTION("IFERROR(unique(filter('Генеральный баннер'!$F:$F, 'Генеральный баннер'!$B:$B=$A287,'Генеральный баннер'!$C:$C=$B287,'Генеральный баннер'!$I:$I=$C287)),"""")"),"")</f>
        <v/>
      </c>
      <c r="V287" s="92" t="str">
        <f t="shared" si="3"/>
        <v/>
      </c>
      <c r="W287" s="93">
        <f>IFERROR(__xludf.DUMMYFUNCTION("IFERROR(SWITCH(lower(join("" "",U287:V287)),""а миллионник"", 62.5,""б миллионник"", 75,""а мск"", 50, ""б мск"", 62.5, ""a остальное"", 70, ""б остальное"", 80)/100,0)"),0.0)</f>
        <v>0</v>
      </c>
      <c r="X287" s="91">
        <f t="shared" si="4"/>
        <v>0</v>
      </c>
    </row>
    <row r="288">
      <c r="A288" s="12"/>
      <c r="B288" s="12"/>
      <c r="C288" s="12"/>
      <c r="D288" s="91">
        <f>IFERROR(__xludf.DUMMYFUNCTION("IFERROR(sum(filter('Основной эфир'!$AA:$AA, 'Основной эфир'!$B:$B=$A288,'Основной эфир'!$C:$C=$B288,'Основной эфир'!$I:$I=$C288)), 0) "),0.0)</f>
        <v>0</v>
      </c>
      <c r="E288" s="91">
        <f>IFERROR(__xludf.DUMMYFUNCTION("IFERROR(sum(filter('Основной эфир'!$AC:$AC, 'Основной эфир'!$B:$B=$A288,'Основной эфир'!$C:$C=$B288,'Основной эфир'!$I:$I=$C288)), 0) "),0.0)</f>
        <v>0</v>
      </c>
      <c r="F288" s="91">
        <f>IFERROR(__xludf.DUMMYFUNCTION("IFERROR(sum(filter('Основной эфир'!$O:$O, 'Основной эфир'!$B:$B=$A288,'Основной эфир'!$C:$C=$B288,'Основной эфир'!$I:$I=$C288)), 0) "),0.0)</f>
        <v>0</v>
      </c>
      <c r="G288" s="91">
        <f>IFERROR(__xludf.DUMMYFUNCTION("IFERROR(sum(filter('Основной эфир'!$Q:$Q, 'Основной эфир'!$B:$B=$A288,'Основной эфир'!$C:$C=$B288,'Основной эфир'!$I:$I=$C288)), 0) "),0.0)</f>
        <v>0</v>
      </c>
      <c r="H288" s="91">
        <f>IFERROR(__xludf.DUMMYFUNCTION("IFERROR(AVERAGE(filter('Основной эфир'!$Y:$Y, 'Основной эфир'!$B:$B=$A288,'Основной эфир'!$C:$C=$B288,'Основной эфир'!$I:$I=$C288)), 0) "),0.0)</f>
        <v>0</v>
      </c>
      <c r="I288" s="91">
        <f>IFERROR(__xludf.DUMMYFUNCTION("IFERROR(AVERAGE(filter('Основной эфир'!$AE:$AE, 'Основной эфир'!$B:$B=$A288,'Основной эфир'!$C:$C=$B288,'Основной эфир'!$I:$I=$C288)), 0) "),0.0)</f>
        <v>0</v>
      </c>
      <c r="J288" s="91">
        <f>IFERROR(__xludf.DUMMYFUNCTION("IFERROR(SUM(filter('Основной эфир'!$AL:$AL, 'Основной эфир'!$B:$B=$A288,'Основной эфир'!$C:$C=$B288,'Основной эфир'!$I:$I=$C288)), 0) "),0.0)</f>
        <v>0</v>
      </c>
      <c r="K288" s="91" t="str">
        <f>IFERROR(__xludf.DUMMYFUNCTION("IFERROR(REGEXREPLACE(unique(filter('Основной эфир'!$A:$A, 'Основной эфир'!$B:$B=$A288,'Основной эфир'!$C:$C=$B288,'Основной эфир'!$I:$I=$C288)), ""\d+"", """"),"""")"),"")</f>
        <v/>
      </c>
      <c r="L288" s="91" t="str">
        <f>IFERROR(__xludf.DUMMYFUNCTION("IFERROR(unique(filter('Основной эфир'!$F:$F, 'Основной эфир'!$B:$B=$A288,'Основной эфир'!$C:$C=$B288,'Основной эфир'!$I:$I=$C288)),"""")"),"")</f>
        <v/>
      </c>
      <c r="M288" s="92" t="str">
        <f t="shared" si="1"/>
        <v/>
      </c>
      <c r="N288" s="93">
        <f>IFERROR(__xludf.DUMMYFUNCTION("IFERROR(SWITCH(lower(join("" "",L288:M288)),""а миллионник"", 62.5,""б миллионник"", 75,""а мск"", 50, ""б мск"", 62.5, ""a остальное"", 70, ""б остальное"", 80)/100,0)"),0.0)</f>
        <v>0</v>
      </c>
      <c r="O288" s="91">
        <f t="shared" si="2"/>
        <v>0</v>
      </c>
      <c r="P288" s="91">
        <f>IFERROR(__xludf.DUMMYFUNCTION("IFERROR(sum(filter('Генеральный баннер'!$O:$O, 'Генеральный баннер'!$B:$B=$A288,'Генеральный баннер'!$C:$C=$B288,'Генеральный баннер'!$I:$I=$C288)), 0) "),0.0)</f>
        <v>0</v>
      </c>
      <c r="Q288" s="91">
        <f>IFERROR(__xludf.DUMMYFUNCTION("IFERROR(sum(filter('Генеральный баннер'!$Q:$Q, 'Генеральный баннер'!$B:$B=$A288,'Генеральный баннер'!$C:$C=$B288,'Генеральный баннер'!$I:$I=$C288)), 0) "),0.0)</f>
        <v>0</v>
      </c>
      <c r="R288" s="91">
        <f>IFERROR(__xludf.DUMMYFUNCTION("IFERROR(AVERAGE(filter('Генеральный баннер'!$AA:$AA, 'Генеральный баннер'!$B:$B=$A288,'Генеральный баннер'!$C:$C=$B288,'Генеральный баннер'!$I:$I=$C288)), 0) "),0.0)</f>
        <v>0</v>
      </c>
      <c r="S288" s="91">
        <f>IFERROR(__xludf.DUMMYFUNCTION("IFERROR(SUM(filter('Генеральный баннер'!$AH:$AH, 'Генеральный баннер'!$B:$B=$A288,'Генеральный баннер'!$C:$C=$B288,'Генеральный баннер'!$I:$I=$C288)), 0) "),0.0)</f>
        <v>0</v>
      </c>
      <c r="T288" s="91" t="str">
        <f>IFERROR(__xludf.DUMMYFUNCTION("IFERROR(REGEXREPLACE(unique(filter('Генеральный баннер'!$A:$A, 'Генеральный баннер'!$B:$B=$A288,'Генеральный баннер'!$C:$C=$B288,'Генеральный баннер'!$I:$I=$C288)), ""\d+"", """"),"""")"),"")</f>
        <v/>
      </c>
      <c r="U288" s="91" t="str">
        <f>IFERROR(__xludf.DUMMYFUNCTION("IFERROR(unique(filter('Генеральный баннер'!$F:$F, 'Генеральный баннер'!$B:$B=$A288,'Генеральный баннер'!$C:$C=$B288,'Генеральный баннер'!$I:$I=$C288)),"""")"),"")</f>
        <v/>
      </c>
      <c r="V288" s="92" t="str">
        <f t="shared" si="3"/>
        <v/>
      </c>
      <c r="W288" s="93">
        <f>IFERROR(__xludf.DUMMYFUNCTION("IFERROR(SWITCH(lower(join("" "",U288:V288)),""а миллионник"", 62.5,""б миллионник"", 75,""а мск"", 50, ""б мск"", 62.5, ""a остальное"", 70, ""б остальное"", 80)/100,0)"),0.0)</f>
        <v>0</v>
      </c>
      <c r="X288" s="91">
        <f t="shared" si="4"/>
        <v>0</v>
      </c>
    </row>
    <row r="289">
      <c r="A289" s="12"/>
      <c r="B289" s="12"/>
      <c r="C289" s="12"/>
      <c r="D289" s="91">
        <f>IFERROR(__xludf.DUMMYFUNCTION("IFERROR(sum(filter('Основной эфир'!$AA:$AA, 'Основной эфир'!$B:$B=$A289,'Основной эфир'!$C:$C=$B289,'Основной эфир'!$I:$I=$C289)), 0) "),0.0)</f>
        <v>0</v>
      </c>
      <c r="E289" s="91">
        <f>IFERROR(__xludf.DUMMYFUNCTION("IFERROR(sum(filter('Основной эфир'!$AC:$AC, 'Основной эфир'!$B:$B=$A289,'Основной эфир'!$C:$C=$B289,'Основной эфир'!$I:$I=$C289)), 0) "),0.0)</f>
        <v>0</v>
      </c>
      <c r="F289" s="91">
        <f>IFERROR(__xludf.DUMMYFUNCTION("IFERROR(sum(filter('Основной эфир'!$O:$O, 'Основной эфир'!$B:$B=$A289,'Основной эфир'!$C:$C=$B289,'Основной эфир'!$I:$I=$C289)), 0) "),0.0)</f>
        <v>0</v>
      </c>
      <c r="G289" s="91">
        <f>IFERROR(__xludf.DUMMYFUNCTION("IFERROR(sum(filter('Основной эфир'!$Q:$Q, 'Основной эфир'!$B:$B=$A289,'Основной эфир'!$C:$C=$B289,'Основной эфир'!$I:$I=$C289)), 0) "),0.0)</f>
        <v>0</v>
      </c>
      <c r="H289" s="91">
        <f>IFERROR(__xludf.DUMMYFUNCTION("IFERROR(AVERAGE(filter('Основной эфир'!$Y:$Y, 'Основной эфир'!$B:$B=$A289,'Основной эфир'!$C:$C=$B289,'Основной эфир'!$I:$I=$C289)), 0) "),0.0)</f>
        <v>0</v>
      </c>
      <c r="I289" s="91">
        <f>IFERROR(__xludf.DUMMYFUNCTION("IFERROR(AVERAGE(filter('Основной эфир'!$AE:$AE, 'Основной эфир'!$B:$B=$A289,'Основной эфир'!$C:$C=$B289,'Основной эфир'!$I:$I=$C289)), 0) "),0.0)</f>
        <v>0</v>
      </c>
      <c r="J289" s="91">
        <f>IFERROR(__xludf.DUMMYFUNCTION("IFERROR(SUM(filter('Основной эфир'!$AL:$AL, 'Основной эфир'!$B:$B=$A289,'Основной эфир'!$C:$C=$B289,'Основной эфир'!$I:$I=$C289)), 0) "),0.0)</f>
        <v>0</v>
      </c>
      <c r="K289" s="91" t="str">
        <f>IFERROR(__xludf.DUMMYFUNCTION("IFERROR(REGEXREPLACE(unique(filter('Основной эфир'!$A:$A, 'Основной эфир'!$B:$B=$A289,'Основной эфир'!$C:$C=$B289,'Основной эфир'!$I:$I=$C289)), ""\d+"", """"),"""")"),"")</f>
        <v/>
      </c>
      <c r="L289" s="91" t="str">
        <f>IFERROR(__xludf.DUMMYFUNCTION("IFERROR(unique(filter('Основной эфир'!$F:$F, 'Основной эфир'!$B:$B=$A289,'Основной эфир'!$C:$C=$B289,'Основной эфир'!$I:$I=$C289)),"""")"),"")</f>
        <v/>
      </c>
      <c r="M289" s="92" t="str">
        <f t="shared" si="1"/>
        <v/>
      </c>
      <c r="N289" s="93">
        <f>IFERROR(__xludf.DUMMYFUNCTION("IFERROR(SWITCH(lower(join("" "",L289:M289)),""а миллионник"", 62.5,""б миллионник"", 75,""а мск"", 50, ""б мск"", 62.5, ""a остальное"", 70, ""б остальное"", 80)/100,0)"),0.0)</f>
        <v>0</v>
      </c>
      <c r="O289" s="91">
        <f t="shared" si="2"/>
        <v>0</v>
      </c>
      <c r="P289" s="91">
        <f>IFERROR(__xludf.DUMMYFUNCTION("IFERROR(sum(filter('Генеральный баннер'!$O:$O, 'Генеральный баннер'!$B:$B=$A289,'Генеральный баннер'!$C:$C=$B289,'Генеральный баннер'!$I:$I=$C289)), 0) "),0.0)</f>
        <v>0</v>
      </c>
      <c r="Q289" s="91">
        <f>IFERROR(__xludf.DUMMYFUNCTION("IFERROR(sum(filter('Генеральный баннер'!$Q:$Q, 'Генеральный баннер'!$B:$B=$A289,'Генеральный баннер'!$C:$C=$B289,'Генеральный баннер'!$I:$I=$C289)), 0) "),0.0)</f>
        <v>0</v>
      </c>
      <c r="R289" s="91">
        <f>IFERROR(__xludf.DUMMYFUNCTION("IFERROR(AVERAGE(filter('Генеральный баннер'!$AA:$AA, 'Генеральный баннер'!$B:$B=$A289,'Генеральный баннер'!$C:$C=$B289,'Генеральный баннер'!$I:$I=$C289)), 0) "),0.0)</f>
        <v>0</v>
      </c>
      <c r="S289" s="91">
        <f>IFERROR(__xludf.DUMMYFUNCTION("IFERROR(SUM(filter('Генеральный баннер'!$AH:$AH, 'Генеральный баннер'!$B:$B=$A289,'Генеральный баннер'!$C:$C=$B289,'Генеральный баннер'!$I:$I=$C289)), 0) "),0.0)</f>
        <v>0</v>
      </c>
      <c r="T289" s="91" t="str">
        <f>IFERROR(__xludf.DUMMYFUNCTION("IFERROR(REGEXREPLACE(unique(filter('Генеральный баннер'!$A:$A, 'Генеральный баннер'!$B:$B=$A289,'Генеральный баннер'!$C:$C=$B289,'Генеральный баннер'!$I:$I=$C289)), ""\d+"", """"),"""")"),"")</f>
        <v/>
      </c>
      <c r="U289" s="91" t="str">
        <f>IFERROR(__xludf.DUMMYFUNCTION("IFERROR(unique(filter('Генеральный баннер'!$F:$F, 'Генеральный баннер'!$B:$B=$A289,'Генеральный баннер'!$C:$C=$B289,'Генеральный баннер'!$I:$I=$C289)),"""")"),"")</f>
        <v/>
      </c>
      <c r="V289" s="92" t="str">
        <f t="shared" si="3"/>
        <v/>
      </c>
      <c r="W289" s="93">
        <f>IFERROR(__xludf.DUMMYFUNCTION("IFERROR(SWITCH(lower(join("" "",U289:V289)),""а миллионник"", 62.5,""б миллионник"", 75,""а мск"", 50, ""б мск"", 62.5, ""a остальное"", 70, ""б остальное"", 80)/100,0)"),0.0)</f>
        <v>0</v>
      </c>
      <c r="X289" s="91">
        <f t="shared" si="4"/>
        <v>0</v>
      </c>
    </row>
    <row r="290">
      <c r="A290" s="12"/>
      <c r="B290" s="12"/>
      <c r="C290" s="12"/>
      <c r="D290" s="91">
        <f>IFERROR(__xludf.DUMMYFUNCTION("IFERROR(sum(filter('Основной эфир'!$AA:$AA, 'Основной эфир'!$B:$B=$A290,'Основной эфир'!$C:$C=$B290,'Основной эфир'!$I:$I=$C290)), 0) "),0.0)</f>
        <v>0</v>
      </c>
      <c r="E290" s="91">
        <f>IFERROR(__xludf.DUMMYFUNCTION("IFERROR(sum(filter('Основной эфир'!$AC:$AC, 'Основной эфир'!$B:$B=$A290,'Основной эфир'!$C:$C=$B290,'Основной эфир'!$I:$I=$C290)), 0) "),0.0)</f>
        <v>0</v>
      </c>
      <c r="F290" s="91">
        <f>IFERROR(__xludf.DUMMYFUNCTION("IFERROR(sum(filter('Основной эфир'!$O:$O, 'Основной эфир'!$B:$B=$A290,'Основной эфир'!$C:$C=$B290,'Основной эфир'!$I:$I=$C290)), 0) "),0.0)</f>
        <v>0</v>
      </c>
      <c r="G290" s="91">
        <f>IFERROR(__xludf.DUMMYFUNCTION("IFERROR(sum(filter('Основной эфир'!$Q:$Q, 'Основной эфир'!$B:$B=$A290,'Основной эфир'!$C:$C=$B290,'Основной эфир'!$I:$I=$C290)), 0) "),0.0)</f>
        <v>0</v>
      </c>
      <c r="H290" s="91">
        <f>IFERROR(__xludf.DUMMYFUNCTION("IFERROR(AVERAGE(filter('Основной эфир'!$Y:$Y, 'Основной эфир'!$B:$B=$A290,'Основной эфир'!$C:$C=$B290,'Основной эфир'!$I:$I=$C290)), 0) "),0.0)</f>
        <v>0</v>
      </c>
      <c r="I290" s="91">
        <f>IFERROR(__xludf.DUMMYFUNCTION("IFERROR(AVERAGE(filter('Основной эфир'!$AE:$AE, 'Основной эфир'!$B:$B=$A290,'Основной эфир'!$C:$C=$B290,'Основной эфир'!$I:$I=$C290)), 0) "),0.0)</f>
        <v>0</v>
      </c>
      <c r="J290" s="91">
        <f>IFERROR(__xludf.DUMMYFUNCTION("IFERROR(SUM(filter('Основной эфир'!$AL:$AL, 'Основной эфир'!$B:$B=$A290,'Основной эфир'!$C:$C=$B290,'Основной эфир'!$I:$I=$C290)), 0) "),0.0)</f>
        <v>0</v>
      </c>
      <c r="K290" s="91" t="str">
        <f>IFERROR(__xludf.DUMMYFUNCTION("IFERROR(REGEXREPLACE(unique(filter('Основной эфир'!$A:$A, 'Основной эфир'!$B:$B=$A290,'Основной эфир'!$C:$C=$B290,'Основной эфир'!$I:$I=$C290)), ""\d+"", """"),"""")"),"")</f>
        <v/>
      </c>
      <c r="L290" s="91" t="str">
        <f>IFERROR(__xludf.DUMMYFUNCTION("IFERROR(unique(filter('Основной эфир'!$F:$F, 'Основной эфир'!$B:$B=$A290,'Основной эфир'!$C:$C=$B290,'Основной эфир'!$I:$I=$C290)),"""")"),"")</f>
        <v/>
      </c>
      <c r="M290" s="92" t="str">
        <f t="shared" si="1"/>
        <v/>
      </c>
      <c r="N290" s="93">
        <f>IFERROR(__xludf.DUMMYFUNCTION("IFERROR(SWITCH(lower(join("" "",L290:M290)),""а миллионник"", 62.5,""б миллионник"", 75,""а мск"", 50, ""б мск"", 62.5, ""a остальное"", 70, ""б остальное"", 80)/100,0)"),0.0)</f>
        <v>0</v>
      </c>
      <c r="O290" s="91">
        <f t="shared" si="2"/>
        <v>0</v>
      </c>
      <c r="P290" s="91">
        <f>IFERROR(__xludf.DUMMYFUNCTION("IFERROR(sum(filter('Генеральный баннер'!$O:$O, 'Генеральный баннер'!$B:$B=$A290,'Генеральный баннер'!$C:$C=$B290,'Генеральный баннер'!$I:$I=$C290)), 0) "),0.0)</f>
        <v>0</v>
      </c>
      <c r="Q290" s="91">
        <f>IFERROR(__xludf.DUMMYFUNCTION("IFERROR(sum(filter('Генеральный баннер'!$Q:$Q, 'Генеральный баннер'!$B:$B=$A290,'Генеральный баннер'!$C:$C=$B290,'Генеральный баннер'!$I:$I=$C290)), 0) "),0.0)</f>
        <v>0</v>
      </c>
      <c r="R290" s="91">
        <f>IFERROR(__xludf.DUMMYFUNCTION("IFERROR(AVERAGE(filter('Генеральный баннер'!$AA:$AA, 'Генеральный баннер'!$B:$B=$A290,'Генеральный баннер'!$C:$C=$B290,'Генеральный баннер'!$I:$I=$C290)), 0) "),0.0)</f>
        <v>0</v>
      </c>
      <c r="S290" s="91">
        <f>IFERROR(__xludf.DUMMYFUNCTION("IFERROR(SUM(filter('Генеральный баннер'!$AH:$AH, 'Генеральный баннер'!$B:$B=$A290,'Генеральный баннер'!$C:$C=$B290,'Генеральный баннер'!$I:$I=$C290)), 0) "),0.0)</f>
        <v>0</v>
      </c>
      <c r="T290" s="91" t="str">
        <f>IFERROR(__xludf.DUMMYFUNCTION("IFERROR(REGEXREPLACE(unique(filter('Генеральный баннер'!$A:$A, 'Генеральный баннер'!$B:$B=$A290,'Генеральный баннер'!$C:$C=$B290,'Генеральный баннер'!$I:$I=$C290)), ""\d+"", """"),"""")"),"")</f>
        <v/>
      </c>
      <c r="U290" s="91" t="str">
        <f>IFERROR(__xludf.DUMMYFUNCTION("IFERROR(unique(filter('Генеральный баннер'!$F:$F, 'Генеральный баннер'!$B:$B=$A290,'Генеральный баннер'!$C:$C=$B290,'Генеральный баннер'!$I:$I=$C290)),"""")"),"")</f>
        <v/>
      </c>
      <c r="V290" s="92" t="str">
        <f t="shared" si="3"/>
        <v/>
      </c>
      <c r="W290" s="93">
        <f>IFERROR(__xludf.DUMMYFUNCTION("IFERROR(SWITCH(lower(join("" "",U290:V290)),""а миллионник"", 62.5,""б миллионник"", 75,""а мск"", 50, ""б мск"", 62.5, ""a остальное"", 70, ""б остальное"", 80)/100,0)"),0.0)</f>
        <v>0</v>
      </c>
      <c r="X290" s="91">
        <f t="shared" si="4"/>
        <v>0</v>
      </c>
    </row>
    <row r="291">
      <c r="A291" s="12"/>
      <c r="B291" s="12"/>
      <c r="C291" s="12"/>
      <c r="D291" s="91">
        <f>IFERROR(__xludf.DUMMYFUNCTION("IFERROR(sum(filter('Основной эфир'!$AA:$AA, 'Основной эфир'!$B:$B=$A291,'Основной эфир'!$C:$C=$B291,'Основной эфир'!$I:$I=$C291)), 0) "),0.0)</f>
        <v>0</v>
      </c>
      <c r="E291" s="91">
        <f>IFERROR(__xludf.DUMMYFUNCTION("IFERROR(sum(filter('Основной эфир'!$AC:$AC, 'Основной эфир'!$B:$B=$A291,'Основной эфир'!$C:$C=$B291,'Основной эфир'!$I:$I=$C291)), 0) "),0.0)</f>
        <v>0</v>
      </c>
      <c r="F291" s="91">
        <f>IFERROR(__xludf.DUMMYFUNCTION("IFERROR(sum(filter('Основной эфир'!$O:$O, 'Основной эфир'!$B:$B=$A291,'Основной эфир'!$C:$C=$B291,'Основной эфир'!$I:$I=$C291)), 0) "),0.0)</f>
        <v>0</v>
      </c>
      <c r="G291" s="91">
        <f>IFERROR(__xludf.DUMMYFUNCTION("IFERROR(sum(filter('Основной эфир'!$Q:$Q, 'Основной эфир'!$B:$B=$A291,'Основной эфир'!$C:$C=$B291,'Основной эфир'!$I:$I=$C291)), 0) "),0.0)</f>
        <v>0</v>
      </c>
      <c r="H291" s="91">
        <f>IFERROR(__xludf.DUMMYFUNCTION("IFERROR(AVERAGE(filter('Основной эфир'!$Y:$Y, 'Основной эфир'!$B:$B=$A291,'Основной эфир'!$C:$C=$B291,'Основной эфир'!$I:$I=$C291)), 0) "),0.0)</f>
        <v>0</v>
      </c>
      <c r="I291" s="91">
        <f>IFERROR(__xludf.DUMMYFUNCTION("IFERROR(AVERAGE(filter('Основной эфир'!$AE:$AE, 'Основной эфир'!$B:$B=$A291,'Основной эфир'!$C:$C=$B291,'Основной эфир'!$I:$I=$C291)), 0) "),0.0)</f>
        <v>0</v>
      </c>
      <c r="J291" s="91">
        <f>IFERROR(__xludf.DUMMYFUNCTION("IFERROR(SUM(filter('Основной эфир'!$AL:$AL, 'Основной эфир'!$B:$B=$A291,'Основной эфир'!$C:$C=$B291,'Основной эфир'!$I:$I=$C291)), 0) "),0.0)</f>
        <v>0</v>
      </c>
      <c r="K291" s="91" t="str">
        <f>IFERROR(__xludf.DUMMYFUNCTION("IFERROR(REGEXREPLACE(unique(filter('Основной эфир'!$A:$A, 'Основной эфир'!$B:$B=$A291,'Основной эфир'!$C:$C=$B291,'Основной эфир'!$I:$I=$C291)), ""\d+"", """"),"""")"),"")</f>
        <v/>
      </c>
      <c r="L291" s="91" t="str">
        <f>IFERROR(__xludf.DUMMYFUNCTION("IFERROR(unique(filter('Основной эфир'!$F:$F, 'Основной эфир'!$B:$B=$A291,'Основной эфир'!$C:$C=$B291,'Основной эфир'!$I:$I=$C291)),"""")"),"")</f>
        <v/>
      </c>
      <c r="M291" s="92" t="str">
        <f t="shared" si="1"/>
        <v/>
      </c>
      <c r="N291" s="93">
        <f>IFERROR(__xludf.DUMMYFUNCTION("IFERROR(SWITCH(lower(join("" "",L291:M291)),""а миллионник"", 62.5,""б миллионник"", 75,""а мск"", 50, ""б мск"", 62.5, ""a остальное"", 70, ""б остальное"", 80)/100,0)"),0.0)</f>
        <v>0</v>
      </c>
      <c r="O291" s="91">
        <f t="shared" si="2"/>
        <v>0</v>
      </c>
      <c r="P291" s="91">
        <f>IFERROR(__xludf.DUMMYFUNCTION("IFERROR(sum(filter('Генеральный баннер'!$O:$O, 'Генеральный баннер'!$B:$B=$A291,'Генеральный баннер'!$C:$C=$B291,'Генеральный баннер'!$I:$I=$C291)), 0) "),0.0)</f>
        <v>0</v>
      </c>
      <c r="Q291" s="91">
        <f>IFERROR(__xludf.DUMMYFUNCTION("IFERROR(sum(filter('Генеральный баннер'!$Q:$Q, 'Генеральный баннер'!$B:$B=$A291,'Генеральный баннер'!$C:$C=$B291,'Генеральный баннер'!$I:$I=$C291)), 0) "),0.0)</f>
        <v>0</v>
      </c>
      <c r="R291" s="91">
        <f>IFERROR(__xludf.DUMMYFUNCTION("IFERROR(AVERAGE(filter('Генеральный баннер'!$AA:$AA, 'Генеральный баннер'!$B:$B=$A291,'Генеральный баннер'!$C:$C=$B291,'Генеральный баннер'!$I:$I=$C291)), 0) "),0.0)</f>
        <v>0</v>
      </c>
      <c r="S291" s="91">
        <f>IFERROR(__xludf.DUMMYFUNCTION("IFERROR(SUM(filter('Генеральный баннер'!$AH:$AH, 'Генеральный баннер'!$B:$B=$A291,'Генеральный баннер'!$C:$C=$B291,'Генеральный баннер'!$I:$I=$C291)), 0) "),0.0)</f>
        <v>0</v>
      </c>
      <c r="T291" s="91" t="str">
        <f>IFERROR(__xludf.DUMMYFUNCTION("IFERROR(REGEXREPLACE(unique(filter('Генеральный баннер'!$A:$A, 'Генеральный баннер'!$B:$B=$A291,'Генеральный баннер'!$C:$C=$B291,'Генеральный баннер'!$I:$I=$C291)), ""\d+"", """"),"""")"),"")</f>
        <v/>
      </c>
      <c r="U291" s="91" t="str">
        <f>IFERROR(__xludf.DUMMYFUNCTION("IFERROR(unique(filter('Генеральный баннер'!$F:$F, 'Генеральный баннер'!$B:$B=$A291,'Генеральный баннер'!$C:$C=$B291,'Генеральный баннер'!$I:$I=$C291)),"""")"),"")</f>
        <v/>
      </c>
      <c r="V291" s="92" t="str">
        <f t="shared" si="3"/>
        <v/>
      </c>
      <c r="W291" s="93">
        <f>IFERROR(__xludf.DUMMYFUNCTION("IFERROR(SWITCH(lower(join("" "",U291:V291)),""а миллионник"", 62.5,""б миллионник"", 75,""а мск"", 50, ""б мск"", 62.5, ""a остальное"", 70, ""б остальное"", 80)/100,0)"),0.0)</f>
        <v>0</v>
      </c>
      <c r="X291" s="91">
        <f t="shared" si="4"/>
        <v>0</v>
      </c>
    </row>
    <row r="292">
      <c r="A292" s="12"/>
      <c r="B292" s="12"/>
      <c r="C292" s="12"/>
      <c r="D292" s="91">
        <f>IFERROR(__xludf.DUMMYFUNCTION("IFERROR(sum(filter('Основной эфир'!$AA:$AA, 'Основной эфир'!$B:$B=$A292,'Основной эфир'!$C:$C=$B292,'Основной эфир'!$I:$I=$C292)), 0) "),0.0)</f>
        <v>0</v>
      </c>
      <c r="E292" s="91">
        <f>IFERROR(__xludf.DUMMYFUNCTION("IFERROR(sum(filter('Основной эфир'!$AC:$AC, 'Основной эфир'!$B:$B=$A292,'Основной эфир'!$C:$C=$B292,'Основной эфир'!$I:$I=$C292)), 0) "),0.0)</f>
        <v>0</v>
      </c>
      <c r="F292" s="91">
        <f>IFERROR(__xludf.DUMMYFUNCTION("IFERROR(sum(filter('Основной эфир'!$O:$O, 'Основной эфир'!$B:$B=$A292,'Основной эфир'!$C:$C=$B292,'Основной эфир'!$I:$I=$C292)), 0) "),0.0)</f>
        <v>0</v>
      </c>
      <c r="G292" s="91">
        <f>IFERROR(__xludf.DUMMYFUNCTION("IFERROR(sum(filter('Основной эфир'!$Q:$Q, 'Основной эфир'!$B:$B=$A292,'Основной эфир'!$C:$C=$B292,'Основной эфир'!$I:$I=$C292)), 0) "),0.0)</f>
        <v>0</v>
      </c>
      <c r="H292" s="91">
        <f>IFERROR(__xludf.DUMMYFUNCTION("IFERROR(AVERAGE(filter('Основной эфир'!$Y:$Y, 'Основной эфир'!$B:$B=$A292,'Основной эфир'!$C:$C=$B292,'Основной эфир'!$I:$I=$C292)), 0) "),0.0)</f>
        <v>0</v>
      </c>
      <c r="I292" s="91">
        <f>IFERROR(__xludf.DUMMYFUNCTION("IFERROR(AVERAGE(filter('Основной эфир'!$AE:$AE, 'Основной эфир'!$B:$B=$A292,'Основной эфир'!$C:$C=$B292,'Основной эфир'!$I:$I=$C292)), 0) "),0.0)</f>
        <v>0</v>
      </c>
      <c r="J292" s="91">
        <f>IFERROR(__xludf.DUMMYFUNCTION("IFERROR(SUM(filter('Основной эфир'!$AL:$AL, 'Основной эфир'!$B:$B=$A292,'Основной эфир'!$C:$C=$B292,'Основной эфир'!$I:$I=$C292)), 0) "),0.0)</f>
        <v>0</v>
      </c>
      <c r="K292" s="91" t="str">
        <f>IFERROR(__xludf.DUMMYFUNCTION("IFERROR(REGEXREPLACE(unique(filter('Основной эфир'!$A:$A, 'Основной эфир'!$B:$B=$A292,'Основной эфир'!$C:$C=$B292,'Основной эфир'!$I:$I=$C292)), ""\d+"", """"),"""")"),"")</f>
        <v/>
      </c>
      <c r="L292" s="91" t="str">
        <f>IFERROR(__xludf.DUMMYFUNCTION("IFERROR(unique(filter('Основной эфир'!$F:$F, 'Основной эфир'!$B:$B=$A292,'Основной эфир'!$C:$C=$B292,'Основной эфир'!$I:$I=$C292)),"""")"),"")</f>
        <v/>
      </c>
      <c r="M292" s="92" t="str">
        <f t="shared" si="1"/>
        <v/>
      </c>
      <c r="N292" s="93">
        <f>IFERROR(__xludf.DUMMYFUNCTION("IFERROR(SWITCH(lower(join("" "",L292:M292)),""а миллионник"", 62.5,""б миллионник"", 75,""а мск"", 50, ""б мск"", 62.5, ""a остальное"", 70, ""б остальное"", 80)/100,0)"),0.0)</f>
        <v>0</v>
      </c>
      <c r="O292" s="91">
        <f t="shared" si="2"/>
        <v>0</v>
      </c>
      <c r="P292" s="91">
        <f>IFERROR(__xludf.DUMMYFUNCTION("IFERROR(sum(filter('Генеральный баннер'!$O:$O, 'Генеральный баннер'!$B:$B=$A292,'Генеральный баннер'!$C:$C=$B292,'Генеральный баннер'!$I:$I=$C292)), 0) "),0.0)</f>
        <v>0</v>
      </c>
      <c r="Q292" s="91">
        <f>IFERROR(__xludf.DUMMYFUNCTION("IFERROR(sum(filter('Генеральный баннер'!$Q:$Q, 'Генеральный баннер'!$B:$B=$A292,'Генеральный баннер'!$C:$C=$B292,'Генеральный баннер'!$I:$I=$C292)), 0) "),0.0)</f>
        <v>0</v>
      </c>
      <c r="R292" s="91">
        <f>IFERROR(__xludf.DUMMYFUNCTION("IFERROR(AVERAGE(filter('Генеральный баннер'!$AA:$AA, 'Генеральный баннер'!$B:$B=$A292,'Генеральный баннер'!$C:$C=$B292,'Генеральный баннер'!$I:$I=$C292)), 0) "),0.0)</f>
        <v>0</v>
      </c>
      <c r="S292" s="91">
        <f>IFERROR(__xludf.DUMMYFUNCTION("IFERROR(SUM(filter('Генеральный баннер'!$AH:$AH, 'Генеральный баннер'!$B:$B=$A292,'Генеральный баннер'!$C:$C=$B292,'Генеральный баннер'!$I:$I=$C292)), 0) "),0.0)</f>
        <v>0</v>
      </c>
      <c r="T292" s="91" t="str">
        <f>IFERROR(__xludf.DUMMYFUNCTION("IFERROR(REGEXREPLACE(unique(filter('Генеральный баннер'!$A:$A, 'Генеральный баннер'!$B:$B=$A292,'Генеральный баннер'!$C:$C=$B292,'Генеральный баннер'!$I:$I=$C292)), ""\d+"", """"),"""")"),"")</f>
        <v/>
      </c>
      <c r="U292" s="91" t="str">
        <f>IFERROR(__xludf.DUMMYFUNCTION("IFERROR(unique(filter('Генеральный баннер'!$F:$F, 'Генеральный баннер'!$B:$B=$A292,'Генеральный баннер'!$C:$C=$B292,'Генеральный баннер'!$I:$I=$C292)),"""")"),"")</f>
        <v/>
      </c>
      <c r="V292" s="92" t="str">
        <f t="shared" si="3"/>
        <v/>
      </c>
      <c r="W292" s="93">
        <f>IFERROR(__xludf.DUMMYFUNCTION("IFERROR(SWITCH(lower(join("" "",U292:V292)),""а миллионник"", 62.5,""б миллионник"", 75,""а мск"", 50, ""б мск"", 62.5, ""a остальное"", 70, ""б остальное"", 80)/100,0)"),0.0)</f>
        <v>0</v>
      </c>
      <c r="X292" s="91">
        <f t="shared" si="4"/>
        <v>0</v>
      </c>
    </row>
    <row r="293">
      <c r="A293" s="12"/>
      <c r="B293" s="12"/>
      <c r="C293" s="12"/>
      <c r="D293" s="91">
        <f>IFERROR(__xludf.DUMMYFUNCTION("IFERROR(sum(filter('Основной эфир'!$AA:$AA, 'Основной эфир'!$B:$B=$A293,'Основной эфир'!$C:$C=$B293,'Основной эфир'!$I:$I=$C293)), 0) "),0.0)</f>
        <v>0</v>
      </c>
      <c r="E293" s="91">
        <f>IFERROR(__xludf.DUMMYFUNCTION("IFERROR(sum(filter('Основной эфир'!$AC:$AC, 'Основной эфир'!$B:$B=$A293,'Основной эфир'!$C:$C=$B293,'Основной эфир'!$I:$I=$C293)), 0) "),0.0)</f>
        <v>0</v>
      </c>
      <c r="F293" s="91">
        <f>IFERROR(__xludf.DUMMYFUNCTION("IFERROR(sum(filter('Основной эфир'!$O:$O, 'Основной эфир'!$B:$B=$A293,'Основной эфир'!$C:$C=$B293,'Основной эфир'!$I:$I=$C293)), 0) "),0.0)</f>
        <v>0</v>
      </c>
      <c r="G293" s="91">
        <f>IFERROR(__xludf.DUMMYFUNCTION("IFERROR(sum(filter('Основной эфир'!$Q:$Q, 'Основной эфир'!$B:$B=$A293,'Основной эфир'!$C:$C=$B293,'Основной эфир'!$I:$I=$C293)), 0) "),0.0)</f>
        <v>0</v>
      </c>
      <c r="H293" s="91">
        <f>IFERROR(__xludf.DUMMYFUNCTION("IFERROR(AVERAGE(filter('Основной эфир'!$Y:$Y, 'Основной эфир'!$B:$B=$A293,'Основной эфир'!$C:$C=$B293,'Основной эфир'!$I:$I=$C293)), 0) "),0.0)</f>
        <v>0</v>
      </c>
      <c r="I293" s="91">
        <f>IFERROR(__xludf.DUMMYFUNCTION("IFERROR(AVERAGE(filter('Основной эфир'!$AE:$AE, 'Основной эфир'!$B:$B=$A293,'Основной эфир'!$C:$C=$B293,'Основной эфир'!$I:$I=$C293)), 0) "),0.0)</f>
        <v>0</v>
      </c>
      <c r="J293" s="91">
        <f>IFERROR(__xludf.DUMMYFUNCTION("IFERROR(SUM(filter('Основной эфир'!$AL:$AL, 'Основной эфир'!$B:$B=$A293,'Основной эфир'!$C:$C=$B293,'Основной эфир'!$I:$I=$C293)), 0) "),0.0)</f>
        <v>0</v>
      </c>
      <c r="K293" s="91" t="str">
        <f>IFERROR(__xludf.DUMMYFUNCTION("IFERROR(REGEXREPLACE(unique(filter('Основной эфир'!$A:$A, 'Основной эфир'!$B:$B=$A293,'Основной эфир'!$C:$C=$B293,'Основной эфир'!$I:$I=$C293)), ""\d+"", """"),"""")"),"")</f>
        <v/>
      </c>
      <c r="L293" s="91" t="str">
        <f>IFERROR(__xludf.DUMMYFUNCTION("IFERROR(unique(filter('Основной эфир'!$F:$F, 'Основной эфир'!$B:$B=$A293,'Основной эфир'!$C:$C=$B293,'Основной эфир'!$I:$I=$C293)),"""")"),"")</f>
        <v/>
      </c>
      <c r="M293" s="92" t="str">
        <f t="shared" si="1"/>
        <v/>
      </c>
      <c r="N293" s="93">
        <f>IFERROR(__xludf.DUMMYFUNCTION("IFERROR(SWITCH(lower(join("" "",L293:M293)),""а миллионник"", 62.5,""б миллионник"", 75,""а мск"", 50, ""б мск"", 62.5, ""a остальное"", 70, ""б остальное"", 80)/100,0)"),0.0)</f>
        <v>0</v>
      </c>
      <c r="O293" s="91">
        <f t="shared" si="2"/>
        <v>0</v>
      </c>
      <c r="P293" s="91">
        <f>IFERROR(__xludf.DUMMYFUNCTION("IFERROR(sum(filter('Генеральный баннер'!$O:$O, 'Генеральный баннер'!$B:$B=$A293,'Генеральный баннер'!$C:$C=$B293,'Генеральный баннер'!$I:$I=$C293)), 0) "),0.0)</f>
        <v>0</v>
      </c>
      <c r="Q293" s="91">
        <f>IFERROR(__xludf.DUMMYFUNCTION("IFERROR(sum(filter('Генеральный баннер'!$Q:$Q, 'Генеральный баннер'!$B:$B=$A293,'Генеральный баннер'!$C:$C=$B293,'Генеральный баннер'!$I:$I=$C293)), 0) "),0.0)</f>
        <v>0</v>
      </c>
      <c r="R293" s="91">
        <f>IFERROR(__xludf.DUMMYFUNCTION("IFERROR(AVERAGE(filter('Генеральный баннер'!$AA:$AA, 'Генеральный баннер'!$B:$B=$A293,'Генеральный баннер'!$C:$C=$B293,'Генеральный баннер'!$I:$I=$C293)), 0) "),0.0)</f>
        <v>0</v>
      </c>
      <c r="S293" s="91">
        <f>IFERROR(__xludf.DUMMYFUNCTION("IFERROR(SUM(filter('Генеральный баннер'!$AH:$AH, 'Генеральный баннер'!$B:$B=$A293,'Генеральный баннер'!$C:$C=$B293,'Генеральный баннер'!$I:$I=$C293)), 0) "),0.0)</f>
        <v>0</v>
      </c>
      <c r="T293" s="91" t="str">
        <f>IFERROR(__xludf.DUMMYFUNCTION("IFERROR(REGEXREPLACE(unique(filter('Генеральный баннер'!$A:$A, 'Генеральный баннер'!$B:$B=$A293,'Генеральный баннер'!$C:$C=$B293,'Генеральный баннер'!$I:$I=$C293)), ""\d+"", """"),"""")"),"")</f>
        <v/>
      </c>
      <c r="U293" s="91" t="str">
        <f>IFERROR(__xludf.DUMMYFUNCTION("IFERROR(unique(filter('Генеральный баннер'!$F:$F, 'Генеральный баннер'!$B:$B=$A293,'Генеральный баннер'!$C:$C=$B293,'Генеральный баннер'!$I:$I=$C293)),"""")"),"")</f>
        <v/>
      </c>
      <c r="V293" s="92" t="str">
        <f t="shared" si="3"/>
        <v/>
      </c>
      <c r="W293" s="93">
        <f>IFERROR(__xludf.DUMMYFUNCTION("IFERROR(SWITCH(lower(join("" "",U293:V293)),""а миллионник"", 62.5,""б миллионник"", 75,""а мск"", 50, ""б мск"", 62.5, ""a остальное"", 70, ""б остальное"", 80)/100,0)"),0.0)</f>
        <v>0</v>
      </c>
      <c r="X293" s="91">
        <f t="shared" si="4"/>
        <v>0</v>
      </c>
    </row>
    <row r="294">
      <c r="A294" s="12"/>
      <c r="B294" s="12"/>
      <c r="C294" s="12"/>
      <c r="D294" s="91">
        <f>IFERROR(__xludf.DUMMYFUNCTION("IFERROR(sum(filter('Основной эфир'!$AA:$AA, 'Основной эфир'!$B:$B=$A294,'Основной эфир'!$C:$C=$B294,'Основной эфир'!$I:$I=$C294)), 0) "),0.0)</f>
        <v>0</v>
      </c>
      <c r="E294" s="91">
        <f>IFERROR(__xludf.DUMMYFUNCTION("IFERROR(sum(filter('Основной эфир'!$AC:$AC, 'Основной эфир'!$B:$B=$A294,'Основной эфир'!$C:$C=$B294,'Основной эфир'!$I:$I=$C294)), 0) "),0.0)</f>
        <v>0</v>
      </c>
      <c r="F294" s="91">
        <f>IFERROR(__xludf.DUMMYFUNCTION("IFERROR(sum(filter('Основной эфир'!$O:$O, 'Основной эфир'!$B:$B=$A294,'Основной эфир'!$C:$C=$B294,'Основной эфир'!$I:$I=$C294)), 0) "),0.0)</f>
        <v>0</v>
      </c>
      <c r="G294" s="91">
        <f>IFERROR(__xludf.DUMMYFUNCTION("IFERROR(sum(filter('Основной эфир'!$Q:$Q, 'Основной эфир'!$B:$B=$A294,'Основной эфир'!$C:$C=$B294,'Основной эфир'!$I:$I=$C294)), 0) "),0.0)</f>
        <v>0</v>
      </c>
      <c r="H294" s="91">
        <f>IFERROR(__xludf.DUMMYFUNCTION("IFERROR(AVERAGE(filter('Основной эфир'!$Y:$Y, 'Основной эфир'!$B:$B=$A294,'Основной эфир'!$C:$C=$B294,'Основной эфир'!$I:$I=$C294)), 0) "),0.0)</f>
        <v>0</v>
      </c>
      <c r="I294" s="91">
        <f>IFERROR(__xludf.DUMMYFUNCTION("IFERROR(AVERAGE(filter('Основной эфир'!$AE:$AE, 'Основной эфир'!$B:$B=$A294,'Основной эфир'!$C:$C=$B294,'Основной эфир'!$I:$I=$C294)), 0) "),0.0)</f>
        <v>0</v>
      </c>
      <c r="J294" s="91">
        <f>IFERROR(__xludf.DUMMYFUNCTION("IFERROR(SUM(filter('Основной эфир'!$AL:$AL, 'Основной эфир'!$B:$B=$A294,'Основной эфир'!$C:$C=$B294,'Основной эфир'!$I:$I=$C294)), 0) "),0.0)</f>
        <v>0</v>
      </c>
      <c r="K294" s="91" t="str">
        <f>IFERROR(__xludf.DUMMYFUNCTION("IFERROR(REGEXREPLACE(unique(filter('Основной эфир'!$A:$A, 'Основной эфир'!$B:$B=$A294,'Основной эфир'!$C:$C=$B294,'Основной эфир'!$I:$I=$C294)), ""\d+"", """"),"""")"),"")</f>
        <v/>
      </c>
      <c r="L294" s="91" t="str">
        <f>IFERROR(__xludf.DUMMYFUNCTION("IFERROR(unique(filter('Основной эфир'!$F:$F, 'Основной эфир'!$B:$B=$A294,'Основной эфир'!$C:$C=$B294,'Основной эфир'!$I:$I=$C294)),"""")"),"")</f>
        <v/>
      </c>
      <c r="M294" s="92" t="str">
        <f t="shared" si="1"/>
        <v/>
      </c>
      <c r="N294" s="93">
        <f>IFERROR(__xludf.DUMMYFUNCTION("IFERROR(SWITCH(lower(join("" "",L294:M294)),""а миллионник"", 62.5,""б миллионник"", 75,""а мск"", 50, ""б мск"", 62.5, ""a остальное"", 70, ""б остальное"", 80)/100,0)"),0.0)</f>
        <v>0</v>
      </c>
      <c r="O294" s="91">
        <f t="shared" si="2"/>
        <v>0</v>
      </c>
      <c r="P294" s="91">
        <f>IFERROR(__xludf.DUMMYFUNCTION("IFERROR(sum(filter('Генеральный баннер'!$O:$O, 'Генеральный баннер'!$B:$B=$A294,'Генеральный баннер'!$C:$C=$B294,'Генеральный баннер'!$I:$I=$C294)), 0) "),0.0)</f>
        <v>0</v>
      </c>
      <c r="Q294" s="91">
        <f>IFERROR(__xludf.DUMMYFUNCTION("IFERROR(sum(filter('Генеральный баннер'!$Q:$Q, 'Генеральный баннер'!$B:$B=$A294,'Генеральный баннер'!$C:$C=$B294,'Генеральный баннер'!$I:$I=$C294)), 0) "),0.0)</f>
        <v>0</v>
      </c>
      <c r="R294" s="91">
        <f>IFERROR(__xludf.DUMMYFUNCTION("IFERROR(AVERAGE(filter('Генеральный баннер'!$AA:$AA, 'Генеральный баннер'!$B:$B=$A294,'Генеральный баннер'!$C:$C=$B294,'Генеральный баннер'!$I:$I=$C294)), 0) "),0.0)</f>
        <v>0</v>
      </c>
      <c r="S294" s="91">
        <f>IFERROR(__xludf.DUMMYFUNCTION("IFERROR(SUM(filter('Генеральный баннер'!$AH:$AH, 'Генеральный баннер'!$B:$B=$A294,'Генеральный баннер'!$C:$C=$B294,'Генеральный баннер'!$I:$I=$C294)), 0) "),0.0)</f>
        <v>0</v>
      </c>
      <c r="T294" s="91" t="str">
        <f>IFERROR(__xludf.DUMMYFUNCTION("IFERROR(REGEXREPLACE(unique(filter('Генеральный баннер'!$A:$A, 'Генеральный баннер'!$B:$B=$A294,'Генеральный баннер'!$C:$C=$B294,'Генеральный баннер'!$I:$I=$C294)), ""\d+"", """"),"""")"),"")</f>
        <v/>
      </c>
      <c r="U294" s="91" t="str">
        <f>IFERROR(__xludf.DUMMYFUNCTION("IFERROR(unique(filter('Генеральный баннер'!$F:$F, 'Генеральный баннер'!$B:$B=$A294,'Генеральный баннер'!$C:$C=$B294,'Генеральный баннер'!$I:$I=$C294)),"""")"),"")</f>
        <v/>
      </c>
      <c r="V294" s="92" t="str">
        <f t="shared" si="3"/>
        <v/>
      </c>
      <c r="W294" s="93">
        <f>IFERROR(__xludf.DUMMYFUNCTION("IFERROR(SWITCH(lower(join("" "",U294:V294)),""а миллионник"", 62.5,""б миллионник"", 75,""а мск"", 50, ""б мск"", 62.5, ""a остальное"", 70, ""б остальное"", 80)/100,0)"),0.0)</f>
        <v>0</v>
      </c>
      <c r="X294" s="91">
        <f t="shared" si="4"/>
        <v>0</v>
      </c>
    </row>
    <row r="295">
      <c r="A295" s="12"/>
      <c r="B295" s="12"/>
      <c r="C295" s="12"/>
      <c r="D295" s="91">
        <f>IFERROR(__xludf.DUMMYFUNCTION("IFERROR(sum(filter('Основной эфир'!$AA:$AA, 'Основной эфир'!$B:$B=$A295,'Основной эфир'!$C:$C=$B295,'Основной эфир'!$I:$I=$C295)), 0) "),0.0)</f>
        <v>0</v>
      </c>
      <c r="E295" s="91">
        <f>IFERROR(__xludf.DUMMYFUNCTION("IFERROR(sum(filter('Основной эфир'!$AC:$AC, 'Основной эфир'!$B:$B=$A295,'Основной эфир'!$C:$C=$B295,'Основной эфир'!$I:$I=$C295)), 0) "),0.0)</f>
        <v>0</v>
      </c>
      <c r="F295" s="91">
        <f>IFERROR(__xludf.DUMMYFUNCTION("IFERROR(sum(filter('Основной эфир'!$O:$O, 'Основной эфир'!$B:$B=$A295,'Основной эфир'!$C:$C=$B295,'Основной эфир'!$I:$I=$C295)), 0) "),0.0)</f>
        <v>0</v>
      </c>
      <c r="G295" s="91">
        <f>IFERROR(__xludf.DUMMYFUNCTION("IFERROR(sum(filter('Основной эфир'!$Q:$Q, 'Основной эфир'!$B:$B=$A295,'Основной эфир'!$C:$C=$B295,'Основной эфир'!$I:$I=$C295)), 0) "),0.0)</f>
        <v>0</v>
      </c>
      <c r="H295" s="91">
        <f>IFERROR(__xludf.DUMMYFUNCTION("IFERROR(AVERAGE(filter('Основной эфир'!$Y:$Y, 'Основной эфир'!$B:$B=$A295,'Основной эфир'!$C:$C=$B295,'Основной эфир'!$I:$I=$C295)), 0) "),0.0)</f>
        <v>0</v>
      </c>
      <c r="I295" s="91">
        <f>IFERROR(__xludf.DUMMYFUNCTION("IFERROR(AVERAGE(filter('Основной эфир'!$AE:$AE, 'Основной эфир'!$B:$B=$A295,'Основной эфир'!$C:$C=$B295,'Основной эфир'!$I:$I=$C295)), 0) "),0.0)</f>
        <v>0</v>
      </c>
      <c r="J295" s="91">
        <f>IFERROR(__xludf.DUMMYFUNCTION("IFERROR(SUM(filter('Основной эфир'!$AL:$AL, 'Основной эфир'!$B:$B=$A295,'Основной эфир'!$C:$C=$B295,'Основной эфир'!$I:$I=$C295)), 0) "),0.0)</f>
        <v>0</v>
      </c>
      <c r="K295" s="91" t="str">
        <f>IFERROR(__xludf.DUMMYFUNCTION("IFERROR(REGEXREPLACE(unique(filter('Основной эфир'!$A:$A, 'Основной эфир'!$B:$B=$A295,'Основной эфир'!$C:$C=$B295,'Основной эфир'!$I:$I=$C295)), ""\d+"", """"),"""")"),"")</f>
        <v/>
      </c>
      <c r="L295" s="91" t="str">
        <f>IFERROR(__xludf.DUMMYFUNCTION("IFERROR(unique(filter('Основной эфир'!$F:$F, 'Основной эфир'!$B:$B=$A295,'Основной эфир'!$C:$C=$B295,'Основной эфир'!$I:$I=$C295)),"""")"),"")</f>
        <v/>
      </c>
      <c r="M295" s="92" t="str">
        <f t="shared" si="1"/>
        <v/>
      </c>
      <c r="N295" s="93">
        <f>IFERROR(__xludf.DUMMYFUNCTION("IFERROR(SWITCH(lower(join("" "",L295:M295)),""а миллионник"", 62.5,""б миллионник"", 75,""а мск"", 50, ""б мск"", 62.5, ""a остальное"", 70, ""б остальное"", 80)/100,0)"),0.0)</f>
        <v>0</v>
      </c>
      <c r="O295" s="91">
        <f t="shared" si="2"/>
        <v>0</v>
      </c>
      <c r="P295" s="91">
        <f>IFERROR(__xludf.DUMMYFUNCTION("IFERROR(sum(filter('Генеральный баннер'!$O:$O, 'Генеральный баннер'!$B:$B=$A295,'Генеральный баннер'!$C:$C=$B295,'Генеральный баннер'!$I:$I=$C295)), 0) "),0.0)</f>
        <v>0</v>
      </c>
      <c r="Q295" s="91">
        <f>IFERROR(__xludf.DUMMYFUNCTION("IFERROR(sum(filter('Генеральный баннер'!$Q:$Q, 'Генеральный баннер'!$B:$B=$A295,'Генеральный баннер'!$C:$C=$B295,'Генеральный баннер'!$I:$I=$C295)), 0) "),0.0)</f>
        <v>0</v>
      </c>
      <c r="R295" s="91">
        <f>IFERROR(__xludf.DUMMYFUNCTION("IFERROR(AVERAGE(filter('Генеральный баннер'!$AA:$AA, 'Генеральный баннер'!$B:$B=$A295,'Генеральный баннер'!$C:$C=$B295,'Генеральный баннер'!$I:$I=$C295)), 0) "),0.0)</f>
        <v>0</v>
      </c>
      <c r="S295" s="91">
        <f>IFERROR(__xludf.DUMMYFUNCTION("IFERROR(SUM(filter('Генеральный баннер'!$AH:$AH, 'Генеральный баннер'!$B:$B=$A295,'Генеральный баннер'!$C:$C=$B295,'Генеральный баннер'!$I:$I=$C295)), 0) "),0.0)</f>
        <v>0</v>
      </c>
      <c r="T295" s="91" t="str">
        <f>IFERROR(__xludf.DUMMYFUNCTION("IFERROR(REGEXREPLACE(unique(filter('Генеральный баннер'!$A:$A, 'Генеральный баннер'!$B:$B=$A295,'Генеральный баннер'!$C:$C=$B295,'Генеральный баннер'!$I:$I=$C295)), ""\d+"", """"),"""")"),"")</f>
        <v/>
      </c>
      <c r="U295" s="91" t="str">
        <f>IFERROR(__xludf.DUMMYFUNCTION("IFERROR(unique(filter('Генеральный баннер'!$F:$F, 'Генеральный баннер'!$B:$B=$A295,'Генеральный баннер'!$C:$C=$B295,'Генеральный баннер'!$I:$I=$C295)),"""")"),"")</f>
        <v/>
      </c>
      <c r="V295" s="92" t="str">
        <f t="shared" si="3"/>
        <v/>
      </c>
      <c r="W295" s="93">
        <f>IFERROR(__xludf.DUMMYFUNCTION("IFERROR(SWITCH(lower(join("" "",U295:V295)),""а миллионник"", 62.5,""б миллионник"", 75,""а мск"", 50, ""б мск"", 62.5, ""a остальное"", 70, ""б остальное"", 80)/100,0)"),0.0)</f>
        <v>0</v>
      </c>
      <c r="X295" s="91">
        <f t="shared" si="4"/>
        <v>0</v>
      </c>
    </row>
    <row r="296">
      <c r="A296" s="12"/>
      <c r="B296" s="12"/>
      <c r="C296" s="12"/>
      <c r="D296" s="91">
        <f>IFERROR(__xludf.DUMMYFUNCTION("IFERROR(sum(filter('Основной эфир'!$AA:$AA, 'Основной эфир'!$B:$B=$A296,'Основной эфир'!$C:$C=$B296,'Основной эфир'!$I:$I=$C296)), 0) "),0.0)</f>
        <v>0</v>
      </c>
      <c r="E296" s="91">
        <f>IFERROR(__xludf.DUMMYFUNCTION("IFERROR(sum(filter('Основной эфир'!$AC:$AC, 'Основной эфир'!$B:$B=$A296,'Основной эфир'!$C:$C=$B296,'Основной эфир'!$I:$I=$C296)), 0) "),0.0)</f>
        <v>0</v>
      </c>
      <c r="F296" s="91">
        <f>IFERROR(__xludf.DUMMYFUNCTION("IFERROR(sum(filter('Основной эфир'!$O:$O, 'Основной эфир'!$B:$B=$A296,'Основной эфир'!$C:$C=$B296,'Основной эфир'!$I:$I=$C296)), 0) "),0.0)</f>
        <v>0</v>
      </c>
      <c r="G296" s="91">
        <f>IFERROR(__xludf.DUMMYFUNCTION("IFERROR(sum(filter('Основной эфир'!$Q:$Q, 'Основной эфир'!$B:$B=$A296,'Основной эфир'!$C:$C=$B296,'Основной эфир'!$I:$I=$C296)), 0) "),0.0)</f>
        <v>0</v>
      </c>
      <c r="H296" s="91">
        <f>IFERROR(__xludf.DUMMYFUNCTION("IFERROR(AVERAGE(filter('Основной эфир'!$Y:$Y, 'Основной эфир'!$B:$B=$A296,'Основной эфир'!$C:$C=$B296,'Основной эфир'!$I:$I=$C296)), 0) "),0.0)</f>
        <v>0</v>
      </c>
      <c r="I296" s="91">
        <f>IFERROR(__xludf.DUMMYFUNCTION("IFERROR(AVERAGE(filter('Основной эфир'!$AE:$AE, 'Основной эфир'!$B:$B=$A296,'Основной эфир'!$C:$C=$B296,'Основной эфир'!$I:$I=$C296)), 0) "),0.0)</f>
        <v>0</v>
      </c>
      <c r="J296" s="91">
        <f>IFERROR(__xludf.DUMMYFUNCTION("IFERROR(SUM(filter('Основной эфир'!$AL:$AL, 'Основной эфир'!$B:$B=$A296,'Основной эфир'!$C:$C=$B296,'Основной эфир'!$I:$I=$C296)), 0) "),0.0)</f>
        <v>0</v>
      </c>
      <c r="K296" s="91" t="str">
        <f>IFERROR(__xludf.DUMMYFUNCTION("IFERROR(REGEXREPLACE(unique(filter('Основной эфир'!$A:$A, 'Основной эфир'!$B:$B=$A296,'Основной эфир'!$C:$C=$B296,'Основной эфир'!$I:$I=$C296)), ""\d+"", """"),"""")"),"")</f>
        <v/>
      </c>
      <c r="L296" s="91" t="str">
        <f>IFERROR(__xludf.DUMMYFUNCTION("IFERROR(unique(filter('Основной эфир'!$F:$F, 'Основной эфир'!$B:$B=$A296,'Основной эфир'!$C:$C=$B296,'Основной эфир'!$I:$I=$C296)),"""")"),"")</f>
        <v/>
      </c>
      <c r="M296" s="92" t="str">
        <f t="shared" si="1"/>
        <v/>
      </c>
      <c r="N296" s="93">
        <f>IFERROR(__xludf.DUMMYFUNCTION("IFERROR(SWITCH(lower(join("" "",L296:M296)),""а миллионник"", 62.5,""б миллионник"", 75,""а мск"", 50, ""б мск"", 62.5, ""a остальное"", 70, ""б остальное"", 80)/100,0)"),0.0)</f>
        <v>0</v>
      </c>
      <c r="O296" s="91">
        <f t="shared" si="2"/>
        <v>0</v>
      </c>
      <c r="P296" s="91">
        <f>IFERROR(__xludf.DUMMYFUNCTION("IFERROR(sum(filter('Генеральный баннер'!$O:$O, 'Генеральный баннер'!$B:$B=$A296,'Генеральный баннер'!$C:$C=$B296,'Генеральный баннер'!$I:$I=$C296)), 0) "),0.0)</f>
        <v>0</v>
      </c>
      <c r="Q296" s="91">
        <f>IFERROR(__xludf.DUMMYFUNCTION("IFERROR(sum(filter('Генеральный баннер'!$Q:$Q, 'Генеральный баннер'!$B:$B=$A296,'Генеральный баннер'!$C:$C=$B296,'Генеральный баннер'!$I:$I=$C296)), 0) "),0.0)</f>
        <v>0</v>
      </c>
      <c r="R296" s="91">
        <f>IFERROR(__xludf.DUMMYFUNCTION("IFERROR(AVERAGE(filter('Генеральный баннер'!$AA:$AA, 'Генеральный баннер'!$B:$B=$A296,'Генеральный баннер'!$C:$C=$B296,'Генеральный баннер'!$I:$I=$C296)), 0) "),0.0)</f>
        <v>0</v>
      </c>
      <c r="S296" s="91">
        <f>IFERROR(__xludf.DUMMYFUNCTION("IFERROR(SUM(filter('Генеральный баннер'!$AH:$AH, 'Генеральный баннер'!$B:$B=$A296,'Генеральный баннер'!$C:$C=$B296,'Генеральный баннер'!$I:$I=$C296)), 0) "),0.0)</f>
        <v>0</v>
      </c>
      <c r="T296" s="91" t="str">
        <f>IFERROR(__xludf.DUMMYFUNCTION("IFERROR(REGEXREPLACE(unique(filter('Генеральный баннер'!$A:$A, 'Генеральный баннер'!$B:$B=$A296,'Генеральный баннер'!$C:$C=$B296,'Генеральный баннер'!$I:$I=$C296)), ""\d+"", """"),"""")"),"")</f>
        <v/>
      </c>
      <c r="U296" s="91" t="str">
        <f>IFERROR(__xludf.DUMMYFUNCTION("IFERROR(unique(filter('Генеральный баннер'!$F:$F, 'Генеральный баннер'!$B:$B=$A296,'Генеральный баннер'!$C:$C=$B296,'Генеральный баннер'!$I:$I=$C296)),"""")"),"")</f>
        <v/>
      </c>
      <c r="V296" s="92" t="str">
        <f t="shared" si="3"/>
        <v/>
      </c>
      <c r="W296" s="93">
        <f>IFERROR(__xludf.DUMMYFUNCTION("IFERROR(SWITCH(lower(join("" "",U296:V296)),""а миллионник"", 62.5,""б миллионник"", 75,""а мск"", 50, ""б мск"", 62.5, ""a остальное"", 70, ""б остальное"", 80)/100,0)"),0.0)</f>
        <v>0</v>
      </c>
      <c r="X296" s="91">
        <f t="shared" si="4"/>
        <v>0</v>
      </c>
    </row>
    <row r="297">
      <c r="A297" s="12"/>
      <c r="B297" s="12"/>
      <c r="C297" s="12"/>
      <c r="D297" s="91">
        <f>IFERROR(__xludf.DUMMYFUNCTION("IFERROR(sum(filter('Основной эфир'!$AA:$AA, 'Основной эфир'!$B:$B=$A297,'Основной эфир'!$C:$C=$B297,'Основной эфир'!$I:$I=$C297)), 0) "),0.0)</f>
        <v>0</v>
      </c>
      <c r="E297" s="91">
        <f>IFERROR(__xludf.DUMMYFUNCTION("IFERROR(sum(filter('Основной эфир'!$AC:$AC, 'Основной эфир'!$B:$B=$A297,'Основной эфир'!$C:$C=$B297,'Основной эфир'!$I:$I=$C297)), 0) "),0.0)</f>
        <v>0</v>
      </c>
      <c r="F297" s="91">
        <f>IFERROR(__xludf.DUMMYFUNCTION("IFERROR(sum(filter('Основной эфир'!$O:$O, 'Основной эфир'!$B:$B=$A297,'Основной эфир'!$C:$C=$B297,'Основной эфир'!$I:$I=$C297)), 0) "),0.0)</f>
        <v>0</v>
      </c>
      <c r="G297" s="91">
        <f>IFERROR(__xludf.DUMMYFUNCTION("IFERROR(sum(filter('Основной эфир'!$Q:$Q, 'Основной эфир'!$B:$B=$A297,'Основной эфир'!$C:$C=$B297,'Основной эфир'!$I:$I=$C297)), 0) "),0.0)</f>
        <v>0</v>
      </c>
      <c r="H297" s="91">
        <f>IFERROR(__xludf.DUMMYFUNCTION("IFERROR(AVERAGE(filter('Основной эфир'!$Y:$Y, 'Основной эфир'!$B:$B=$A297,'Основной эфир'!$C:$C=$B297,'Основной эфир'!$I:$I=$C297)), 0) "),0.0)</f>
        <v>0</v>
      </c>
      <c r="I297" s="91">
        <f>IFERROR(__xludf.DUMMYFUNCTION("IFERROR(AVERAGE(filter('Основной эфир'!$AE:$AE, 'Основной эфир'!$B:$B=$A297,'Основной эфир'!$C:$C=$B297,'Основной эфир'!$I:$I=$C297)), 0) "),0.0)</f>
        <v>0</v>
      </c>
      <c r="J297" s="91">
        <f>IFERROR(__xludf.DUMMYFUNCTION("IFERROR(SUM(filter('Основной эфир'!$AL:$AL, 'Основной эфир'!$B:$B=$A297,'Основной эфир'!$C:$C=$B297,'Основной эфир'!$I:$I=$C297)), 0) "),0.0)</f>
        <v>0</v>
      </c>
      <c r="K297" s="91" t="str">
        <f>IFERROR(__xludf.DUMMYFUNCTION("IFERROR(REGEXREPLACE(unique(filter('Основной эфир'!$A:$A, 'Основной эфир'!$B:$B=$A297,'Основной эфир'!$C:$C=$B297,'Основной эфир'!$I:$I=$C297)), ""\d+"", """"),"""")"),"")</f>
        <v/>
      </c>
      <c r="L297" s="91" t="str">
        <f>IFERROR(__xludf.DUMMYFUNCTION("IFERROR(unique(filter('Основной эфир'!$F:$F, 'Основной эфир'!$B:$B=$A297,'Основной эфир'!$C:$C=$B297,'Основной эфир'!$I:$I=$C297)),"""")"),"")</f>
        <v/>
      </c>
      <c r="M297" s="92" t="str">
        <f t="shared" si="1"/>
        <v/>
      </c>
      <c r="N297" s="93">
        <f>IFERROR(__xludf.DUMMYFUNCTION("IFERROR(SWITCH(lower(join("" "",L297:M297)),""а миллионник"", 62.5,""б миллионник"", 75,""а мск"", 50, ""б мск"", 62.5, ""a остальное"", 70, ""б остальное"", 80)/100,0)"),0.0)</f>
        <v>0</v>
      </c>
      <c r="O297" s="91">
        <f t="shared" si="2"/>
        <v>0</v>
      </c>
      <c r="P297" s="91">
        <f>IFERROR(__xludf.DUMMYFUNCTION("IFERROR(sum(filter('Генеральный баннер'!$O:$O, 'Генеральный баннер'!$B:$B=$A297,'Генеральный баннер'!$C:$C=$B297,'Генеральный баннер'!$I:$I=$C297)), 0) "),0.0)</f>
        <v>0</v>
      </c>
      <c r="Q297" s="91">
        <f>IFERROR(__xludf.DUMMYFUNCTION("IFERROR(sum(filter('Генеральный баннер'!$Q:$Q, 'Генеральный баннер'!$B:$B=$A297,'Генеральный баннер'!$C:$C=$B297,'Генеральный баннер'!$I:$I=$C297)), 0) "),0.0)</f>
        <v>0</v>
      </c>
      <c r="R297" s="91">
        <f>IFERROR(__xludf.DUMMYFUNCTION("IFERROR(AVERAGE(filter('Генеральный баннер'!$AA:$AA, 'Генеральный баннер'!$B:$B=$A297,'Генеральный баннер'!$C:$C=$B297,'Генеральный баннер'!$I:$I=$C297)), 0) "),0.0)</f>
        <v>0</v>
      </c>
      <c r="S297" s="91">
        <f>IFERROR(__xludf.DUMMYFUNCTION("IFERROR(SUM(filter('Генеральный баннер'!$AH:$AH, 'Генеральный баннер'!$B:$B=$A297,'Генеральный баннер'!$C:$C=$B297,'Генеральный баннер'!$I:$I=$C297)), 0) "),0.0)</f>
        <v>0</v>
      </c>
      <c r="T297" s="91" t="str">
        <f>IFERROR(__xludf.DUMMYFUNCTION("IFERROR(REGEXREPLACE(unique(filter('Генеральный баннер'!$A:$A, 'Генеральный баннер'!$B:$B=$A297,'Генеральный баннер'!$C:$C=$B297,'Генеральный баннер'!$I:$I=$C297)), ""\d+"", """"),"""")"),"")</f>
        <v/>
      </c>
      <c r="U297" s="91" t="str">
        <f>IFERROR(__xludf.DUMMYFUNCTION("IFERROR(unique(filter('Генеральный баннер'!$F:$F, 'Генеральный баннер'!$B:$B=$A297,'Генеральный баннер'!$C:$C=$B297,'Генеральный баннер'!$I:$I=$C297)),"""")"),"")</f>
        <v/>
      </c>
      <c r="V297" s="92" t="str">
        <f t="shared" si="3"/>
        <v/>
      </c>
      <c r="W297" s="93">
        <f>IFERROR(__xludf.DUMMYFUNCTION("IFERROR(SWITCH(lower(join("" "",U297:V297)),""а миллионник"", 62.5,""б миллионник"", 75,""а мск"", 50, ""б мск"", 62.5, ""a остальное"", 70, ""б остальное"", 80)/100,0)"),0.0)</f>
        <v>0</v>
      </c>
      <c r="X297" s="91">
        <f t="shared" si="4"/>
        <v>0</v>
      </c>
    </row>
    <row r="298">
      <c r="A298" s="12"/>
      <c r="B298" s="12"/>
      <c r="C298" s="12"/>
      <c r="D298" s="91">
        <f>IFERROR(__xludf.DUMMYFUNCTION("IFERROR(sum(filter('Основной эфир'!$AA:$AA, 'Основной эфир'!$B:$B=$A298,'Основной эфир'!$C:$C=$B298,'Основной эфир'!$I:$I=$C298)), 0) "),0.0)</f>
        <v>0</v>
      </c>
      <c r="E298" s="91">
        <f>IFERROR(__xludf.DUMMYFUNCTION("IFERROR(sum(filter('Основной эфир'!$AC:$AC, 'Основной эфир'!$B:$B=$A298,'Основной эфир'!$C:$C=$B298,'Основной эфир'!$I:$I=$C298)), 0) "),0.0)</f>
        <v>0</v>
      </c>
      <c r="F298" s="91">
        <f>IFERROR(__xludf.DUMMYFUNCTION("IFERROR(sum(filter('Основной эфир'!$O:$O, 'Основной эфир'!$B:$B=$A298,'Основной эфир'!$C:$C=$B298,'Основной эфир'!$I:$I=$C298)), 0) "),0.0)</f>
        <v>0</v>
      </c>
      <c r="G298" s="91">
        <f>IFERROR(__xludf.DUMMYFUNCTION("IFERROR(sum(filter('Основной эфир'!$Q:$Q, 'Основной эфир'!$B:$B=$A298,'Основной эфир'!$C:$C=$B298,'Основной эфир'!$I:$I=$C298)), 0) "),0.0)</f>
        <v>0</v>
      </c>
      <c r="H298" s="91">
        <f>IFERROR(__xludf.DUMMYFUNCTION("IFERROR(AVERAGE(filter('Основной эфир'!$Y:$Y, 'Основной эфир'!$B:$B=$A298,'Основной эфир'!$C:$C=$B298,'Основной эфир'!$I:$I=$C298)), 0) "),0.0)</f>
        <v>0</v>
      </c>
      <c r="I298" s="91">
        <f>IFERROR(__xludf.DUMMYFUNCTION("IFERROR(AVERAGE(filter('Основной эфир'!$AE:$AE, 'Основной эфир'!$B:$B=$A298,'Основной эфир'!$C:$C=$B298,'Основной эфир'!$I:$I=$C298)), 0) "),0.0)</f>
        <v>0</v>
      </c>
      <c r="J298" s="91">
        <f>IFERROR(__xludf.DUMMYFUNCTION("IFERROR(SUM(filter('Основной эфир'!$AL:$AL, 'Основной эфир'!$B:$B=$A298,'Основной эфир'!$C:$C=$B298,'Основной эфир'!$I:$I=$C298)), 0) "),0.0)</f>
        <v>0</v>
      </c>
      <c r="K298" s="91" t="str">
        <f>IFERROR(__xludf.DUMMYFUNCTION("IFERROR(REGEXREPLACE(unique(filter('Основной эфир'!$A:$A, 'Основной эфир'!$B:$B=$A298,'Основной эфир'!$C:$C=$B298,'Основной эфир'!$I:$I=$C298)), ""\d+"", """"),"""")"),"")</f>
        <v/>
      </c>
      <c r="L298" s="91" t="str">
        <f>IFERROR(__xludf.DUMMYFUNCTION("IFERROR(unique(filter('Основной эфир'!$F:$F, 'Основной эфир'!$B:$B=$A298,'Основной эфир'!$C:$C=$B298,'Основной эфир'!$I:$I=$C298)),"""")"),"")</f>
        <v/>
      </c>
      <c r="M298" s="92" t="str">
        <f t="shared" si="1"/>
        <v/>
      </c>
      <c r="N298" s="93">
        <f>IFERROR(__xludf.DUMMYFUNCTION("IFERROR(SWITCH(lower(join("" "",L298:M298)),""а миллионник"", 62.5,""б миллионник"", 75,""а мск"", 50, ""б мск"", 62.5, ""a остальное"", 70, ""б остальное"", 80)/100,0)"),0.0)</f>
        <v>0</v>
      </c>
      <c r="O298" s="91">
        <f t="shared" si="2"/>
        <v>0</v>
      </c>
      <c r="P298" s="91">
        <f>IFERROR(__xludf.DUMMYFUNCTION("IFERROR(sum(filter('Генеральный баннер'!$O:$O, 'Генеральный баннер'!$B:$B=$A298,'Генеральный баннер'!$C:$C=$B298,'Генеральный баннер'!$I:$I=$C298)), 0) "),0.0)</f>
        <v>0</v>
      </c>
      <c r="Q298" s="91">
        <f>IFERROR(__xludf.DUMMYFUNCTION("IFERROR(sum(filter('Генеральный баннер'!$Q:$Q, 'Генеральный баннер'!$B:$B=$A298,'Генеральный баннер'!$C:$C=$B298,'Генеральный баннер'!$I:$I=$C298)), 0) "),0.0)</f>
        <v>0</v>
      </c>
      <c r="R298" s="91">
        <f>IFERROR(__xludf.DUMMYFUNCTION("IFERROR(AVERAGE(filter('Генеральный баннер'!$AA:$AA, 'Генеральный баннер'!$B:$B=$A298,'Генеральный баннер'!$C:$C=$B298,'Генеральный баннер'!$I:$I=$C298)), 0) "),0.0)</f>
        <v>0</v>
      </c>
      <c r="S298" s="91">
        <f>IFERROR(__xludf.DUMMYFUNCTION("IFERROR(SUM(filter('Генеральный баннер'!$AH:$AH, 'Генеральный баннер'!$B:$B=$A298,'Генеральный баннер'!$C:$C=$B298,'Генеральный баннер'!$I:$I=$C298)), 0) "),0.0)</f>
        <v>0</v>
      </c>
      <c r="T298" s="91" t="str">
        <f>IFERROR(__xludf.DUMMYFUNCTION("IFERROR(REGEXREPLACE(unique(filter('Генеральный баннер'!$A:$A, 'Генеральный баннер'!$B:$B=$A298,'Генеральный баннер'!$C:$C=$B298,'Генеральный баннер'!$I:$I=$C298)), ""\d+"", """"),"""")"),"")</f>
        <v/>
      </c>
      <c r="U298" s="91" t="str">
        <f>IFERROR(__xludf.DUMMYFUNCTION("IFERROR(unique(filter('Генеральный баннер'!$F:$F, 'Генеральный баннер'!$B:$B=$A298,'Генеральный баннер'!$C:$C=$B298,'Генеральный баннер'!$I:$I=$C298)),"""")"),"")</f>
        <v/>
      </c>
      <c r="V298" s="92" t="str">
        <f t="shared" si="3"/>
        <v/>
      </c>
      <c r="W298" s="93">
        <f>IFERROR(__xludf.DUMMYFUNCTION("IFERROR(SWITCH(lower(join("" "",U298:V298)),""а миллионник"", 62.5,""б миллионник"", 75,""а мск"", 50, ""б мск"", 62.5, ""a остальное"", 70, ""б остальное"", 80)/100,0)"),0.0)</f>
        <v>0</v>
      </c>
      <c r="X298" s="91">
        <f t="shared" si="4"/>
        <v>0</v>
      </c>
    </row>
    <row r="299">
      <c r="A299" s="12"/>
      <c r="B299" s="12"/>
      <c r="C299" s="12"/>
      <c r="D299" s="91">
        <f>IFERROR(__xludf.DUMMYFUNCTION("IFERROR(sum(filter('Основной эфир'!$AA:$AA, 'Основной эфир'!$B:$B=$A299,'Основной эфир'!$C:$C=$B299,'Основной эфир'!$I:$I=$C299)), 0) "),0.0)</f>
        <v>0</v>
      </c>
      <c r="E299" s="91">
        <f>IFERROR(__xludf.DUMMYFUNCTION("IFERROR(sum(filter('Основной эфир'!$AC:$AC, 'Основной эфир'!$B:$B=$A299,'Основной эфир'!$C:$C=$B299,'Основной эфир'!$I:$I=$C299)), 0) "),0.0)</f>
        <v>0</v>
      </c>
      <c r="F299" s="91">
        <f>IFERROR(__xludf.DUMMYFUNCTION("IFERROR(sum(filter('Основной эфир'!$O:$O, 'Основной эфир'!$B:$B=$A299,'Основной эфир'!$C:$C=$B299,'Основной эфир'!$I:$I=$C299)), 0) "),0.0)</f>
        <v>0</v>
      </c>
      <c r="G299" s="91">
        <f>IFERROR(__xludf.DUMMYFUNCTION("IFERROR(sum(filter('Основной эфир'!$Q:$Q, 'Основной эфир'!$B:$B=$A299,'Основной эфир'!$C:$C=$B299,'Основной эфир'!$I:$I=$C299)), 0) "),0.0)</f>
        <v>0</v>
      </c>
      <c r="H299" s="91">
        <f>IFERROR(__xludf.DUMMYFUNCTION("IFERROR(AVERAGE(filter('Основной эфир'!$Y:$Y, 'Основной эфир'!$B:$B=$A299,'Основной эфир'!$C:$C=$B299,'Основной эфир'!$I:$I=$C299)), 0) "),0.0)</f>
        <v>0</v>
      </c>
      <c r="I299" s="91">
        <f>IFERROR(__xludf.DUMMYFUNCTION("IFERROR(AVERAGE(filter('Основной эфир'!$AE:$AE, 'Основной эфир'!$B:$B=$A299,'Основной эфир'!$C:$C=$B299,'Основной эфир'!$I:$I=$C299)), 0) "),0.0)</f>
        <v>0</v>
      </c>
      <c r="J299" s="91">
        <f>IFERROR(__xludf.DUMMYFUNCTION("IFERROR(SUM(filter('Основной эфир'!$AL:$AL, 'Основной эфир'!$B:$B=$A299,'Основной эфир'!$C:$C=$B299,'Основной эфир'!$I:$I=$C299)), 0) "),0.0)</f>
        <v>0</v>
      </c>
      <c r="K299" s="91" t="str">
        <f>IFERROR(__xludf.DUMMYFUNCTION("IFERROR(REGEXREPLACE(unique(filter('Основной эфир'!$A:$A, 'Основной эфир'!$B:$B=$A299,'Основной эфир'!$C:$C=$B299,'Основной эфир'!$I:$I=$C299)), ""\d+"", """"),"""")"),"")</f>
        <v/>
      </c>
      <c r="L299" s="91" t="str">
        <f>IFERROR(__xludf.DUMMYFUNCTION("IFERROR(unique(filter('Основной эфир'!$F:$F, 'Основной эфир'!$B:$B=$A299,'Основной эфир'!$C:$C=$B299,'Основной эфир'!$I:$I=$C299)),"""")"),"")</f>
        <v/>
      </c>
      <c r="M299" s="92" t="str">
        <f t="shared" si="1"/>
        <v/>
      </c>
      <c r="N299" s="93">
        <f>IFERROR(__xludf.DUMMYFUNCTION("IFERROR(SWITCH(lower(join("" "",L299:M299)),""а миллионник"", 62.5,""б миллионник"", 75,""а мск"", 50, ""б мск"", 62.5, ""a остальное"", 70, ""б остальное"", 80)/100,0)"),0.0)</f>
        <v>0</v>
      </c>
      <c r="O299" s="91">
        <f t="shared" si="2"/>
        <v>0</v>
      </c>
      <c r="P299" s="91">
        <f>IFERROR(__xludf.DUMMYFUNCTION("IFERROR(sum(filter('Генеральный баннер'!$O:$O, 'Генеральный баннер'!$B:$B=$A299,'Генеральный баннер'!$C:$C=$B299,'Генеральный баннер'!$I:$I=$C299)), 0) "),0.0)</f>
        <v>0</v>
      </c>
      <c r="Q299" s="91">
        <f>IFERROR(__xludf.DUMMYFUNCTION("IFERROR(sum(filter('Генеральный баннер'!$Q:$Q, 'Генеральный баннер'!$B:$B=$A299,'Генеральный баннер'!$C:$C=$B299,'Генеральный баннер'!$I:$I=$C299)), 0) "),0.0)</f>
        <v>0</v>
      </c>
      <c r="R299" s="91">
        <f>IFERROR(__xludf.DUMMYFUNCTION("IFERROR(AVERAGE(filter('Генеральный баннер'!$AA:$AA, 'Генеральный баннер'!$B:$B=$A299,'Генеральный баннер'!$C:$C=$B299,'Генеральный баннер'!$I:$I=$C299)), 0) "),0.0)</f>
        <v>0</v>
      </c>
      <c r="S299" s="91">
        <f>IFERROR(__xludf.DUMMYFUNCTION("IFERROR(SUM(filter('Генеральный баннер'!$AH:$AH, 'Генеральный баннер'!$B:$B=$A299,'Генеральный баннер'!$C:$C=$B299,'Генеральный баннер'!$I:$I=$C299)), 0) "),0.0)</f>
        <v>0</v>
      </c>
      <c r="T299" s="91" t="str">
        <f>IFERROR(__xludf.DUMMYFUNCTION("IFERROR(REGEXREPLACE(unique(filter('Генеральный баннер'!$A:$A, 'Генеральный баннер'!$B:$B=$A299,'Генеральный баннер'!$C:$C=$B299,'Генеральный баннер'!$I:$I=$C299)), ""\d+"", """"),"""")"),"")</f>
        <v/>
      </c>
      <c r="U299" s="91" t="str">
        <f>IFERROR(__xludf.DUMMYFUNCTION("IFERROR(unique(filter('Генеральный баннер'!$F:$F, 'Генеральный баннер'!$B:$B=$A299,'Генеральный баннер'!$C:$C=$B299,'Генеральный баннер'!$I:$I=$C299)),"""")"),"")</f>
        <v/>
      </c>
      <c r="V299" s="92" t="str">
        <f t="shared" si="3"/>
        <v/>
      </c>
      <c r="W299" s="93">
        <f>IFERROR(__xludf.DUMMYFUNCTION("IFERROR(SWITCH(lower(join("" "",U299:V299)),""а миллионник"", 62.5,""б миллионник"", 75,""а мск"", 50, ""б мск"", 62.5, ""a остальное"", 70, ""б остальное"", 80)/100,0)"),0.0)</f>
        <v>0</v>
      </c>
      <c r="X299" s="91">
        <f t="shared" si="4"/>
        <v>0</v>
      </c>
    </row>
    <row r="300">
      <c r="A300" s="12"/>
      <c r="B300" s="12"/>
      <c r="C300" s="12"/>
      <c r="D300" s="91">
        <f>IFERROR(__xludf.DUMMYFUNCTION("IFERROR(sum(filter('Основной эфир'!$AA:$AA, 'Основной эфир'!$B:$B=$A300,'Основной эфир'!$C:$C=$B300,'Основной эфир'!$I:$I=$C300)), 0) "),0.0)</f>
        <v>0</v>
      </c>
      <c r="E300" s="91">
        <f>IFERROR(__xludf.DUMMYFUNCTION("IFERROR(sum(filter('Основной эфир'!$AC:$AC, 'Основной эфир'!$B:$B=$A300,'Основной эфир'!$C:$C=$B300,'Основной эфир'!$I:$I=$C300)), 0) "),0.0)</f>
        <v>0</v>
      </c>
      <c r="F300" s="91">
        <f>IFERROR(__xludf.DUMMYFUNCTION("IFERROR(sum(filter('Основной эфир'!$O:$O, 'Основной эфир'!$B:$B=$A300,'Основной эфир'!$C:$C=$B300,'Основной эфир'!$I:$I=$C300)), 0) "),0.0)</f>
        <v>0</v>
      </c>
      <c r="G300" s="91">
        <f>IFERROR(__xludf.DUMMYFUNCTION("IFERROR(sum(filter('Основной эфир'!$Q:$Q, 'Основной эфир'!$B:$B=$A300,'Основной эфир'!$C:$C=$B300,'Основной эфир'!$I:$I=$C300)), 0) "),0.0)</f>
        <v>0</v>
      </c>
      <c r="H300" s="91">
        <f>IFERROR(__xludf.DUMMYFUNCTION("IFERROR(AVERAGE(filter('Основной эфир'!$Y:$Y, 'Основной эфир'!$B:$B=$A300,'Основной эфир'!$C:$C=$B300,'Основной эфир'!$I:$I=$C300)), 0) "),0.0)</f>
        <v>0</v>
      </c>
      <c r="I300" s="91">
        <f>IFERROR(__xludf.DUMMYFUNCTION("IFERROR(AVERAGE(filter('Основной эфир'!$AE:$AE, 'Основной эфир'!$B:$B=$A300,'Основной эфир'!$C:$C=$B300,'Основной эфир'!$I:$I=$C300)), 0) "),0.0)</f>
        <v>0</v>
      </c>
      <c r="J300" s="91">
        <f>IFERROR(__xludf.DUMMYFUNCTION("IFERROR(SUM(filter('Основной эфир'!$AL:$AL, 'Основной эфир'!$B:$B=$A300,'Основной эфир'!$C:$C=$B300,'Основной эфир'!$I:$I=$C300)), 0) "),0.0)</f>
        <v>0</v>
      </c>
      <c r="K300" s="91" t="str">
        <f>IFERROR(__xludf.DUMMYFUNCTION("IFERROR(REGEXREPLACE(unique(filter('Основной эфир'!$A:$A, 'Основной эфир'!$B:$B=$A300,'Основной эфир'!$C:$C=$B300,'Основной эфир'!$I:$I=$C300)), ""\d+"", """"),"""")"),"")</f>
        <v/>
      </c>
      <c r="L300" s="91" t="str">
        <f>IFERROR(__xludf.DUMMYFUNCTION("IFERROR(unique(filter('Основной эфир'!$F:$F, 'Основной эфир'!$B:$B=$A300,'Основной эфир'!$C:$C=$B300,'Основной эфир'!$I:$I=$C300)),"""")"),"")</f>
        <v/>
      </c>
      <c r="M300" s="92" t="str">
        <f t="shared" si="1"/>
        <v/>
      </c>
      <c r="N300" s="93">
        <f>IFERROR(__xludf.DUMMYFUNCTION("IFERROR(SWITCH(lower(join("" "",L300:M300)),""а миллионник"", 62.5,""б миллионник"", 75,""а мск"", 50, ""б мск"", 62.5, ""a остальное"", 70, ""б остальное"", 80)/100,0)"),0.0)</f>
        <v>0</v>
      </c>
      <c r="O300" s="91">
        <f t="shared" si="2"/>
        <v>0</v>
      </c>
      <c r="P300" s="91">
        <f>IFERROR(__xludf.DUMMYFUNCTION("IFERROR(sum(filter('Генеральный баннер'!$O:$O, 'Генеральный баннер'!$B:$B=$A300,'Генеральный баннер'!$C:$C=$B300,'Генеральный баннер'!$I:$I=$C300)), 0) "),0.0)</f>
        <v>0</v>
      </c>
      <c r="Q300" s="91">
        <f>IFERROR(__xludf.DUMMYFUNCTION("IFERROR(sum(filter('Генеральный баннер'!$Q:$Q, 'Генеральный баннер'!$B:$B=$A300,'Генеральный баннер'!$C:$C=$B300,'Генеральный баннер'!$I:$I=$C300)), 0) "),0.0)</f>
        <v>0</v>
      </c>
      <c r="R300" s="91">
        <f>IFERROR(__xludf.DUMMYFUNCTION("IFERROR(AVERAGE(filter('Генеральный баннер'!$AA:$AA, 'Генеральный баннер'!$B:$B=$A300,'Генеральный баннер'!$C:$C=$B300,'Генеральный баннер'!$I:$I=$C300)), 0) "),0.0)</f>
        <v>0</v>
      </c>
      <c r="S300" s="91">
        <f>IFERROR(__xludf.DUMMYFUNCTION("IFERROR(SUM(filter('Генеральный баннер'!$AH:$AH, 'Генеральный баннер'!$B:$B=$A300,'Генеральный баннер'!$C:$C=$B300,'Генеральный баннер'!$I:$I=$C300)), 0) "),0.0)</f>
        <v>0</v>
      </c>
      <c r="T300" s="91" t="str">
        <f>IFERROR(__xludf.DUMMYFUNCTION("IFERROR(REGEXREPLACE(unique(filter('Генеральный баннер'!$A:$A, 'Генеральный баннер'!$B:$B=$A300,'Генеральный баннер'!$C:$C=$B300,'Генеральный баннер'!$I:$I=$C300)), ""\d+"", """"),"""")"),"")</f>
        <v/>
      </c>
      <c r="U300" s="91" t="str">
        <f>IFERROR(__xludf.DUMMYFUNCTION("IFERROR(unique(filter('Генеральный баннер'!$F:$F, 'Генеральный баннер'!$B:$B=$A300,'Генеральный баннер'!$C:$C=$B300,'Генеральный баннер'!$I:$I=$C300)),"""")"),"")</f>
        <v/>
      </c>
      <c r="V300" s="92" t="str">
        <f t="shared" si="3"/>
        <v/>
      </c>
      <c r="W300" s="93">
        <f>IFERROR(__xludf.DUMMYFUNCTION("IFERROR(SWITCH(lower(join("" "",U300:V300)),""а миллионник"", 62.5,""б миллионник"", 75,""а мск"", 50, ""б мск"", 62.5, ""a остальное"", 70, ""б остальное"", 80)/100,0)"),0.0)</f>
        <v>0</v>
      </c>
      <c r="X300" s="91">
        <f t="shared" si="4"/>
        <v>0</v>
      </c>
    </row>
    <row r="301">
      <c r="A301" s="12"/>
      <c r="B301" s="12"/>
      <c r="C301" s="12"/>
      <c r="D301" s="91">
        <f>IFERROR(__xludf.DUMMYFUNCTION("IFERROR(sum(filter('Основной эфир'!$AA:$AA, 'Основной эфир'!$B:$B=$A301,'Основной эфир'!$C:$C=$B301,'Основной эфир'!$I:$I=$C301)), 0) "),0.0)</f>
        <v>0</v>
      </c>
      <c r="E301" s="91">
        <f>IFERROR(__xludf.DUMMYFUNCTION("IFERROR(sum(filter('Основной эфир'!$AC:$AC, 'Основной эфир'!$B:$B=$A301,'Основной эфир'!$C:$C=$B301,'Основной эфир'!$I:$I=$C301)), 0) "),0.0)</f>
        <v>0</v>
      </c>
      <c r="F301" s="91">
        <f>IFERROR(__xludf.DUMMYFUNCTION("IFERROR(sum(filter('Основной эфир'!$O:$O, 'Основной эфир'!$B:$B=$A301,'Основной эфир'!$C:$C=$B301,'Основной эфир'!$I:$I=$C301)), 0) "),0.0)</f>
        <v>0</v>
      </c>
      <c r="G301" s="91">
        <f>IFERROR(__xludf.DUMMYFUNCTION("IFERROR(sum(filter('Основной эфир'!$Q:$Q, 'Основной эфир'!$B:$B=$A301,'Основной эфир'!$C:$C=$B301,'Основной эфир'!$I:$I=$C301)), 0) "),0.0)</f>
        <v>0</v>
      </c>
      <c r="H301" s="91">
        <f>IFERROR(__xludf.DUMMYFUNCTION("IFERROR(AVERAGE(filter('Основной эфир'!$Y:$Y, 'Основной эфир'!$B:$B=$A301,'Основной эфир'!$C:$C=$B301,'Основной эфир'!$I:$I=$C301)), 0) "),0.0)</f>
        <v>0</v>
      </c>
      <c r="I301" s="91">
        <f>IFERROR(__xludf.DUMMYFUNCTION("IFERROR(AVERAGE(filter('Основной эфир'!$AE:$AE, 'Основной эфир'!$B:$B=$A301,'Основной эфир'!$C:$C=$B301,'Основной эфир'!$I:$I=$C301)), 0) "),0.0)</f>
        <v>0</v>
      </c>
      <c r="J301" s="91">
        <f>IFERROR(__xludf.DUMMYFUNCTION("IFERROR(SUM(filter('Основной эфир'!$AL:$AL, 'Основной эфир'!$B:$B=$A301,'Основной эфир'!$C:$C=$B301,'Основной эфир'!$I:$I=$C301)), 0) "),0.0)</f>
        <v>0</v>
      </c>
      <c r="K301" s="91" t="str">
        <f>IFERROR(__xludf.DUMMYFUNCTION("IFERROR(REGEXREPLACE(unique(filter('Основной эфир'!$A:$A, 'Основной эфир'!$B:$B=$A301,'Основной эфир'!$C:$C=$B301,'Основной эфир'!$I:$I=$C301)), ""\d+"", """"),"""")"),"")</f>
        <v/>
      </c>
      <c r="L301" s="91" t="str">
        <f>IFERROR(__xludf.DUMMYFUNCTION("IFERROR(unique(filter('Основной эфир'!$F:$F, 'Основной эфир'!$B:$B=$A301,'Основной эфир'!$C:$C=$B301,'Основной эфир'!$I:$I=$C301)),"""")"),"")</f>
        <v/>
      </c>
      <c r="M301" s="92" t="str">
        <f t="shared" si="1"/>
        <v/>
      </c>
      <c r="N301" s="93">
        <f>IFERROR(__xludf.DUMMYFUNCTION("IFERROR(SWITCH(lower(join("" "",L301:M301)),""а миллионник"", 62.5,""б миллионник"", 75,""а мск"", 50, ""б мск"", 62.5, ""a остальное"", 70, ""б остальное"", 80)/100,0)"),0.0)</f>
        <v>0</v>
      </c>
      <c r="O301" s="91">
        <f t="shared" si="2"/>
        <v>0</v>
      </c>
      <c r="P301" s="91">
        <f>IFERROR(__xludf.DUMMYFUNCTION("IFERROR(sum(filter('Генеральный баннер'!$O:$O, 'Генеральный баннер'!$B:$B=$A301,'Генеральный баннер'!$C:$C=$B301,'Генеральный баннер'!$I:$I=$C301)), 0) "),0.0)</f>
        <v>0</v>
      </c>
      <c r="Q301" s="91">
        <f>IFERROR(__xludf.DUMMYFUNCTION("IFERROR(sum(filter('Генеральный баннер'!$Q:$Q, 'Генеральный баннер'!$B:$B=$A301,'Генеральный баннер'!$C:$C=$B301,'Генеральный баннер'!$I:$I=$C301)), 0) "),0.0)</f>
        <v>0</v>
      </c>
      <c r="R301" s="91">
        <f>IFERROR(__xludf.DUMMYFUNCTION("IFERROR(AVERAGE(filter('Генеральный баннер'!$AA:$AA, 'Генеральный баннер'!$B:$B=$A301,'Генеральный баннер'!$C:$C=$B301,'Генеральный баннер'!$I:$I=$C301)), 0) "),0.0)</f>
        <v>0</v>
      </c>
      <c r="S301" s="91">
        <f>IFERROR(__xludf.DUMMYFUNCTION("IFERROR(SUM(filter('Генеральный баннер'!$AH:$AH, 'Генеральный баннер'!$B:$B=$A301,'Генеральный баннер'!$C:$C=$B301,'Генеральный баннер'!$I:$I=$C301)), 0) "),0.0)</f>
        <v>0</v>
      </c>
      <c r="T301" s="91" t="str">
        <f>IFERROR(__xludf.DUMMYFUNCTION("IFERROR(REGEXREPLACE(unique(filter('Генеральный баннер'!$A:$A, 'Генеральный баннер'!$B:$B=$A301,'Генеральный баннер'!$C:$C=$B301,'Генеральный баннер'!$I:$I=$C301)), ""\d+"", """"),"""")"),"")</f>
        <v/>
      </c>
      <c r="U301" s="91" t="str">
        <f>IFERROR(__xludf.DUMMYFUNCTION("IFERROR(unique(filter('Генеральный баннер'!$F:$F, 'Генеральный баннер'!$B:$B=$A301,'Генеральный баннер'!$C:$C=$B301,'Генеральный баннер'!$I:$I=$C301)),"""")"),"")</f>
        <v/>
      </c>
      <c r="V301" s="92" t="str">
        <f t="shared" si="3"/>
        <v/>
      </c>
      <c r="W301" s="93">
        <f>IFERROR(__xludf.DUMMYFUNCTION("IFERROR(SWITCH(lower(join("" "",U301:V301)),""а миллионник"", 62.5,""б миллионник"", 75,""а мск"", 50, ""б мск"", 62.5, ""a остальное"", 70, ""б остальное"", 80)/100,0)"),0.0)</f>
        <v>0</v>
      </c>
      <c r="X301" s="91">
        <f t="shared" si="4"/>
        <v>0</v>
      </c>
    </row>
    <row r="302">
      <c r="A302" s="12"/>
      <c r="B302" s="12"/>
      <c r="C302" s="12"/>
      <c r="D302" s="91">
        <f>IFERROR(__xludf.DUMMYFUNCTION("IFERROR(sum(filter('Основной эфир'!$AA:$AA, 'Основной эфир'!$B:$B=$A302,'Основной эфир'!$C:$C=$B302,'Основной эфир'!$I:$I=$C302)), 0) "),0.0)</f>
        <v>0</v>
      </c>
      <c r="E302" s="91">
        <f>IFERROR(__xludf.DUMMYFUNCTION("IFERROR(sum(filter('Основной эфир'!$AC:$AC, 'Основной эфир'!$B:$B=$A302,'Основной эфир'!$C:$C=$B302,'Основной эфир'!$I:$I=$C302)), 0) "),0.0)</f>
        <v>0</v>
      </c>
      <c r="F302" s="91">
        <f>IFERROR(__xludf.DUMMYFUNCTION("IFERROR(sum(filter('Основной эфир'!$O:$O, 'Основной эфир'!$B:$B=$A302,'Основной эфир'!$C:$C=$B302,'Основной эфир'!$I:$I=$C302)), 0) "),0.0)</f>
        <v>0</v>
      </c>
      <c r="G302" s="91">
        <f>IFERROR(__xludf.DUMMYFUNCTION("IFERROR(sum(filter('Основной эфир'!$Q:$Q, 'Основной эфир'!$B:$B=$A302,'Основной эфир'!$C:$C=$B302,'Основной эфир'!$I:$I=$C302)), 0) "),0.0)</f>
        <v>0</v>
      </c>
      <c r="H302" s="91">
        <f>IFERROR(__xludf.DUMMYFUNCTION("IFERROR(AVERAGE(filter('Основной эфир'!$Y:$Y, 'Основной эфир'!$B:$B=$A302,'Основной эфир'!$C:$C=$B302,'Основной эфир'!$I:$I=$C302)), 0) "),0.0)</f>
        <v>0</v>
      </c>
      <c r="I302" s="91">
        <f>IFERROR(__xludf.DUMMYFUNCTION("IFERROR(AVERAGE(filter('Основной эфир'!$AE:$AE, 'Основной эфир'!$B:$B=$A302,'Основной эфир'!$C:$C=$B302,'Основной эфир'!$I:$I=$C302)), 0) "),0.0)</f>
        <v>0</v>
      </c>
      <c r="J302" s="91">
        <f>IFERROR(__xludf.DUMMYFUNCTION("IFERROR(SUM(filter('Основной эфир'!$AL:$AL, 'Основной эфир'!$B:$B=$A302,'Основной эфир'!$C:$C=$B302,'Основной эфир'!$I:$I=$C302)), 0) "),0.0)</f>
        <v>0</v>
      </c>
      <c r="K302" s="91" t="str">
        <f>IFERROR(__xludf.DUMMYFUNCTION("IFERROR(REGEXREPLACE(unique(filter('Основной эфир'!$A:$A, 'Основной эфир'!$B:$B=$A302,'Основной эфир'!$C:$C=$B302,'Основной эфир'!$I:$I=$C302)), ""\d+"", """"),"""")"),"")</f>
        <v/>
      </c>
      <c r="L302" s="91" t="str">
        <f>IFERROR(__xludf.DUMMYFUNCTION("IFERROR(unique(filter('Основной эфир'!$F:$F, 'Основной эфир'!$B:$B=$A302,'Основной эфир'!$C:$C=$B302,'Основной эфир'!$I:$I=$C302)),"""")"),"")</f>
        <v/>
      </c>
      <c r="M302" s="92" t="str">
        <f t="shared" si="1"/>
        <v/>
      </c>
      <c r="N302" s="93">
        <f>IFERROR(__xludf.DUMMYFUNCTION("IFERROR(SWITCH(lower(join("" "",L302:M302)),""а миллионник"", 62.5,""б миллионник"", 75,""а мск"", 50, ""б мск"", 62.5, ""a остальное"", 70, ""б остальное"", 80)/100,0)"),0.0)</f>
        <v>0</v>
      </c>
      <c r="O302" s="91">
        <f t="shared" si="2"/>
        <v>0</v>
      </c>
      <c r="P302" s="91">
        <f>IFERROR(__xludf.DUMMYFUNCTION("IFERROR(sum(filter('Генеральный баннер'!$O:$O, 'Генеральный баннер'!$B:$B=$A302,'Генеральный баннер'!$C:$C=$B302,'Генеральный баннер'!$I:$I=$C302)), 0) "),0.0)</f>
        <v>0</v>
      </c>
      <c r="Q302" s="91">
        <f>IFERROR(__xludf.DUMMYFUNCTION("IFERROR(sum(filter('Генеральный баннер'!$Q:$Q, 'Генеральный баннер'!$B:$B=$A302,'Генеральный баннер'!$C:$C=$B302,'Генеральный баннер'!$I:$I=$C302)), 0) "),0.0)</f>
        <v>0</v>
      </c>
      <c r="R302" s="91">
        <f>IFERROR(__xludf.DUMMYFUNCTION("IFERROR(AVERAGE(filter('Генеральный баннер'!$AA:$AA, 'Генеральный баннер'!$B:$B=$A302,'Генеральный баннер'!$C:$C=$B302,'Генеральный баннер'!$I:$I=$C302)), 0) "),0.0)</f>
        <v>0</v>
      </c>
      <c r="S302" s="91">
        <f>IFERROR(__xludf.DUMMYFUNCTION("IFERROR(SUM(filter('Генеральный баннер'!$AH:$AH, 'Генеральный баннер'!$B:$B=$A302,'Генеральный баннер'!$C:$C=$B302,'Генеральный баннер'!$I:$I=$C302)), 0) "),0.0)</f>
        <v>0</v>
      </c>
      <c r="T302" s="91" t="str">
        <f>IFERROR(__xludf.DUMMYFUNCTION("IFERROR(REGEXREPLACE(unique(filter('Генеральный баннер'!$A:$A, 'Генеральный баннер'!$B:$B=$A302,'Генеральный баннер'!$C:$C=$B302,'Генеральный баннер'!$I:$I=$C302)), ""\d+"", """"),"""")"),"")</f>
        <v/>
      </c>
      <c r="U302" s="91" t="str">
        <f>IFERROR(__xludf.DUMMYFUNCTION("IFERROR(unique(filter('Генеральный баннер'!$F:$F, 'Генеральный баннер'!$B:$B=$A302,'Генеральный баннер'!$C:$C=$B302,'Генеральный баннер'!$I:$I=$C302)),"""")"),"")</f>
        <v/>
      </c>
      <c r="V302" s="92" t="str">
        <f t="shared" si="3"/>
        <v/>
      </c>
      <c r="W302" s="93">
        <f>IFERROR(__xludf.DUMMYFUNCTION("IFERROR(SWITCH(lower(join("" "",U302:V302)),""а миллионник"", 62.5,""б миллионник"", 75,""а мск"", 50, ""б мск"", 62.5, ""a остальное"", 70, ""б остальное"", 80)/100,0)"),0.0)</f>
        <v>0</v>
      </c>
      <c r="X302" s="91">
        <f t="shared" si="4"/>
        <v>0</v>
      </c>
    </row>
    <row r="303">
      <c r="A303" s="12"/>
      <c r="B303" s="12"/>
      <c r="C303" s="12"/>
      <c r="D303" s="91">
        <f>IFERROR(__xludf.DUMMYFUNCTION("IFERROR(sum(filter('Основной эфир'!$AA:$AA, 'Основной эфир'!$B:$B=$A303,'Основной эфир'!$C:$C=$B303,'Основной эфир'!$I:$I=$C303)), 0) "),0.0)</f>
        <v>0</v>
      </c>
      <c r="E303" s="91">
        <f>IFERROR(__xludf.DUMMYFUNCTION("IFERROR(sum(filter('Основной эфир'!$AC:$AC, 'Основной эфир'!$B:$B=$A303,'Основной эфир'!$C:$C=$B303,'Основной эфир'!$I:$I=$C303)), 0) "),0.0)</f>
        <v>0</v>
      </c>
      <c r="F303" s="91">
        <f>IFERROR(__xludf.DUMMYFUNCTION("IFERROR(sum(filter('Основной эфир'!$O:$O, 'Основной эфир'!$B:$B=$A303,'Основной эфир'!$C:$C=$B303,'Основной эфир'!$I:$I=$C303)), 0) "),0.0)</f>
        <v>0</v>
      </c>
      <c r="G303" s="91">
        <f>IFERROR(__xludf.DUMMYFUNCTION("IFERROR(sum(filter('Основной эфир'!$Q:$Q, 'Основной эфир'!$B:$B=$A303,'Основной эфир'!$C:$C=$B303,'Основной эфир'!$I:$I=$C303)), 0) "),0.0)</f>
        <v>0</v>
      </c>
      <c r="H303" s="91">
        <f>IFERROR(__xludf.DUMMYFUNCTION("IFERROR(AVERAGE(filter('Основной эфир'!$Y:$Y, 'Основной эфир'!$B:$B=$A303,'Основной эфир'!$C:$C=$B303,'Основной эфир'!$I:$I=$C303)), 0) "),0.0)</f>
        <v>0</v>
      </c>
      <c r="I303" s="91">
        <f>IFERROR(__xludf.DUMMYFUNCTION("IFERROR(AVERAGE(filter('Основной эфир'!$AE:$AE, 'Основной эфир'!$B:$B=$A303,'Основной эфир'!$C:$C=$B303,'Основной эфир'!$I:$I=$C303)), 0) "),0.0)</f>
        <v>0</v>
      </c>
      <c r="J303" s="91">
        <f>IFERROR(__xludf.DUMMYFUNCTION("IFERROR(SUM(filter('Основной эфир'!$AL:$AL, 'Основной эфир'!$B:$B=$A303,'Основной эфир'!$C:$C=$B303,'Основной эфир'!$I:$I=$C303)), 0) "),0.0)</f>
        <v>0</v>
      </c>
      <c r="K303" s="91" t="str">
        <f>IFERROR(__xludf.DUMMYFUNCTION("IFERROR(REGEXREPLACE(unique(filter('Основной эфир'!$A:$A, 'Основной эфир'!$B:$B=$A303,'Основной эфир'!$C:$C=$B303,'Основной эфир'!$I:$I=$C303)), ""\d+"", """"),"""")"),"")</f>
        <v/>
      </c>
      <c r="L303" s="91" t="str">
        <f>IFERROR(__xludf.DUMMYFUNCTION("IFERROR(unique(filter('Основной эфир'!$F:$F, 'Основной эфир'!$B:$B=$A303,'Основной эфир'!$C:$C=$B303,'Основной эфир'!$I:$I=$C303)),"""")"),"")</f>
        <v/>
      </c>
      <c r="M303" s="92" t="str">
        <f t="shared" si="1"/>
        <v/>
      </c>
      <c r="N303" s="93">
        <f>IFERROR(__xludf.DUMMYFUNCTION("IFERROR(SWITCH(lower(join("" "",L303:M303)),""а миллионник"", 62.5,""б миллионник"", 75,""а мск"", 50, ""б мск"", 62.5, ""a остальное"", 70, ""б остальное"", 80)/100,0)"),0.0)</f>
        <v>0</v>
      </c>
      <c r="O303" s="91">
        <f t="shared" si="2"/>
        <v>0</v>
      </c>
      <c r="P303" s="91">
        <f>IFERROR(__xludf.DUMMYFUNCTION("IFERROR(sum(filter('Генеральный баннер'!$O:$O, 'Генеральный баннер'!$B:$B=$A303,'Генеральный баннер'!$C:$C=$B303,'Генеральный баннер'!$I:$I=$C303)), 0) "),0.0)</f>
        <v>0</v>
      </c>
      <c r="Q303" s="91">
        <f>IFERROR(__xludf.DUMMYFUNCTION("IFERROR(sum(filter('Генеральный баннер'!$Q:$Q, 'Генеральный баннер'!$B:$B=$A303,'Генеральный баннер'!$C:$C=$B303,'Генеральный баннер'!$I:$I=$C303)), 0) "),0.0)</f>
        <v>0</v>
      </c>
      <c r="R303" s="91">
        <f>IFERROR(__xludf.DUMMYFUNCTION("IFERROR(AVERAGE(filter('Генеральный баннер'!$AA:$AA, 'Генеральный баннер'!$B:$B=$A303,'Генеральный баннер'!$C:$C=$B303,'Генеральный баннер'!$I:$I=$C303)), 0) "),0.0)</f>
        <v>0</v>
      </c>
      <c r="S303" s="91">
        <f>IFERROR(__xludf.DUMMYFUNCTION("IFERROR(SUM(filter('Генеральный баннер'!$AH:$AH, 'Генеральный баннер'!$B:$B=$A303,'Генеральный баннер'!$C:$C=$B303,'Генеральный баннер'!$I:$I=$C303)), 0) "),0.0)</f>
        <v>0</v>
      </c>
      <c r="T303" s="91" t="str">
        <f>IFERROR(__xludf.DUMMYFUNCTION("IFERROR(REGEXREPLACE(unique(filter('Генеральный баннер'!$A:$A, 'Генеральный баннер'!$B:$B=$A303,'Генеральный баннер'!$C:$C=$B303,'Генеральный баннер'!$I:$I=$C303)), ""\d+"", """"),"""")"),"")</f>
        <v/>
      </c>
      <c r="U303" s="91" t="str">
        <f>IFERROR(__xludf.DUMMYFUNCTION("IFERROR(unique(filter('Генеральный баннер'!$F:$F, 'Генеральный баннер'!$B:$B=$A303,'Генеральный баннер'!$C:$C=$B303,'Генеральный баннер'!$I:$I=$C303)),"""")"),"")</f>
        <v/>
      </c>
      <c r="V303" s="92" t="str">
        <f t="shared" si="3"/>
        <v/>
      </c>
      <c r="W303" s="93">
        <f>IFERROR(__xludf.DUMMYFUNCTION("IFERROR(SWITCH(lower(join("" "",U303:V303)),""а миллионник"", 62.5,""б миллионник"", 75,""а мск"", 50, ""б мск"", 62.5, ""a остальное"", 70, ""б остальное"", 80)/100,0)"),0.0)</f>
        <v>0</v>
      </c>
      <c r="X303" s="91">
        <f t="shared" si="4"/>
        <v>0</v>
      </c>
    </row>
    <row r="304">
      <c r="A304" s="12"/>
      <c r="B304" s="12"/>
      <c r="C304" s="12"/>
      <c r="D304" s="91">
        <f>IFERROR(__xludf.DUMMYFUNCTION("IFERROR(sum(filter('Основной эфир'!$AA:$AA, 'Основной эфир'!$B:$B=$A304,'Основной эфир'!$C:$C=$B304,'Основной эфир'!$I:$I=$C304)), 0) "),0.0)</f>
        <v>0</v>
      </c>
      <c r="E304" s="91">
        <f>IFERROR(__xludf.DUMMYFUNCTION("IFERROR(sum(filter('Основной эфир'!$AC:$AC, 'Основной эфир'!$B:$B=$A304,'Основной эфир'!$C:$C=$B304,'Основной эфир'!$I:$I=$C304)), 0) "),0.0)</f>
        <v>0</v>
      </c>
      <c r="F304" s="91">
        <f>IFERROR(__xludf.DUMMYFUNCTION("IFERROR(sum(filter('Основной эфир'!$O:$O, 'Основной эфир'!$B:$B=$A304,'Основной эфир'!$C:$C=$B304,'Основной эфир'!$I:$I=$C304)), 0) "),0.0)</f>
        <v>0</v>
      </c>
      <c r="G304" s="91">
        <f>IFERROR(__xludf.DUMMYFUNCTION("IFERROR(sum(filter('Основной эфир'!$Q:$Q, 'Основной эфир'!$B:$B=$A304,'Основной эфир'!$C:$C=$B304,'Основной эфир'!$I:$I=$C304)), 0) "),0.0)</f>
        <v>0</v>
      </c>
      <c r="H304" s="91">
        <f>IFERROR(__xludf.DUMMYFUNCTION("IFERROR(AVERAGE(filter('Основной эфир'!$Y:$Y, 'Основной эфир'!$B:$B=$A304,'Основной эфир'!$C:$C=$B304,'Основной эфир'!$I:$I=$C304)), 0) "),0.0)</f>
        <v>0</v>
      </c>
      <c r="I304" s="91">
        <f>IFERROR(__xludf.DUMMYFUNCTION("IFERROR(AVERAGE(filter('Основной эфир'!$AE:$AE, 'Основной эфир'!$B:$B=$A304,'Основной эфир'!$C:$C=$B304,'Основной эфир'!$I:$I=$C304)), 0) "),0.0)</f>
        <v>0</v>
      </c>
      <c r="J304" s="91">
        <f>IFERROR(__xludf.DUMMYFUNCTION("IFERROR(SUM(filter('Основной эфир'!$AL:$AL, 'Основной эфир'!$B:$B=$A304,'Основной эфир'!$C:$C=$B304,'Основной эфир'!$I:$I=$C304)), 0) "),0.0)</f>
        <v>0</v>
      </c>
      <c r="K304" s="91" t="str">
        <f>IFERROR(__xludf.DUMMYFUNCTION("IFERROR(REGEXREPLACE(unique(filter('Основной эфир'!$A:$A, 'Основной эфир'!$B:$B=$A304,'Основной эфир'!$C:$C=$B304,'Основной эфир'!$I:$I=$C304)), ""\d+"", """"),"""")"),"")</f>
        <v/>
      </c>
      <c r="L304" s="91" t="str">
        <f>IFERROR(__xludf.DUMMYFUNCTION("IFERROR(unique(filter('Основной эфир'!$F:$F, 'Основной эфир'!$B:$B=$A304,'Основной эфир'!$C:$C=$B304,'Основной эфир'!$I:$I=$C304)),"""")"),"")</f>
        <v/>
      </c>
      <c r="M304" s="92" t="str">
        <f t="shared" si="1"/>
        <v/>
      </c>
      <c r="N304" s="93">
        <f>IFERROR(__xludf.DUMMYFUNCTION("IFERROR(SWITCH(lower(join("" "",L304:M304)),""а миллионник"", 62.5,""б миллионник"", 75,""а мск"", 50, ""б мск"", 62.5, ""a остальное"", 70, ""б остальное"", 80)/100,0)"),0.0)</f>
        <v>0</v>
      </c>
      <c r="O304" s="91">
        <f t="shared" si="2"/>
        <v>0</v>
      </c>
      <c r="P304" s="91">
        <f>IFERROR(__xludf.DUMMYFUNCTION("IFERROR(sum(filter('Генеральный баннер'!$O:$O, 'Генеральный баннер'!$B:$B=$A304,'Генеральный баннер'!$C:$C=$B304,'Генеральный баннер'!$I:$I=$C304)), 0) "),0.0)</f>
        <v>0</v>
      </c>
      <c r="Q304" s="91">
        <f>IFERROR(__xludf.DUMMYFUNCTION("IFERROR(sum(filter('Генеральный баннер'!$Q:$Q, 'Генеральный баннер'!$B:$B=$A304,'Генеральный баннер'!$C:$C=$B304,'Генеральный баннер'!$I:$I=$C304)), 0) "),0.0)</f>
        <v>0</v>
      </c>
      <c r="R304" s="91">
        <f>IFERROR(__xludf.DUMMYFUNCTION("IFERROR(AVERAGE(filter('Генеральный баннер'!$AA:$AA, 'Генеральный баннер'!$B:$B=$A304,'Генеральный баннер'!$C:$C=$B304,'Генеральный баннер'!$I:$I=$C304)), 0) "),0.0)</f>
        <v>0</v>
      </c>
      <c r="S304" s="91">
        <f>IFERROR(__xludf.DUMMYFUNCTION("IFERROR(SUM(filter('Генеральный баннер'!$AH:$AH, 'Генеральный баннер'!$B:$B=$A304,'Генеральный баннер'!$C:$C=$B304,'Генеральный баннер'!$I:$I=$C304)), 0) "),0.0)</f>
        <v>0</v>
      </c>
      <c r="T304" s="91" t="str">
        <f>IFERROR(__xludf.DUMMYFUNCTION("IFERROR(REGEXREPLACE(unique(filter('Генеральный баннер'!$A:$A, 'Генеральный баннер'!$B:$B=$A304,'Генеральный баннер'!$C:$C=$B304,'Генеральный баннер'!$I:$I=$C304)), ""\d+"", """"),"""")"),"")</f>
        <v/>
      </c>
      <c r="U304" s="91" t="str">
        <f>IFERROR(__xludf.DUMMYFUNCTION("IFERROR(unique(filter('Генеральный баннер'!$F:$F, 'Генеральный баннер'!$B:$B=$A304,'Генеральный баннер'!$C:$C=$B304,'Генеральный баннер'!$I:$I=$C304)),"""")"),"")</f>
        <v/>
      </c>
      <c r="V304" s="92" t="str">
        <f t="shared" si="3"/>
        <v/>
      </c>
      <c r="W304" s="93">
        <f>IFERROR(__xludf.DUMMYFUNCTION("IFERROR(SWITCH(lower(join("" "",U304:V304)),""а миллионник"", 62.5,""б миллионник"", 75,""а мск"", 50, ""б мск"", 62.5, ""a остальное"", 70, ""б остальное"", 80)/100,0)"),0.0)</f>
        <v>0</v>
      </c>
      <c r="X304" s="91">
        <f t="shared" si="4"/>
        <v>0</v>
      </c>
    </row>
    <row r="305">
      <c r="A305" s="12"/>
      <c r="B305" s="12"/>
      <c r="C305" s="12"/>
      <c r="D305" s="91">
        <f>IFERROR(__xludf.DUMMYFUNCTION("IFERROR(sum(filter('Основной эфир'!$AA:$AA, 'Основной эфир'!$B:$B=$A305,'Основной эфир'!$C:$C=$B305,'Основной эфир'!$I:$I=$C305)), 0) "),0.0)</f>
        <v>0</v>
      </c>
      <c r="E305" s="91">
        <f>IFERROR(__xludf.DUMMYFUNCTION("IFERROR(sum(filter('Основной эфир'!$AC:$AC, 'Основной эфир'!$B:$B=$A305,'Основной эфир'!$C:$C=$B305,'Основной эфир'!$I:$I=$C305)), 0) "),0.0)</f>
        <v>0</v>
      </c>
      <c r="F305" s="91">
        <f>IFERROR(__xludf.DUMMYFUNCTION("IFERROR(sum(filter('Основной эфир'!$O:$O, 'Основной эфир'!$B:$B=$A305,'Основной эфир'!$C:$C=$B305,'Основной эфир'!$I:$I=$C305)), 0) "),0.0)</f>
        <v>0</v>
      </c>
      <c r="G305" s="91">
        <f>IFERROR(__xludf.DUMMYFUNCTION("IFERROR(sum(filter('Основной эфир'!$Q:$Q, 'Основной эфир'!$B:$B=$A305,'Основной эфир'!$C:$C=$B305,'Основной эфир'!$I:$I=$C305)), 0) "),0.0)</f>
        <v>0</v>
      </c>
      <c r="H305" s="91">
        <f>IFERROR(__xludf.DUMMYFUNCTION("IFERROR(AVERAGE(filter('Основной эфир'!$Y:$Y, 'Основной эфир'!$B:$B=$A305,'Основной эфир'!$C:$C=$B305,'Основной эфир'!$I:$I=$C305)), 0) "),0.0)</f>
        <v>0</v>
      </c>
      <c r="I305" s="91">
        <f>IFERROR(__xludf.DUMMYFUNCTION("IFERROR(AVERAGE(filter('Основной эфир'!$AE:$AE, 'Основной эфир'!$B:$B=$A305,'Основной эфир'!$C:$C=$B305,'Основной эфир'!$I:$I=$C305)), 0) "),0.0)</f>
        <v>0</v>
      </c>
      <c r="J305" s="91">
        <f>IFERROR(__xludf.DUMMYFUNCTION("IFERROR(SUM(filter('Основной эфир'!$AL:$AL, 'Основной эфир'!$B:$B=$A305,'Основной эфир'!$C:$C=$B305,'Основной эфир'!$I:$I=$C305)), 0) "),0.0)</f>
        <v>0</v>
      </c>
      <c r="K305" s="91" t="str">
        <f>IFERROR(__xludf.DUMMYFUNCTION("IFERROR(REGEXREPLACE(unique(filter('Основной эфир'!$A:$A, 'Основной эфир'!$B:$B=$A305,'Основной эфир'!$C:$C=$B305,'Основной эфир'!$I:$I=$C305)), ""\d+"", """"),"""")"),"")</f>
        <v/>
      </c>
      <c r="L305" s="91" t="str">
        <f>IFERROR(__xludf.DUMMYFUNCTION("IFERROR(unique(filter('Основной эфир'!$F:$F, 'Основной эфир'!$B:$B=$A305,'Основной эфир'!$C:$C=$B305,'Основной эфир'!$I:$I=$C305)),"""")"),"")</f>
        <v/>
      </c>
      <c r="M305" s="92" t="str">
        <f t="shared" si="1"/>
        <v/>
      </c>
      <c r="N305" s="93">
        <f>IFERROR(__xludf.DUMMYFUNCTION("IFERROR(SWITCH(lower(join("" "",L305:M305)),""а миллионник"", 62.5,""б миллионник"", 75,""а мск"", 50, ""б мск"", 62.5, ""a остальное"", 70, ""б остальное"", 80)/100,0)"),0.0)</f>
        <v>0</v>
      </c>
      <c r="O305" s="91">
        <f t="shared" si="2"/>
        <v>0</v>
      </c>
      <c r="P305" s="91">
        <f>IFERROR(__xludf.DUMMYFUNCTION("IFERROR(sum(filter('Генеральный баннер'!$O:$O, 'Генеральный баннер'!$B:$B=$A305,'Генеральный баннер'!$C:$C=$B305,'Генеральный баннер'!$I:$I=$C305)), 0) "),0.0)</f>
        <v>0</v>
      </c>
      <c r="Q305" s="91">
        <f>IFERROR(__xludf.DUMMYFUNCTION("IFERROR(sum(filter('Генеральный баннер'!$Q:$Q, 'Генеральный баннер'!$B:$B=$A305,'Генеральный баннер'!$C:$C=$B305,'Генеральный баннер'!$I:$I=$C305)), 0) "),0.0)</f>
        <v>0</v>
      </c>
      <c r="R305" s="91">
        <f>IFERROR(__xludf.DUMMYFUNCTION("IFERROR(AVERAGE(filter('Генеральный баннер'!$AA:$AA, 'Генеральный баннер'!$B:$B=$A305,'Генеральный баннер'!$C:$C=$B305,'Генеральный баннер'!$I:$I=$C305)), 0) "),0.0)</f>
        <v>0</v>
      </c>
      <c r="S305" s="91">
        <f>IFERROR(__xludf.DUMMYFUNCTION("IFERROR(SUM(filter('Генеральный баннер'!$AH:$AH, 'Генеральный баннер'!$B:$B=$A305,'Генеральный баннер'!$C:$C=$B305,'Генеральный баннер'!$I:$I=$C305)), 0) "),0.0)</f>
        <v>0</v>
      </c>
      <c r="T305" s="91" t="str">
        <f>IFERROR(__xludf.DUMMYFUNCTION("IFERROR(REGEXREPLACE(unique(filter('Генеральный баннер'!$A:$A, 'Генеральный баннер'!$B:$B=$A305,'Генеральный баннер'!$C:$C=$B305,'Генеральный баннер'!$I:$I=$C305)), ""\d+"", """"),"""")"),"")</f>
        <v/>
      </c>
      <c r="U305" s="91" t="str">
        <f>IFERROR(__xludf.DUMMYFUNCTION("IFERROR(unique(filter('Генеральный баннер'!$F:$F, 'Генеральный баннер'!$B:$B=$A305,'Генеральный баннер'!$C:$C=$B305,'Генеральный баннер'!$I:$I=$C305)),"""")"),"")</f>
        <v/>
      </c>
      <c r="V305" s="92" t="str">
        <f t="shared" si="3"/>
        <v/>
      </c>
      <c r="W305" s="93">
        <f>IFERROR(__xludf.DUMMYFUNCTION("IFERROR(SWITCH(lower(join("" "",U305:V305)),""а миллионник"", 62.5,""б миллионник"", 75,""а мск"", 50, ""б мск"", 62.5, ""a остальное"", 70, ""б остальное"", 80)/100,0)"),0.0)</f>
        <v>0</v>
      </c>
      <c r="X305" s="91">
        <f t="shared" si="4"/>
        <v>0</v>
      </c>
    </row>
    <row r="306">
      <c r="A306" s="12"/>
      <c r="B306" s="12"/>
      <c r="C306" s="12"/>
      <c r="D306" s="91">
        <f>IFERROR(__xludf.DUMMYFUNCTION("IFERROR(sum(filter('Основной эфир'!$AA:$AA, 'Основной эфир'!$B:$B=$A306,'Основной эфир'!$C:$C=$B306,'Основной эфир'!$I:$I=$C306)), 0) "),0.0)</f>
        <v>0</v>
      </c>
      <c r="E306" s="91">
        <f>IFERROR(__xludf.DUMMYFUNCTION("IFERROR(sum(filter('Основной эфир'!$AC:$AC, 'Основной эфир'!$B:$B=$A306,'Основной эфир'!$C:$C=$B306,'Основной эфир'!$I:$I=$C306)), 0) "),0.0)</f>
        <v>0</v>
      </c>
      <c r="F306" s="91">
        <f>IFERROR(__xludf.DUMMYFUNCTION("IFERROR(sum(filter('Основной эфир'!$O:$O, 'Основной эфир'!$B:$B=$A306,'Основной эфир'!$C:$C=$B306,'Основной эфир'!$I:$I=$C306)), 0) "),0.0)</f>
        <v>0</v>
      </c>
      <c r="G306" s="91">
        <f>IFERROR(__xludf.DUMMYFUNCTION("IFERROR(sum(filter('Основной эфир'!$Q:$Q, 'Основной эфир'!$B:$B=$A306,'Основной эфир'!$C:$C=$B306,'Основной эфир'!$I:$I=$C306)), 0) "),0.0)</f>
        <v>0</v>
      </c>
      <c r="H306" s="91">
        <f>IFERROR(__xludf.DUMMYFUNCTION("IFERROR(AVERAGE(filter('Основной эфир'!$Y:$Y, 'Основной эфир'!$B:$B=$A306,'Основной эфир'!$C:$C=$B306,'Основной эфир'!$I:$I=$C306)), 0) "),0.0)</f>
        <v>0</v>
      </c>
      <c r="I306" s="91">
        <f>IFERROR(__xludf.DUMMYFUNCTION("IFERROR(AVERAGE(filter('Основной эфир'!$AE:$AE, 'Основной эфир'!$B:$B=$A306,'Основной эфир'!$C:$C=$B306,'Основной эфир'!$I:$I=$C306)), 0) "),0.0)</f>
        <v>0</v>
      </c>
      <c r="J306" s="91">
        <f>IFERROR(__xludf.DUMMYFUNCTION("IFERROR(SUM(filter('Основной эфир'!$AL:$AL, 'Основной эфир'!$B:$B=$A306,'Основной эфир'!$C:$C=$B306,'Основной эфир'!$I:$I=$C306)), 0) "),0.0)</f>
        <v>0</v>
      </c>
      <c r="K306" s="91" t="str">
        <f>IFERROR(__xludf.DUMMYFUNCTION("IFERROR(REGEXREPLACE(unique(filter('Основной эфир'!$A:$A, 'Основной эфир'!$B:$B=$A306,'Основной эфир'!$C:$C=$B306,'Основной эфир'!$I:$I=$C306)), ""\d+"", """"),"""")"),"")</f>
        <v/>
      </c>
      <c r="L306" s="91" t="str">
        <f>IFERROR(__xludf.DUMMYFUNCTION("IFERROR(unique(filter('Основной эфир'!$F:$F, 'Основной эфир'!$B:$B=$A306,'Основной эфир'!$C:$C=$B306,'Основной эфир'!$I:$I=$C306)),"""")"),"")</f>
        <v/>
      </c>
      <c r="M306" s="92" t="str">
        <f t="shared" si="1"/>
        <v/>
      </c>
      <c r="N306" s="93">
        <f>IFERROR(__xludf.DUMMYFUNCTION("IFERROR(SWITCH(lower(join("" "",L306:M306)),""а миллионник"", 62.5,""б миллионник"", 75,""а мск"", 50, ""б мск"", 62.5, ""a остальное"", 70, ""б остальное"", 80)/100,0)"),0.0)</f>
        <v>0</v>
      </c>
      <c r="O306" s="91">
        <f t="shared" si="2"/>
        <v>0</v>
      </c>
      <c r="P306" s="91">
        <f>IFERROR(__xludf.DUMMYFUNCTION("IFERROR(sum(filter('Генеральный баннер'!$O:$O, 'Генеральный баннер'!$B:$B=$A306,'Генеральный баннер'!$C:$C=$B306,'Генеральный баннер'!$I:$I=$C306)), 0) "),0.0)</f>
        <v>0</v>
      </c>
      <c r="Q306" s="91">
        <f>IFERROR(__xludf.DUMMYFUNCTION("IFERROR(sum(filter('Генеральный баннер'!$Q:$Q, 'Генеральный баннер'!$B:$B=$A306,'Генеральный баннер'!$C:$C=$B306,'Генеральный баннер'!$I:$I=$C306)), 0) "),0.0)</f>
        <v>0</v>
      </c>
      <c r="R306" s="91">
        <f>IFERROR(__xludf.DUMMYFUNCTION("IFERROR(AVERAGE(filter('Генеральный баннер'!$AA:$AA, 'Генеральный баннер'!$B:$B=$A306,'Генеральный баннер'!$C:$C=$B306,'Генеральный баннер'!$I:$I=$C306)), 0) "),0.0)</f>
        <v>0</v>
      </c>
      <c r="S306" s="91">
        <f>IFERROR(__xludf.DUMMYFUNCTION("IFERROR(SUM(filter('Генеральный баннер'!$AH:$AH, 'Генеральный баннер'!$B:$B=$A306,'Генеральный баннер'!$C:$C=$B306,'Генеральный баннер'!$I:$I=$C306)), 0) "),0.0)</f>
        <v>0</v>
      </c>
      <c r="T306" s="91" t="str">
        <f>IFERROR(__xludf.DUMMYFUNCTION("IFERROR(REGEXREPLACE(unique(filter('Генеральный баннер'!$A:$A, 'Генеральный баннер'!$B:$B=$A306,'Генеральный баннер'!$C:$C=$B306,'Генеральный баннер'!$I:$I=$C306)), ""\d+"", """"),"""")"),"")</f>
        <v/>
      </c>
      <c r="U306" s="91" t="str">
        <f>IFERROR(__xludf.DUMMYFUNCTION("IFERROR(unique(filter('Генеральный баннер'!$F:$F, 'Генеральный баннер'!$B:$B=$A306,'Генеральный баннер'!$C:$C=$B306,'Генеральный баннер'!$I:$I=$C306)),"""")"),"")</f>
        <v/>
      </c>
      <c r="V306" s="92" t="str">
        <f t="shared" si="3"/>
        <v/>
      </c>
      <c r="W306" s="93">
        <f>IFERROR(__xludf.DUMMYFUNCTION("IFERROR(SWITCH(lower(join("" "",U306:V306)),""а миллионник"", 62.5,""б миллионник"", 75,""а мск"", 50, ""б мск"", 62.5, ""a остальное"", 70, ""б остальное"", 80)/100,0)"),0.0)</f>
        <v>0</v>
      </c>
      <c r="X306" s="91">
        <f t="shared" si="4"/>
        <v>0</v>
      </c>
    </row>
    <row r="307">
      <c r="A307" s="12"/>
      <c r="B307" s="12"/>
      <c r="C307" s="12"/>
      <c r="D307" s="91">
        <f>IFERROR(__xludf.DUMMYFUNCTION("IFERROR(sum(filter('Основной эфир'!$AA:$AA, 'Основной эфир'!$B:$B=$A307,'Основной эфир'!$C:$C=$B307,'Основной эфир'!$I:$I=$C307)), 0) "),0.0)</f>
        <v>0</v>
      </c>
      <c r="E307" s="91">
        <f>IFERROR(__xludf.DUMMYFUNCTION("IFERROR(sum(filter('Основной эфир'!$AC:$AC, 'Основной эфир'!$B:$B=$A307,'Основной эфир'!$C:$C=$B307,'Основной эфир'!$I:$I=$C307)), 0) "),0.0)</f>
        <v>0</v>
      </c>
      <c r="F307" s="91">
        <f>IFERROR(__xludf.DUMMYFUNCTION("IFERROR(sum(filter('Основной эфир'!$O:$O, 'Основной эфир'!$B:$B=$A307,'Основной эфир'!$C:$C=$B307,'Основной эфир'!$I:$I=$C307)), 0) "),0.0)</f>
        <v>0</v>
      </c>
      <c r="G307" s="91">
        <f>IFERROR(__xludf.DUMMYFUNCTION("IFERROR(sum(filter('Основной эфир'!$Q:$Q, 'Основной эфир'!$B:$B=$A307,'Основной эфир'!$C:$C=$B307,'Основной эфир'!$I:$I=$C307)), 0) "),0.0)</f>
        <v>0</v>
      </c>
      <c r="H307" s="91">
        <f>IFERROR(__xludf.DUMMYFUNCTION("IFERROR(AVERAGE(filter('Основной эфир'!$Y:$Y, 'Основной эфир'!$B:$B=$A307,'Основной эфир'!$C:$C=$B307,'Основной эфир'!$I:$I=$C307)), 0) "),0.0)</f>
        <v>0</v>
      </c>
      <c r="I307" s="91">
        <f>IFERROR(__xludf.DUMMYFUNCTION("IFERROR(AVERAGE(filter('Основной эфир'!$AE:$AE, 'Основной эфир'!$B:$B=$A307,'Основной эфир'!$C:$C=$B307,'Основной эфир'!$I:$I=$C307)), 0) "),0.0)</f>
        <v>0</v>
      </c>
      <c r="J307" s="91">
        <f>IFERROR(__xludf.DUMMYFUNCTION("IFERROR(SUM(filter('Основной эфир'!$AL:$AL, 'Основной эфир'!$B:$B=$A307,'Основной эфир'!$C:$C=$B307,'Основной эфир'!$I:$I=$C307)), 0) "),0.0)</f>
        <v>0</v>
      </c>
      <c r="K307" s="91" t="str">
        <f>IFERROR(__xludf.DUMMYFUNCTION("IFERROR(REGEXREPLACE(unique(filter('Основной эфир'!$A:$A, 'Основной эфир'!$B:$B=$A307,'Основной эфир'!$C:$C=$B307,'Основной эфир'!$I:$I=$C307)), ""\d+"", """"),"""")"),"")</f>
        <v/>
      </c>
      <c r="L307" s="91" t="str">
        <f>IFERROR(__xludf.DUMMYFUNCTION("IFERROR(unique(filter('Основной эфир'!$F:$F, 'Основной эфир'!$B:$B=$A307,'Основной эфир'!$C:$C=$B307,'Основной эфир'!$I:$I=$C307)),"""")"),"")</f>
        <v/>
      </c>
      <c r="M307" s="92" t="str">
        <f t="shared" si="1"/>
        <v/>
      </c>
      <c r="N307" s="93">
        <f>IFERROR(__xludf.DUMMYFUNCTION("IFERROR(SWITCH(lower(join("" "",L307:M307)),""а миллионник"", 62.5,""б миллионник"", 75,""а мск"", 50, ""б мск"", 62.5, ""a остальное"", 70, ""б остальное"", 80)/100,0)"),0.0)</f>
        <v>0</v>
      </c>
      <c r="O307" s="91">
        <f t="shared" si="2"/>
        <v>0</v>
      </c>
      <c r="P307" s="91">
        <f>IFERROR(__xludf.DUMMYFUNCTION("IFERROR(sum(filter('Генеральный баннер'!$O:$O, 'Генеральный баннер'!$B:$B=$A307,'Генеральный баннер'!$C:$C=$B307,'Генеральный баннер'!$I:$I=$C307)), 0) "),0.0)</f>
        <v>0</v>
      </c>
      <c r="Q307" s="91">
        <f>IFERROR(__xludf.DUMMYFUNCTION("IFERROR(sum(filter('Генеральный баннер'!$Q:$Q, 'Генеральный баннер'!$B:$B=$A307,'Генеральный баннер'!$C:$C=$B307,'Генеральный баннер'!$I:$I=$C307)), 0) "),0.0)</f>
        <v>0</v>
      </c>
      <c r="R307" s="91">
        <f>IFERROR(__xludf.DUMMYFUNCTION("IFERROR(AVERAGE(filter('Генеральный баннер'!$AA:$AA, 'Генеральный баннер'!$B:$B=$A307,'Генеральный баннер'!$C:$C=$B307,'Генеральный баннер'!$I:$I=$C307)), 0) "),0.0)</f>
        <v>0</v>
      </c>
      <c r="S307" s="91">
        <f>IFERROR(__xludf.DUMMYFUNCTION("IFERROR(SUM(filter('Генеральный баннер'!$AH:$AH, 'Генеральный баннер'!$B:$B=$A307,'Генеральный баннер'!$C:$C=$B307,'Генеральный баннер'!$I:$I=$C307)), 0) "),0.0)</f>
        <v>0</v>
      </c>
      <c r="T307" s="91" t="str">
        <f>IFERROR(__xludf.DUMMYFUNCTION("IFERROR(REGEXREPLACE(unique(filter('Генеральный баннер'!$A:$A, 'Генеральный баннер'!$B:$B=$A307,'Генеральный баннер'!$C:$C=$B307,'Генеральный баннер'!$I:$I=$C307)), ""\d+"", """"),"""")"),"")</f>
        <v/>
      </c>
      <c r="U307" s="91" t="str">
        <f>IFERROR(__xludf.DUMMYFUNCTION("IFERROR(unique(filter('Генеральный баннер'!$F:$F, 'Генеральный баннер'!$B:$B=$A307,'Генеральный баннер'!$C:$C=$B307,'Генеральный баннер'!$I:$I=$C307)),"""")"),"")</f>
        <v/>
      </c>
      <c r="V307" s="92" t="str">
        <f t="shared" si="3"/>
        <v/>
      </c>
      <c r="W307" s="93">
        <f>IFERROR(__xludf.DUMMYFUNCTION("IFERROR(SWITCH(lower(join("" "",U307:V307)),""а миллионник"", 62.5,""б миллионник"", 75,""а мск"", 50, ""б мск"", 62.5, ""a остальное"", 70, ""б остальное"", 80)/100,0)"),0.0)</f>
        <v>0</v>
      </c>
      <c r="X307" s="91">
        <f t="shared" si="4"/>
        <v>0</v>
      </c>
    </row>
    <row r="308">
      <c r="A308" s="12"/>
      <c r="B308" s="12"/>
      <c r="C308" s="12"/>
      <c r="D308" s="91">
        <f>IFERROR(__xludf.DUMMYFUNCTION("IFERROR(sum(filter('Основной эфир'!$AA:$AA, 'Основной эфир'!$B:$B=$A308,'Основной эфир'!$C:$C=$B308,'Основной эфир'!$I:$I=$C308)), 0) "),0.0)</f>
        <v>0</v>
      </c>
      <c r="E308" s="91">
        <f>IFERROR(__xludf.DUMMYFUNCTION("IFERROR(sum(filter('Основной эфир'!$AC:$AC, 'Основной эфир'!$B:$B=$A308,'Основной эфир'!$C:$C=$B308,'Основной эфир'!$I:$I=$C308)), 0) "),0.0)</f>
        <v>0</v>
      </c>
      <c r="F308" s="91">
        <f>IFERROR(__xludf.DUMMYFUNCTION("IFERROR(sum(filter('Основной эфир'!$O:$O, 'Основной эфир'!$B:$B=$A308,'Основной эфир'!$C:$C=$B308,'Основной эфир'!$I:$I=$C308)), 0) "),0.0)</f>
        <v>0</v>
      </c>
      <c r="G308" s="91">
        <f>IFERROR(__xludf.DUMMYFUNCTION("IFERROR(sum(filter('Основной эфир'!$Q:$Q, 'Основной эфир'!$B:$B=$A308,'Основной эфир'!$C:$C=$B308,'Основной эфир'!$I:$I=$C308)), 0) "),0.0)</f>
        <v>0</v>
      </c>
      <c r="H308" s="91">
        <f>IFERROR(__xludf.DUMMYFUNCTION("IFERROR(AVERAGE(filter('Основной эфир'!$Y:$Y, 'Основной эфир'!$B:$B=$A308,'Основной эфир'!$C:$C=$B308,'Основной эфир'!$I:$I=$C308)), 0) "),0.0)</f>
        <v>0</v>
      </c>
      <c r="I308" s="91">
        <f>IFERROR(__xludf.DUMMYFUNCTION("IFERROR(AVERAGE(filter('Основной эфир'!$AE:$AE, 'Основной эфир'!$B:$B=$A308,'Основной эфир'!$C:$C=$B308,'Основной эфир'!$I:$I=$C308)), 0) "),0.0)</f>
        <v>0</v>
      </c>
      <c r="J308" s="91">
        <f>IFERROR(__xludf.DUMMYFUNCTION("IFERROR(SUM(filter('Основной эфир'!$AL:$AL, 'Основной эфир'!$B:$B=$A308,'Основной эфир'!$C:$C=$B308,'Основной эфир'!$I:$I=$C308)), 0) "),0.0)</f>
        <v>0</v>
      </c>
      <c r="K308" s="91" t="str">
        <f>IFERROR(__xludf.DUMMYFUNCTION("IFERROR(REGEXREPLACE(unique(filter('Основной эфир'!$A:$A, 'Основной эфир'!$B:$B=$A308,'Основной эфир'!$C:$C=$B308,'Основной эфир'!$I:$I=$C308)), ""\d+"", """"),"""")"),"")</f>
        <v/>
      </c>
      <c r="L308" s="91" t="str">
        <f>IFERROR(__xludf.DUMMYFUNCTION("IFERROR(unique(filter('Основной эфир'!$F:$F, 'Основной эфир'!$B:$B=$A308,'Основной эфир'!$C:$C=$B308,'Основной эфир'!$I:$I=$C308)),"""")"),"")</f>
        <v/>
      </c>
      <c r="M308" s="92" t="str">
        <f t="shared" si="1"/>
        <v/>
      </c>
      <c r="N308" s="93">
        <f>IFERROR(__xludf.DUMMYFUNCTION("IFERROR(SWITCH(lower(join("" "",L308:M308)),""а миллионник"", 62.5,""б миллионник"", 75,""а мск"", 50, ""б мск"", 62.5, ""a остальное"", 70, ""б остальное"", 80)/100,0)"),0.0)</f>
        <v>0</v>
      </c>
      <c r="O308" s="91">
        <f t="shared" si="2"/>
        <v>0</v>
      </c>
      <c r="P308" s="91">
        <f>IFERROR(__xludf.DUMMYFUNCTION("IFERROR(sum(filter('Генеральный баннер'!$O:$O, 'Генеральный баннер'!$B:$B=$A308,'Генеральный баннер'!$C:$C=$B308,'Генеральный баннер'!$I:$I=$C308)), 0) "),0.0)</f>
        <v>0</v>
      </c>
      <c r="Q308" s="91">
        <f>IFERROR(__xludf.DUMMYFUNCTION("IFERROR(sum(filter('Генеральный баннер'!$Q:$Q, 'Генеральный баннер'!$B:$B=$A308,'Генеральный баннер'!$C:$C=$B308,'Генеральный баннер'!$I:$I=$C308)), 0) "),0.0)</f>
        <v>0</v>
      </c>
      <c r="R308" s="91">
        <f>IFERROR(__xludf.DUMMYFUNCTION("IFERROR(AVERAGE(filter('Генеральный баннер'!$AA:$AA, 'Генеральный баннер'!$B:$B=$A308,'Генеральный баннер'!$C:$C=$B308,'Генеральный баннер'!$I:$I=$C308)), 0) "),0.0)</f>
        <v>0</v>
      </c>
      <c r="S308" s="91">
        <f>IFERROR(__xludf.DUMMYFUNCTION("IFERROR(SUM(filter('Генеральный баннер'!$AH:$AH, 'Генеральный баннер'!$B:$B=$A308,'Генеральный баннер'!$C:$C=$B308,'Генеральный баннер'!$I:$I=$C308)), 0) "),0.0)</f>
        <v>0</v>
      </c>
      <c r="T308" s="91" t="str">
        <f>IFERROR(__xludf.DUMMYFUNCTION("IFERROR(REGEXREPLACE(unique(filter('Генеральный баннер'!$A:$A, 'Генеральный баннер'!$B:$B=$A308,'Генеральный баннер'!$C:$C=$B308,'Генеральный баннер'!$I:$I=$C308)), ""\d+"", """"),"""")"),"")</f>
        <v/>
      </c>
      <c r="U308" s="91" t="str">
        <f>IFERROR(__xludf.DUMMYFUNCTION("IFERROR(unique(filter('Генеральный баннер'!$F:$F, 'Генеральный баннер'!$B:$B=$A308,'Генеральный баннер'!$C:$C=$B308,'Генеральный баннер'!$I:$I=$C308)),"""")"),"")</f>
        <v/>
      </c>
      <c r="V308" s="92" t="str">
        <f t="shared" si="3"/>
        <v/>
      </c>
      <c r="W308" s="93">
        <f>IFERROR(__xludf.DUMMYFUNCTION("IFERROR(SWITCH(lower(join("" "",U308:V308)),""а миллионник"", 62.5,""б миллионник"", 75,""а мск"", 50, ""б мск"", 62.5, ""a остальное"", 70, ""б остальное"", 80)/100,0)"),0.0)</f>
        <v>0</v>
      </c>
      <c r="X308" s="91">
        <f t="shared" si="4"/>
        <v>0</v>
      </c>
    </row>
    <row r="309">
      <c r="A309" s="12"/>
      <c r="B309" s="12"/>
      <c r="C309" s="12"/>
      <c r="D309" s="91">
        <f>IFERROR(__xludf.DUMMYFUNCTION("IFERROR(sum(filter('Основной эфир'!$AA:$AA, 'Основной эфир'!$B:$B=$A309,'Основной эфир'!$C:$C=$B309,'Основной эфир'!$I:$I=$C309)), 0) "),0.0)</f>
        <v>0</v>
      </c>
      <c r="E309" s="91">
        <f>IFERROR(__xludf.DUMMYFUNCTION("IFERROR(sum(filter('Основной эфир'!$AC:$AC, 'Основной эфир'!$B:$B=$A309,'Основной эфир'!$C:$C=$B309,'Основной эфир'!$I:$I=$C309)), 0) "),0.0)</f>
        <v>0</v>
      </c>
      <c r="F309" s="91">
        <f>IFERROR(__xludf.DUMMYFUNCTION("IFERROR(sum(filter('Основной эфир'!$O:$O, 'Основной эфир'!$B:$B=$A309,'Основной эфир'!$C:$C=$B309,'Основной эфир'!$I:$I=$C309)), 0) "),0.0)</f>
        <v>0</v>
      </c>
      <c r="G309" s="91">
        <f>IFERROR(__xludf.DUMMYFUNCTION("IFERROR(sum(filter('Основной эфир'!$Q:$Q, 'Основной эфир'!$B:$B=$A309,'Основной эфир'!$C:$C=$B309,'Основной эфир'!$I:$I=$C309)), 0) "),0.0)</f>
        <v>0</v>
      </c>
      <c r="H309" s="91">
        <f>IFERROR(__xludf.DUMMYFUNCTION("IFERROR(AVERAGE(filter('Основной эфир'!$Y:$Y, 'Основной эфир'!$B:$B=$A309,'Основной эфир'!$C:$C=$B309,'Основной эфир'!$I:$I=$C309)), 0) "),0.0)</f>
        <v>0</v>
      </c>
      <c r="I309" s="91">
        <f>IFERROR(__xludf.DUMMYFUNCTION("IFERROR(AVERAGE(filter('Основной эфир'!$AE:$AE, 'Основной эфир'!$B:$B=$A309,'Основной эфир'!$C:$C=$B309,'Основной эфир'!$I:$I=$C309)), 0) "),0.0)</f>
        <v>0</v>
      </c>
      <c r="J309" s="91">
        <f>IFERROR(__xludf.DUMMYFUNCTION("IFERROR(SUM(filter('Основной эфир'!$AL:$AL, 'Основной эфир'!$B:$B=$A309,'Основной эфир'!$C:$C=$B309,'Основной эфир'!$I:$I=$C309)), 0) "),0.0)</f>
        <v>0</v>
      </c>
      <c r="K309" s="91" t="str">
        <f>IFERROR(__xludf.DUMMYFUNCTION("IFERROR(REGEXREPLACE(unique(filter('Основной эфир'!$A:$A, 'Основной эфир'!$B:$B=$A309,'Основной эфир'!$C:$C=$B309,'Основной эфир'!$I:$I=$C309)), ""\d+"", """"),"""")"),"")</f>
        <v/>
      </c>
      <c r="L309" s="91" t="str">
        <f>IFERROR(__xludf.DUMMYFUNCTION("IFERROR(unique(filter('Основной эфир'!$F:$F, 'Основной эфир'!$B:$B=$A309,'Основной эфир'!$C:$C=$B309,'Основной эфир'!$I:$I=$C309)),"""")"),"")</f>
        <v/>
      </c>
      <c r="M309" s="92" t="str">
        <f t="shared" si="1"/>
        <v/>
      </c>
      <c r="N309" s="93">
        <f>IFERROR(__xludf.DUMMYFUNCTION("IFERROR(SWITCH(lower(join("" "",L309:M309)),""а миллионник"", 62.5,""б миллионник"", 75,""а мск"", 50, ""б мск"", 62.5, ""a остальное"", 70, ""б остальное"", 80)/100,0)"),0.0)</f>
        <v>0</v>
      </c>
      <c r="O309" s="91">
        <f t="shared" si="2"/>
        <v>0</v>
      </c>
      <c r="P309" s="91">
        <f>IFERROR(__xludf.DUMMYFUNCTION("IFERROR(sum(filter('Генеральный баннер'!$O:$O, 'Генеральный баннер'!$B:$B=$A309,'Генеральный баннер'!$C:$C=$B309,'Генеральный баннер'!$I:$I=$C309)), 0) "),0.0)</f>
        <v>0</v>
      </c>
      <c r="Q309" s="91">
        <f>IFERROR(__xludf.DUMMYFUNCTION("IFERROR(sum(filter('Генеральный баннер'!$Q:$Q, 'Генеральный баннер'!$B:$B=$A309,'Генеральный баннер'!$C:$C=$B309,'Генеральный баннер'!$I:$I=$C309)), 0) "),0.0)</f>
        <v>0</v>
      </c>
      <c r="R309" s="91">
        <f>IFERROR(__xludf.DUMMYFUNCTION("IFERROR(AVERAGE(filter('Генеральный баннер'!$AA:$AA, 'Генеральный баннер'!$B:$B=$A309,'Генеральный баннер'!$C:$C=$B309,'Генеральный баннер'!$I:$I=$C309)), 0) "),0.0)</f>
        <v>0</v>
      </c>
      <c r="S309" s="91">
        <f>IFERROR(__xludf.DUMMYFUNCTION("IFERROR(SUM(filter('Генеральный баннер'!$AH:$AH, 'Генеральный баннер'!$B:$B=$A309,'Генеральный баннер'!$C:$C=$B309,'Генеральный баннер'!$I:$I=$C309)), 0) "),0.0)</f>
        <v>0</v>
      </c>
      <c r="T309" s="91" t="str">
        <f>IFERROR(__xludf.DUMMYFUNCTION("IFERROR(REGEXREPLACE(unique(filter('Генеральный баннер'!$A:$A, 'Генеральный баннер'!$B:$B=$A309,'Генеральный баннер'!$C:$C=$B309,'Генеральный баннер'!$I:$I=$C309)), ""\d+"", """"),"""")"),"")</f>
        <v/>
      </c>
      <c r="U309" s="91" t="str">
        <f>IFERROR(__xludf.DUMMYFUNCTION("IFERROR(unique(filter('Генеральный баннер'!$F:$F, 'Генеральный баннер'!$B:$B=$A309,'Генеральный баннер'!$C:$C=$B309,'Генеральный баннер'!$I:$I=$C309)),"""")"),"")</f>
        <v/>
      </c>
      <c r="V309" s="92" t="str">
        <f t="shared" si="3"/>
        <v/>
      </c>
      <c r="W309" s="93">
        <f>IFERROR(__xludf.DUMMYFUNCTION("IFERROR(SWITCH(lower(join("" "",U309:V309)),""а миллионник"", 62.5,""б миллионник"", 75,""а мск"", 50, ""б мск"", 62.5, ""a остальное"", 70, ""б остальное"", 80)/100,0)"),0.0)</f>
        <v>0</v>
      </c>
      <c r="X309" s="91">
        <f t="shared" si="4"/>
        <v>0</v>
      </c>
    </row>
    <row r="310">
      <c r="A310" s="12"/>
      <c r="B310" s="12"/>
      <c r="C310" s="12"/>
      <c r="D310" s="91">
        <f>IFERROR(__xludf.DUMMYFUNCTION("IFERROR(sum(filter('Основной эфир'!$AA:$AA, 'Основной эфир'!$B:$B=$A310,'Основной эфир'!$C:$C=$B310,'Основной эфир'!$I:$I=$C310)), 0) "),0.0)</f>
        <v>0</v>
      </c>
      <c r="E310" s="91">
        <f>IFERROR(__xludf.DUMMYFUNCTION("IFERROR(sum(filter('Основной эфир'!$AC:$AC, 'Основной эфир'!$B:$B=$A310,'Основной эфир'!$C:$C=$B310,'Основной эфир'!$I:$I=$C310)), 0) "),0.0)</f>
        <v>0</v>
      </c>
      <c r="F310" s="91">
        <f>IFERROR(__xludf.DUMMYFUNCTION("IFERROR(sum(filter('Основной эфир'!$O:$O, 'Основной эфир'!$B:$B=$A310,'Основной эфир'!$C:$C=$B310,'Основной эфир'!$I:$I=$C310)), 0) "),0.0)</f>
        <v>0</v>
      </c>
      <c r="G310" s="91">
        <f>IFERROR(__xludf.DUMMYFUNCTION("IFERROR(sum(filter('Основной эфир'!$Q:$Q, 'Основной эфир'!$B:$B=$A310,'Основной эфир'!$C:$C=$B310,'Основной эфир'!$I:$I=$C310)), 0) "),0.0)</f>
        <v>0</v>
      </c>
      <c r="H310" s="91">
        <f>IFERROR(__xludf.DUMMYFUNCTION("IFERROR(AVERAGE(filter('Основной эфир'!$Y:$Y, 'Основной эфир'!$B:$B=$A310,'Основной эфир'!$C:$C=$B310,'Основной эфир'!$I:$I=$C310)), 0) "),0.0)</f>
        <v>0</v>
      </c>
      <c r="I310" s="91">
        <f>IFERROR(__xludf.DUMMYFUNCTION("IFERROR(AVERAGE(filter('Основной эфир'!$AE:$AE, 'Основной эфир'!$B:$B=$A310,'Основной эфир'!$C:$C=$B310,'Основной эфир'!$I:$I=$C310)), 0) "),0.0)</f>
        <v>0</v>
      </c>
      <c r="J310" s="91">
        <f>IFERROR(__xludf.DUMMYFUNCTION("IFERROR(SUM(filter('Основной эфир'!$AL:$AL, 'Основной эфир'!$B:$B=$A310,'Основной эфир'!$C:$C=$B310,'Основной эфир'!$I:$I=$C310)), 0) "),0.0)</f>
        <v>0</v>
      </c>
      <c r="K310" s="91" t="str">
        <f>IFERROR(__xludf.DUMMYFUNCTION("IFERROR(REGEXREPLACE(unique(filter('Основной эфир'!$A:$A, 'Основной эфир'!$B:$B=$A310,'Основной эфир'!$C:$C=$B310,'Основной эфир'!$I:$I=$C310)), ""\d+"", """"),"""")"),"")</f>
        <v/>
      </c>
      <c r="L310" s="91" t="str">
        <f>IFERROR(__xludf.DUMMYFUNCTION("IFERROR(unique(filter('Основной эфир'!$F:$F, 'Основной эфир'!$B:$B=$A310,'Основной эфир'!$C:$C=$B310,'Основной эфир'!$I:$I=$C310)),"""")"),"")</f>
        <v/>
      </c>
      <c r="M310" s="92" t="str">
        <f t="shared" si="1"/>
        <v/>
      </c>
      <c r="N310" s="93">
        <f>IFERROR(__xludf.DUMMYFUNCTION("IFERROR(SWITCH(lower(join("" "",L310:M310)),""а миллионник"", 62.5,""б миллионник"", 75,""а мск"", 50, ""б мск"", 62.5, ""a остальное"", 70, ""б остальное"", 80)/100,0)"),0.0)</f>
        <v>0</v>
      </c>
      <c r="O310" s="91">
        <f t="shared" si="2"/>
        <v>0</v>
      </c>
      <c r="P310" s="91">
        <f>IFERROR(__xludf.DUMMYFUNCTION("IFERROR(sum(filter('Генеральный баннер'!$O:$O, 'Генеральный баннер'!$B:$B=$A310,'Генеральный баннер'!$C:$C=$B310,'Генеральный баннер'!$I:$I=$C310)), 0) "),0.0)</f>
        <v>0</v>
      </c>
      <c r="Q310" s="91">
        <f>IFERROR(__xludf.DUMMYFUNCTION("IFERROR(sum(filter('Генеральный баннер'!$Q:$Q, 'Генеральный баннер'!$B:$B=$A310,'Генеральный баннер'!$C:$C=$B310,'Генеральный баннер'!$I:$I=$C310)), 0) "),0.0)</f>
        <v>0</v>
      </c>
      <c r="R310" s="91">
        <f>IFERROR(__xludf.DUMMYFUNCTION("IFERROR(AVERAGE(filter('Генеральный баннер'!$AA:$AA, 'Генеральный баннер'!$B:$B=$A310,'Генеральный баннер'!$C:$C=$B310,'Генеральный баннер'!$I:$I=$C310)), 0) "),0.0)</f>
        <v>0</v>
      </c>
      <c r="S310" s="91">
        <f>IFERROR(__xludf.DUMMYFUNCTION("IFERROR(SUM(filter('Генеральный баннер'!$AH:$AH, 'Генеральный баннер'!$B:$B=$A310,'Генеральный баннер'!$C:$C=$B310,'Генеральный баннер'!$I:$I=$C310)), 0) "),0.0)</f>
        <v>0</v>
      </c>
      <c r="T310" s="91" t="str">
        <f>IFERROR(__xludf.DUMMYFUNCTION("IFERROR(REGEXREPLACE(unique(filter('Генеральный баннер'!$A:$A, 'Генеральный баннер'!$B:$B=$A310,'Генеральный баннер'!$C:$C=$B310,'Генеральный баннер'!$I:$I=$C310)), ""\d+"", """"),"""")"),"")</f>
        <v/>
      </c>
      <c r="U310" s="91" t="str">
        <f>IFERROR(__xludf.DUMMYFUNCTION("IFERROR(unique(filter('Генеральный баннер'!$F:$F, 'Генеральный баннер'!$B:$B=$A310,'Генеральный баннер'!$C:$C=$B310,'Генеральный баннер'!$I:$I=$C310)),"""")"),"")</f>
        <v/>
      </c>
      <c r="V310" s="92" t="str">
        <f t="shared" si="3"/>
        <v/>
      </c>
      <c r="W310" s="93">
        <f>IFERROR(__xludf.DUMMYFUNCTION("IFERROR(SWITCH(lower(join("" "",U310:V310)),""а миллионник"", 62.5,""б миллионник"", 75,""а мск"", 50, ""б мск"", 62.5, ""a остальное"", 70, ""б остальное"", 80)/100,0)"),0.0)</f>
        <v>0</v>
      </c>
      <c r="X310" s="91">
        <f t="shared" si="4"/>
        <v>0</v>
      </c>
    </row>
    <row r="311">
      <c r="A311" s="12"/>
      <c r="B311" s="12"/>
      <c r="C311" s="12"/>
      <c r="D311" s="91">
        <f>IFERROR(__xludf.DUMMYFUNCTION("IFERROR(sum(filter('Основной эфир'!$AA:$AA, 'Основной эфир'!$B:$B=$A311,'Основной эфир'!$C:$C=$B311,'Основной эфир'!$I:$I=$C311)), 0) "),0.0)</f>
        <v>0</v>
      </c>
      <c r="E311" s="91">
        <f>IFERROR(__xludf.DUMMYFUNCTION("IFERROR(sum(filter('Основной эфир'!$AC:$AC, 'Основной эфир'!$B:$B=$A311,'Основной эфир'!$C:$C=$B311,'Основной эфир'!$I:$I=$C311)), 0) "),0.0)</f>
        <v>0</v>
      </c>
      <c r="F311" s="91">
        <f>IFERROR(__xludf.DUMMYFUNCTION("IFERROR(sum(filter('Основной эфир'!$O:$O, 'Основной эфир'!$B:$B=$A311,'Основной эфир'!$C:$C=$B311,'Основной эфир'!$I:$I=$C311)), 0) "),0.0)</f>
        <v>0</v>
      </c>
      <c r="G311" s="91">
        <f>IFERROR(__xludf.DUMMYFUNCTION("IFERROR(sum(filter('Основной эфир'!$Q:$Q, 'Основной эфир'!$B:$B=$A311,'Основной эфир'!$C:$C=$B311,'Основной эфир'!$I:$I=$C311)), 0) "),0.0)</f>
        <v>0</v>
      </c>
      <c r="H311" s="91">
        <f>IFERROR(__xludf.DUMMYFUNCTION("IFERROR(AVERAGE(filter('Основной эфир'!$Y:$Y, 'Основной эфир'!$B:$B=$A311,'Основной эфир'!$C:$C=$B311,'Основной эфир'!$I:$I=$C311)), 0) "),0.0)</f>
        <v>0</v>
      </c>
      <c r="I311" s="91">
        <f>IFERROR(__xludf.DUMMYFUNCTION("IFERROR(AVERAGE(filter('Основной эфир'!$AE:$AE, 'Основной эфир'!$B:$B=$A311,'Основной эфир'!$C:$C=$B311,'Основной эфир'!$I:$I=$C311)), 0) "),0.0)</f>
        <v>0</v>
      </c>
      <c r="J311" s="91">
        <f>IFERROR(__xludf.DUMMYFUNCTION("IFERROR(SUM(filter('Основной эфир'!$AL:$AL, 'Основной эфир'!$B:$B=$A311,'Основной эфир'!$C:$C=$B311,'Основной эфир'!$I:$I=$C311)), 0) "),0.0)</f>
        <v>0</v>
      </c>
      <c r="K311" s="91" t="str">
        <f>IFERROR(__xludf.DUMMYFUNCTION("IFERROR(REGEXREPLACE(unique(filter('Основной эфир'!$A:$A, 'Основной эфир'!$B:$B=$A311,'Основной эфир'!$C:$C=$B311,'Основной эфир'!$I:$I=$C311)), ""\d+"", """"),"""")"),"")</f>
        <v/>
      </c>
      <c r="L311" s="91" t="str">
        <f>IFERROR(__xludf.DUMMYFUNCTION("IFERROR(unique(filter('Основной эфир'!$F:$F, 'Основной эфир'!$B:$B=$A311,'Основной эфир'!$C:$C=$B311,'Основной эфир'!$I:$I=$C311)),"""")"),"")</f>
        <v/>
      </c>
      <c r="M311" s="92" t="str">
        <f t="shared" si="1"/>
        <v/>
      </c>
      <c r="N311" s="93">
        <f>IFERROR(__xludf.DUMMYFUNCTION("IFERROR(SWITCH(lower(join("" "",L311:M311)),""а миллионник"", 62.5,""б миллионник"", 75,""а мск"", 50, ""б мск"", 62.5, ""a остальное"", 70, ""б остальное"", 80)/100,0)"),0.0)</f>
        <v>0</v>
      </c>
      <c r="O311" s="91">
        <f t="shared" si="2"/>
        <v>0</v>
      </c>
      <c r="P311" s="91">
        <f>IFERROR(__xludf.DUMMYFUNCTION("IFERROR(sum(filter('Генеральный баннер'!$O:$O, 'Генеральный баннер'!$B:$B=$A311,'Генеральный баннер'!$C:$C=$B311,'Генеральный баннер'!$I:$I=$C311)), 0) "),0.0)</f>
        <v>0</v>
      </c>
      <c r="Q311" s="91">
        <f>IFERROR(__xludf.DUMMYFUNCTION("IFERROR(sum(filter('Генеральный баннер'!$Q:$Q, 'Генеральный баннер'!$B:$B=$A311,'Генеральный баннер'!$C:$C=$B311,'Генеральный баннер'!$I:$I=$C311)), 0) "),0.0)</f>
        <v>0</v>
      </c>
      <c r="R311" s="91">
        <f>IFERROR(__xludf.DUMMYFUNCTION("IFERROR(AVERAGE(filter('Генеральный баннер'!$AA:$AA, 'Генеральный баннер'!$B:$B=$A311,'Генеральный баннер'!$C:$C=$B311,'Генеральный баннер'!$I:$I=$C311)), 0) "),0.0)</f>
        <v>0</v>
      </c>
      <c r="S311" s="91">
        <f>IFERROR(__xludf.DUMMYFUNCTION("IFERROR(SUM(filter('Генеральный баннер'!$AH:$AH, 'Генеральный баннер'!$B:$B=$A311,'Генеральный баннер'!$C:$C=$B311,'Генеральный баннер'!$I:$I=$C311)), 0) "),0.0)</f>
        <v>0</v>
      </c>
      <c r="T311" s="91" t="str">
        <f>IFERROR(__xludf.DUMMYFUNCTION("IFERROR(REGEXREPLACE(unique(filter('Генеральный баннер'!$A:$A, 'Генеральный баннер'!$B:$B=$A311,'Генеральный баннер'!$C:$C=$B311,'Генеральный баннер'!$I:$I=$C311)), ""\d+"", """"),"""")"),"")</f>
        <v/>
      </c>
      <c r="U311" s="91" t="str">
        <f>IFERROR(__xludf.DUMMYFUNCTION("IFERROR(unique(filter('Генеральный баннер'!$F:$F, 'Генеральный баннер'!$B:$B=$A311,'Генеральный баннер'!$C:$C=$B311,'Генеральный баннер'!$I:$I=$C311)),"""")"),"")</f>
        <v/>
      </c>
      <c r="V311" s="92" t="str">
        <f t="shared" si="3"/>
        <v/>
      </c>
      <c r="W311" s="93">
        <f>IFERROR(__xludf.DUMMYFUNCTION("IFERROR(SWITCH(lower(join("" "",U311:V311)),""а миллионник"", 62.5,""б миллионник"", 75,""а мск"", 50, ""б мск"", 62.5, ""a остальное"", 70, ""б остальное"", 80)/100,0)"),0.0)</f>
        <v>0</v>
      </c>
      <c r="X311" s="91">
        <f t="shared" si="4"/>
        <v>0</v>
      </c>
    </row>
    <row r="312">
      <c r="A312" s="12"/>
      <c r="B312" s="12"/>
      <c r="C312" s="12"/>
      <c r="D312" s="91">
        <f>IFERROR(__xludf.DUMMYFUNCTION("IFERROR(sum(filter('Основной эфир'!$AA:$AA, 'Основной эфир'!$B:$B=$A312,'Основной эфир'!$C:$C=$B312,'Основной эфир'!$I:$I=$C312)), 0) "),0.0)</f>
        <v>0</v>
      </c>
      <c r="E312" s="91">
        <f>IFERROR(__xludf.DUMMYFUNCTION("IFERROR(sum(filter('Основной эфир'!$AC:$AC, 'Основной эфир'!$B:$B=$A312,'Основной эфир'!$C:$C=$B312,'Основной эфир'!$I:$I=$C312)), 0) "),0.0)</f>
        <v>0</v>
      </c>
      <c r="F312" s="91">
        <f>IFERROR(__xludf.DUMMYFUNCTION("IFERROR(sum(filter('Основной эфир'!$O:$O, 'Основной эфир'!$B:$B=$A312,'Основной эфир'!$C:$C=$B312,'Основной эфир'!$I:$I=$C312)), 0) "),0.0)</f>
        <v>0</v>
      </c>
      <c r="G312" s="91">
        <f>IFERROR(__xludf.DUMMYFUNCTION("IFERROR(sum(filter('Основной эфир'!$Q:$Q, 'Основной эфир'!$B:$B=$A312,'Основной эфир'!$C:$C=$B312,'Основной эфир'!$I:$I=$C312)), 0) "),0.0)</f>
        <v>0</v>
      </c>
      <c r="H312" s="91">
        <f>IFERROR(__xludf.DUMMYFUNCTION("IFERROR(AVERAGE(filter('Основной эфир'!$Y:$Y, 'Основной эфир'!$B:$B=$A312,'Основной эфир'!$C:$C=$B312,'Основной эфир'!$I:$I=$C312)), 0) "),0.0)</f>
        <v>0</v>
      </c>
      <c r="I312" s="91">
        <f>IFERROR(__xludf.DUMMYFUNCTION("IFERROR(AVERAGE(filter('Основной эфир'!$AE:$AE, 'Основной эфир'!$B:$B=$A312,'Основной эфир'!$C:$C=$B312,'Основной эфир'!$I:$I=$C312)), 0) "),0.0)</f>
        <v>0</v>
      </c>
      <c r="J312" s="91">
        <f>IFERROR(__xludf.DUMMYFUNCTION("IFERROR(SUM(filter('Основной эфир'!$AL:$AL, 'Основной эфир'!$B:$B=$A312,'Основной эфир'!$C:$C=$B312,'Основной эфир'!$I:$I=$C312)), 0) "),0.0)</f>
        <v>0</v>
      </c>
      <c r="K312" s="91" t="str">
        <f>IFERROR(__xludf.DUMMYFUNCTION("IFERROR(REGEXREPLACE(unique(filter('Основной эфир'!$A:$A, 'Основной эфир'!$B:$B=$A312,'Основной эфир'!$C:$C=$B312,'Основной эфир'!$I:$I=$C312)), ""\d+"", """"),"""")"),"")</f>
        <v/>
      </c>
      <c r="L312" s="91" t="str">
        <f>IFERROR(__xludf.DUMMYFUNCTION("IFERROR(unique(filter('Основной эфир'!$F:$F, 'Основной эфир'!$B:$B=$A312,'Основной эфир'!$C:$C=$B312,'Основной эфир'!$I:$I=$C312)),"""")"),"")</f>
        <v/>
      </c>
      <c r="M312" s="92" t="str">
        <f t="shared" si="1"/>
        <v/>
      </c>
      <c r="N312" s="93">
        <f>IFERROR(__xludf.DUMMYFUNCTION("IFERROR(SWITCH(lower(join("" "",L312:M312)),""а миллионник"", 62.5,""б миллионник"", 75,""а мск"", 50, ""б мск"", 62.5, ""a остальное"", 70, ""б остальное"", 80)/100,0)"),0.0)</f>
        <v>0</v>
      </c>
      <c r="O312" s="91">
        <f t="shared" si="2"/>
        <v>0</v>
      </c>
      <c r="P312" s="91">
        <f>IFERROR(__xludf.DUMMYFUNCTION("IFERROR(sum(filter('Генеральный баннер'!$O:$O, 'Генеральный баннер'!$B:$B=$A312,'Генеральный баннер'!$C:$C=$B312,'Генеральный баннер'!$I:$I=$C312)), 0) "),0.0)</f>
        <v>0</v>
      </c>
      <c r="Q312" s="91">
        <f>IFERROR(__xludf.DUMMYFUNCTION("IFERROR(sum(filter('Генеральный баннер'!$Q:$Q, 'Генеральный баннер'!$B:$B=$A312,'Генеральный баннер'!$C:$C=$B312,'Генеральный баннер'!$I:$I=$C312)), 0) "),0.0)</f>
        <v>0</v>
      </c>
      <c r="R312" s="91">
        <f>IFERROR(__xludf.DUMMYFUNCTION("IFERROR(AVERAGE(filter('Генеральный баннер'!$AA:$AA, 'Генеральный баннер'!$B:$B=$A312,'Генеральный баннер'!$C:$C=$B312,'Генеральный баннер'!$I:$I=$C312)), 0) "),0.0)</f>
        <v>0</v>
      </c>
      <c r="S312" s="91">
        <f>IFERROR(__xludf.DUMMYFUNCTION("IFERROR(SUM(filter('Генеральный баннер'!$AH:$AH, 'Генеральный баннер'!$B:$B=$A312,'Генеральный баннер'!$C:$C=$B312,'Генеральный баннер'!$I:$I=$C312)), 0) "),0.0)</f>
        <v>0</v>
      </c>
      <c r="T312" s="91" t="str">
        <f>IFERROR(__xludf.DUMMYFUNCTION("IFERROR(REGEXREPLACE(unique(filter('Генеральный баннер'!$A:$A, 'Генеральный баннер'!$B:$B=$A312,'Генеральный баннер'!$C:$C=$B312,'Генеральный баннер'!$I:$I=$C312)), ""\d+"", """"),"""")"),"")</f>
        <v/>
      </c>
      <c r="U312" s="91" t="str">
        <f>IFERROR(__xludf.DUMMYFUNCTION("IFERROR(unique(filter('Генеральный баннер'!$F:$F, 'Генеральный баннер'!$B:$B=$A312,'Генеральный баннер'!$C:$C=$B312,'Генеральный баннер'!$I:$I=$C312)),"""")"),"")</f>
        <v/>
      </c>
      <c r="V312" s="92" t="str">
        <f t="shared" si="3"/>
        <v/>
      </c>
      <c r="W312" s="93">
        <f>IFERROR(__xludf.DUMMYFUNCTION("IFERROR(SWITCH(lower(join("" "",U312:V312)),""а миллионник"", 62.5,""б миллионник"", 75,""а мск"", 50, ""б мск"", 62.5, ""a остальное"", 70, ""б остальное"", 80)/100,0)"),0.0)</f>
        <v>0</v>
      </c>
      <c r="X312" s="91">
        <f t="shared" si="4"/>
        <v>0</v>
      </c>
    </row>
    <row r="313">
      <c r="A313" s="12"/>
      <c r="B313" s="12"/>
      <c r="C313" s="12"/>
      <c r="D313" s="91">
        <f>IFERROR(__xludf.DUMMYFUNCTION("IFERROR(sum(filter('Основной эфир'!$AA:$AA, 'Основной эфир'!$B:$B=$A313,'Основной эфир'!$C:$C=$B313,'Основной эфир'!$I:$I=$C313)), 0) "),0.0)</f>
        <v>0</v>
      </c>
      <c r="E313" s="91">
        <f>IFERROR(__xludf.DUMMYFUNCTION("IFERROR(sum(filter('Основной эфир'!$AC:$AC, 'Основной эфир'!$B:$B=$A313,'Основной эфир'!$C:$C=$B313,'Основной эфир'!$I:$I=$C313)), 0) "),0.0)</f>
        <v>0</v>
      </c>
      <c r="F313" s="91">
        <f>IFERROR(__xludf.DUMMYFUNCTION("IFERROR(sum(filter('Основной эфир'!$O:$O, 'Основной эфир'!$B:$B=$A313,'Основной эфир'!$C:$C=$B313,'Основной эфир'!$I:$I=$C313)), 0) "),0.0)</f>
        <v>0</v>
      </c>
      <c r="G313" s="91">
        <f>IFERROR(__xludf.DUMMYFUNCTION("IFERROR(sum(filter('Основной эфир'!$Q:$Q, 'Основной эфир'!$B:$B=$A313,'Основной эфир'!$C:$C=$B313,'Основной эфир'!$I:$I=$C313)), 0) "),0.0)</f>
        <v>0</v>
      </c>
      <c r="H313" s="91">
        <f>IFERROR(__xludf.DUMMYFUNCTION("IFERROR(AVERAGE(filter('Основной эфир'!$Y:$Y, 'Основной эфир'!$B:$B=$A313,'Основной эфир'!$C:$C=$B313,'Основной эфир'!$I:$I=$C313)), 0) "),0.0)</f>
        <v>0</v>
      </c>
      <c r="I313" s="91">
        <f>IFERROR(__xludf.DUMMYFUNCTION("IFERROR(AVERAGE(filter('Основной эфир'!$AE:$AE, 'Основной эфир'!$B:$B=$A313,'Основной эфир'!$C:$C=$B313,'Основной эфир'!$I:$I=$C313)), 0) "),0.0)</f>
        <v>0</v>
      </c>
      <c r="J313" s="91">
        <f>IFERROR(__xludf.DUMMYFUNCTION("IFERROR(SUM(filter('Основной эфир'!$AL:$AL, 'Основной эфир'!$B:$B=$A313,'Основной эфир'!$C:$C=$B313,'Основной эфир'!$I:$I=$C313)), 0) "),0.0)</f>
        <v>0</v>
      </c>
      <c r="K313" s="91" t="str">
        <f>IFERROR(__xludf.DUMMYFUNCTION("IFERROR(REGEXREPLACE(unique(filter('Основной эфир'!$A:$A, 'Основной эфир'!$B:$B=$A313,'Основной эфир'!$C:$C=$B313,'Основной эфир'!$I:$I=$C313)), ""\d+"", """"),"""")"),"")</f>
        <v/>
      </c>
      <c r="L313" s="91" t="str">
        <f>IFERROR(__xludf.DUMMYFUNCTION("IFERROR(unique(filter('Основной эфир'!$F:$F, 'Основной эфир'!$B:$B=$A313,'Основной эфир'!$C:$C=$B313,'Основной эфир'!$I:$I=$C313)),"""")"),"")</f>
        <v/>
      </c>
      <c r="M313" s="92" t="str">
        <f t="shared" si="1"/>
        <v/>
      </c>
      <c r="N313" s="93">
        <f>IFERROR(__xludf.DUMMYFUNCTION("IFERROR(SWITCH(lower(join("" "",L313:M313)),""а миллионник"", 62.5,""б миллионник"", 75,""а мск"", 50, ""б мск"", 62.5, ""a остальное"", 70, ""б остальное"", 80)/100,0)"),0.0)</f>
        <v>0</v>
      </c>
      <c r="O313" s="91">
        <f t="shared" si="2"/>
        <v>0</v>
      </c>
      <c r="P313" s="91">
        <f>IFERROR(__xludf.DUMMYFUNCTION("IFERROR(sum(filter('Генеральный баннер'!$O:$O, 'Генеральный баннер'!$B:$B=$A313,'Генеральный баннер'!$C:$C=$B313,'Генеральный баннер'!$I:$I=$C313)), 0) "),0.0)</f>
        <v>0</v>
      </c>
      <c r="Q313" s="91">
        <f>IFERROR(__xludf.DUMMYFUNCTION("IFERROR(sum(filter('Генеральный баннер'!$Q:$Q, 'Генеральный баннер'!$B:$B=$A313,'Генеральный баннер'!$C:$C=$B313,'Генеральный баннер'!$I:$I=$C313)), 0) "),0.0)</f>
        <v>0</v>
      </c>
      <c r="R313" s="91">
        <f>IFERROR(__xludf.DUMMYFUNCTION("IFERROR(AVERAGE(filter('Генеральный баннер'!$AA:$AA, 'Генеральный баннер'!$B:$B=$A313,'Генеральный баннер'!$C:$C=$B313,'Генеральный баннер'!$I:$I=$C313)), 0) "),0.0)</f>
        <v>0</v>
      </c>
      <c r="S313" s="91">
        <f>IFERROR(__xludf.DUMMYFUNCTION("IFERROR(SUM(filter('Генеральный баннер'!$AH:$AH, 'Генеральный баннер'!$B:$B=$A313,'Генеральный баннер'!$C:$C=$B313,'Генеральный баннер'!$I:$I=$C313)), 0) "),0.0)</f>
        <v>0</v>
      </c>
      <c r="T313" s="91" t="str">
        <f>IFERROR(__xludf.DUMMYFUNCTION("IFERROR(REGEXREPLACE(unique(filter('Генеральный баннер'!$A:$A, 'Генеральный баннер'!$B:$B=$A313,'Генеральный баннер'!$C:$C=$B313,'Генеральный баннер'!$I:$I=$C313)), ""\d+"", """"),"""")"),"")</f>
        <v/>
      </c>
      <c r="U313" s="91" t="str">
        <f>IFERROR(__xludf.DUMMYFUNCTION("IFERROR(unique(filter('Генеральный баннер'!$F:$F, 'Генеральный баннер'!$B:$B=$A313,'Генеральный баннер'!$C:$C=$B313,'Генеральный баннер'!$I:$I=$C313)),"""")"),"")</f>
        <v/>
      </c>
      <c r="V313" s="92" t="str">
        <f t="shared" si="3"/>
        <v/>
      </c>
      <c r="W313" s="93">
        <f>IFERROR(__xludf.DUMMYFUNCTION("IFERROR(SWITCH(lower(join("" "",U313:V313)),""а миллионник"", 62.5,""б миллионник"", 75,""а мск"", 50, ""б мск"", 62.5, ""a остальное"", 70, ""б остальное"", 80)/100,0)"),0.0)</f>
        <v>0</v>
      </c>
      <c r="X313" s="91">
        <f t="shared" si="4"/>
        <v>0</v>
      </c>
    </row>
    <row r="314">
      <c r="A314" s="12"/>
      <c r="B314" s="12"/>
      <c r="C314" s="12"/>
      <c r="D314" s="91">
        <f>IFERROR(__xludf.DUMMYFUNCTION("IFERROR(sum(filter('Основной эфир'!$AA:$AA, 'Основной эфир'!$B:$B=$A314,'Основной эфир'!$C:$C=$B314,'Основной эфир'!$I:$I=$C314)), 0) "),0.0)</f>
        <v>0</v>
      </c>
      <c r="E314" s="91">
        <f>IFERROR(__xludf.DUMMYFUNCTION("IFERROR(sum(filter('Основной эфир'!$AC:$AC, 'Основной эфир'!$B:$B=$A314,'Основной эфир'!$C:$C=$B314,'Основной эфир'!$I:$I=$C314)), 0) "),0.0)</f>
        <v>0</v>
      </c>
      <c r="F314" s="91">
        <f>IFERROR(__xludf.DUMMYFUNCTION("IFERROR(sum(filter('Основной эфир'!$O:$O, 'Основной эфир'!$B:$B=$A314,'Основной эфир'!$C:$C=$B314,'Основной эфир'!$I:$I=$C314)), 0) "),0.0)</f>
        <v>0</v>
      </c>
      <c r="G314" s="91">
        <f>IFERROR(__xludf.DUMMYFUNCTION("IFERROR(sum(filter('Основной эфир'!$Q:$Q, 'Основной эфир'!$B:$B=$A314,'Основной эфир'!$C:$C=$B314,'Основной эфир'!$I:$I=$C314)), 0) "),0.0)</f>
        <v>0</v>
      </c>
      <c r="H314" s="91">
        <f>IFERROR(__xludf.DUMMYFUNCTION("IFERROR(AVERAGE(filter('Основной эфир'!$Y:$Y, 'Основной эфир'!$B:$B=$A314,'Основной эфир'!$C:$C=$B314,'Основной эфир'!$I:$I=$C314)), 0) "),0.0)</f>
        <v>0</v>
      </c>
      <c r="I314" s="91">
        <f>IFERROR(__xludf.DUMMYFUNCTION("IFERROR(AVERAGE(filter('Основной эфир'!$AE:$AE, 'Основной эфир'!$B:$B=$A314,'Основной эфир'!$C:$C=$B314,'Основной эфир'!$I:$I=$C314)), 0) "),0.0)</f>
        <v>0</v>
      </c>
      <c r="J314" s="91">
        <f>IFERROR(__xludf.DUMMYFUNCTION("IFERROR(SUM(filter('Основной эфир'!$AL:$AL, 'Основной эфир'!$B:$B=$A314,'Основной эфир'!$C:$C=$B314,'Основной эфир'!$I:$I=$C314)), 0) "),0.0)</f>
        <v>0</v>
      </c>
      <c r="K314" s="91" t="str">
        <f>IFERROR(__xludf.DUMMYFUNCTION("IFERROR(REGEXREPLACE(unique(filter('Основной эфир'!$A:$A, 'Основной эфир'!$B:$B=$A314,'Основной эфир'!$C:$C=$B314,'Основной эфир'!$I:$I=$C314)), ""\d+"", """"),"""")"),"")</f>
        <v/>
      </c>
      <c r="L314" s="91" t="str">
        <f>IFERROR(__xludf.DUMMYFUNCTION("IFERROR(unique(filter('Основной эфир'!$F:$F, 'Основной эфир'!$B:$B=$A314,'Основной эфир'!$C:$C=$B314,'Основной эфир'!$I:$I=$C314)),"""")"),"")</f>
        <v/>
      </c>
      <c r="M314" s="92" t="str">
        <f t="shared" si="1"/>
        <v/>
      </c>
      <c r="N314" s="93">
        <f>IFERROR(__xludf.DUMMYFUNCTION("IFERROR(SWITCH(lower(join("" "",L314:M314)),""а миллионник"", 62.5,""б миллионник"", 75,""а мск"", 50, ""б мск"", 62.5, ""a остальное"", 70, ""б остальное"", 80)/100,0)"),0.0)</f>
        <v>0</v>
      </c>
      <c r="O314" s="91">
        <f t="shared" si="2"/>
        <v>0</v>
      </c>
      <c r="P314" s="91">
        <f>IFERROR(__xludf.DUMMYFUNCTION("IFERROR(sum(filter('Генеральный баннер'!$O:$O, 'Генеральный баннер'!$B:$B=$A314,'Генеральный баннер'!$C:$C=$B314,'Генеральный баннер'!$I:$I=$C314)), 0) "),0.0)</f>
        <v>0</v>
      </c>
      <c r="Q314" s="91">
        <f>IFERROR(__xludf.DUMMYFUNCTION("IFERROR(sum(filter('Генеральный баннер'!$Q:$Q, 'Генеральный баннер'!$B:$B=$A314,'Генеральный баннер'!$C:$C=$B314,'Генеральный баннер'!$I:$I=$C314)), 0) "),0.0)</f>
        <v>0</v>
      </c>
      <c r="R314" s="91">
        <f>IFERROR(__xludf.DUMMYFUNCTION("IFERROR(AVERAGE(filter('Генеральный баннер'!$AA:$AA, 'Генеральный баннер'!$B:$B=$A314,'Генеральный баннер'!$C:$C=$B314,'Генеральный баннер'!$I:$I=$C314)), 0) "),0.0)</f>
        <v>0</v>
      </c>
      <c r="S314" s="91">
        <f>IFERROR(__xludf.DUMMYFUNCTION("IFERROR(SUM(filter('Генеральный баннер'!$AH:$AH, 'Генеральный баннер'!$B:$B=$A314,'Генеральный баннер'!$C:$C=$B314,'Генеральный баннер'!$I:$I=$C314)), 0) "),0.0)</f>
        <v>0</v>
      </c>
      <c r="T314" s="91" t="str">
        <f>IFERROR(__xludf.DUMMYFUNCTION("IFERROR(REGEXREPLACE(unique(filter('Генеральный баннер'!$A:$A, 'Генеральный баннер'!$B:$B=$A314,'Генеральный баннер'!$C:$C=$B314,'Генеральный баннер'!$I:$I=$C314)), ""\d+"", """"),"""")"),"")</f>
        <v/>
      </c>
      <c r="U314" s="91" t="str">
        <f>IFERROR(__xludf.DUMMYFUNCTION("IFERROR(unique(filter('Генеральный баннер'!$F:$F, 'Генеральный баннер'!$B:$B=$A314,'Генеральный баннер'!$C:$C=$B314,'Генеральный баннер'!$I:$I=$C314)),"""")"),"")</f>
        <v/>
      </c>
      <c r="V314" s="92" t="str">
        <f t="shared" si="3"/>
        <v/>
      </c>
      <c r="W314" s="93">
        <f>IFERROR(__xludf.DUMMYFUNCTION("IFERROR(SWITCH(lower(join("" "",U314:V314)),""а миллионник"", 62.5,""б миллионник"", 75,""а мск"", 50, ""б мск"", 62.5, ""a остальное"", 70, ""б остальное"", 80)/100,0)"),0.0)</f>
        <v>0</v>
      </c>
      <c r="X314" s="91">
        <f t="shared" si="4"/>
        <v>0</v>
      </c>
    </row>
    <row r="315">
      <c r="A315" s="12"/>
      <c r="B315" s="12"/>
      <c r="C315" s="12"/>
      <c r="D315" s="91">
        <f>IFERROR(__xludf.DUMMYFUNCTION("IFERROR(sum(filter('Основной эфир'!$AA:$AA, 'Основной эфир'!$B:$B=$A315,'Основной эфир'!$C:$C=$B315,'Основной эфир'!$I:$I=$C315)), 0) "),0.0)</f>
        <v>0</v>
      </c>
      <c r="E315" s="91">
        <f>IFERROR(__xludf.DUMMYFUNCTION("IFERROR(sum(filter('Основной эфир'!$AC:$AC, 'Основной эфир'!$B:$B=$A315,'Основной эфир'!$C:$C=$B315,'Основной эфир'!$I:$I=$C315)), 0) "),0.0)</f>
        <v>0</v>
      </c>
      <c r="F315" s="91">
        <f>IFERROR(__xludf.DUMMYFUNCTION("IFERROR(sum(filter('Основной эфир'!$O:$O, 'Основной эфир'!$B:$B=$A315,'Основной эфир'!$C:$C=$B315,'Основной эфир'!$I:$I=$C315)), 0) "),0.0)</f>
        <v>0</v>
      </c>
      <c r="G315" s="91">
        <f>IFERROR(__xludf.DUMMYFUNCTION("IFERROR(sum(filter('Основной эфир'!$Q:$Q, 'Основной эфир'!$B:$B=$A315,'Основной эфир'!$C:$C=$B315,'Основной эфир'!$I:$I=$C315)), 0) "),0.0)</f>
        <v>0</v>
      </c>
      <c r="H315" s="91">
        <f>IFERROR(__xludf.DUMMYFUNCTION("IFERROR(AVERAGE(filter('Основной эфир'!$Y:$Y, 'Основной эфир'!$B:$B=$A315,'Основной эфир'!$C:$C=$B315,'Основной эфир'!$I:$I=$C315)), 0) "),0.0)</f>
        <v>0</v>
      </c>
      <c r="I315" s="91">
        <f>IFERROR(__xludf.DUMMYFUNCTION("IFERROR(AVERAGE(filter('Основной эфир'!$AE:$AE, 'Основной эфир'!$B:$B=$A315,'Основной эфир'!$C:$C=$B315,'Основной эфир'!$I:$I=$C315)), 0) "),0.0)</f>
        <v>0</v>
      </c>
      <c r="J315" s="91">
        <f>IFERROR(__xludf.DUMMYFUNCTION("IFERROR(SUM(filter('Основной эфир'!$AL:$AL, 'Основной эфир'!$B:$B=$A315,'Основной эфир'!$C:$C=$B315,'Основной эфир'!$I:$I=$C315)), 0) "),0.0)</f>
        <v>0</v>
      </c>
      <c r="K315" s="91" t="str">
        <f>IFERROR(__xludf.DUMMYFUNCTION("IFERROR(REGEXREPLACE(unique(filter('Основной эфир'!$A:$A, 'Основной эфир'!$B:$B=$A315,'Основной эфир'!$C:$C=$B315,'Основной эфир'!$I:$I=$C315)), ""\d+"", """"),"""")"),"")</f>
        <v/>
      </c>
      <c r="L315" s="91" t="str">
        <f>IFERROR(__xludf.DUMMYFUNCTION("IFERROR(unique(filter('Основной эфир'!$F:$F, 'Основной эфир'!$B:$B=$A315,'Основной эфир'!$C:$C=$B315,'Основной эфир'!$I:$I=$C315)),"""")"),"")</f>
        <v/>
      </c>
      <c r="M315" s="92" t="str">
        <f t="shared" si="1"/>
        <v/>
      </c>
      <c r="N315" s="93">
        <f>IFERROR(__xludf.DUMMYFUNCTION("IFERROR(SWITCH(lower(join("" "",L315:M315)),""а миллионник"", 62.5,""б миллионник"", 75,""а мск"", 50, ""б мск"", 62.5, ""a остальное"", 70, ""б остальное"", 80)/100,0)"),0.0)</f>
        <v>0</v>
      </c>
      <c r="O315" s="91">
        <f t="shared" si="2"/>
        <v>0</v>
      </c>
      <c r="P315" s="91">
        <f>IFERROR(__xludf.DUMMYFUNCTION("IFERROR(sum(filter('Генеральный баннер'!$O:$O, 'Генеральный баннер'!$B:$B=$A315,'Генеральный баннер'!$C:$C=$B315,'Генеральный баннер'!$I:$I=$C315)), 0) "),0.0)</f>
        <v>0</v>
      </c>
      <c r="Q315" s="91">
        <f>IFERROR(__xludf.DUMMYFUNCTION("IFERROR(sum(filter('Генеральный баннер'!$Q:$Q, 'Генеральный баннер'!$B:$B=$A315,'Генеральный баннер'!$C:$C=$B315,'Генеральный баннер'!$I:$I=$C315)), 0) "),0.0)</f>
        <v>0</v>
      </c>
      <c r="R315" s="91">
        <f>IFERROR(__xludf.DUMMYFUNCTION("IFERROR(AVERAGE(filter('Генеральный баннер'!$AA:$AA, 'Генеральный баннер'!$B:$B=$A315,'Генеральный баннер'!$C:$C=$B315,'Генеральный баннер'!$I:$I=$C315)), 0) "),0.0)</f>
        <v>0</v>
      </c>
      <c r="S315" s="91">
        <f>IFERROR(__xludf.DUMMYFUNCTION("IFERROR(SUM(filter('Генеральный баннер'!$AH:$AH, 'Генеральный баннер'!$B:$B=$A315,'Генеральный баннер'!$C:$C=$B315,'Генеральный баннер'!$I:$I=$C315)), 0) "),0.0)</f>
        <v>0</v>
      </c>
      <c r="T315" s="91" t="str">
        <f>IFERROR(__xludf.DUMMYFUNCTION("IFERROR(REGEXREPLACE(unique(filter('Генеральный баннер'!$A:$A, 'Генеральный баннер'!$B:$B=$A315,'Генеральный баннер'!$C:$C=$B315,'Генеральный баннер'!$I:$I=$C315)), ""\d+"", """"),"""")"),"")</f>
        <v/>
      </c>
      <c r="U315" s="91" t="str">
        <f>IFERROR(__xludf.DUMMYFUNCTION("IFERROR(unique(filter('Генеральный баннер'!$F:$F, 'Генеральный баннер'!$B:$B=$A315,'Генеральный баннер'!$C:$C=$B315,'Генеральный баннер'!$I:$I=$C315)),"""")"),"")</f>
        <v/>
      </c>
      <c r="V315" s="92" t="str">
        <f t="shared" si="3"/>
        <v/>
      </c>
      <c r="W315" s="93">
        <f>IFERROR(__xludf.DUMMYFUNCTION("IFERROR(SWITCH(lower(join("" "",U315:V315)),""а миллионник"", 62.5,""б миллионник"", 75,""а мск"", 50, ""б мск"", 62.5, ""a остальное"", 70, ""б остальное"", 80)/100,0)"),0.0)</f>
        <v>0</v>
      </c>
      <c r="X315" s="91">
        <f t="shared" si="4"/>
        <v>0</v>
      </c>
    </row>
    <row r="316">
      <c r="A316" s="12"/>
      <c r="B316" s="12"/>
      <c r="C316" s="12"/>
      <c r="D316" s="91">
        <f>IFERROR(__xludf.DUMMYFUNCTION("IFERROR(sum(filter('Основной эфир'!$AA:$AA, 'Основной эфир'!$B:$B=$A316,'Основной эфир'!$C:$C=$B316,'Основной эфир'!$I:$I=$C316)), 0) "),0.0)</f>
        <v>0</v>
      </c>
      <c r="E316" s="91">
        <f>IFERROR(__xludf.DUMMYFUNCTION("IFERROR(sum(filter('Основной эфир'!$AC:$AC, 'Основной эфир'!$B:$B=$A316,'Основной эфир'!$C:$C=$B316,'Основной эфир'!$I:$I=$C316)), 0) "),0.0)</f>
        <v>0</v>
      </c>
      <c r="F316" s="91">
        <f>IFERROR(__xludf.DUMMYFUNCTION("IFERROR(sum(filter('Основной эфир'!$O:$O, 'Основной эфир'!$B:$B=$A316,'Основной эфир'!$C:$C=$B316,'Основной эфир'!$I:$I=$C316)), 0) "),0.0)</f>
        <v>0</v>
      </c>
      <c r="G316" s="91">
        <f>IFERROR(__xludf.DUMMYFUNCTION("IFERROR(sum(filter('Основной эфир'!$Q:$Q, 'Основной эфир'!$B:$B=$A316,'Основной эфир'!$C:$C=$B316,'Основной эфир'!$I:$I=$C316)), 0) "),0.0)</f>
        <v>0</v>
      </c>
      <c r="H316" s="91">
        <f>IFERROR(__xludf.DUMMYFUNCTION("IFERROR(AVERAGE(filter('Основной эфир'!$Y:$Y, 'Основной эфир'!$B:$B=$A316,'Основной эфир'!$C:$C=$B316,'Основной эфир'!$I:$I=$C316)), 0) "),0.0)</f>
        <v>0</v>
      </c>
      <c r="I316" s="91">
        <f>IFERROR(__xludf.DUMMYFUNCTION("IFERROR(AVERAGE(filter('Основной эфир'!$AE:$AE, 'Основной эфир'!$B:$B=$A316,'Основной эфир'!$C:$C=$B316,'Основной эфир'!$I:$I=$C316)), 0) "),0.0)</f>
        <v>0</v>
      </c>
      <c r="J316" s="91">
        <f>IFERROR(__xludf.DUMMYFUNCTION("IFERROR(SUM(filter('Основной эфир'!$AL:$AL, 'Основной эфир'!$B:$B=$A316,'Основной эфир'!$C:$C=$B316,'Основной эфир'!$I:$I=$C316)), 0) "),0.0)</f>
        <v>0</v>
      </c>
      <c r="K316" s="91" t="str">
        <f>IFERROR(__xludf.DUMMYFUNCTION("IFERROR(REGEXREPLACE(unique(filter('Основной эфир'!$A:$A, 'Основной эфир'!$B:$B=$A316,'Основной эфир'!$C:$C=$B316,'Основной эфир'!$I:$I=$C316)), ""\d+"", """"),"""")"),"")</f>
        <v/>
      </c>
      <c r="L316" s="91" t="str">
        <f>IFERROR(__xludf.DUMMYFUNCTION("IFERROR(unique(filter('Основной эфир'!$F:$F, 'Основной эфир'!$B:$B=$A316,'Основной эфир'!$C:$C=$B316,'Основной эфир'!$I:$I=$C316)),"""")"),"")</f>
        <v/>
      </c>
      <c r="M316" s="92" t="str">
        <f t="shared" si="1"/>
        <v/>
      </c>
      <c r="N316" s="93">
        <f>IFERROR(__xludf.DUMMYFUNCTION("IFERROR(SWITCH(lower(join("" "",L316:M316)),""а миллионник"", 62.5,""б миллионник"", 75,""а мск"", 50, ""б мск"", 62.5, ""a остальное"", 70, ""б остальное"", 80)/100,0)"),0.0)</f>
        <v>0</v>
      </c>
      <c r="O316" s="91">
        <f t="shared" si="2"/>
        <v>0</v>
      </c>
      <c r="P316" s="91">
        <f>IFERROR(__xludf.DUMMYFUNCTION("IFERROR(sum(filter('Генеральный баннер'!$O:$O, 'Генеральный баннер'!$B:$B=$A316,'Генеральный баннер'!$C:$C=$B316,'Генеральный баннер'!$I:$I=$C316)), 0) "),0.0)</f>
        <v>0</v>
      </c>
      <c r="Q316" s="91">
        <f>IFERROR(__xludf.DUMMYFUNCTION("IFERROR(sum(filter('Генеральный баннер'!$Q:$Q, 'Генеральный баннер'!$B:$B=$A316,'Генеральный баннер'!$C:$C=$B316,'Генеральный баннер'!$I:$I=$C316)), 0) "),0.0)</f>
        <v>0</v>
      </c>
      <c r="R316" s="91">
        <f>IFERROR(__xludf.DUMMYFUNCTION("IFERROR(AVERAGE(filter('Генеральный баннер'!$AA:$AA, 'Генеральный баннер'!$B:$B=$A316,'Генеральный баннер'!$C:$C=$B316,'Генеральный баннер'!$I:$I=$C316)), 0) "),0.0)</f>
        <v>0</v>
      </c>
      <c r="S316" s="91">
        <f>IFERROR(__xludf.DUMMYFUNCTION("IFERROR(SUM(filter('Генеральный баннер'!$AH:$AH, 'Генеральный баннер'!$B:$B=$A316,'Генеральный баннер'!$C:$C=$B316,'Генеральный баннер'!$I:$I=$C316)), 0) "),0.0)</f>
        <v>0</v>
      </c>
      <c r="T316" s="91" t="str">
        <f>IFERROR(__xludf.DUMMYFUNCTION("IFERROR(REGEXREPLACE(unique(filter('Генеральный баннер'!$A:$A, 'Генеральный баннер'!$B:$B=$A316,'Генеральный баннер'!$C:$C=$B316,'Генеральный баннер'!$I:$I=$C316)), ""\d+"", """"),"""")"),"")</f>
        <v/>
      </c>
      <c r="U316" s="91" t="str">
        <f>IFERROR(__xludf.DUMMYFUNCTION("IFERROR(unique(filter('Генеральный баннер'!$F:$F, 'Генеральный баннер'!$B:$B=$A316,'Генеральный баннер'!$C:$C=$B316,'Генеральный баннер'!$I:$I=$C316)),"""")"),"")</f>
        <v/>
      </c>
      <c r="V316" s="92" t="str">
        <f t="shared" si="3"/>
        <v/>
      </c>
      <c r="W316" s="93">
        <f>IFERROR(__xludf.DUMMYFUNCTION("IFERROR(SWITCH(lower(join("" "",U316:V316)),""а миллионник"", 62.5,""б миллионник"", 75,""а мск"", 50, ""б мск"", 62.5, ""a остальное"", 70, ""б остальное"", 80)/100,0)"),0.0)</f>
        <v>0</v>
      </c>
      <c r="X316" s="91">
        <f t="shared" si="4"/>
        <v>0</v>
      </c>
    </row>
    <row r="317">
      <c r="A317" s="12"/>
      <c r="B317" s="12"/>
      <c r="C317" s="12"/>
      <c r="D317" s="91">
        <f>IFERROR(__xludf.DUMMYFUNCTION("IFERROR(sum(filter('Основной эфир'!$AA:$AA, 'Основной эфир'!$B:$B=$A317,'Основной эфир'!$C:$C=$B317,'Основной эфир'!$I:$I=$C317)), 0) "),0.0)</f>
        <v>0</v>
      </c>
      <c r="E317" s="91">
        <f>IFERROR(__xludf.DUMMYFUNCTION("IFERROR(sum(filter('Основной эфир'!$AC:$AC, 'Основной эфир'!$B:$B=$A317,'Основной эфир'!$C:$C=$B317,'Основной эфир'!$I:$I=$C317)), 0) "),0.0)</f>
        <v>0</v>
      </c>
      <c r="F317" s="91">
        <f>IFERROR(__xludf.DUMMYFUNCTION("IFERROR(sum(filter('Основной эфир'!$O:$O, 'Основной эфир'!$B:$B=$A317,'Основной эфир'!$C:$C=$B317,'Основной эфир'!$I:$I=$C317)), 0) "),0.0)</f>
        <v>0</v>
      </c>
      <c r="G317" s="91">
        <f>IFERROR(__xludf.DUMMYFUNCTION("IFERROR(sum(filter('Основной эфир'!$Q:$Q, 'Основной эфир'!$B:$B=$A317,'Основной эфир'!$C:$C=$B317,'Основной эфир'!$I:$I=$C317)), 0) "),0.0)</f>
        <v>0</v>
      </c>
      <c r="H317" s="91">
        <f>IFERROR(__xludf.DUMMYFUNCTION("IFERROR(AVERAGE(filter('Основной эфир'!$Y:$Y, 'Основной эфир'!$B:$B=$A317,'Основной эфир'!$C:$C=$B317,'Основной эфир'!$I:$I=$C317)), 0) "),0.0)</f>
        <v>0</v>
      </c>
      <c r="I317" s="91">
        <f>IFERROR(__xludf.DUMMYFUNCTION("IFERROR(AVERAGE(filter('Основной эфир'!$AE:$AE, 'Основной эфир'!$B:$B=$A317,'Основной эфир'!$C:$C=$B317,'Основной эфир'!$I:$I=$C317)), 0) "),0.0)</f>
        <v>0</v>
      </c>
      <c r="J317" s="91">
        <f>IFERROR(__xludf.DUMMYFUNCTION("IFERROR(SUM(filter('Основной эфир'!$AL:$AL, 'Основной эфир'!$B:$B=$A317,'Основной эфир'!$C:$C=$B317,'Основной эфир'!$I:$I=$C317)), 0) "),0.0)</f>
        <v>0</v>
      </c>
      <c r="K317" s="91" t="str">
        <f>IFERROR(__xludf.DUMMYFUNCTION("IFERROR(REGEXREPLACE(unique(filter('Основной эфир'!$A:$A, 'Основной эфир'!$B:$B=$A317,'Основной эфир'!$C:$C=$B317,'Основной эфир'!$I:$I=$C317)), ""\d+"", """"),"""")"),"")</f>
        <v/>
      </c>
      <c r="L317" s="91" t="str">
        <f>IFERROR(__xludf.DUMMYFUNCTION("IFERROR(unique(filter('Основной эфир'!$F:$F, 'Основной эфир'!$B:$B=$A317,'Основной эфир'!$C:$C=$B317,'Основной эфир'!$I:$I=$C317)),"""")"),"")</f>
        <v/>
      </c>
      <c r="M317" s="92" t="str">
        <f t="shared" si="1"/>
        <v/>
      </c>
      <c r="N317" s="93">
        <f>IFERROR(__xludf.DUMMYFUNCTION("IFERROR(SWITCH(lower(join("" "",L317:M317)),""а миллионник"", 62.5,""б миллионник"", 75,""а мск"", 50, ""б мск"", 62.5, ""a остальное"", 70, ""б остальное"", 80)/100,0)"),0.0)</f>
        <v>0</v>
      </c>
      <c r="O317" s="91">
        <f t="shared" si="2"/>
        <v>0</v>
      </c>
      <c r="P317" s="91">
        <f>IFERROR(__xludf.DUMMYFUNCTION("IFERROR(sum(filter('Генеральный баннер'!$O:$O, 'Генеральный баннер'!$B:$B=$A317,'Генеральный баннер'!$C:$C=$B317,'Генеральный баннер'!$I:$I=$C317)), 0) "),0.0)</f>
        <v>0</v>
      </c>
      <c r="Q317" s="91">
        <f>IFERROR(__xludf.DUMMYFUNCTION("IFERROR(sum(filter('Генеральный баннер'!$Q:$Q, 'Генеральный баннер'!$B:$B=$A317,'Генеральный баннер'!$C:$C=$B317,'Генеральный баннер'!$I:$I=$C317)), 0) "),0.0)</f>
        <v>0</v>
      </c>
      <c r="R317" s="91">
        <f>IFERROR(__xludf.DUMMYFUNCTION("IFERROR(AVERAGE(filter('Генеральный баннер'!$AA:$AA, 'Генеральный баннер'!$B:$B=$A317,'Генеральный баннер'!$C:$C=$B317,'Генеральный баннер'!$I:$I=$C317)), 0) "),0.0)</f>
        <v>0</v>
      </c>
      <c r="S317" s="91">
        <f>IFERROR(__xludf.DUMMYFUNCTION("IFERROR(SUM(filter('Генеральный баннер'!$AH:$AH, 'Генеральный баннер'!$B:$B=$A317,'Генеральный баннер'!$C:$C=$B317,'Генеральный баннер'!$I:$I=$C317)), 0) "),0.0)</f>
        <v>0</v>
      </c>
      <c r="T317" s="91" t="str">
        <f>IFERROR(__xludf.DUMMYFUNCTION("IFERROR(REGEXREPLACE(unique(filter('Генеральный баннер'!$A:$A, 'Генеральный баннер'!$B:$B=$A317,'Генеральный баннер'!$C:$C=$B317,'Генеральный баннер'!$I:$I=$C317)), ""\d+"", """"),"""")"),"")</f>
        <v/>
      </c>
      <c r="U317" s="91" t="str">
        <f>IFERROR(__xludf.DUMMYFUNCTION("IFERROR(unique(filter('Генеральный баннер'!$F:$F, 'Генеральный баннер'!$B:$B=$A317,'Генеральный баннер'!$C:$C=$B317,'Генеральный баннер'!$I:$I=$C317)),"""")"),"")</f>
        <v/>
      </c>
      <c r="V317" s="92" t="str">
        <f t="shared" si="3"/>
        <v/>
      </c>
      <c r="W317" s="93">
        <f>IFERROR(__xludf.DUMMYFUNCTION("IFERROR(SWITCH(lower(join("" "",U317:V317)),""а миллионник"", 62.5,""б миллионник"", 75,""а мск"", 50, ""б мск"", 62.5, ""a остальное"", 70, ""б остальное"", 80)/100,0)"),0.0)</f>
        <v>0</v>
      </c>
      <c r="X317" s="91">
        <f t="shared" si="4"/>
        <v>0</v>
      </c>
    </row>
    <row r="318">
      <c r="A318" s="12"/>
      <c r="B318" s="12"/>
      <c r="C318" s="12"/>
      <c r="D318" s="91">
        <f>IFERROR(__xludf.DUMMYFUNCTION("IFERROR(sum(filter('Основной эфир'!$AA:$AA, 'Основной эфир'!$B:$B=$A318,'Основной эфир'!$C:$C=$B318,'Основной эфир'!$I:$I=$C318)), 0) "),0.0)</f>
        <v>0</v>
      </c>
      <c r="E318" s="91">
        <f>IFERROR(__xludf.DUMMYFUNCTION("IFERROR(sum(filter('Основной эфир'!$AC:$AC, 'Основной эфир'!$B:$B=$A318,'Основной эфир'!$C:$C=$B318,'Основной эфир'!$I:$I=$C318)), 0) "),0.0)</f>
        <v>0</v>
      </c>
      <c r="F318" s="91">
        <f>IFERROR(__xludf.DUMMYFUNCTION("IFERROR(sum(filter('Основной эфир'!$O:$O, 'Основной эфир'!$B:$B=$A318,'Основной эфир'!$C:$C=$B318,'Основной эфир'!$I:$I=$C318)), 0) "),0.0)</f>
        <v>0</v>
      </c>
      <c r="G318" s="91">
        <f>IFERROR(__xludf.DUMMYFUNCTION("IFERROR(sum(filter('Основной эфир'!$Q:$Q, 'Основной эфир'!$B:$B=$A318,'Основной эфир'!$C:$C=$B318,'Основной эфир'!$I:$I=$C318)), 0) "),0.0)</f>
        <v>0</v>
      </c>
      <c r="H318" s="91">
        <f>IFERROR(__xludf.DUMMYFUNCTION("IFERROR(AVERAGE(filter('Основной эфир'!$Y:$Y, 'Основной эфир'!$B:$B=$A318,'Основной эфир'!$C:$C=$B318,'Основной эфир'!$I:$I=$C318)), 0) "),0.0)</f>
        <v>0</v>
      </c>
      <c r="I318" s="91">
        <f>IFERROR(__xludf.DUMMYFUNCTION("IFERROR(AVERAGE(filter('Основной эфир'!$AE:$AE, 'Основной эфир'!$B:$B=$A318,'Основной эфир'!$C:$C=$B318,'Основной эфир'!$I:$I=$C318)), 0) "),0.0)</f>
        <v>0</v>
      </c>
      <c r="J318" s="91">
        <f>IFERROR(__xludf.DUMMYFUNCTION("IFERROR(SUM(filter('Основной эфир'!$AL:$AL, 'Основной эфир'!$B:$B=$A318,'Основной эфир'!$C:$C=$B318,'Основной эфир'!$I:$I=$C318)), 0) "),0.0)</f>
        <v>0</v>
      </c>
      <c r="K318" s="91" t="str">
        <f>IFERROR(__xludf.DUMMYFUNCTION("IFERROR(REGEXREPLACE(unique(filter('Основной эфир'!$A:$A, 'Основной эфир'!$B:$B=$A318,'Основной эфир'!$C:$C=$B318,'Основной эфир'!$I:$I=$C318)), ""\d+"", """"),"""")"),"")</f>
        <v/>
      </c>
      <c r="L318" s="91" t="str">
        <f>IFERROR(__xludf.DUMMYFUNCTION("IFERROR(unique(filter('Основной эфир'!$F:$F, 'Основной эфир'!$B:$B=$A318,'Основной эфир'!$C:$C=$B318,'Основной эфир'!$I:$I=$C318)),"""")"),"")</f>
        <v/>
      </c>
      <c r="M318" s="92" t="str">
        <f t="shared" si="1"/>
        <v/>
      </c>
      <c r="N318" s="93">
        <f>IFERROR(__xludf.DUMMYFUNCTION("IFERROR(SWITCH(lower(join("" "",L318:M318)),""а миллионник"", 62.5,""б миллионник"", 75,""а мск"", 50, ""б мск"", 62.5, ""a остальное"", 70, ""б остальное"", 80)/100,0)"),0.0)</f>
        <v>0</v>
      </c>
      <c r="O318" s="91">
        <f t="shared" si="2"/>
        <v>0</v>
      </c>
      <c r="P318" s="91">
        <f>IFERROR(__xludf.DUMMYFUNCTION("IFERROR(sum(filter('Генеральный баннер'!$O:$O, 'Генеральный баннер'!$B:$B=$A318,'Генеральный баннер'!$C:$C=$B318,'Генеральный баннер'!$I:$I=$C318)), 0) "),0.0)</f>
        <v>0</v>
      </c>
      <c r="Q318" s="91">
        <f>IFERROR(__xludf.DUMMYFUNCTION("IFERROR(sum(filter('Генеральный баннер'!$Q:$Q, 'Генеральный баннер'!$B:$B=$A318,'Генеральный баннер'!$C:$C=$B318,'Генеральный баннер'!$I:$I=$C318)), 0) "),0.0)</f>
        <v>0</v>
      </c>
      <c r="R318" s="91">
        <f>IFERROR(__xludf.DUMMYFUNCTION("IFERROR(AVERAGE(filter('Генеральный баннер'!$AA:$AA, 'Генеральный баннер'!$B:$B=$A318,'Генеральный баннер'!$C:$C=$B318,'Генеральный баннер'!$I:$I=$C318)), 0) "),0.0)</f>
        <v>0</v>
      </c>
      <c r="S318" s="91">
        <f>IFERROR(__xludf.DUMMYFUNCTION("IFERROR(SUM(filter('Генеральный баннер'!$AH:$AH, 'Генеральный баннер'!$B:$B=$A318,'Генеральный баннер'!$C:$C=$B318,'Генеральный баннер'!$I:$I=$C318)), 0) "),0.0)</f>
        <v>0</v>
      </c>
      <c r="T318" s="91" t="str">
        <f>IFERROR(__xludf.DUMMYFUNCTION("IFERROR(REGEXREPLACE(unique(filter('Генеральный баннер'!$A:$A, 'Генеральный баннер'!$B:$B=$A318,'Генеральный баннер'!$C:$C=$B318,'Генеральный баннер'!$I:$I=$C318)), ""\d+"", """"),"""")"),"")</f>
        <v/>
      </c>
      <c r="U318" s="91" t="str">
        <f>IFERROR(__xludf.DUMMYFUNCTION("IFERROR(unique(filter('Генеральный баннер'!$F:$F, 'Генеральный баннер'!$B:$B=$A318,'Генеральный баннер'!$C:$C=$B318,'Генеральный баннер'!$I:$I=$C318)),"""")"),"")</f>
        <v/>
      </c>
      <c r="V318" s="92" t="str">
        <f t="shared" si="3"/>
        <v/>
      </c>
      <c r="W318" s="93">
        <f>IFERROR(__xludf.DUMMYFUNCTION("IFERROR(SWITCH(lower(join("" "",U318:V318)),""а миллионник"", 62.5,""б миллионник"", 75,""а мск"", 50, ""б мск"", 62.5, ""a остальное"", 70, ""б остальное"", 80)/100,0)"),0.0)</f>
        <v>0</v>
      </c>
      <c r="X318" s="91">
        <f t="shared" si="4"/>
        <v>0</v>
      </c>
    </row>
    <row r="319">
      <c r="A319" s="12"/>
      <c r="B319" s="12"/>
      <c r="C319" s="12"/>
      <c r="D319" s="91">
        <f>IFERROR(__xludf.DUMMYFUNCTION("IFERROR(sum(filter('Основной эфир'!$AA:$AA, 'Основной эфир'!$B:$B=$A319,'Основной эфир'!$C:$C=$B319,'Основной эфир'!$I:$I=$C319)), 0) "),0.0)</f>
        <v>0</v>
      </c>
      <c r="E319" s="91">
        <f>IFERROR(__xludf.DUMMYFUNCTION("IFERROR(sum(filter('Основной эфир'!$AC:$AC, 'Основной эфир'!$B:$B=$A319,'Основной эфир'!$C:$C=$B319,'Основной эфир'!$I:$I=$C319)), 0) "),0.0)</f>
        <v>0</v>
      </c>
      <c r="F319" s="91">
        <f>IFERROR(__xludf.DUMMYFUNCTION("IFERROR(sum(filter('Основной эфир'!$O:$O, 'Основной эфир'!$B:$B=$A319,'Основной эфир'!$C:$C=$B319,'Основной эфир'!$I:$I=$C319)), 0) "),0.0)</f>
        <v>0</v>
      </c>
      <c r="G319" s="91">
        <f>IFERROR(__xludf.DUMMYFUNCTION("IFERROR(sum(filter('Основной эфир'!$Q:$Q, 'Основной эфир'!$B:$B=$A319,'Основной эфир'!$C:$C=$B319,'Основной эфир'!$I:$I=$C319)), 0) "),0.0)</f>
        <v>0</v>
      </c>
      <c r="H319" s="91">
        <f>IFERROR(__xludf.DUMMYFUNCTION("IFERROR(AVERAGE(filter('Основной эфир'!$Y:$Y, 'Основной эфир'!$B:$B=$A319,'Основной эфир'!$C:$C=$B319,'Основной эфир'!$I:$I=$C319)), 0) "),0.0)</f>
        <v>0</v>
      </c>
      <c r="I319" s="91">
        <f>IFERROR(__xludf.DUMMYFUNCTION("IFERROR(AVERAGE(filter('Основной эфир'!$AE:$AE, 'Основной эфир'!$B:$B=$A319,'Основной эфир'!$C:$C=$B319,'Основной эфир'!$I:$I=$C319)), 0) "),0.0)</f>
        <v>0</v>
      </c>
      <c r="J319" s="91">
        <f>IFERROR(__xludf.DUMMYFUNCTION("IFERROR(SUM(filter('Основной эфир'!$AL:$AL, 'Основной эфир'!$B:$B=$A319,'Основной эфир'!$C:$C=$B319,'Основной эфир'!$I:$I=$C319)), 0) "),0.0)</f>
        <v>0</v>
      </c>
      <c r="K319" s="91" t="str">
        <f>IFERROR(__xludf.DUMMYFUNCTION("IFERROR(REGEXREPLACE(unique(filter('Основной эфир'!$A:$A, 'Основной эфир'!$B:$B=$A319,'Основной эфир'!$C:$C=$B319,'Основной эфир'!$I:$I=$C319)), ""\d+"", """"),"""")"),"")</f>
        <v/>
      </c>
      <c r="L319" s="91" t="str">
        <f>IFERROR(__xludf.DUMMYFUNCTION("IFERROR(unique(filter('Основной эфир'!$F:$F, 'Основной эфир'!$B:$B=$A319,'Основной эфир'!$C:$C=$B319,'Основной эфир'!$I:$I=$C319)),"""")"),"")</f>
        <v/>
      </c>
      <c r="M319" s="92" t="str">
        <f t="shared" si="1"/>
        <v/>
      </c>
      <c r="N319" s="93">
        <f>IFERROR(__xludf.DUMMYFUNCTION("IFERROR(SWITCH(lower(join("" "",L319:M319)),""а миллионник"", 62.5,""б миллионник"", 75,""а мск"", 50, ""б мск"", 62.5, ""a остальное"", 70, ""б остальное"", 80)/100,0)"),0.0)</f>
        <v>0</v>
      </c>
      <c r="O319" s="91">
        <f t="shared" si="2"/>
        <v>0</v>
      </c>
      <c r="P319" s="91">
        <f>IFERROR(__xludf.DUMMYFUNCTION("IFERROR(sum(filter('Генеральный баннер'!$O:$O, 'Генеральный баннер'!$B:$B=$A319,'Генеральный баннер'!$C:$C=$B319,'Генеральный баннер'!$I:$I=$C319)), 0) "),0.0)</f>
        <v>0</v>
      </c>
      <c r="Q319" s="91">
        <f>IFERROR(__xludf.DUMMYFUNCTION("IFERROR(sum(filter('Генеральный баннер'!$Q:$Q, 'Генеральный баннер'!$B:$B=$A319,'Генеральный баннер'!$C:$C=$B319,'Генеральный баннер'!$I:$I=$C319)), 0) "),0.0)</f>
        <v>0</v>
      </c>
      <c r="R319" s="91">
        <f>IFERROR(__xludf.DUMMYFUNCTION("IFERROR(AVERAGE(filter('Генеральный баннер'!$AA:$AA, 'Генеральный баннер'!$B:$B=$A319,'Генеральный баннер'!$C:$C=$B319,'Генеральный баннер'!$I:$I=$C319)), 0) "),0.0)</f>
        <v>0</v>
      </c>
      <c r="S319" s="91">
        <f>IFERROR(__xludf.DUMMYFUNCTION("IFERROR(SUM(filter('Генеральный баннер'!$AH:$AH, 'Генеральный баннер'!$B:$B=$A319,'Генеральный баннер'!$C:$C=$B319,'Генеральный баннер'!$I:$I=$C319)), 0) "),0.0)</f>
        <v>0</v>
      </c>
      <c r="T319" s="91" t="str">
        <f>IFERROR(__xludf.DUMMYFUNCTION("IFERROR(REGEXREPLACE(unique(filter('Генеральный баннер'!$A:$A, 'Генеральный баннер'!$B:$B=$A319,'Генеральный баннер'!$C:$C=$B319,'Генеральный баннер'!$I:$I=$C319)), ""\d+"", """"),"""")"),"")</f>
        <v/>
      </c>
      <c r="U319" s="91" t="str">
        <f>IFERROR(__xludf.DUMMYFUNCTION("IFERROR(unique(filter('Генеральный баннер'!$F:$F, 'Генеральный баннер'!$B:$B=$A319,'Генеральный баннер'!$C:$C=$B319,'Генеральный баннер'!$I:$I=$C319)),"""")"),"")</f>
        <v/>
      </c>
      <c r="V319" s="92" t="str">
        <f t="shared" si="3"/>
        <v/>
      </c>
      <c r="W319" s="93">
        <f>IFERROR(__xludf.DUMMYFUNCTION("IFERROR(SWITCH(lower(join("" "",U319:V319)),""а миллионник"", 62.5,""б миллионник"", 75,""а мск"", 50, ""б мск"", 62.5, ""a остальное"", 70, ""б остальное"", 80)/100,0)"),0.0)</f>
        <v>0</v>
      </c>
      <c r="X319" s="91">
        <f t="shared" si="4"/>
        <v>0</v>
      </c>
    </row>
    <row r="320">
      <c r="A320" s="12"/>
      <c r="B320" s="12"/>
      <c r="C320" s="12"/>
      <c r="D320" s="91">
        <f>IFERROR(__xludf.DUMMYFUNCTION("IFERROR(sum(filter('Основной эфир'!$AA:$AA, 'Основной эфир'!$B:$B=$A320,'Основной эфир'!$C:$C=$B320,'Основной эфир'!$I:$I=$C320)), 0) "),0.0)</f>
        <v>0</v>
      </c>
      <c r="E320" s="91">
        <f>IFERROR(__xludf.DUMMYFUNCTION("IFERROR(sum(filter('Основной эфир'!$AC:$AC, 'Основной эфир'!$B:$B=$A320,'Основной эфир'!$C:$C=$B320,'Основной эфир'!$I:$I=$C320)), 0) "),0.0)</f>
        <v>0</v>
      </c>
      <c r="F320" s="91">
        <f>IFERROR(__xludf.DUMMYFUNCTION("IFERROR(sum(filter('Основной эфир'!$O:$O, 'Основной эфир'!$B:$B=$A320,'Основной эфир'!$C:$C=$B320,'Основной эфир'!$I:$I=$C320)), 0) "),0.0)</f>
        <v>0</v>
      </c>
      <c r="G320" s="91">
        <f>IFERROR(__xludf.DUMMYFUNCTION("IFERROR(sum(filter('Основной эфир'!$Q:$Q, 'Основной эфир'!$B:$B=$A320,'Основной эфир'!$C:$C=$B320,'Основной эфир'!$I:$I=$C320)), 0) "),0.0)</f>
        <v>0</v>
      </c>
      <c r="H320" s="91">
        <f>IFERROR(__xludf.DUMMYFUNCTION("IFERROR(AVERAGE(filter('Основной эфир'!$Y:$Y, 'Основной эфир'!$B:$B=$A320,'Основной эфир'!$C:$C=$B320,'Основной эфир'!$I:$I=$C320)), 0) "),0.0)</f>
        <v>0</v>
      </c>
      <c r="I320" s="91">
        <f>IFERROR(__xludf.DUMMYFUNCTION("IFERROR(AVERAGE(filter('Основной эфир'!$AE:$AE, 'Основной эфир'!$B:$B=$A320,'Основной эфир'!$C:$C=$B320,'Основной эфир'!$I:$I=$C320)), 0) "),0.0)</f>
        <v>0</v>
      </c>
      <c r="J320" s="91">
        <f>IFERROR(__xludf.DUMMYFUNCTION("IFERROR(SUM(filter('Основной эфир'!$AL:$AL, 'Основной эфир'!$B:$B=$A320,'Основной эфир'!$C:$C=$B320,'Основной эфир'!$I:$I=$C320)), 0) "),0.0)</f>
        <v>0</v>
      </c>
      <c r="K320" s="91" t="str">
        <f>IFERROR(__xludf.DUMMYFUNCTION("IFERROR(REGEXREPLACE(unique(filter('Основной эфир'!$A:$A, 'Основной эфир'!$B:$B=$A320,'Основной эфир'!$C:$C=$B320,'Основной эфир'!$I:$I=$C320)), ""\d+"", """"),"""")"),"")</f>
        <v/>
      </c>
      <c r="L320" s="91" t="str">
        <f>IFERROR(__xludf.DUMMYFUNCTION("IFERROR(unique(filter('Основной эфир'!$F:$F, 'Основной эфир'!$B:$B=$A320,'Основной эфир'!$C:$C=$B320,'Основной эфир'!$I:$I=$C320)),"""")"),"")</f>
        <v/>
      </c>
      <c r="M320" s="92" t="str">
        <f t="shared" si="1"/>
        <v/>
      </c>
      <c r="N320" s="93">
        <f>IFERROR(__xludf.DUMMYFUNCTION("IFERROR(SWITCH(lower(join("" "",L320:M320)),""а миллионник"", 62.5,""б миллионник"", 75,""а мск"", 50, ""б мск"", 62.5, ""a остальное"", 70, ""б остальное"", 80)/100,0)"),0.0)</f>
        <v>0</v>
      </c>
      <c r="O320" s="91">
        <f t="shared" si="2"/>
        <v>0</v>
      </c>
      <c r="P320" s="91">
        <f>IFERROR(__xludf.DUMMYFUNCTION("IFERROR(sum(filter('Генеральный баннер'!$O:$O, 'Генеральный баннер'!$B:$B=$A320,'Генеральный баннер'!$C:$C=$B320,'Генеральный баннер'!$I:$I=$C320)), 0) "),0.0)</f>
        <v>0</v>
      </c>
      <c r="Q320" s="91">
        <f>IFERROR(__xludf.DUMMYFUNCTION("IFERROR(sum(filter('Генеральный баннер'!$Q:$Q, 'Генеральный баннер'!$B:$B=$A320,'Генеральный баннер'!$C:$C=$B320,'Генеральный баннер'!$I:$I=$C320)), 0) "),0.0)</f>
        <v>0</v>
      </c>
      <c r="R320" s="91">
        <f>IFERROR(__xludf.DUMMYFUNCTION("IFERROR(AVERAGE(filter('Генеральный баннер'!$AA:$AA, 'Генеральный баннер'!$B:$B=$A320,'Генеральный баннер'!$C:$C=$B320,'Генеральный баннер'!$I:$I=$C320)), 0) "),0.0)</f>
        <v>0</v>
      </c>
      <c r="S320" s="91">
        <f>IFERROR(__xludf.DUMMYFUNCTION("IFERROR(SUM(filter('Генеральный баннер'!$AH:$AH, 'Генеральный баннер'!$B:$B=$A320,'Генеральный баннер'!$C:$C=$B320,'Генеральный баннер'!$I:$I=$C320)), 0) "),0.0)</f>
        <v>0</v>
      </c>
      <c r="T320" s="91" t="str">
        <f>IFERROR(__xludf.DUMMYFUNCTION("IFERROR(REGEXREPLACE(unique(filter('Генеральный баннер'!$A:$A, 'Генеральный баннер'!$B:$B=$A320,'Генеральный баннер'!$C:$C=$B320,'Генеральный баннер'!$I:$I=$C320)), ""\d+"", """"),"""")"),"")</f>
        <v/>
      </c>
      <c r="U320" s="91" t="str">
        <f>IFERROR(__xludf.DUMMYFUNCTION("IFERROR(unique(filter('Генеральный баннер'!$F:$F, 'Генеральный баннер'!$B:$B=$A320,'Генеральный баннер'!$C:$C=$B320,'Генеральный баннер'!$I:$I=$C320)),"""")"),"")</f>
        <v/>
      </c>
      <c r="V320" s="92" t="str">
        <f t="shared" si="3"/>
        <v/>
      </c>
      <c r="W320" s="93">
        <f>IFERROR(__xludf.DUMMYFUNCTION("IFERROR(SWITCH(lower(join("" "",U320:V320)),""а миллионник"", 62.5,""б миллионник"", 75,""а мск"", 50, ""б мск"", 62.5, ""a остальное"", 70, ""б остальное"", 80)/100,0)"),0.0)</f>
        <v>0</v>
      </c>
      <c r="X320" s="91">
        <f t="shared" si="4"/>
        <v>0</v>
      </c>
    </row>
    <row r="321">
      <c r="A321" s="12"/>
      <c r="B321" s="12"/>
      <c r="C321" s="12"/>
      <c r="D321" s="91">
        <f>IFERROR(__xludf.DUMMYFUNCTION("IFERROR(sum(filter('Основной эфир'!$AA:$AA, 'Основной эфир'!$B:$B=$A321,'Основной эфир'!$C:$C=$B321,'Основной эфир'!$I:$I=$C321)), 0) "),0.0)</f>
        <v>0</v>
      </c>
      <c r="E321" s="91">
        <f>IFERROR(__xludf.DUMMYFUNCTION("IFERROR(sum(filter('Основной эфир'!$AC:$AC, 'Основной эфир'!$B:$B=$A321,'Основной эфир'!$C:$C=$B321,'Основной эфир'!$I:$I=$C321)), 0) "),0.0)</f>
        <v>0</v>
      </c>
      <c r="F321" s="91">
        <f>IFERROR(__xludf.DUMMYFUNCTION("IFERROR(sum(filter('Основной эфир'!$O:$O, 'Основной эфир'!$B:$B=$A321,'Основной эфир'!$C:$C=$B321,'Основной эфир'!$I:$I=$C321)), 0) "),0.0)</f>
        <v>0</v>
      </c>
      <c r="G321" s="91">
        <f>IFERROR(__xludf.DUMMYFUNCTION("IFERROR(sum(filter('Основной эфир'!$Q:$Q, 'Основной эфир'!$B:$B=$A321,'Основной эфир'!$C:$C=$B321,'Основной эфир'!$I:$I=$C321)), 0) "),0.0)</f>
        <v>0</v>
      </c>
      <c r="H321" s="91">
        <f>IFERROR(__xludf.DUMMYFUNCTION("IFERROR(AVERAGE(filter('Основной эфир'!$Y:$Y, 'Основной эфир'!$B:$B=$A321,'Основной эфир'!$C:$C=$B321,'Основной эфир'!$I:$I=$C321)), 0) "),0.0)</f>
        <v>0</v>
      </c>
      <c r="I321" s="91">
        <f>IFERROR(__xludf.DUMMYFUNCTION("IFERROR(AVERAGE(filter('Основной эфир'!$AE:$AE, 'Основной эфир'!$B:$B=$A321,'Основной эфир'!$C:$C=$B321,'Основной эфир'!$I:$I=$C321)), 0) "),0.0)</f>
        <v>0</v>
      </c>
      <c r="J321" s="91">
        <f>IFERROR(__xludf.DUMMYFUNCTION("IFERROR(SUM(filter('Основной эфир'!$AL:$AL, 'Основной эфир'!$B:$B=$A321,'Основной эфир'!$C:$C=$B321,'Основной эфир'!$I:$I=$C321)), 0) "),0.0)</f>
        <v>0</v>
      </c>
      <c r="K321" s="91" t="str">
        <f>IFERROR(__xludf.DUMMYFUNCTION("IFERROR(REGEXREPLACE(unique(filter('Основной эфир'!$A:$A, 'Основной эфир'!$B:$B=$A321,'Основной эфир'!$C:$C=$B321,'Основной эфир'!$I:$I=$C321)), ""\d+"", """"),"""")"),"")</f>
        <v/>
      </c>
      <c r="L321" s="91" t="str">
        <f>IFERROR(__xludf.DUMMYFUNCTION("IFERROR(unique(filter('Основной эфир'!$F:$F, 'Основной эфир'!$B:$B=$A321,'Основной эфир'!$C:$C=$B321,'Основной эфир'!$I:$I=$C321)),"""")"),"")</f>
        <v/>
      </c>
      <c r="M321" s="92" t="str">
        <f t="shared" si="1"/>
        <v/>
      </c>
      <c r="N321" s="93">
        <f>IFERROR(__xludf.DUMMYFUNCTION("IFERROR(SWITCH(lower(join("" "",L321:M321)),""а миллионник"", 62.5,""б миллионник"", 75,""а мск"", 50, ""б мск"", 62.5, ""a остальное"", 70, ""б остальное"", 80)/100,0)"),0.0)</f>
        <v>0</v>
      </c>
      <c r="O321" s="91">
        <f t="shared" si="2"/>
        <v>0</v>
      </c>
      <c r="P321" s="91">
        <f>IFERROR(__xludf.DUMMYFUNCTION("IFERROR(sum(filter('Генеральный баннер'!$O:$O, 'Генеральный баннер'!$B:$B=$A321,'Генеральный баннер'!$C:$C=$B321,'Генеральный баннер'!$I:$I=$C321)), 0) "),0.0)</f>
        <v>0</v>
      </c>
      <c r="Q321" s="91">
        <f>IFERROR(__xludf.DUMMYFUNCTION("IFERROR(sum(filter('Генеральный баннер'!$Q:$Q, 'Генеральный баннер'!$B:$B=$A321,'Генеральный баннер'!$C:$C=$B321,'Генеральный баннер'!$I:$I=$C321)), 0) "),0.0)</f>
        <v>0</v>
      </c>
      <c r="R321" s="91">
        <f>IFERROR(__xludf.DUMMYFUNCTION("IFERROR(AVERAGE(filter('Генеральный баннер'!$AA:$AA, 'Генеральный баннер'!$B:$B=$A321,'Генеральный баннер'!$C:$C=$B321,'Генеральный баннер'!$I:$I=$C321)), 0) "),0.0)</f>
        <v>0</v>
      </c>
      <c r="S321" s="91">
        <f>IFERROR(__xludf.DUMMYFUNCTION("IFERROR(SUM(filter('Генеральный баннер'!$AH:$AH, 'Генеральный баннер'!$B:$B=$A321,'Генеральный баннер'!$C:$C=$B321,'Генеральный баннер'!$I:$I=$C321)), 0) "),0.0)</f>
        <v>0</v>
      </c>
      <c r="T321" s="91" t="str">
        <f>IFERROR(__xludf.DUMMYFUNCTION("IFERROR(REGEXREPLACE(unique(filter('Генеральный баннер'!$A:$A, 'Генеральный баннер'!$B:$B=$A321,'Генеральный баннер'!$C:$C=$B321,'Генеральный баннер'!$I:$I=$C321)), ""\d+"", """"),"""")"),"")</f>
        <v/>
      </c>
      <c r="U321" s="91" t="str">
        <f>IFERROR(__xludf.DUMMYFUNCTION("IFERROR(unique(filter('Генеральный баннер'!$F:$F, 'Генеральный баннер'!$B:$B=$A321,'Генеральный баннер'!$C:$C=$B321,'Генеральный баннер'!$I:$I=$C321)),"""")"),"")</f>
        <v/>
      </c>
      <c r="V321" s="92" t="str">
        <f t="shared" si="3"/>
        <v/>
      </c>
      <c r="W321" s="93">
        <f>IFERROR(__xludf.DUMMYFUNCTION("IFERROR(SWITCH(lower(join("" "",U321:V321)),""а миллионник"", 62.5,""б миллионник"", 75,""а мск"", 50, ""б мск"", 62.5, ""a остальное"", 70, ""б остальное"", 80)/100,0)"),0.0)</f>
        <v>0</v>
      </c>
      <c r="X321" s="91">
        <f t="shared" si="4"/>
        <v>0</v>
      </c>
    </row>
    <row r="322">
      <c r="A322" s="12"/>
      <c r="B322" s="12"/>
      <c r="C322" s="12"/>
      <c r="D322" s="91">
        <f>IFERROR(__xludf.DUMMYFUNCTION("IFERROR(sum(filter('Основной эфир'!$AA:$AA, 'Основной эфир'!$B:$B=$A322,'Основной эфир'!$C:$C=$B322,'Основной эфир'!$I:$I=$C322)), 0) "),0.0)</f>
        <v>0</v>
      </c>
      <c r="E322" s="91">
        <f>IFERROR(__xludf.DUMMYFUNCTION("IFERROR(sum(filter('Основной эфир'!$AC:$AC, 'Основной эфир'!$B:$B=$A322,'Основной эфир'!$C:$C=$B322,'Основной эфир'!$I:$I=$C322)), 0) "),0.0)</f>
        <v>0</v>
      </c>
      <c r="F322" s="91">
        <f>IFERROR(__xludf.DUMMYFUNCTION("IFERROR(sum(filter('Основной эфир'!$O:$O, 'Основной эфир'!$B:$B=$A322,'Основной эфир'!$C:$C=$B322,'Основной эфир'!$I:$I=$C322)), 0) "),0.0)</f>
        <v>0</v>
      </c>
      <c r="G322" s="91">
        <f>IFERROR(__xludf.DUMMYFUNCTION("IFERROR(sum(filter('Основной эфир'!$Q:$Q, 'Основной эфир'!$B:$B=$A322,'Основной эфир'!$C:$C=$B322,'Основной эфир'!$I:$I=$C322)), 0) "),0.0)</f>
        <v>0</v>
      </c>
      <c r="H322" s="91">
        <f>IFERROR(__xludf.DUMMYFUNCTION("IFERROR(AVERAGE(filter('Основной эфир'!$Y:$Y, 'Основной эфир'!$B:$B=$A322,'Основной эфир'!$C:$C=$B322,'Основной эфир'!$I:$I=$C322)), 0) "),0.0)</f>
        <v>0</v>
      </c>
      <c r="I322" s="91">
        <f>IFERROR(__xludf.DUMMYFUNCTION("IFERROR(AVERAGE(filter('Основной эфир'!$AE:$AE, 'Основной эфир'!$B:$B=$A322,'Основной эфир'!$C:$C=$B322,'Основной эфир'!$I:$I=$C322)), 0) "),0.0)</f>
        <v>0</v>
      </c>
      <c r="J322" s="91">
        <f>IFERROR(__xludf.DUMMYFUNCTION("IFERROR(SUM(filter('Основной эфир'!$AL:$AL, 'Основной эфир'!$B:$B=$A322,'Основной эфир'!$C:$C=$B322,'Основной эфир'!$I:$I=$C322)), 0) "),0.0)</f>
        <v>0</v>
      </c>
      <c r="K322" s="91" t="str">
        <f>IFERROR(__xludf.DUMMYFUNCTION("IFERROR(REGEXREPLACE(unique(filter('Основной эфир'!$A:$A, 'Основной эфир'!$B:$B=$A322,'Основной эфир'!$C:$C=$B322,'Основной эфир'!$I:$I=$C322)), ""\d+"", """"),"""")"),"")</f>
        <v/>
      </c>
      <c r="L322" s="91" t="str">
        <f>IFERROR(__xludf.DUMMYFUNCTION("IFERROR(unique(filter('Основной эфир'!$F:$F, 'Основной эфир'!$B:$B=$A322,'Основной эфир'!$C:$C=$B322,'Основной эфир'!$I:$I=$C322)),"""")"),"")</f>
        <v/>
      </c>
      <c r="M322" s="92" t="str">
        <f t="shared" si="1"/>
        <v/>
      </c>
      <c r="N322" s="93">
        <f>IFERROR(__xludf.DUMMYFUNCTION("IFERROR(SWITCH(lower(join("" "",L322:M322)),""а миллионник"", 62.5,""б миллионник"", 75,""а мск"", 50, ""б мск"", 62.5, ""a остальное"", 70, ""б остальное"", 80)/100,0)"),0.0)</f>
        <v>0</v>
      </c>
      <c r="O322" s="91">
        <f t="shared" si="2"/>
        <v>0</v>
      </c>
      <c r="P322" s="91">
        <f>IFERROR(__xludf.DUMMYFUNCTION("IFERROR(sum(filter('Генеральный баннер'!$O:$O, 'Генеральный баннер'!$B:$B=$A322,'Генеральный баннер'!$C:$C=$B322,'Генеральный баннер'!$I:$I=$C322)), 0) "),0.0)</f>
        <v>0</v>
      </c>
      <c r="Q322" s="91">
        <f>IFERROR(__xludf.DUMMYFUNCTION("IFERROR(sum(filter('Генеральный баннер'!$Q:$Q, 'Генеральный баннер'!$B:$B=$A322,'Генеральный баннер'!$C:$C=$B322,'Генеральный баннер'!$I:$I=$C322)), 0) "),0.0)</f>
        <v>0</v>
      </c>
      <c r="R322" s="91">
        <f>IFERROR(__xludf.DUMMYFUNCTION("IFERROR(AVERAGE(filter('Генеральный баннер'!$AA:$AA, 'Генеральный баннер'!$B:$B=$A322,'Генеральный баннер'!$C:$C=$B322,'Генеральный баннер'!$I:$I=$C322)), 0) "),0.0)</f>
        <v>0</v>
      </c>
      <c r="S322" s="91">
        <f>IFERROR(__xludf.DUMMYFUNCTION("IFERROR(SUM(filter('Генеральный баннер'!$AH:$AH, 'Генеральный баннер'!$B:$B=$A322,'Генеральный баннер'!$C:$C=$B322,'Генеральный баннер'!$I:$I=$C322)), 0) "),0.0)</f>
        <v>0</v>
      </c>
      <c r="T322" s="91" t="str">
        <f>IFERROR(__xludf.DUMMYFUNCTION("IFERROR(REGEXREPLACE(unique(filter('Генеральный баннер'!$A:$A, 'Генеральный баннер'!$B:$B=$A322,'Генеральный баннер'!$C:$C=$B322,'Генеральный баннер'!$I:$I=$C322)), ""\d+"", """"),"""")"),"")</f>
        <v/>
      </c>
      <c r="U322" s="91" t="str">
        <f>IFERROR(__xludf.DUMMYFUNCTION("IFERROR(unique(filter('Генеральный баннер'!$F:$F, 'Генеральный баннер'!$B:$B=$A322,'Генеральный баннер'!$C:$C=$B322,'Генеральный баннер'!$I:$I=$C322)),"""")"),"")</f>
        <v/>
      </c>
      <c r="V322" s="92" t="str">
        <f t="shared" si="3"/>
        <v/>
      </c>
      <c r="W322" s="93">
        <f>IFERROR(__xludf.DUMMYFUNCTION("IFERROR(SWITCH(lower(join("" "",U322:V322)),""а миллионник"", 62.5,""б миллионник"", 75,""а мск"", 50, ""б мск"", 62.5, ""a остальное"", 70, ""б остальное"", 80)/100,0)"),0.0)</f>
        <v>0</v>
      </c>
      <c r="X322" s="91">
        <f t="shared" si="4"/>
        <v>0</v>
      </c>
    </row>
    <row r="323">
      <c r="A323" s="12"/>
      <c r="B323" s="12"/>
      <c r="C323" s="12"/>
      <c r="D323" s="91">
        <f>IFERROR(__xludf.DUMMYFUNCTION("IFERROR(sum(filter('Основной эфир'!$AA:$AA, 'Основной эфир'!$B:$B=$A323,'Основной эфир'!$C:$C=$B323,'Основной эфир'!$I:$I=$C323)), 0) "),0.0)</f>
        <v>0</v>
      </c>
      <c r="E323" s="91">
        <f>IFERROR(__xludf.DUMMYFUNCTION("IFERROR(sum(filter('Основной эфир'!$AC:$AC, 'Основной эфир'!$B:$B=$A323,'Основной эфир'!$C:$C=$B323,'Основной эфир'!$I:$I=$C323)), 0) "),0.0)</f>
        <v>0</v>
      </c>
      <c r="F323" s="91">
        <f>IFERROR(__xludf.DUMMYFUNCTION("IFERROR(sum(filter('Основной эфир'!$O:$O, 'Основной эфир'!$B:$B=$A323,'Основной эфир'!$C:$C=$B323,'Основной эфир'!$I:$I=$C323)), 0) "),0.0)</f>
        <v>0</v>
      </c>
      <c r="G323" s="91">
        <f>IFERROR(__xludf.DUMMYFUNCTION("IFERROR(sum(filter('Основной эфир'!$Q:$Q, 'Основной эфир'!$B:$B=$A323,'Основной эфир'!$C:$C=$B323,'Основной эфир'!$I:$I=$C323)), 0) "),0.0)</f>
        <v>0</v>
      </c>
      <c r="H323" s="91">
        <f>IFERROR(__xludf.DUMMYFUNCTION("IFERROR(AVERAGE(filter('Основной эфир'!$Y:$Y, 'Основной эфир'!$B:$B=$A323,'Основной эфир'!$C:$C=$B323,'Основной эфир'!$I:$I=$C323)), 0) "),0.0)</f>
        <v>0</v>
      </c>
      <c r="I323" s="91">
        <f>IFERROR(__xludf.DUMMYFUNCTION("IFERROR(AVERAGE(filter('Основной эфир'!$AE:$AE, 'Основной эфир'!$B:$B=$A323,'Основной эфир'!$C:$C=$B323,'Основной эфир'!$I:$I=$C323)), 0) "),0.0)</f>
        <v>0</v>
      </c>
      <c r="J323" s="91">
        <f>IFERROR(__xludf.DUMMYFUNCTION("IFERROR(SUM(filter('Основной эфир'!$AL:$AL, 'Основной эфир'!$B:$B=$A323,'Основной эфир'!$C:$C=$B323,'Основной эфир'!$I:$I=$C323)), 0) "),0.0)</f>
        <v>0</v>
      </c>
      <c r="K323" s="91" t="str">
        <f>IFERROR(__xludf.DUMMYFUNCTION("IFERROR(REGEXREPLACE(unique(filter('Основной эфир'!$A:$A, 'Основной эфир'!$B:$B=$A323,'Основной эфир'!$C:$C=$B323,'Основной эфир'!$I:$I=$C323)), ""\d+"", """"),"""")"),"")</f>
        <v/>
      </c>
      <c r="L323" s="91" t="str">
        <f>IFERROR(__xludf.DUMMYFUNCTION("IFERROR(unique(filter('Основной эфир'!$F:$F, 'Основной эфир'!$B:$B=$A323,'Основной эфир'!$C:$C=$B323,'Основной эфир'!$I:$I=$C323)),"""")"),"")</f>
        <v/>
      </c>
      <c r="M323" s="92" t="str">
        <f t="shared" si="1"/>
        <v/>
      </c>
      <c r="N323" s="93">
        <f>IFERROR(__xludf.DUMMYFUNCTION("IFERROR(SWITCH(lower(join("" "",L323:M323)),""а миллионник"", 62.5,""б миллионник"", 75,""а мск"", 50, ""б мск"", 62.5, ""a остальное"", 70, ""б остальное"", 80)/100,0)"),0.0)</f>
        <v>0</v>
      </c>
      <c r="O323" s="91">
        <f t="shared" si="2"/>
        <v>0</v>
      </c>
      <c r="P323" s="91">
        <f>IFERROR(__xludf.DUMMYFUNCTION("IFERROR(sum(filter('Генеральный баннер'!$O:$O, 'Генеральный баннер'!$B:$B=$A323,'Генеральный баннер'!$C:$C=$B323,'Генеральный баннер'!$I:$I=$C323)), 0) "),0.0)</f>
        <v>0</v>
      </c>
      <c r="Q323" s="91">
        <f>IFERROR(__xludf.DUMMYFUNCTION("IFERROR(sum(filter('Генеральный баннер'!$Q:$Q, 'Генеральный баннер'!$B:$B=$A323,'Генеральный баннер'!$C:$C=$B323,'Генеральный баннер'!$I:$I=$C323)), 0) "),0.0)</f>
        <v>0</v>
      </c>
      <c r="R323" s="91">
        <f>IFERROR(__xludf.DUMMYFUNCTION("IFERROR(AVERAGE(filter('Генеральный баннер'!$AA:$AA, 'Генеральный баннер'!$B:$B=$A323,'Генеральный баннер'!$C:$C=$B323,'Генеральный баннер'!$I:$I=$C323)), 0) "),0.0)</f>
        <v>0</v>
      </c>
      <c r="S323" s="91">
        <f>IFERROR(__xludf.DUMMYFUNCTION("IFERROR(SUM(filter('Генеральный баннер'!$AH:$AH, 'Генеральный баннер'!$B:$B=$A323,'Генеральный баннер'!$C:$C=$B323,'Генеральный баннер'!$I:$I=$C323)), 0) "),0.0)</f>
        <v>0</v>
      </c>
      <c r="T323" s="91" t="str">
        <f>IFERROR(__xludf.DUMMYFUNCTION("IFERROR(REGEXREPLACE(unique(filter('Генеральный баннер'!$A:$A, 'Генеральный баннер'!$B:$B=$A323,'Генеральный баннер'!$C:$C=$B323,'Генеральный баннер'!$I:$I=$C323)), ""\d+"", """"),"""")"),"")</f>
        <v/>
      </c>
      <c r="U323" s="91" t="str">
        <f>IFERROR(__xludf.DUMMYFUNCTION("IFERROR(unique(filter('Генеральный баннер'!$F:$F, 'Генеральный баннер'!$B:$B=$A323,'Генеральный баннер'!$C:$C=$B323,'Генеральный баннер'!$I:$I=$C323)),"""")"),"")</f>
        <v/>
      </c>
      <c r="V323" s="92" t="str">
        <f t="shared" si="3"/>
        <v/>
      </c>
      <c r="W323" s="93">
        <f>IFERROR(__xludf.DUMMYFUNCTION("IFERROR(SWITCH(lower(join("" "",U323:V323)),""а миллионник"", 62.5,""б миллионник"", 75,""а мск"", 50, ""б мск"", 62.5, ""a остальное"", 70, ""б остальное"", 80)/100,0)"),0.0)</f>
        <v>0</v>
      </c>
      <c r="X323" s="91">
        <f t="shared" si="4"/>
        <v>0</v>
      </c>
    </row>
    <row r="324">
      <c r="A324" s="12"/>
      <c r="B324" s="12"/>
      <c r="C324" s="12"/>
      <c r="D324" s="91">
        <f>IFERROR(__xludf.DUMMYFUNCTION("IFERROR(sum(filter('Основной эфир'!$AA:$AA, 'Основной эфир'!$B:$B=$A324,'Основной эфир'!$C:$C=$B324,'Основной эфир'!$I:$I=$C324)), 0) "),0.0)</f>
        <v>0</v>
      </c>
      <c r="E324" s="91">
        <f>IFERROR(__xludf.DUMMYFUNCTION("IFERROR(sum(filter('Основной эфир'!$AC:$AC, 'Основной эфир'!$B:$B=$A324,'Основной эфир'!$C:$C=$B324,'Основной эфир'!$I:$I=$C324)), 0) "),0.0)</f>
        <v>0</v>
      </c>
      <c r="F324" s="91">
        <f>IFERROR(__xludf.DUMMYFUNCTION("IFERROR(sum(filter('Основной эфир'!$O:$O, 'Основной эфир'!$B:$B=$A324,'Основной эфир'!$C:$C=$B324,'Основной эфир'!$I:$I=$C324)), 0) "),0.0)</f>
        <v>0</v>
      </c>
      <c r="G324" s="91">
        <f>IFERROR(__xludf.DUMMYFUNCTION("IFERROR(sum(filter('Основной эфир'!$Q:$Q, 'Основной эфир'!$B:$B=$A324,'Основной эфир'!$C:$C=$B324,'Основной эфир'!$I:$I=$C324)), 0) "),0.0)</f>
        <v>0</v>
      </c>
      <c r="H324" s="91">
        <f>IFERROR(__xludf.DUMMYFUNCTION("IFERROR(AVERAGE(filter('Основной эфир'!$Y:$Y, 'Основной эфир'!$B:$B=$A324,'Основной эфир'!$C:$C=$B324,'Основной эфир'!$I:$I=$C324)), 0) "),0.0)</f>
        <v>0</v>
      </c>
      <c r="I324" s="91">
        <f>IFERROR(__xludf.DUMMYFUNCTION("IFERROR(AVERAGE(filter('Основной эфир'!$AE:$AE, 'Основной эфир'!$B:$B=$A324,'Основной эфир'!$C:$C=$B324,'Основной эфир'!$I:$I=$C324)), 0) "),0.0)</f>
        <v>0</v>
      </c>
      <c r="J324" s="91">
        <f>IFERROR(__xludf.DUMMYFUNCTION("IFERROR(SUM(filter('Основной эфир'!$AL:$AL, 'Основной эфир'!$B:$B=$A324,'Основной эфир'!$C:$C=$B324,'Основной эфир'!$I:$I=$C324)), 0) "),0.0)</f>
        <v>0</v>
      </c>
      <c r="K324" s="91" t="str">
        <f>IFERROR(__xludf.DUMMYFUNCTION("IFERROR(REGEXREPLACE(unique(filter('Основной эфир'!$A:$A, 'Основной эфир'!$B:$B=$A324,'Основной эфир'!$C:$C=$B324,'Основной эфир'!$I:$I=$C324)), ""\d+"", """"),"""")"),"")</f>
        <v/>
      </c>
      <c r="L324" s="91" t="str">
        <f>IFERROR(__xludf.DUMMYFUNCTION("IFERROR(unique(filter('Основной эфир'!$F:$F, 'Основной эфир'!$B:$B=$A324,'Основной эфир'!$C:$C=$B324,'Основной эфир'!$I:$I=$C324)),"""")"),"")</f>
        <v/>
      </c>
      <c r="M324" s="92" t="str">
        <f t="shared" si="1"/>
        <v/>
      </c>
      <c r="N324" s="93">
        <f>IFERROR(__xludf.DUMMYFUNCTION("IFERROR(SWITCH(lower(join("" "",L324:M324)),""а миллионник"", 62.5,""б миллионник"", 75,""а мск"", 50, ""б мск"", 62.5, ""a остальное"", 70, ""б остальное"", 80)/100,0)"),0.0)</f>
        <v>0</v>
      </c>
      <c r="O324" s="91">
        <f t="shared" si="2"/>
        <v>0</v>
      </c>
      <c r="P324" s="91">
        <f>IFERROR(__xludf.DUMMYFUNCTION("IFERROR(sum(filter('Генеральный баннер'!$O:$O, 'Генеральный баннер'!$B:$B=$A324,'Генеральный баннер'!$C:$C=$B324,'Генеральный баннер'!$I:$I=$C324)), 0) "),0.0)</f>
        <v>0</v>
      </c>
      <c r="Q324" s="91">
        <f>IFERROR(__xludf.DUMMYFUNCTION("IFERROR(sum(filter('Генеральный баннер'!$Q:$Q, 'Генеральный баннер'!$B:$B=$A324,'Генеральный баннер'!$C:$C=$B324,'Генеральный баннер'!$I:$I=$C324)), 0) "),0.0)</f>
        <v>0</v>
      </c>
      <c r="R324" s="91">
        <f>IFERROR(__xludf.DUMMYFUNCTION("IFERROR(AVERAGE(filter('Генеральный баннер'!$AA:$AA, 'Генеральный баннер'!$B:$B=$A324,'Генеральный баннер'!$C:$C=$B324,'Генеральный баннер'!$I:$I=$C324)), 0) "),0.0)</f>
        <v>0</v>
      </c>
      <c r="S324" s="91">
        <f>IFERROR(__xludf.DUMMYFUNCTION("IFERROR(SUM(filter('Генеральный баннер'!$AH:$AH, 'Генеральный баннер'!$B:$B=$A324,'Генеральный баннер'!$C:$C=$B324,'Генеральный баннер'!$I:$I=$C324)), 0) "),0.0)</f>
        <v>0</v>
      </c>
      <c r="T324" s="91" t="str">
        <f>IFERROR(__xludf.DUMMYFUNCTION("IFERROR(REGEXREPLACE(unique(filter('Генеральный баннер'!$A:$A, 'Генеральный баннер'!$B:$B=$A324,'Генеральный баннер'!$C:$C=$B324,'Генеральный баннер'!$I:$I=$C324)), ""\d+"", """"),"""")"),"")</f>
        <v/>
      </c>
      <c r="U324" s="91" t="str">
        <f>IFERROR(__xludf.DUMMYFUNCTION("IFERROR(unique(filter('Генеральный баннер'!$F:$F, 'Генеральный баннер'!$B:$B=$A324,'Генеральный баннер'!$C:$C=$B324,'Генеральный баннер'!$I:$I=$C324)),"""")"),"")</f>
        <v/>
      </c>
      <c r="V324" s="92" t="str">
        <f t="shared" si="3"/>
        <v/>
      </c>
      <c r="W324" s="93">
        <f>IFERROR(__xludf.DUMMYFUNCTION("IFERROR(SWITCH(lower(join("" "",U324:V324)),""а миллионник"", 62.5,""б миллионник"", 75,""а мск"", 50, ""б мск"", 62.5, ""a остальное"", 70, ""б остальное"", 80)/100,0)"),0.0)</f>
        <v>0</v>
      </c>
      <c r="X324" s="91">
        <f t="shared" si="4"/>
        <v>0</v>
      </c>
    </row>
    <row r="325">
      <c r="A325" s="12"/>
      <c r="B325" s="12"/>
      <c r="C325" s="12"/>
      <c r="D325" s="91">
        <f>IFERROR(__xludf.DUMMYFUNCTION("IFERROR(sum(filter('Основной эфир'!$AA:$AA, 'Основной эфир'!$B:$B=$A325,'Основной эфир'!$C:$C=$B325,'Основной эфир'!$I:$I=$C325)), 0) "),0.0)</f>
        <v>0</v>
      </c>
      <c r="E325" s="91">
        <f>IFERROR(__xludf.DUMMYFUNCTION("IFERROR(sum(filter('Основной эфир'!$AC:$AC, 'Основной эфир'!$B:$B=$A325,'Основной эфир'!$C:$C=$B325,'Основной эфир'!$I:$I=$C325)), 0) "),0.0)</f>
        <v>0</v>
      </c>
      <c r="F325" s="91">
        <f>IFERROR(__xludf.DUMMYFUNCTION("IFERROR(sum(filter('Основной эфир'!$O:$O, 'Основной эфир'!$B:$B=$A325,'Основной эфир'!$C:$C=$B325,'Основной эфир'!$I:$I=$C325)), 0) "),0.0)</f>
        <v>0</v>
      </c>
      <c r="G325" s="91">
        <f>IFERROR(__xludf.DUMMYFUNCTION("IFERROR(sum(filter('Основной эфир'!$Q:$Q, 'Основной эфир'!$B:$B=$A325,'Основной эфир'!$C:$C=$B325,'Основной эфир'!$I:$I=$C325)), 0) "),0.0)</f>
        <v>0</v>
      </c>
      <c r="H325" s="91">
        <f>IFERROR(__xludf.DUMMYFUNCTION("IFERROR(AVERAGE(filter('Основной эфир'!$Y:$Y, 'Основной эфир'!$B:$B=$A325,'Основной эфир'!$C:$C=$B325,'Основной эфир'!$I:$I=$C325)), 0) "),0.0)</f>
        <v>0</v>
      </c>
      <c r="I325" s="91">
        <f>IFERROR(__xludf.DUMMYFUNCTION("IFERROR(AVERAGE(filter('Основной эфир'!$AE:$AE, 'Основной эфир'!$B:$B=$A325,'Основной эфир'!$C:$C=$B325,'Основной эфир'!$I:$I=$C325)), 0) "),0.0)</f>
        <v>0</v>
      </c>
      <c r="J325" s="91">
        <f>IFERROR(__xludf.DUMMYFUNCTION("IFERROR(SUM(filter('Основной эфир'!$AL:$AL, 'Основной эфир'!$B:$B=$A325,'Основной эфир'!$C:$C=$B325,'Основной эфир'!$I:$I=$C325)), 0) "),0.0)</f>
        <v>0</v>
      </c>
      <c r="K325" s="91" t="str">
        <f>IFERROR(__xludf.DUMMYFUNCTION("IFERROR(REGEXREPLACE(unique(filter('Основной эфир'!$A:$A, 'Основной эфир'!$B:$B=$A325,'Основной эфир'!$C:$C=$B325,'Основной эфир'!$I:$I=$C325)), ""\d+"", """"),"""")"),"")</f>
        <v/>
      </c>
      <c r="L325" s="91" t="str">
        <f>IFERROR(__xludf.DUMMYFUNCTION("IFERROR(unique(filter('Основной эфир'!$F:$F, 'Основной эфир'!$B:$B=$A325,'Основной эфир'!$C:$C=$B325,'Основной эфир'!$I:$I=$C325)),"""")"),"")</f>
        <v/>
      </c>
      <c r="M325" s="92" t="str">
        <f t="shared" si="1"/>
        <v/>
      </c>
      <c r="N325" s="93">
        <f>IFERROR(__xludf.DUMMYFUNCTION("IFERROR(SWITCH(lower(join("" "",L325:M325)),""а миллионник"", 62.5,""б миллионник"", 75,""а мск"", 50, ""б мск"", 62.5, ""a остальное"", 70, ""б остальное"", 80)/100,0)"),0.0)</f>
        <v>0</v>
      </c>
      <c r="O325" s="91">
        <f t="shared" si="2"/>
        <v>0</v>
      </c>
      <c r="P325" s="91">
        <f>IFERROR(__xludf.DUMMYFUNCTION("IFERROR(sum(filter('Генеральный баннер'!$O:$O, 'Генеральный баннер'!$B:$B=$A325,'Генеральный баннер'!$C:$C=$B325,'Генеральный баннер'!$I:$I=$C325)), 0) "),0.0)</f>
        <v>0</v>
      </c>
      <c r="Q325" s="91">
        <f>IFERROR(__xludf.DUMMYFUNCTION("IFERROR(sum(filter('Генеральный баннер'!$Q:$Q, 'Генеральный баннер'!$B:$B=$A325,'Генеральный баннер'!$C:$C=$B325,'Генеральный баннер'!$I:$I=$C325)), 0) "),0.0)</f>
        <v>0</v>
      </c>
      <c r="R325" s="91">
        <f>IFERROR(__xludf.DUMMYFUNCTION("IFERROR(AVERAGE(filter('Генеральный баннер'!$AA:$AA, 'Генеральный баннер'!$B:$B=$A325,'Генеральный баннер'!$C:$C=$B325,'Генеральный баннер'!$I:$I=$C325)), 0) "),0.0)</f>
        <v>0</v>
      </c>
      <c r="S325" s="91">
        <f>IFERROR(__xludf.DUMMYFUNCTION("IFERROR(SUM(filter('Генеральный баннер'!$AH:$AH, 'Генеральный баннер'!$B:$B=$A325,'Генеральный баннер'!$C:$C=$B325,'Генеральный баннер'!$I:$I=$C325)), 0) "),0.0)</f>
        <v>0</v>
      </c>
      <c r="T325" s="91" t="str">
        <f>IFERROR(__xludf.DUMMYFUNCTION("IFERROR(REGEXREPLACE(unique(filter('Генеральный баннер'!$A:$A, 'Генеральный баннер'!$B:$B=$A325,'Генеральный баннер'!$C:$C=$B325,'Генеральный баннер'!$I:$I=$C325)), ""\d+"", """"),"""")"),"")</f>
        <v/>
      </c>
      <c r="U325" s="91" t="str">
        <f>IFERROR(__xludf.DUMMYFUNCTION("IFERROR(unique(filter('Генеральный баннер'!$F:$F, 'Генеральный баннер'!$B:$B=$A325,'Генеральный баннер'!$C:$C=$B325,'Генеральный баннер'!$I:$I=$C325)),"""")"),"")</f>
        <v/>
      </c>
      <c r="V325" s="92" t="str">
        <f t="shared" si="3"/>
        <v/>
      </c>
      <c r="W325" s="93">
        <f>IFERROR(__xludf.DUMMYFUNCTION("IFERROR(SWITCH(lower(join("" "",U325:V325)),""а миллионник"", 62.5,""б миллионник"", 75,""а мск"", 50, ""б мск"", 62.5, ""a остальное"", 70, ""б остальное"", 80)/100,0)"),0.0)</f>
        <v>0</v>
      </c>
      <c r="X325" s="91">
        <f t="shared" si="4"/>
        <v>0</v>
      </c>
    </row>
    <row r="326">
      <c r="A326" s="12"/>
      <c r="B326" s="12"/>
      <c r="C326" s="12"/>
      <c r="D326" s="91">
        <f>IFERROR(__xludf.DUMMYFUNCTION("IFERROR(sum(filter('Основной эфир'!$AA:$AA, 'Основной эфир'!$B:$B=$A326,'Основной эфир'!$C:$C=$B326,'Основной эфир'!$I:$I=$C326)), 0) "),0.0)</f>
        <v>0</v>
      </c>
      <c r="E326" s="91">
        <f>IFERROR(__xludf.DUMMYFUNCTION("IFERROR(sum(filter('Основной эфир'!$AC:$AC, 'Основной эфир'!$B:$B=$A326,'Основной эфир'!$C:$C=$B326,'Основной эфир'!$I:$I=$C326)), 0) "),0.0)</f>
        <v>0</v>
      </c>
      <c r="F326" s="91">
        <f>IFERROR(__xludf.DUMMYFUNCTION("IFERROR(sum(filter('Основной эфир'!$O:$O, 'Основной эфир'!$B:$B=$A326,'Основной эфир'!$C:$C=$B326,'Основной эфир'!$I:$I=$C326)), 0) "),0.0)</f>
        <v>0</v>
      </c>
      <c r="G326" s="91">
        <f>IFERROR(__xludf.DUMMYFUNCTION("IFERROR(sum(filter('Основной эфир'!$Q:$Q, 'Основной эфир'!$B:$B=$A326,'Основной эфир'!$C:$C=$B326,'Основной эфир'!$I:$I=$C326)), 0) "),0.0)</f>
        <v>0</v>
      </c>
      <c r="H326" s="91">
        <f>IFERROR(__xludf.DUMMYFUNCTION("IFERROR(AVERAGE(filter('Основной эфир'!$Y:$Y, 'Основной эфир'!$B:$B=$A326,'Основной эфир'!$C:$C=$B326,'Основной эфир'!$I:$I=$C326)), 0) "),0.0)</f>
        <v>0</v>
      </c>
      <c r="I326" s="91">
        <f>IFERROR(__xludf.DUMMYFUNCTION("IFERROR(AVERAGE(filter('Основной эфир'!$AE:$AE, 'Основной эфир'!$B:$B=$A326,'Основной эфир'!$C:$C=$B326,'Основной эфир'!$I:$I=$C326)), 0) "),0.0)</f>
        <v>0</v>
      </c>
      <c r="J326" s="91">
        <f>IFERROR(__xludf.DUMMYFUNCTION("IFERROR(SUM(filter('Основной эфир'!$AL:$AL, 'Основной эфир'!$B:$B=$A326,'Основной эфир'!$C:$C=$B326,'Основной эфир'!$I:$I=$C326)), 0) "),0.0)</f>
        <v>0</v>
      </c>
      <c r="K326" s="91" t="str">
        <f>IFERROR(__xludf.DUMMYFUNCTION("IFERROR(REGEXREPLACE(unique(filter('Основной эфир'!$A:$A, 'Основной эфир'!$B:$B=$A326,'Основной эфир'!$C:$C=$B326,'Основной эфир'!$I:$I=$C326)), ""\d+"", """"),"""")"),"")</f>
        <v/>
      </c>
      <c r="L326" s="91" t="str">
        <f>IFERROR(__xludf.DUMMYFUNCTION("IFERROR(unique(filter('Основной эфир'!$F:$F, 'Основной эфир'!$B:$B=$A326,'Основной эфир'!$C:$C=$B326,'Основной эфир'!$I:$I=$C326)),"""")"),"")</f>
        <v/>
      </c>
      <c r="M326" s="92" t="str">
        <f t="shared" si="1"/>
        <v/>
      </c>
      <c r="N326" s="93">
        <f>IFERROR(__xludf.DUMMYFUNCTION("IFERROR(SWITCH(lower(join("" "",L326:M326)),""а миллионник"", 62.5,""б миллионник"", 75,""а мск"", 50, ""б мск"", 62.5, ""a остальное"", 70, ""б остальное"", 80)/100,0)"),0.0)</f>
        <v>0</v>
      </c>
      <c r="O326" s="91">
        <f t="shared" si="2"/>
        <v>0</v>
      </c>
      <c r="P326" s="91">
        <f>IFERROR(__xludf.DUMMYFUNCTION("IFERROR(sum(filter('Генеральный баннер'!$O:$O, 'Генеральный баннер'!$B:$B=$A326,'Генеральный баннер'!$C:$C=$B326,'Генеральный баннер'!$I:$I=$C326)), 0) "),0.0)</f>
        <v>0</v>
      </c>
      <c r="Q326" s="91">
        <f>IFERROR(__xludf.DUMMYFUNCTION("IFERROR(sum(filter('Генеральный баннер'!$Q:$Q, 'Генеральный баннер'!$B:$B=$A326,'Генеральный баннер'!$C:$C=$B326,'Генеральный баннер'!$I:$I=$C326)), 0) "),0.0)</f>
        <v>0</v>
      </c>
      <c r="R326" s="91">
        <f>IFERROR(__xludf.DUMMYFUNCTION("IFERROR(AVERAGE(filter('Генеральный баннер'!$AA:$AA, 'Генеральный баннер'!$B:$B=$A326,'Генеральный баннер'!$C:$C=$B326,'Генеральный баннер'!$I:$I=$C326)), 0) "),0.0)</f>
        <v>0</v>
      </c>
      <c r="S326" s="91">
        <f>IFERROR(__xludf.DUMMYFUNCTION("IFERROR(SUM(filter('Генеральный баннер'!$AH:$AH, 'Генеральный баннер'!$B:$B=$A326,'Генеральный баннер'!$C:$C=$B326,'Генеральный баннер'!$I:$I=$C326)), 0) "),0.0)</f>
        <v>0</v>
      </c>
      <c r="T326" s="91" t="str">
        <f>IFERROR(__xludf.DUMMYFUNCTION("IFERROR(REGEXREPLACE(unique(filter('Генеральный баннер'!$A:$A, 'Генеральный баннер'!$B:$B=$A326,'Генеральный баннер'!$C:$C=$B326,'Генеральный баннер'!$I:$I=$C326)), ""\d+"", """"),"""")"),"")</f>
        <v/>
      </c>
      <c r="U326" s="91" t="str">
        <f>IFERROR(__xludf.DUMMYFUNCTION("IFERROR(unique(filter('Генеральный баннер'!$F:$F, 'Генеральный баннер'!$B:$B=$A326,'Генеральный баннер'!$C:$C=$B326,'Генеральный баннер'!$I:$I=$C326)),"""")"),"")</f>
        <v/>
      </c>
      <c r="V326" s="92" t="str">
        <f t="shared" si="3"/>
        <v/>
      </c>
      <c r="W326" s="93">
        <f>IFERROR(__xludf.DUMMYFUNCTION("IFERROR(SWITCH(lower(join("" "",U326:V326)),""а миллионник"", 62.5,""б миллионник"", 75,""а мск"", 50, ""б мск"", 62.5, ""a остальное"", 70, ""б остальное"", 80)/100,0)"),0.0)</f>
        <v>0</v>
      </c>
      <c r="X326" s="91">
        <f t="shared" si="4"/>
        <v>0</v>
      </c>
    </row>
    <row r="327">
      <c r="A327" s="12"/>
      <c r="B327" s="12"/>
      <c r="C327" s="12"/>
      <c r="D327" s="91">
        <f>IFERROR(__xludf.DUMMYFUNCTION("IFERROR(sum(filter('Основной эфир'!$AA:$AA, 'Основной эфир'!$B:$B=$A327,'Основной эфир'!$C:$C=$B327,'Основной эфир'!$I:$I=$C327)), 0) "),0.0)</f>
        <v>0</v>
      </c>
      <c r="E327" s="91">
        <f>IFERROR(__xludf.DUMMYFUNCTION("IFERROR(sum(filter('Основной эфир'!$AC:$AC, 'Основной эфир'!$B:$B=$A327,'Основной эфир'!$C:$C=$B327,'Основной эфир'!$I:$I=$C327)), 0) "),0.0)</f>
        <v>0</v>
      </c>
      <c r="F327" s="91">
        <f>IFERROR(__xludf.DUMMYFUNCTION("IFERROR(sum(filter('Основной эфир'!$O:$O, 'Основной эфир'!$B:$B=$A327,'Основной эфир'!$C:$C=$B327,'Основной эфир'!$I:$I=$C327)), 0) "),0.0)</f>
        <v>0</v>
      </c>
      <c r="G327" s="91">
        <f>IFERROR(__xludf.DUMMYFUNCTION("IFERROR(sum(filter('Основной эфир'!$Q:$Q, 'Основной эфир'!$B:$B=$A327,'Основной эфир'!$C:$C=$B327,'Основной эфир'!$I:$I=$C327)), 0) "),0.0)</f>
        <v>0</v>
      </c>
      <c r="H327" s="91">
        <f>IFERROR(__xludf.DUMMYFUNCTION("IFERROR(AVERAGE(filter('Основной эфир'!$Y:$Y, 'Основной эфир'!$B:$B=$A327,'Основной эфир'!$C:$C=$B327,'Основной эфир'!$I:$I=$C327)), 0) "),0.0)</f>
        <v>0</v>
      </c>
      <c r="I327" s="91">
        <f>IFERROR(__xludf.DUMMYFUNCTION("IFERROR(AVERAGE(filter('Основной эфир'!$AE:$AE, 'Основной эфир'!$B:$B=$A327,'Основной эфир'!$C:$C=$B327,'Основной эфир'!$I:$I=$C327)), 0) "),0.0)</f>
        <v>0</v>
      </c>
      <c r="J327" s="91">
        <f>IFERROR(__xludf.DUMMYFUNCTION("IFERROR(SUM(filter('Основной эфир'!$AL:$AL, 'Основной эфир'!$B:$B=$A327,'Основной эфир'!$C:$C=$B327,'Основной эфир'!$I:$I=$C327)), 0) "),0.0)</f>
        <v>0</v>
      </c>
      <c r="K327" s="91" t="str">
        <f>IFERROR(__xludf.DUMMYFUNCTION("IFERROR(REGEXREPLACE(unique(filter('Основной эфир'!$A:$A, 'Основной эфир'!$B:$B=$A327,'Основной эфир'!$C:$C=$B327,'Основной эфир'!$I:$I=$C327)), ""\d+"", """"),"""")"),"")</f>
        <v/>
      </c>
      <c r="L327" s="91" t="str">
        <f>IFERROR(__xludf.DUMMYFUNCTION("IFERROR(unique(filter('Основной эфир'!$F:$F, 'Основной эфир'!$B:$B=$A327,'Основной эфир'!$C:$C=$B327,'Основной эфир'!$I:$I=$C327)),"""")"),"")</f>
        <v/>
      </c>
      <c r="M327" s="92" t="str">
        <f t="shared" si="1"/>
        <v/>
      </c>
      <c r="N327" s="93">
        <f>IFERROR(__xludf.DUMMYFUNCTION("IFERROR(SWITCH(lower(join("" "",L327:M327)),""а миллионник"", 62.5,""б миллионник"", 75,""а мск"", 50, ""б мск"", 62.5, ""a остальное"", 70, ""б остальное"", 80)/100,0)"),0.0)</f>
        <v>0</v>
      </c>
      <c r="O327" s="91">
        <f t="shared" si="2"/>
        <v>0</v>
      </c>
      <c r="P327" s="91">
        <f>IFERROR(__xludf.DUMMYFUNCTION("IFERROR(sum(filter('Генеральный баннер'!$O:$O, 'Генеральный баннер'!$B:$B=$A327,'Генеральный баннер'!$C:$C=$B327,'Генеральный баннер'!$I:$I=$C327)), 0) "),0.0)</f>
        <v>0</v>
      </c>
      <c r="Q327" s="91">
        <f>IFERROR(__xludf.DUMMYFUNCTION("IFERROR(sum(filter('Генеральный баннер'!$Q:$Q, 'Генеральный баннер'!$B:$B=$A327,'Генеральный баннер'!$C:$C=$B327,'Генеральный баннер'!$I:$I=$C327)), 0) "),0.0)</f>
        <v>0</v>
      </c>
      <c r="R327" s="91">
        <f>IFERROR(__xludf.DUMMYFUNCTION("IFERROR(AVERAGE(filter('Генеральный баннер'!$AA:$AA, 'Генеральный баннер'!$B:$B=$A327,'Генеральный баннер'!$C:$C=$B327,'Генеральный баннер'!$I:$I=$C327)), 0) "),0.0)</f>
        <v>0</v>
      </c>
      <c r="S327" s="91">
        <f>IFERROR(__xludf.DUMMYFUNCTION("IFERROR(SUM(filter('Генеральный баннер'!$AH:$AH, 'Генеральный баннер'!$B:$B=$A327,'Генеральный баннер'!$C:$C=$B327,'Генеральный баннер'!$I:$I=$C327)), 0) "),0.0)</f>
        <v>0</v>
      </c>
      <c r="T327" s="91" t="str">
        <f>IFERROR(__xludf.DUMMYFUNCTION("IFERROR(REGEXREPLACE(unique(filter('Генеральный баннер'!$A:$A, 'Генеральный баннер'!$B:$B=$A327,'Генеральный баннер'!$C:$C=$B327,'Генеральный баннер'!$I:$I=$C327)), ""\d+"", """"),"""")"),"")</f>
        <v/>
      </c>
      <c r="U327" s="91" t="str">
        <f>IFERROR(__xludf.DUMMYFUNCTION("IFERROR(unique(filter('Генеральный баннер'!$F:$F, 'Генеральный баннер'!$B:$B=$A327,'Генеральный баннер'!$C:$C=$B327,'Генеральный баннер'!$I:$I=$C327)),"""")"),"")</f>
        <v/>
      </c>
      <c r="V327" s="92" t="str">
        <f t="shared" si="3"/>
        <v/>
      </c>
      <c r="W327" s="93">
        <f>IFERROR(__xludf.DUMMYFUNCTION("IFERROR(SWITCH(lower(join("" "",U327:V327)),""а миллионник"", 62.5,""б миллионник"", 75,""а мск"", 50, ""б мск"", 62.5, ""a остальное"", 70, ""б остальное"", 80)/100,0)"),0.0)</f>
        <v>0</v>
      </c>
      <c r="X327" s="91">
        <f t="shared" si="4"/>
        <v>0</v>
      </c>
    </row>
    <row r="328">
      <c r="A328" s="12"/>
      <c r="B328" s="12"/>
      <c r="C328" s="12"/>
      <c r="D328" s="91">
        <f>IFERROR(__xludf.DUMMYFUNCTION("IFERROR(sum(filter('Основной эфир'!$AA:$AA, 'Основной эфир'!$B:$B=$A328,'Основной эфир'!$C:$C=$B328,'Основной эфир'!$I:$I=$C328)), 0) "),0.0)</f>
        <v>0</v>
      </c>
      <c r="E328" s="91">
        <f>IFERROR(__xludf.DUMMYFUNCTION("IFERROR(sum(filter('Основной эфир'!$AC:$AC, 'Основной эфир'!$B:$B=$A328,'Основной эфир'!$C:$C=$B328,'Основной эфир'!$I:$I=$C328)), 0) "),0.0)</f>
        <v>0</v>
      </c>
      <c r="F328" s="91">
        <f>IFERROR(__xludf.DUMMYFUNCTION("IFERROR(sum(filter('Основной эфир'!$O:$O, 'Основной эфир'!$B:$B=$A328,'Основной эфир'!$C:$C=$B328,'Основной эфир'!$I:$I=$C328)), 0) "),0.0)</f>
        <v>0</v>
      </c>
      <c r="G328" s="91">
        <f>IFERROR(__xludf.DUMMYFUNCTION("IFERROR(sum(filter('Основной эфир'!$Q:$Q, 'Основной эфир'!$B:$B=$A328,'Основной эфир'!$C:$C=$B328,'Основной эфир'!$I:$I=$C328)), 0) "),0.0)</f>
        <v>0</v>
      </c>
      <c r="H328" s="91">
        <f>IFERROR(__xludf.DUMMYFUNCTION("IFERROR(AVERAGE(filter('Основной эфир'!$Y:$Y, 'Основной эфир'!$B:$B=$A328,'Основной эфир'!$C:$C=$B328,'Основной эфир'!$I:$I=$C328)), 0) "),0.0)</f>
        <v>0</v>
      </c>
      <c r="I328" s="91">
        <f>IFERROR(__xludf.DUMMYFUNCTION("IFERROR(AVERAGE(filter('Основной эфир'!$AE:$AE, 'Основной эфир'!$B:$B=$A328,'Основной эфир'!$C:$C=$B328,'Основной эфир'!$I:$I=$C328)), 0) "),0.0)</f>
        <v>0</v>
      </c>
      <c r="J328" s="91">
        <f>IFERROR(__xludf.DUMMYFUNCTION("IFERROR(SUM(filter('Основной эфир'!$AL:$AL, 'Основной эфир'!$B:$B=$A328,'Основной эфир'!$C:$C=$B328,'Основной эфир'!$I:$I=$C328)), 0) "),0.0)</f>
        <v>0</v>
      </c>
      <c r="K328" s="91" t="str">
        <f>IFERROR(__xludf.DUMMYFUNCTION("IFERROR(REGEXREPLACE(unique(filter('Основной эфир'!$A:$A, 'Основной эфир'!$B:$B=$A328,'Основной эфир'!$C:$C=$B328,'Основной эфир'!$I:$I=$C328)), ""\d+"", """"),"""")"),"")</f>
        <v/>
      </c>
      <c r="L328" s="91" t="str">
        <f>IFERROR(__xludf.DUMMYFUNCTION("IFERROR(unique(filter('Основной эфир'!$F:$F, 'Основной эфир'!$B:$B=$A328,'Основной эфир'!$C:$C=$B328,'Основной эфир'!$I:$I=$C328)),"""")"),"")</f>
        <v/>
      </c>
      <c r="M328" s="92" t="str">
        <f t="shared" si="1"/>
        <v/>
      </c>
      <c r="N328" s="93">
        <f>IFERROR(__xludf.DUMMYFUNCTION("IFERROR(SWITCH(lower(join("" "",L328:M328)),""а миллионник"", 62.5,""б миллионник"", 75,""а мск"", 50, ""б мск"", 62.5, ""a остальное"", 70, ""б остальное"", 80)/100,0)"),0.0)</f>
        <v>0</v>
      </c>
      <c r="O328" s="91">
        <f t="shared" si="2"/>
        <v>0</v>
      </c>
      <c r="P328" s="91">
        <f>IFERROR(__xludf.DUMMYFUNCTION("IFERROR(sum(filter('Генеральный баннер'!$O:$O, 'Генеральный баннер'!$B:$B=$A328,'Генеральный баннер'!$C:$C=$B328,'Генеральный баннер'!$I:$I=$C328)), 0) "),0.0)</f>
        <v>0</v>
      </c>
      <c r="Q328" s="91">
        <f>IFERROR(__xludf.DUMMYFUNCTION("IFERROR(sum(filter('Генеральный баннер'!$Q:$Q, 'Генеральный баннер'!$B:$B=$A328,'Генеральный баннер'!$C:$C=$B328,'Генеральный баннер'!$I:$I=$C328)), 0) "),0.0)</f>
        <v>0</v>
      </c>
      <c r="R328" s="91">
        <f>IFERROR(__xludf.DUMMYFUNCTION("IFERROR(AVERAGE(filter('Генеральный баннер'!$AA:$AA, 'Генеральный баннер'!$B:$B=$A328,'Генеральный баннер'!$C:$C=$B328,'Генеральный баннер'!$I:$I=$C328)), 0) "),0.0)</f>
        <v>0</v>
      </c>
      <c r="S328" s="91">
        <f>IFERROR(__xludf.DUMMYFUNCTION("IFERROR(SUM(filter('Генеральный баннер'!$AH:$AH, 'Генеральный баннер'!$B:$B=$A328,'Генеральный баннер'!$C:$C=$B328,'Генеральный баннер'!$I:$I=$C328)), 0) "),0.0)</f>
        <v>0</v>
      </c>
      <c r="T328" s="91" t="str">
        <f>IFERROR(__xludf.DUMMYFUNCTION("IFERROR(REGEXREPLACE(unique(filter('Генеральный баннер'!$A:$A, 'Генеральный баннер'!$B:$B=$A328,'Генеральный баннер'!$C:$C=$B328,'Генеральный баннер'!$I:$I=$C328)), ""\d+"", """"),"""")"),"")</f>
        <v/>
      </c>
      <c r="U328" s="91" t="str">
        <f>IFERROR(__xludf.DUMMYFUNCTION("IFERROR(unique(filter('Генеральный баннер'!$F:$F, 'Генеральный баннер'!$B:$B=$A328,'Генеральный баннер'!$C:$C=$B328,'Генеральный баннер'!$I:$I=$C328)),"""")"),"")</f>
        <v/>
      </c>
      <c r="V328" s="92" t="str">
        <f t="shared" si="3"/>
        <v/>
      </c>
      <c r="W328" s="93">
        <f>IFERROR(__xludf.DUMMYFUNCTION("IFERROR(SWITCH(lower(join("" "",U328:V328)),""а миллионник"", 62.5,""б миллионник"", 75,""а мск"", 50, ""б мск"", 62.5, ""a остальное"", 70, ""б остальное"", 80)/100,0)"),0.0)</f>
        <v>0</v>
      </c>
      <c r="X328" s="91">
        <f t="shared" si="4"/>
        <v>0</v>
      </c>
    </row>
    <row r="329">
      <c r="A329" s="12"/>
      <c r="B329" s="12"/>
      <c r="C329" s="12"/>
      <c r="D329" s="91">
        <f>IFERROR(__xludf.DUMMYFUNCTION("IFERROR(sum(filter('Основной эфир'!$AA:$AA, 'Основной эфир'!$B:$B=$A329,'Основной эфир'!$C:$C=$B329,'Основной эфир'!$I:$I=$C329)), 0) "),0.0)</f>
        <v>0</v>
      </c>
      <c r="E329" s="91">
        <f>IFERROR(__xludf.DUMMYFUNCTION("IFERROR(sum(filter('Основной эфир'!$AC:$AC, 'Основной эфир'!$B:$B=$A329,'Основной эфир'!$C:$C=$B329,'Основной эфир'!$I:$I=$C329)), 0) "),0.0)</f>
        <v>0</v>
      </c>
      <c r="F329" s="91">
        <f>IFERROR(__xludf.DUMMYFUNCTION("IFERROR(sum(filter('Основной эфир'!$O:$O, 'Основной эфир'!$B:$B=$A329,'Основной эфир'!$C:$C=$B329,'Основной эфир'!$I:$I=$C329)), 0) "),0.0)</f>
        <v>0</v>
      </c>
      <c r="G329" s="91">
        <f>IFERROR(__xludf.DUMMYFUNCTION("IFERROR(sum(filter('Основной эфир'!$Q:$Q, 'Основной эфир'!$B:$B=$A329,'Основной эфир'!$C:$C=$B329,'Основной эфир'!$I:$I=$C329)), 0) "),0.0)</f>
        <v>0</v>
      </c>
      <c r="H329" s="91">
        <f>IFERROR(__xludf.DUMMYFUNCTION("IFERROR(AVERAGE(filter('Основной эфир'!$Y:$Y, 'Основной эфир'!$B:$B=$A329,'Основной эфир'!$C:$C=$B329,'Основной эфир'!$I:$I=$C329)), 0) "),0.0)</f>
        <v>0</v>
      </c>
      <c r="I329" s="91">
        <f>IFERROR(__xludf.DUMMYFUNCTION("IFERROR(AVERAGE(filter('Основной эфир'!$AE:$AE, 'Основной эфир'!$B:$B=$A329,'Основной эфир'!$C:$C=$B329,'Основной эфир'!$I:$I=$C329)), 0) "),0.0)</f>
        <v>0</v>
      </c>
      <c r="J329" s="91">
        <f>IFERROR(__xludf.DUMMYFUNCTION("IFERROR(SUM(filter('Основной эфир'!$AL:$AL, 'Основной эфир'!$B:$B=$A329,'Основной эфир'!$C:$C=$B329,'Основной эфир'!$I:$I=$C329)), 0) "),0.0)</f>
        <v>0</v>
      </c>
      <c r="K329" s="91" t="str">
        <f>IFERROR(__xludf.DUMMYFUNCTION("IFERROR(REGEXREPLACE(unique(filter('Основной эфир'!$A:$A, 'Основной эфир'!$B:$B=$A329,'Основной эфир'!$C:$C=$B329,'Основной эфир'!$I:$I=$C329)), ""\d+"", """"),"""")"),"")</f>
        <v/>
      </c>
      <c r="L329" s="91" t="str">
        <f>IFERROR(__xludf.DUMMYFUNCTION("IFERROR(unique(filter('Основной эфир'!$F:$F, 'Основной эфир'!$B:$B=$A329,'Основной эфир'!$C:$C=$B329,'Основной эфир'!$I:$I=$C329)),"""")"),"")</f>
        <v/>
      </c>
      <c r="M329" s="92" t="str">
        <f t="shared" si="1"/>
        <v/>
      </c>
      <c r="N329" s="93">
        <f>IFERROR(__xludf.DUMMYFUNCTION("IFERROR(SWITCH(lower(join("" "",L329:M329)),""а миллионник"", 62.5,""б миллионник"", 75,""а мск"", 50, ""б мск"", 62.5, ""a остальное"", 70, ""б остальное"", 80)/100,0)"),0.0)</f>
        <v>0</v>
      </c>
      <c r="O329" s="91">
        <f t="shared" si="2"/>
        <v>0</v>
      </c>
      <c r="P329" s="91">
        <f>IFERROR(__xludf.DUMMYFUNCTION("IFERROR(sum(filter('Генеральный баннер'!$O:$O, 'Генеральный баннер'!$B:$B=$A329,'Генеральный баннер'!$C:$C=$B329,'Генеральный баннер'!$I:$I=$C329)), 0) "),0.0)</f>
        <v>0</v>
      </c>
      <c r="Q329" s="91">
        <f>IFERROR(__xludf.DUMMYFUNCTION("IFERROR(sum(filter('Генеральный баннер'!$Q:$Q, 'Генеральный баннер'!$B:$B=$A329,'Генеральный баннер'!$C:$C=$B329,'Генеральный баннер'!$I:$I=$C329)), 0) "),0.0)</f>
        <v>0</v>
      </c>
      <c r="R329" s="91">
        <f>IFERROR(__xludf.DUMMYFUNCTION("IFERROR(AVERAGE(filter('Генеральный баннер'!$AA:$AA, 'Генеральный баннер'!$B:$B=$A329,'Генеральный баннер'!$C:$C=$B329,'Генеральный баннер'!$I:$I=$C329)), 0) "),0.0)</f>
        <v>0</v>
      </c>
      <c r="S329" s="91">
        <f>IFERROR(__xludf.DUMMYFUNCTION("IFERROR(SUM(filter('Генеральный баннер'!$AH:$AH, 'Генеральный баннер'!$B:$B=$A329,'Генеральный баннер'!$C:$C=$B329,'Генеральный баннер'!$I:$I=$C329)), 0) "),0.0)</f>
        <v>0</v>
      </c>
      <c r="T329" s="91" t="str">
        <f>IFERROR(__xludf.DUMMYFUNCTION("IFERROR(REGEXREPLACE(unique(filter('Генеральный баннер'!$A:$A, 'Генеральный баннер'!$B:$B=$A329,'Генеральный баннер'!$C:$C=$B329,'Генеральный баннер'!$I:$I=$C329)), ""\d+"", """"),"""")"),"")</f>
        <v/>
      </c>
      <c r="U329" s="91" t="str">
        <f>IFERROR(__xludf.DUMMYFUNCTION("IFERROR(unique(filter('Генеральный баннер'!$F:$F, 'Генеральный баннер'!$B:$B=$A329,'Генеральный баннер'!$C:$C=$B329,'Генеральный баннер'!$I:$I=$C329)),"""")"),"")</f>
        <v/>
      </c>
      <c r="V329" s="92" t="str">
        <f t="shared" si="3"/>
        <v/>
      </c>
      <c r="W329" s="93">
        <f>IFERROR(__xludf.DUMMYFUNCTION("IFERROR(SWITCH(lower(join("" "",U329:V329)),""а миллионник"", 62.5,""б миллионник"", 75,""а мск"", 50, ""б мск"", 62.5, ""a остальное"", 70, ""б остальное"", 80)/100,0)"),0.0)</f>
        <v>0</v>
      </c>
      <c r="X329" s="91">
        <f t="shared" si="4"/>
        <v>0</v>
      </c>
    </row>
    <row r="330">
      <c r="A330" s="12"/>
      <c r="B330" s="12"/>
      <c r="C330" s="12"/>
      <c r="D330" s="91">
        <f>IFERROR(__xludf.DUMMYFUNCTION("IFERROR(sum(filter('Основной эфир'!$AA:$AA, 'Основной эфир'!$B:$B=$A330,'Основной эфир'!$C:$C=$B330,'Основной эфир'!$I:$I=$C330)), 0) "),0.0)</f>
        <v>0</v>
      </c>
      <c r="E330" s="91">
        <f>IFERROR(__xludf.DUMMYFUNCTION("IFERROR(sum(filter('Основной эфир'!$AC:$AC, 'Основной эфир'!$B:$B=$A330,'Основной эфир'!$C:$C=$B330,'Основной эфир'!$I:$I=$C330)), 0) "),0.0)</f>
        <v>0</v>
      </c>
      <c r="F330" s="91">
        <f>IFERROR(__xludf.DUMMYFUNCTION("IFERROR(sum(filter('Основной эфир'!$O:$O, 'Основной эфир'!$B:$B=$A330,'Основной эфир'!$C:$C=$B330,'Основной эфир'!$I:$I=$C330)), 0) "),0.0)</f>
        <v>0</v>
      </c>
      <c r="G330" s="91">
        <f>IFERROR(__xludf.DUMMYFUNCTION("IFERROR(sum(filter('Основной эфир'!$Q:$Q, 'Основной эфир'!$B:$B=$A330,'Основной эфир'!$C:$C=$B330,'Основной эфир'!$I:$I=$C330)), 0) "),0.0)</f>
        <v>0</v>
      </c>
      <c r="H330" s="91">
        <f>IFERROR(__xludf.DUMMYFUNCTION("IFERROR(AVERAGE(filter('Основной эфир'!$Y:$Y, 'Основной эфир'!$B:$B=$A330,'Основной эфир'!$C:$C=$B330,'Основной эфир'!$I:$I=$C330)), 0) "),0.0)</f>
        <v>0</v>
      </c>
      <c r="I330" s="91">
        <f>IFERROR(__xludf.DUMMYFUNCTION("IFERROR(AVERAGE(filter('Основной эфир'!$AE:$AE, 'Основной эфир'!$B:$B=$A330,'Основной эфир'!$C:$C=$B330,'Основной эфир'!$I:$I=$C330)), 0) "),0.0)</f>
        <v>0</v>
      </c>
      <c r="J330" s="91">
        <f>IFERROR(__xludf.DUMMYFUNCTION("IFERROR(SUM(filter('Основной эфир'!$AL:$AL, 'Основной эфир'!$B:$B=$A330,'Основной эфир'!$C:$C=$B330,'Основной эфир'!$I:$I=$C330)), 0) "),0.0)</f>
        <v>0</v>
      </c>
      <c r="K330" s="91" t="str">
        <f>IFERROR(__xludf.DUMMYFUNCTION("IFERROR(REGEXREPLACE(unique(filter('Основной эфир'!$A:$A, 'Основной эфир'!$B:$B=$A330,'Основной эфир'!$C:$C=$B330,'Основной эфир'!$I:$I=$C330)), ""\d+"", """"),"""")"),"")</f>
        <v/>
      </c>
      <c r="L330" s="91" t="str">
        <f>IFERROR(__xludf.DUMMYFUNCTION("IFERROR(unique(filter('Основной эфир'!$F:$F, 'Основной эфир'!$B:$B=$A330,'Основной эфир'!$C:$C=$B330,'Основной эфир'!$I:$I=$C330)),"""")"),"")</f>
        <v/>
      </c>
      <c r="M330" s="92" t="str">
        <f t="shared" si="1"/>
        <v/>
      </c>
      <c r="N330" s="93">
        <f>IFERROR(__xludf.DUMMYFUNCTION("IFERROR(SWITCH(lower(join("" "",L330:M330)),""а миллионник"", 62.5,""б миллионник"", 75,""а мск"", 50, ""б мск"", 62.5, ""a остальное"", 70, ""б остальное"", 80)/100,0)"),0.0)</f>
        <v>0</v>
      </c>
      <c r="O330" s="91">
        <f t="shared" si="2"/>
        <v>0</v>
      </c>
      <c r="P330" s="91">
        <f>IFERROR(__xludf.DUMMYFUNCTION("IFERROR(sum(filter('Генеральный баннер'!$O:$O, 'Генеральный баннер'!$B:$B=$A330,'Генеральный баннер'!$C:$C=$B330,'Генеральный баннер'!$I:$I=$C330)), 0) "),0.0)</f>
        <v>0</v>
      </c>
      <c r="Q330" s="91">
        <f>IFERROR(__xludf.DUMMYFUNCTION("IFERROR(sum(filter('Генеральный баннер'!$Q:$Q, 'Генеральный баннер'!$B:$B=$A330,'Генеральный баннер'!$C:$C=$B330,'Генеральный баннер'!$I:$I=$C330)), 0) "),0.0)</f>
        <v>0</v>
      </c>
      <c r="R330" s="91">
        <f>IFERROR(__xludf.DUMMYFUNCTION("IFERROR(AVERAGE(filter('Генеральный баннер'!$AA:$AA, 'Генеральный баннер'!$B:$B=$A330,'Генеральный баннер'!$C:$C=$B330,'Генеральный баннер'!$I:$I=$C330)), 0) "),0.0)</f>
        <v>0</v>
      </c>
      <c r="S330" s="91">
        <f>IFERROR(__xludf.DUMMYFUNCTION("IFERROR(SUM(filter('Генеральный баннер'!$AH:$AH, 'Генеральный баннер'!$B:$B=$A330,'Генеральный баннер'!$C:$C=$B330,'Генеральный баннер'!$I:$I=$C330)), 0) "),0.0)</f>
        <v>0</v>
      </c>
      <c r="T330" s="91" t="str">
        <f>IFERROR(__xludf.DUMMYFUNCTION("IFERROR(REGEXREPLACE(unique(filter('Генеральный баннер'!$A:$A, 'Генеральный баннер'!$B:$B=$A330,'Генеральный баннер'!$C:$C=$B330,'Генеральный баннер'!$I:$I=$C330)), ""\d+"", """"),"""")"),"")</f>
        <v/>
      </c>
      <c r="U330" s="91" t="str">
        <f>IFERROR(__xludf.DUMMYFUNCTION("IFERROR(unique(filter('Генеральный баннер'!$F:$F, 'Генеральный баннер'!$B:$B=$A330,'Генеральный баннер'!$C:$C=$B330,'Генеральный баннер'!$I:$I=$C330)),"""")"),"")</f>
        <v/>
      </c>
      <c r="V330" s="92" t="str">
        <f t="shared" si="3"/>
        <v/>
      </c>
      <c r="W330" s="93">
        <f>IFERROR(__xludf.DUMMYFUNCTION("IFERROR(SWITCH(lower(join("" "",U330:V330)),""а миллионник"", 62.5,""б миллионник"", 75,""а мск"", 50, ""б мск"", 62.5, ""a остальное"", 70, ""б остальное"", 80)/100,0)"),0.0)</f>
        <v>0</v>
      </c>
      <c r="X330" s="91">
        <f t="shared" si="4"/>
        <v>0</v>
      </c>
    </row>
    <row r="331">
      <c r="A331" s="12"/>
      <c r="B331" s="12"/>
      <c r="C331" s="12"/>
      <c r="D331" s="91">
        <f>IFERROR(__xludf.DUMMYFUNCTION("IFERROR(sum(filter('Основной эфир'!$AA:$AA, 'Основной эфир'!$B:$B=$A331,'Основной эфир'!$C:$C=$B331,'Основной эфир'!$I:$I=$C331)), 0) "),0.0)</f>
        <v>0</v>
      </c>
      <c r="E331" s="91">
        <f>IFERROR(__xludf.DUMMYFUNCTION("IFERROR(sum(filter('Основной эфир'!$AC:$AC, 'Основной эфир'!$B:$B=$A331,'Основной эфир'!$C:$C=$B331,'Основной эфир'!$I:$I=$C331)), 0) "),0.0)</f>
        <v>0</v>
      </c>
      <c r="F331" s="91">
        <f>IFERROR(__xludf.DUMMYFUNCTION("IFERROR(sum(filter('Основной эфир'!$O:$O, 'Основной эфир'!$B:$B=$A331,'Основной эфир'!$C:$C=$B331,'Основной эфир'!$I:$I=$C331)), 0) "),0.0)</f>
        <v>0</v>
      </c>
      <c r="G331" s="91">
        <f>IFERROR(__xludf.DUMMYFUNCTION("IFERROR(sum(filter('Основной эфир'!$Q:$Q, 'Основной эфир'!$B:$B=$A331,'Основной эфир'!$C:$C=$B331,'Основной эфир'!$I:$I=$C331)), 0) "),0.0)</f>
        <v>0</v>
      </c>
      <c r="H331" s="91">
        <f>IFERROR(__xludf.DUMMYFUNCTION("IFERROR(AVERAGE(filter('Основной эфир'!$Y:$Y, 'Основной эфир'!$B:$B=$A331,'Основной эфир'!$C:$C=$B331,'Основной эфир'!$I:$I=$C331)), 0) "),0.0)</f>
        <v>0</v>
      </c>
      <c r="I331" s="91">
        <f>IFERROR(__xludf.DUMMYFUNCTION("IFERROR(AVERAGE(filter('Основной эфир'!$AE:$AE, 'Основной эфир'!$B:$B=$A331,'Основной эфир'!$C:$C=$B331,'Основной эфир'!$I:$I=$C331)), 0) "),0.0)</f>
        <v>0</v>
      </c>
      <c r="J331" s="91">
        <f>IFERROR(__xludf.DUMMYFUNCTION("IFERROR(SUM(filter('Основной эфир'!$AL:$AL, 'Основной эфир'!$B:$B=$A331,'Основной эфир'!$C:$C=$B331,'Основной эфир'!$I:$I=$C331)), 0) "),0.0)</f>
        <v>0</v>
      </c>
      <c r="K331" s="91" t="str">
        <f>IFERROR(__xludf.DUMMYFUNCTION("IFERROR(REGEXREPLACE(unique(filter('Основной эфир'!$A:$A, 'Основной эфир'!$B:$B=$A331,'Основной эфир'!$C:$C=$B331,'Основной эфир'!$I:$I=$C331)), ""\d+"", """"),"""")"),"")</f>
        <v/>
      </c>
      <c r="L331" s="91" t="str">
        <f>IFERROR(__xludf.DUMMYFUNCTION("IFERROR(unique(filter('Основной эфир'!$F:$F, 'Основной эфир'!$B:$B=$A331,'Основной эфир'!$C:$C=$B331,'Основной эфир'!$I:$I=$C331)),"""")"),"")</f>
        <v/>
      </c>
      <c r="M331" s="92" t="str">
        <f t="shared" si="1"/>
        <v/>
      </c>
      <c r="N331" s="93">
        <f>IFERROR(__xludf.DUMMYFUNCTION("IFERROR(SWITCH(lower(join("" "",L331:M331)),""а миллионник"", 62.5,""б миллионник"", 75,""а мск"", 50, ""б мск"", 62.5, ""a остальное"", 70, ""б остальное"", 80)/100,0)"),0.0)</f>
        <v>0</v>
      </c>
      <c r="O331" s="91">
        <f t="shared" si="2"/>
        <v>0</v>
      </c>
      <c r="P331" s="91">
        <f>IFERROR(__xludf.DUMMYFUNCTION("IFERROR(sum(filter('Генеральный баннер'!$O:$O, 'Генеральный баннер'!$B:$B=$A331,'Генеральный баннер'!$C:$C=$B331,'Генеральный баннер'!$I:$I=$C331)), 0) "),0.0)</f>
        <v>0</v>
      </c>
      <c r="Q331" s="91">
        <f>IFERROR(__xludf.DUMMYFUNCTION("IFERROR(sum(filter('Генеральный баннер'!$Q:$Q, 'Генеральный баннер'!$B:$B=$A331,'Генеральный баннер'!$C:$C=$B331,'Генеральный баннер'!$I:$I=$C331)), 0) "),0.0)</f>
        <v>0</v>
      </c>
      <c r="R331" s="91">
        <f>IFERROR(__xludf.DUMMYFUNCTION("IFERROR(AVERAGE(filter('Генеральный баннер'!$AA:$AA, 'Генеральный баннер'!$B:$B=$A331,'Генеральный баннер'!$C:$C=$B331,'Генеральный баннер'!$I:$I=$C331)), 0) "),0.0)</f>
        <v>0</v>
      </c>
      <c r="S331" s="91">
        <f>IFERROR(__xludf.DUMMYFUNCTION("IFERROR(SUM(filter('Генеральный баннер'!$AH:$AH, 'Генеральный баннер'!$B:$B=$A331,'Генеральный баннер'!$C:$C=$B331,'Генеральный баннер'!$I:$I=$C331)), 0) "),0.0)</f>
        <v>0</v>
      </c>
      <c r="T331" s="91" t="str">
        <f>IFERROR(__xludf.DUMMYFUNCTION("IFERROR(REGEXREPLACE(unique(filter('Генеральный баннер'!$A:$A, 'Генеральный баннер'!$B:$B=$A331,'Генеральный баннер'!$C:$C=$B331,'Генеральный баннер'!$I:$I=$C331)), ""\d+"", """"),"""")"),"")</f>
        <v/>
      </c>
      <c r="U331" s="91" t="str">
        <f>IFERROR(__xludf.DUMMYFUNCTION("IFERROR(unique(filter('Генеральный баннер'!$F:$F, 'Генеральный баннер'!$B:$B=$A331,'Генеральный баннер'!$C:$C=$B331,'Генеральный баннер'!$I:$I=$C331)),"""")"),"")</f>
        <v/>
      </c>
      <c r="V331" s="92" t="str">
        <f t="shared" si="3"/>
        <v/>
      </c>
      <c r="W331" s="93">
        <f>IFERROR(__xludf.DUMMYFUNCTION("IFERROR(SWITCH(lower(join("" "",U331:V331)),""а миллионник"", 62.5,""б миллионник"", 75,""а мск"", 50, ""б мск"", 62.5, ""a остальное"", 70, ""б остальное"", 80)/100,0)"),0.0)</f>
        <v>0</v>
      </c>
      <c r="X331" s="91">
        <f t="shared" si="4"/>
        <v>0</v>
      </c>
    </row>
    <row r="332">
      <c r="A332" s="12"/>
      <c r="B332" s="12"/>
      <c r="C332" s="12"/>
      <c r="D332" s="91">
        <f>IFERROR(__xludf.DUMMYFUNCTION("IFERROR(sum(filter('Основной эфир'!$AA:$AA, 'Основной эфир'!$B:$B=$A332,'Основной эфир'!$C:$C=$B332,'Основной эфир'!$I:$I=$C332)), 0) "),0.0)</f>
        <v>0</v>
      </c>
      <c r="E332" s="91">
        <f>IFERROR(__xludf.DUMMYFUNCTION("IFERROR(sum(filter('Основной эфир'!$AC:$AC, 'Основной эфир'!$B:$B=$A332,'Основной эфир'!$C:$C=$B332,'Основной эфир'!$I:$I=$C332)), 0) "),0.0)</f>
        <v>0</v>
      </c>
      <c r="F332" s="91">
        <f>IFERROR(__xludf.DUMMYFUNCTION("IFERROR(sum(filter('Основной эфир'!$O:$O, 'Основной эфир'!$B:$B=$A332,'Основной эфир'!$C:$C=$B332,'Основной эфир'!$I:$I=$C332)), 0) "),0.0)</f>
        <v>0</v>
      </c>
      <c r="G332" s="91">
        <f>IFERROR(__xludf.DUMMYFUNCTION("IFERROR(sum(filter('Основной эфир'!$Q:$Q, 'Основной эфир'!$B:$B=$A332,'Основной эфир'!$C:$C=$B332,'Основной эфир'!$I:$I=$C332)), 0) "),0.0)</f>
        <v>0</v>
      </c>
      <c r="H332" s="91">
        <f>IFERROR(__xludf.DUMMYFUNCTION("IFERROR(AVERAGE(filter('Основной эфир'!$Y:$Y, 'Основной эфир'!$B:$B=$A332,'Основной эфир'!$C:$C=$B332,'Основной эфир'!$I:$I=$C332)), 0) "),0.0)</f>
        <v>0</v>
      </c>
      <c r="I332" s="91">
        <f>IFERROR(__xludf.DUMMYFUNCTION("IFERROR(AVERAGE(filter('Основной эфир'!$AE:$AE, 'Основной эфир'!$B:$B=$A332,'Основной эфир'!$C:$C=$B332,'Основной эфир'!$I:$I=$C332)), 0) "),0.0)</f>
        <v>0</v>
      </c>
      <c r="J332" s="91">
        <f>IFERROR(__xludf.DUMMYFUNCTION("IFERROR(SUM(filter('Основной эфир'!$AL:$AL, 'Основной эфир'!$B:$B=$A332,'Основной эфир'!$C:$C=$B332,'Основной эфир'!$I:$I=$C332)), 0) "),0.0)</f>
        <v>0</v>
      </c>
      <c r="K332" s="91" t="str">
        <f>IFERROR(__xludf.DUMMYFUNCTION("IFERROR(REGEXREPLACE(unique(filter('Основной эфир'!$A:$A, 'Основной эфир'!$B:$B=$A332,'Основной эфир'!$C:$C=$B332,'Основной эфир'!$I:$I=$C332)), ""\d+"", """"),"""")"),"")</f>
        <v/>
      </c>
      <c r="L332" s="91" t="str">
        <f>IFERROR(__xludf.DUMMYFUNCTION("IFERROR(unique(filter('Основной эфир'!$F:$F, 'Основной эфир'!$B:$B=$A332,'Основной эфир'!$C:$C=$B332,'Основной эфир'!$I:$I=$C332)),"""")"),"")</f>
        <v/>
      </c>
      <c r="M332" s="92" t="str">
        <f t="shared" si="1"/>
        <v/>
      </c>
      <c r="N332" s="93">
        <f>IFERROR(__xludf.DUMMYFUNCTION("IFERROR(SWITCH(lower(join("" "",L332:M332)),""а миллионник"", 62.5,""б миллионник"", 75,""а мск"", 50, ""б мск"", 62.5, ""a остальное"", 70, ""б остальное"", 80)/100,0)"),0.0)</f>
        <v>0</v>
      </c>
      <c r="O332" s="91">
        <f t="shared" si="2"/>
        <v>0</v>
      </c>
      <c r="P332" s="91">
        <f>IFERROR(__xludf.DUMMYFUNCTION("IFERROR(sum(filter('Генеральный баннер'!$O:$O, 'Генеральный баннер'!$B:$B=$A332,'Генеральный баннер'!$C:$C=$B332,'Генеральный баннер'!$I:$I=$C332)), 0) "),0.0)</f>
        <v>0</v>
      </c>
      <c r="Q332" s="91">
        <f>IFERROR(__xludf.DUMMYFUNCTION("IFERROR(sum(filter('Генеральный баннер'!$Q:$Q, 'Генеральный баннер'!$B:$B=$A332,'Генеральный баннер'!$C:$C=$B332,'Генеральный баннер'!$I:$I=$C332)), 0) "),0.0)</f>
        <v>0</v>
      </c>
      <c r="R332" s="91">
        <f>IFERROR(__xludf.DUMMYFUNCTION("IFERROR(AVERAGE(filter('Генеральный баннер'!$AA:$AA, 'Генеральный баннер'!$B:$B=$A332,'Генеральный баннер'!$C:$C=$B332,'Генеральный баннер'!$I:$I=$C332)), 0) "),0.0)</f>
        <v>0</v>
      </c>
      <c r="S332" s="91">
        <f>IFERROR(__xludf.DUMMYFUNCTION("IFERROR(SUM(filter('Генеральный баннер'!$AH:$AH, 'Генеральный баннер'!$B:$B=$A332,'Генеральный баннер'!$C:$C=$B332,'Генеральный баннер'!$I:$I=$C332)), 0) "),0.0)</f>
        <v>0</v>
      </c>
      <c r="T332" s="91" t="str">
        <f>IFERROR(__xludf.DUMMYFUNCTION("IFERROR(REGEXREPLACE(unique(filter('Генеральный баннер'!$A:$A, 'Генеральный баннер'!$B:$B=$A332,'Генеральный баннер'!$C:$C=$B332,'Генеральный баннер'!$I:$I=$C332)), ""\d+"", """"),"""")"),"")</f>
        <v/>
      </c>
      <c r="U332" s="91" t="str">
        <f>IFERROR(__xludf.DUMMYFUNCTION("IFERROR(unique(filter('Генеральный баннер'!$F:$F, 'Генеральный баннер'!$B:$B=$A332,'Генеральный баннер'!$C:$C=$B332,'Генеральный баннер'!$I:$I=$C332)),"""")"),"")</f>
        <v/>
      </c>
      <c r="V332" s="92" t="str">
        <f t="shared" si="3"/>
        <v/>
      </c>
      <c r="W332" s="93">
        <f>IFERROR(__xludf.DUMMYFUNCTION("IFERROR(SWITCH(lower(join("" "",U332:V332)),""а миллионник"", 62.5,""б миллионник"", 75,""а мск"", 50, ""б мск"", 62.5, ""a остальное"", 70, ""б остальное"", 80)/100,0)"),0.0)</f>
        <v>0</v>
      </c>
      <c r="X332" s="91">
        <f t="shared" si="4"/>
        <v>0</v>
      </c>
    </row>
    <row r="333">
      <c r="A333" s="12"/>
      <c r="B333" s="12"/>
      <c r="C333" s="12"/>
      <c r="D333" s="91">
        <f>IFERROR(__xludf.DUMMYFUNCTION("IFERROR(sum(filter('Основной эфир'!$AA:$AA, 'Основной эфир'!$B:$B=$A333,'Основной эфир'!$C:$C=$B333,'Основной эфир'!$I:$I=$C333)), 0) "),0.0)</f>
        <v>0</v>
      </c>
      <c r="E333" s="91">
        <f>IFERROR(__xludf.DUMMYFUNCTION("IFERROR(sum(filter('Основной эфир'!$AC:$AC, 'Основной эфир'!$B:$B=$A333,'Основной эфир'!$C:$C=$B333,'Основной эфир'!$I:$I=$C333)), 0) "),0.0)</f>
        <v>0</v>
      </c>
      <c r="F333" s="91">
        <f>IFERROR(__xludf.DUMMYFUNCTION("IFERROR(sum(filter('Основной эфир'!$O:$O, 'Основной эфир'!$B:$B=$A333,'Основной эфир'!$C:$C=$B333,'Основной эфир'!$I:$I=$C333)), 0) "),0.0)</f>
        <v>0</v>
      </c>
      <c r="G333" s="91">
        <f>IFERROR(__xludf.DUMMYFUNCTION("IFERROR(sum(filter('Основной эфир'!$Q:$Q, 'Основной эфир'!$B:$B=$A333,'Основной эфир'!$C:$C=$B333,'Основной эфир'!$I:$I=$C333)), 0) "),0.0)</f>
        <v>0</v>
      </c>
      <c r="H333" s="91">
        <f>IFERROR(__xludf.DUMMYFUNCTION("IFERROR(AVERAGE(filter('Основной эфир'!$Y:$Y, 'Основной эфир'!$B:$B=$A333,'Основной эфир'!$C:$C=$B333,'Основной эфир'!$I:$I=$C333)), 0) "),0.0)</f>
        <v>0</v>
      </c>
      <c r="I333" s="91">
        <f>IFERROR(__xludf.DUMMYFUNCTION("IFERROR(AVERAGE(filter('Основной эфир'!$AE:$AE, 'Основной эфир'!$B:$B=$A333,'Основной эфир'!$C:$C=$B333,'Основной эфир'!$I:$I=$C333)), 0) "),0.0)</f>
        <v>0</v>
      </c>
      <c r="J333" s="91">
        <f>IFERROR(__xludf.DUMMYFUNCTION("IFERROR(SUM(filter('Основной эфир'!$AL:$AL, 'Основной эфир'!$B:$B=$A333,'Основной эфир'!$C:$C=$B333,'Основной эфир'!$I:$I=$C333)), 0) "),0.0)</f>
        <v>0</v>
      </c>
      <c r="K333" s="91" t="str">
        <f>IFERROR(__xludf.DUMMYFUNCTION("IFERROR(REGEXREPLACE(unique(filter('Основной эфир'!$A:$A, 'Основной эфир'!$B:$B=$A333,'Основной эфир'!$C:$C=$B333,'Основной эфир'!$I:$I=$C333)), ""\d+"", """"),"""")"),"")</f>
        <v/>
      </c>
      <c r="L333" s="91" t="str">
        <f>IFERROR(__xludf.DUMMYFUNCTION("IFERROR(unique(filter('Основной эфир'!$F:$F, 'Основной эфир'!$B:$B=$A333,'Основной эфир'!$C:$C=$B333,'Основной эфир'!$I:$I=$C333)),"""")"),"")</f>
        <v/>
      </c>
      <c r="M333" s="92" t="str">
        <f t="shared" si="1"/>
        <v/>
      </c>
      <c r="N333" s="93">
        <f>IFERROR(__xludf.DUMMYFUNCTION("IFERROR(SWITCH(lower(join("" "",L333:M333)),""а миллионник"", 62.5,""б миллионник"", 75,""а мск"", 50, ""б мск"", 62.5, ""a остальное"", 70, ""б остальное"", 80)/100,0)"),0.0)</f>
        <v>0</v>
      </c>
      <c r="O333" s="91">
        <f t="shared" si="2"/>
        <v>0</v>
      </c>
      <c r="P333" s="91">
        <f>IFERROR(__xludf.DUMMYFUNCTION("IFERROR(sum(filter('Генеральный баннер'!$O:$O, 'Генеральный баннер'!$B:$B=$A333,'Генеральный баннер'!$C:$C=$B333,'Генеральный баннер'!$I:$I=$C333)), 0) "),0.0)</f>
        <v>0</v>
      </c>
      <c r="Q333" s="91">
        <f>IFERROR(__xludf.DUMMYFUNCTION("IFERROR(sum(filter('Генеральный баннер'!$Q:$Q, 'Генеральный баннер'!$B:$B=$A333,'Генеральный баннер'!$C:$C=$B333,'Генеральный баннер'!$I:$I=$C333)), 0) "),0.0)</f>
        <v>0</v>
      </c>
      <c r="R333" s="91">
        <f>IFERROR(__xludf.DUMMYFUNCTION("IFERROR(AVERAGE(filter('Генеральный баннер'!$AA:$AA, 'Генеральный баннер'!$B:$B=$A333,'Генеральный баннер'!$C:$C=$B333,'Генеральный баннер'!$I:$I=$C333)), 0) "),0.0)</f>
        <v>0</v>
      </c>
      <c r="S333" s="91">
        <f>IFERROR(__xludf.DUMMYFUNCTION("IFERROR(SUM(filter('Генеральный баннер'!$AH:$AH, 'Генеральный баннер'!$B:$B=$A333,'Генеральный баннер'!$C:$C=$B333,'Генеральный баннер'!$I:$I=$C333)), 0) "),0.0)</f>
        <v>0</v>
      </c>
      <c r="T333" s="91" t="str">
        <f>IFERROR(__xludf.DUMMYFUNCTION("IFERROR(REGEXREPLACE(unique(filter('Генеральный баннер'!$A:$A, 'Генеральный баннер'!$B:$B=$A333,'Генеральный баннер'!$C:$C=$B333,'Генеральный баннер'!$I:$I=$C333)), ""\d+"", """"),"""")"),"")</f>
        <v/>
      </c>
      <c r="U333" s="91" t="str">
        <f>IFERROR(__xludf.DUMMYFUNCTION("IFERROR(unique(filter('Генеральный баннер'!$F:$F, 'Генеральный баннер'!$B:$B=$A333,'Генеральный баннер'!$C:$C=$B333,'Генеральный баннер'!$I:$I=$C333)),"""")"),"")</f>
        <v/>
      </c>
      <c r="V333" s="92" t="str">
        <f t="shared" si="3"/>
        <v/>
      </c>
      <c r="W333" s="93">
        <f>IFERROR(__xludf.DUMMYFUNCTION("IFERROR(SWITCH(lower(join("" "",U333:V333)),""а миллионник"", 62.5,""б миллионник"", 75,""а мск"", 50, ""б мск"", 62.5, ""a остальное"", 70, ""б остальное"", 80)/100,0)"),0.0)</f>
        <v>0</v>
      </c>
      <c r="X333" s="91">
        <f t="shared" si="4"/>
        <v>0</v>
      </c>
    </row>
    <row r="334">
      <c r="A334" s="12"/>
      <c r="B334" s="12"/>
      <c r="C334" s="12"/>
      <c r="D334" s="91">
        <f>IFERROR(__xludf.DUMMYFUNCTION("IFERROR(sum(filter('Основной эфир'!$AA:$AA, 'Основной эфир'!$B:$B=$A334,'Основной эфир'!$C:$C=$B334,'Основной эфир'!$I:$I=$C334)), 0) "),0.0)</f>
        <v>0</v>
      </c>
      <c r="E334" s="91">
        <f>IFERROR(__xludf.DUMMYFUNCTION("IFERROR(sum(filter('Основной эфир'!$AC:$AC, 'Основной эфир'!$B:$B=$A334,'Основной эфир'!$C:$C=$B334,'Основной эфир'!$I:$I=$C334)), 0) "),0.0)</f>
        <v>0</v>
      </c>
      <c r="F334" s="91">
        <f>IFERROR(__xludf.DUMMYFUNCTION("IFERROR(sum(filter('Основной эфир'!$O:$O, 'Основной эфир'!$B:$B=$A334,'Основной эфир'!$C:$C=$B334,'Основной эфир'!$I:$I=$C334)), 0) "),0.0)</f>
        <v>0</v>
      </c>
      <c r="G334" s="91">
        <f>IFERROR(__xludf.DUMMYFUNCTION("IFERROR(sum(filter('Основной эфир'!$Q:$Q, 'Основной эфир'!$B:$B=$A334,'Основной эфир'!$C:$C=$B334,'Основной эфир'!$I:$I=$C334)), 0) "),0.0)</f>
        <v>0</v>
      </c>
      <c r="H334" s="91">
        <f>IFERROR(__xludf.DUMMYFUNCTION("IFERROR(AVERAGE(filter('Основной эфир'!$Y:$Y, 'Основной эфир'!$B:$B=$A334,'Основной эфир'!$C:$C=$B334,'Основной эфир'!$I:$I=$C334)), 0) "),0.0)</f>
        <v>0</v>
      </c>
      <c r="I334" s="91">
        <f>IFERROR(__xludf.DUMMYFUNCTION("IFERROR(AVERAGE(filter('Основной эфир'!$AE:$AE, 'Основной эфир'!$B:$B=$A334,'Основной эфир'!$C:$C=$B334,'Основной эфир'!$I:$I=$C334)), 0) "),0.0)</f>
        <v>0</v>
      </c>
      <c r="J334" s="91">
        <f>IFERROR(__xludf.DUMMYFUNCTION("IFERROR(SUM(filter('Основной эфир'!$AL:$AL, 'Основной эфир'!$B:$B=$A334,'Основной эфир'!$C:$C=$B334,'Основной эфир'!$I:$I=$C334)), 0) "),0.0)</f>
        <v>0</v>
      </c>
      <c r="K334" s="91" t="str">
        <f>IFERROR(__xludf.DUMMYFUNCTION("IFERROR(REGEXREPLACE(unique(filter('Основной эфир'!$A:$A, 'Основной эфир'!$B:$B=$A334,'Основной эфир'!$C:$C=$B334,'Основной эфир'!$I:$I=$C334)), ""\d+"", """"),"""")"),"")</f>
        <v/>
      </c>
      <c r="L334" s="91" t="str">
        <f>IFERROR(__xludf.DUMMYFUNCTION("IFERROR(unique(filter('Основной эфир'!$F:$F, 'Основной эфир'!$B:$B=$A334,'Основной эфир'!$C:$C=$B334,'Основной эфир'!$I:$I=$C334)),"""")"),"")</f>
        <v/>
      </c>
      <c r="M334" s="92" t="str">
        <f t="shared" si="1"/>
        <v/>
      </c>
      <c r="N334" s="93">
        <f>IFERROR(__xludf.DUMMYFUNCTION("IFERROR(SWITCH(lower(join("" "",L334:M334)),""а миллионник"", 62.5,""б миллионник"", 75,""а мск"", 50, ""б мск"", 62.5, ""a остальное"", 70, ""б остальное"", 80)/100,0)"),0.0)</f>
        <v>0</v>
      </c>
      <c r="O334" s="91">
        <f t="shared" si="2"/>
        <v>0</v>
      </c>
      <c r="P334" s="91">
        <f>IFERROR(__xludf.DUMMYFUNCTION("IFERROR(sum(filter('Генеральный баннер'!$O:$O, 'Генеральный баннер'!$B:$B=$A334,'Генеральный баннер'!$C:$C=$B334,'Генеральный баннер'!$I:$I=$C334)), 0) "),0.0)</f>
        <v>0</v>
      </c>
      <c r="Q334" s="91">
        <f>IFERROR(__xludf.DUMMYFUNCTION("IFERROR(sum(filter('Генеральный баннер'!$Q:$Q, 'Генеральный баннер'!$B:$B=$A334,'Генеральный баннер'!$C:$C=$B334,'Генеральный баннер'!$I:$I=$C334)), 0) "),0.0)</f>
        <v>0</v>
      </c>
      <c r="R334" s="91">
        <f>IFERROR(__xludf.DUMMYFUNCTION("IFERROR(AVERAGE(filter('Генеральный баннер'!$AA:$AA, 'Генеральный баннер'!$B:$B=$A334,'Генеральный баннер'!$C:$C=$B334,'Генеральный баннер'!$I:$I=$C334)), 0) "),0.0)</f>
        <v>0</v>
      </c>
      <c r="S334" s="91">
        <f>IFERROR(__xludf.DUMMYFUNCTION("IFERROR(SUM(filter('Генеральный баннер'!$AH:$AH, 'Генеральный баннер'!$B:$B=$A334,'Генеральный баннер'!$C:$C=$B334,'Генеральный баннер'!$I:$I=$C334)), 0) "),0.0)</f>
        <v>0</v>
      </c>
      <c r="T334" s="91" t="str">
        <f>IFERROR(__xludf.DUMMYFUNCTION("IFERROR(REGEXREPLACE(unique(filter('Генеральный баннер'!$A:$A, 'Генеральный баннер'!$B:$B=$A334,'Генеральный баннер'!$C:$C=$B334,'Генеральный баннер'!$I:$I=$C334)), ""\d+"", """"),"""")"),"")</f>
        <v/>
      </c>
      <c r="U334" s="91" t="str">
        <f>IFERROR(__xludf.DUMMYFUNCTION("IFERROR(unique(filter('Генеральный баннер'!$F:$F, 'Генеральный баннер'!$B:$B=$A334,'Генеральный баннер'!$C:$C=$B334,'Генеральный баннер'!$I:$I=$C334)),"""")"),"")</f>
        <v/>
      </c>
      <c r="V334" s="92" t="str">
        <f t="shared" si="3"/>
        <v/>
      </c>
      <c r="W334" s="93">
        <f>IFERROR(__xludf.DUMMYFUNCTION("IFERROR(SWITCH(lower(join("" "",U334:V334)),""а миллионник"", 62.5,""б миллионник"", 75,""а мск"", 50, ""б мск"", 62.5, ""a остальное"", 70, ""б остальное"", 80)/100,0)"),0.0)</f>
        <v>0</v>
      </c>
      <c r="X334" s="91">
        <f t="shared" si="4"/>
        <v>0</v>
      </c>
    </row>
    <row r="335">
      <c r="A335" s="12"/>
      <c r="B335" s="12"/>
      <c r="C335" s="12"/>
      <c r="D335" s="91">
        <f>IFERROR(__xludf.DUMMYFUNCTION("IFERROR(sum(filter('Основной эфир'!$AA:$AA, 'Основной эфир'!$B:$B=$A335,'Основной эфир'!$C:$C=$B335,'Основной эфир'!$I:$I=$C335)), 0) "),0.0)</f>
        <v>0</v>
      </c>
      <c r="E335" s="91">
        <f>IFERROR(__xludf.DUMMYFUNCTION("IFERROR(sum(filter('Основной эфир'!$AC:$AC, 'Основной эфир'!$B:$B=$A335,'Основной эфир'!$C:$C=$B335,'Основной эфир'!$I:$I=$C335)), 0) "),0.0)</f>
        <v>0</v>
      </c>
      <c r="F335" s="91">
        <f>IFERROR(__xludf.DUMMYFUNCTION("IFERROR(sum(filter('Основной эфир'!$O:$O, 'Основной эфир'!$B:$B=$A335,'Основной эфир'!$C:$C=$B335,'Основной эфир'!$I:$I=$C335)), 0) "),0.0)</f>
        <v>0</v>
      </c>
      <c r="G335" s="91">
        <f>IFERROR(__xludf.DUMMYFUNCTION("IFERROR(sum(filter('Основной эфир'!$Q:$Q, 'Основной эфир'!$B:$B=$A335,'Основной эфир'!$C:$C=$B335,'Основной эфир'!$I:$I=$C335)), 0) "),0.0)</f>
        <v>0</v>
      </c>
      <c r="H335" s="91">
        <f>IFERROR(__xludf.DUMMYFUNCTION("IFERROR(AVERAGE(filter('Основной эфир'!$Y:$Y, 'Основной эфир'!$B:$B=$A335,'Основной эфир'!$C:$C=$B335,'Основной эфир'!$I:$I=$C335)), 0) "),0.0)</f>
        <v>0</v>
      </c>
      <c r="I335" s="91">
        <f>IFERROR(__xludf.DUMMYFUNCTION("IFERROR(AVERAGE(filter('Основной эфир'!$AE:$AE, 'Основной эфир'!$B:$B=$A335,'Основной эфир'!$C:$C=$B335,'Основной эфир'!$I:$I=$C335)), 0) "),0.0)</f>
        <v>0</v>
      </c>
      <c r="J335" s="91">
        <f>IFERROR(__xludf.DUMMYFUNCTION("IFERROR(SUM(filter('Основной эфир'!$AL:$AL, 'Основной эфир'!$B:$B=$A335,'Основной эфир'!$C:$C=$B335,'Основной эфир'!$I:$I=$C335)), 0) "),0.0)</f>
        <v>0</v>
      </c>
      <c r="K335" s="91" t="str">
        <f>IFERROR(__xludf.DUMMYFUNCTION("IFERROR(REGEXREPLACE(unique(filter('Основной эфир'!$A:$A, 'Основной эфир'!$B:$B=$A335,'Основной эфир'!$C:$C=$B335,'Основной эфир'!$I:$I=$C335)), ""\d+"", """"),"""")"),"")</f>
        <v/>
      </c>
      <c r="L335" s="91" t="str">
        <f>IFERROR(__xludf.DUMMYFUNCTION("IFERROR(unique(filter('Основной эфир'!$F:$F, 'Основной эфир'!$B:$B=$A335,'Основной эфир'!$C:$C=$B335,'Основной эфир'!$I:$I=$C335)),"""")"),"")</f>
        <v/>
      </c>
      <c r="M335" s="92" t="str">
        <f t="shared" si="1"/>
        <v/>
      </c>
      <c r="N335" s="93">
        <f>IFERROR(__xludf.DUMMYFUNCTION("IFERROR(SWITCH(lower(join("" "",L335:M335)),""а миллионник"", 62.5,""б миллионник"", 75,""а мск"", 50, ""б мск"", 62.5, ""a остальное"", 70, ""б остальное"", 80)/100,0)"),0.0)</f>
        <v>0</v>
      </c>
      <c r="O335" s="91">
        <f t="shared" si="2"/>
        <v>0</v>
      </c>
      <c r="P335" s="91">
        <f>IFERROR(__xludf.DUMMYFUNCTION("IFERROR(sum(filter('Генеральный баннер'!$O:$O, 'Генеральный баннер'!$B:$B=$A335,'Генеральный баннер'!$C:$C=$B335,'Генеральный баннер'!$I:$I=$C335)), 0) "),0.0)</f>
        <v>0</v>
      </c>
      <c r="Q335" s="91">
        <f>IFERROR(__xludf.DUMMYFUNCTION("IFERROR(sum(filter('Генеральный баннер'!$Q:$Q, 'Генеральный баннер'!$B:$B=$A335,'Генеральный баннер'!$C:$C=$B335,'Генеральный баннер'!$I:$I=$C335)), 0) "),0.0)</f>
        <v>0</v>
      </c>
      <c r="R335" s="91">
        <f>IFERROR(__xludf.DUMMYFUNCTION("IFERROR(AVERAGE(filter('Генеральный баннер'!$AA:$AA, 'Генеральный баннер'!$B:$B=$A335,'Генеральный баннер'!$C:$C=$B335,'Генеральный баннер'!$I:$I=$C335)), 0) "),0.0)</f>
        <v>0</v>
      </c>
      <c r="S335" s="91">
        <f>IFERROR(__xludf.DUMMYFUNCTION("IFERROR(SUM(filter('Генеральный баннер'!$AH:$AH, 'Генеральный баннер'!$B:$B=$A335,'Генеральный баннер'!$C:$C=$B335,'Генеральный баннер'!$I:$I=$C335)), 0) "),0.0)</f>
        <v>0</v>
      </c>
      <c r="T335" s="91" t="str">
        <f>IFERROR(__xludf.DUMMYFUNCTION("IFERROR(REGEXREPLACE(unique(filter('Генеральный баннер'!$A:$A, 'Генеральный баннер'!$B:$B=$A335,'Генеральный баннер'!$C:$C=$B335,'Генеральный баннер'!$I:$I=$C335)), ""\d+"", """"),"""")"),"")</f>
        <v/>
      </c>
      <c r="U335" s="91" t="str">
        <f>IFERROR(__xludf.DUMMYFUNCTION("IFERROR(unique(filter('Генеральный баннер'!$F:$F, 'Генеральный баннер'!$B:$B=$A335,'Генеральный баннер'!$C:$C=$B335,'Генеральный баннер'!$I:$I=$C335)),"""")"),"")</f>
        <v/>
      </c>
      <c r="V335" s="92" t="str">
        <f t="shared" si="3"/>
        <v/>
      </c>
      <c r="W335" s="93">
        <f>IFERROR(__xludf.DUMMYFUNCTION("IFERROR(SWITCH(lower(join("" "",U335:V335)),""а миллионник"", 62.5,""б миллионник"", 75,""а мск"", 50, ""б мск"", 62.5, ""a остальное"", 70, ""б остальное"", 80)/100,0)"),0.0)</f>
        <v>0</v>
      </c>
      <c r="X335" s="91">
        <f t="shared" si="4"/>
        <v>0</v>
      </c>
    </row>
    <row r="336">
      <c r="A336" s="12"/>
      <c r="B336" s="12"/>
      <c r="C336" s="12"/>
      <c r="D336" s="91">
        <f>IFERROR(__xludf.DUMMYFUNCTION("IFERROR(sum(filter('Основной эфир'!$AA:$AA, 'Основной эфир'!$B:$B=$A336,'Основной эфир'!$C:$C=$B336,'Основной эфир'!$I:$I=$C336)), 0) "),0.0)</f>
        <v>0</v>
      </c>
      <c r="E336" s="91">
        <f>IFERROR(__xludf.DUMMYFUNCTION("IFERROR(sum(filter('Основной эфир'!$AC:$AC, 'Основной эфир'!$B:$B=$A336,'Основной эфир'!$C:$C=$B336,'Основной эфир'!$I:$I=$C336)), 0) "),0.0)</f>
        <v>0</v>
      </c>
      <c r="F336" s="91">
        <f>IFERROR(__xludf.DUMMYFUNCTION("IFERROR(sum(filter('Основной эфир'!$O:$O, 'Основной эфир'!$B:$B=$A336,'Основной эфир'!$C:$C=$B336,'Основной эфир'!$I:$I=$C336)), 0) "),0.0)</f>
        <v>0</v>
      </c>
      <c r="G336" s="91">
        <f>IFERROR(__xludf.DUMMYFUNCTION("IFERROR(sum(filter('Основной эфир'!$Q:$Q, 'Основной эфир'!$B:$B=$A336,'Основной эфир'!$C:$C=$B336,'Основной эфир'!$I:$I=$C336)), 0) "),0.0)</f>
        <v>0</v>
      </c>
      <c r="H336" s="91">
        <f>IFERROR(__xludf.DUMMYFUNCTION("IFERROR(AVERAGE(filter('Основной эфир'!$Y:$Y, 'Основной эфир'!$B:$B=$A336,'Основной эфир'!$C:$C=$B336,'Основной эфир'!$I:$I=$C336)), 0) "),0.0)</f>
        <v>0</v>
      </c>
      <c r="I336" s="91">
        <f>IFERROR(__xludf.DUMMYFUNCTION("IFERROR(AVERAGE(filter('Основной эфир'!$AE:$AE, 'Основной эфир'!$B:$B=$A336,'Основной эфир'!$C:$C=$B336,'Основной эфир'!$I:$I=$C336)), 0) "),0.0)</f>
        <v>0</v>
      </c>
      <c r="J336" s="91">
        <f>IFERROR(__xludf.DUMMYFUNCTION("IFERROR(SUM(filter('Основной эфир'!$AL:$AL, 'Основной эфир'!$B:$B=$A336,'Основной эфир'!$C:$C=$B336,'Основной эфир'!$I:$I=$C336)), 0) "),0.0)</f>
        <v>0</v>
      </c>
      <c r="K336" s="91" t="str">
        <f>IFERROR(__xludf.DUMMYFUNCTION("IFERROR(REGEXREPLACE(unique(filter('Основной эфир'!$A:$A, 'Основной эфир'!$B:$B=$A336,'Основной эфир'!$C:$C=$B336,'Основной эфир'!$I:$I=$C336)), ""\d+"", """"),"""")"),"")</f>
        <v/>
      </c>
      <c r="L336" s="91" t="str">
        <f>IFERROR(__xludf.DUMMYFUNCTION("IFERROR(unique(filter('Основной эфир'!$F:$F, 'Основной эфир'!$B:$B=$A336,'Основной эфир'!$C:$C=$B336,'Основной эфир'!$I:$I=$C336)),"""")"),"")</f>
        <v/>
      </c>
      <c r="M336" s="92" t="str">
        <f t="shared" si="1"/>
        <v/>
      </c>
      <c r="N336" s="93">
        <f>IFERROR(__xludf.DUMMYFUNCTION("IFERROR(SWITCH(lower(join("" "",L336:M336)),""а миллионник"", 62.5,""б миллионник"", 75,""а мск"", 50, ""б мск"", 62.5, ""a остальное"", 70, ""б остальное"", 80)/100,0)"),0.0)</f>
        <v>0</v>
      </c>
      <c r="O336" s="91">
        <f t="shared" si="2"/>
        <v>0</v>
      </c>
      <c r="P336" s="91">
        <f>IFERROR(__xludf.DUMMYFUNCTION("IFERROR(sum(filter('Генеральный баннер'!$O:$O, 'Генеральный баннер'!$B:$B=$A336,'Генеральный баннер'!$C:$C=$B336,'Генеральный баннер'!$I:$I=$C336)), 0) "),0.0)</f>
        <v>0</v>
      </c>
      <c r="Q336" s="91">
        <f>IFERROR(__xludf.DUMMYFUNCTION("IFERROR(sum(filter('Генеральный баннер'!$Q:$Q, 'Генеральный баннер'!$B:$B=$A336,'Генеральный баннер'!$C:$C=$B336,'Генеральный баннер'!$I:$I=$C336)), 0) "),0.0)</f>
        <v>0</v>
      </c>
      <c r="R336" s="91">
        <f>IFERROR(__xludf.DUMMYFUNCTION("IFERROR(AVERAGE(filter('Генеральный баннер'!$AA:$AA, 'Генеральный баннер'!$B:$B=$A336,'Генеральный баннер'!$C:$C=$B336,'Генеральный баннер'!$I:$I=$C336)), 0) "),0.0)</f>
        <v>0</v>
      </c>
      <c r="S336" s="91">
        <f>IFERROR(__xludf.DUMMYFUNCTION("IFERROR(SUM(filter('Генеральный баннер'!$AH:$AH, 'Генеральный баннер'!$B:$B=$A336,'Генеральный баннер'!$C:$C=$B336,'Генеральный баннер'!$I:$I=$C336)), 0) "),0.0)</f>
        <v>0</v>
      </c>
      <c r="T336" s="91" t="str">
        <f>IFERROR(__xludf.DUMMYFUNCTION("IFERROR(REGEXREPLACE(unique(filter('Генеральный баннер'!$A:$A, 'Генеральный баннер'!$B:$B=$A336,'Генеральный баннер'!$C:$C=$B336,'Генеральный баннер'!$I:$I=$C336)), ""\d+"", """"),"""")"),"")</f>
        <v/>
      </c>
      <c r="U336" s="91" t="str">
        <f>IFERROR(__xludf.DUMMYFUNCTION("IFERROR(unique(filter('Генеральный баннер'!$F:$F, 'Генеральный баннер'!$B:$B=$A336,'Генеральный баннер'!$C:$C=$B336,'Генеральный баннер'!$I:$I=$C336)),"""")"),"")</f>
        <v/>
      </c>
      <c r="V336" s="92" t="str">
        <f t="shared" si="3"/>
        <v/>
      </c>
      <c r="W336" s="93">
        <f>IFERROR(__xludf.DUMMYFUNCTION("IFERROR(SWITCH(lower(join("" "",U336:V336)),""а миллионник"", 62.5,""б миллионник"", 75,""а мск"", 50, ""б мск"", 62.5, ""a остальное"", 70, ""б остальное"", 80)/100,0)"),0.0)</f>
        <v>0</v>
      </c>
      <c r="X336" s="91">
        <f t="shared" si="4"/>
        <v>0</v>
      </c>
    </row>
    <row r="337">
      <c r="A337" s="12"/>
      <c r="B337" s="12"/>
      <c r="C337" s="12"/>
      <c r="D337" s="91">
        <f>IFERROR(__xludf.DUMMYFUNCTION("IFERROR(sum(filter('Основной эфир'!$AA:$AA, 'Основной эфир'!$B:$B=$A337,'Основной эфир'!$C:$C=$B337,'Основной эфир'!$I:$I=$C337)), 0) "),0.0)</f>
        <v>0</v>
      </c>
      <c r="E337" s="91">
        <f>IFERROR(__xludf.DUMMYFUNCTION("IFERROR(sum(filter('Основной эфир'!$AC:$AC, 'Основной эфир'!$B:$B=$A337,'Основной эфир'!$C:$C=$B337,'Основной эфир'!$I:$I=$C337)), 0) "),0.0)</f>
        <v>0</v>
      </c>
      <c r="F337" s="91">
        <f>IFERROR(__xludf.DUMMYFUNCTION("IFERROR(sum(filter('Основной эфир'!$O:$O, 'Основной эфир'!$B:$B=$A337,'Основной эфир'!$C:$C=$B337,'Основной эфир'!$I:$I=$C337)), 0) "),0.0)</f>
        <v>0</v>
      </c>
      <c r="G337" s="91">
        <f>IFERROR(__xludf.DUMMYFUNCTION("IFERROR(sum(filter('Основной эфир'!$Q:$Q, 'Основной эфир'!$B:$B=$A337,'Основной эфир'!$C:$C=$B337,'Основной эфир'!$I:$I=$C337)), 0) "),0.0)</f>
        <v>0</v>
      </c>
      <c r="H337" s="91">
        <f>IFERROR(__xludf.DUMMYFUNCTION("IFERROR(AVERAGE(filter('Основной эфир'!$Y:$Y, 'Основной эфир'!$B:$B=$A337,'Основной эфир'!$C:$C=$B337,'Основной эфир'!$I:$I=$C337)), 0) "),0.0)</f>
        <v>0</v>
      </c>
      <c r="I337" s="91">
        <f>IFERROR(__xludf.DUMMYFUNCTION("IFERROR(AVERAGE(filter('Основной эфир'!$AE:$AE, 'Основной эфир'!$B:$B=$A337,'Основной эфир'!$C:$C=$B337,'Основной эфир'!$I:$I=$C337)), 0) "),0.0)</f>
        <v>0</v>
      </c>
      <c r="J337" s="91">
        <f>IFERROR(__xludf.DUMMYFUNCTION("IFERROR(SUM(filter('Основной эфир'!$AL:$AL, 'Основной эфир'!$B:$B=$A337,'Основной эфир'!$C:$C=$B337,'Основной эфир'!$I:$I=$C337)), 0) "),0.0)</f>
        <v>0</v>
      </c>
      <c r="K337" s="91" t="str">
        <f>IFERROR(__xludf.DUMMYFUNCTION("IFERROR(REGEXREPLACE(unique(filter('Основной эфир'!$A:$A, 'Основной эфир'!$B:$B=$A337,'Основной эфир'!$C:$C=$B337,'Основной эфир'!$I:$I=$C337)), ""\d+"", """"),"""")"),"")</f>
        <v/>
      </c>
      <c r="L337" s="91" t="str">
        <f>IFERROR(__xludf.DUMMYFUNCTION("IFERROR(unique(filter('Основной эфир'!$F:$F, 'Основной эфир'!$B:$B=$A337,'Основной эфир'!$C:$C=$B337,'Основной эфир'!$I:$I=$C337)),"""")"),"")</f>
        <v/>
      </c>
      <c r="M337" s="92" t="str">
        <f t="shared" si="1"/>
        <v/>
      </c>
      <c r="N337" s="93">
        <f>IFERROR(__xludf.DUMMYFUNCTION("IFERROR(SWITCH(lower(join("" "",L337:M337)),""а миллионник"", 62.5,""б миллионник"", 75,""а мск"", 50, ""б мск"", 62.5, ""a остальное"", 70, ""б остальное"", 80)/100,0)"),0.0)</f>
        <v>0</v>
      </c>
      <c r="O337" s="91">
        <f t="shared" si="2"/>
        <v>0</v>
      </c>
      <c r="P337" s="91">
        <f>IFERROR(__xludf.DUMMYFUNCTION("IFERROR(sum(filter('Генеральный баннер'!$O:$O, 'Генеральный баннер'!$B:$B=$A337,'Генеральный баннер'!$C:$C=$B337,'Генеральный баннер'!$I:$I=$C337)), 0) "),0.0)</f>
        <v>0</v>
      </c>
      <c r="Q337" s="91">
        <f>IFERROR(__xludf.DUMMYFUNCTION("IFERROR(sum(filter('Генеральный баннер'!$Q:$Q, 'Генеральный баннер'!$B:$B=$A337,'Генеральный баннер'!$C:$C=$B337,'Генеральный баннер'!$I:$I=$C337)), 0) "),0.0)</f>
        <v>0</v>
      </c>
      <c r="R337" s="91">
        <f>IFERROR(__xludf.DUMMYFUNCTION("IFERROR(AVERAGE(filter('Генеральный баннер'!$AA:$AA, 'Генеральный баннер'!$B:$B=$A337,'Генеральный баннер'!$C:$C=$B337,'Генеральный баннер'!$I:$I=$C337)), 0) "),0.0)</f>
        <v>0</v>
      </c>
      <c r="S337" s="91">
        <f>IFERROR(__xludf.DUMMYFUNCTION("IFERROR(SUM(filter('Генеральный баннер'!$AH:$AH, 'Генеральный баннер'!$B:$B=$A337,'Генеральный баннер'!$C:$C=$B337,'Генеральный баннер'!$I:$I=$C337)), 0) "),0.0)</f>
        <v>0</v>
      </c>
      <c r="T337" s="91" t="str">
        <f>IFERROR(__xludf.DUMMYFUNCTION("IFERROR(REGEXREPLACE(unique(filter('Генеральный баннер'!$A:$A, 'Генеральный баннер'!$B:$B=$A337,'Генеральный баннер'!$C:$C=$B337,'Генеральный баннер'!$I:$I=$C337)), ""\d+"", """"),"""")"),"")</f>
        <v/>
      </c>
      <c r="U337" s="91" t="str">
        <f>IFERROR(__xludf.DUMMYFUNCTION("IFERROR(unique(filter('Генеральный баннер'!$F:$F, 'Генеральный баннер'!$B:$B=$A337,'Генеральный баннер'!$C:$C=$B337,'Генеральный баннер'!$I:$I=$C337)),"""")"),"")</f>
        <v/>
      </c>
      <c r="V337" s="92" t="str">
        <f t="shared" si="3"/>
        <v/>
      </c>
      <c r="W337" s="93">
        <f>IFERROR(__xludf.DUMMYFUNCTION("IFERROR(SWITCH(lower(join("" "",U337:V337)),""а миллионник"", 62.5,""б миллионник"", 75,""а мск"", 50, ""б мск"", 62.5, ""a остальное"", 70, ""б остальное"", 80)/100,0)"),0.0)</f>
        <v>0</v>
      </c>
      <c r="X337" s="91">
        <f t="shared" si="4"/>
        <v>0</v>
      </c>
    </row>
    <row r="338">
      <c r="A338" s="12"/>
      <c r="B338" s="12"/>
      <c r="C338" s="12"/>
      <c r="D338" s="91">
        <f>IFERROR(__xludf.DUMMYFUNCTION("IFERROR(sum(filter('Основной эфир'!$AA:$AA, 'Основной эфир'!$B:$B=$A338,'Основной эфир'!$C:$C=$B338,'Основной эфир'!$I:$I=$C338)), 0) "),0.0)</f>
        <v>0</v>
      </c>
      <c r="E338" s="91">
        <f>IFERROR(__xludf.DUMMYFUNCTION("IFERROR(sum(filter('Основной эфир'!$AC:$AC, 'Основной эфир'!$B:$B=$A338,'Основной эфир'!$C:$C=$B338,'Основной эфир'!$I:$I=$C338)), 0) "),0.0)</f>
        <v>0</v>
      </c>
      <c r="F338" s="91">
        <f>IFERROR(__xludf.DUMMYFUNCTION("IFERROR(sum(filter('Основной эфир'!$O:$O, 'Основной эфир'!$B:$B=$A338,'Основной эфир'!$C:$C=$B338,'Основной эфир'!$I:$I=$C338)), 0) "),0.0)</f>
        <v>0</v>
      </c>
      <c r="G338" s="91">
        <f>IFERROR(__xludf.DUMMYFUNCTION("IFERROR(sum(filter('Основной эфир'!$Q:$Q, 'Основной эфир'!$B:$B=$A338,'Основной эфир'!$C:$C=$B338,'Основной эфир'!$I:$I=$C338)), 0) "),0.0)</f>
        <v>0</v>
      </c>
      <c r="H338" s="91">
        <f>IFERROR(__xludf.DUMMYFUNCTION("IFERROR(AVERAGE(filter('Основной эфир'!$Y:$Y, 'Основной эфир'!$B:$B=$A338,'Основной эфир'!$C:$C=$B338,'Основной эфир'!$I:$I=$C338)), 0) "),0.0)</f>
        <v>0</v>
      </c>
      <c r="I338" s="91">
        <f>IFERROR(__xludf.DUMMYFUNCTION("IFERROR(AVERAGE(filter('Основной эфир'!$AE:$AE, 'Основной эфир'!$B:$B=$A338,'Основной эфир'!$C:$C=$B338,'Основной эфир'!$I:$I=$C338)), 0) "),0.0)</f>
        <v>0</v>
      </c>
      <c r="J338" s="91">
        <f>IFERROR(__xludf.DUMMYFUNCTION("IFERROR(SUM(filter('Основной эфир'!$AL:$AL, 'Основной эфир'!$B:$B=$A338,'Основной эфир'!$C:$C=$B338,'Основной эфир'!$I:$I=$C338)), 0) "),0.0)</f>
        <v>0</v>
      </c>
      <c r="K338" s="91" t="str">
        <f>IFERROR(__xludf.DUMMYFUNCTION("IFERROR(REGEXREPLACE(unique(filter('Основной эфир'!$A:$A, 'Основной эфир'!$B:$B=$A338,'Основной эфир'!$C:$C=$B338,'Основной эфир'!$I:$I=$C338)), ""\d+"", """"),"""")"),"")</f>
        <v/>
      </c>
      <c r="L338" s="91" t="str">
        <f>IFERROR(__xludf.DUMMYFUNCTION("IFERROR(unique(filter('Основной эфир'!$F:$F, 'Основной эфир'!$B:$B=$A338,'Основной эфир'!$C:$C=$B338,'Основной эфир'!$I:$I=$C338)),"""")"),"")</f>
        <v/>
      </c>
      <c r="M338" s="92" t="str">
        <f t="shared" si="1"/>
        <v/>
      </c>
      <c r="N338" s="93">
        <f>IFERROR(__xludf.DUMMYFUNCTION("IFERROR(SWITCH(lower(join("" "",L338:M338)),""а миллионник"", 62.5,""б миллионник"", 75,""а мск"", 50, ""б мск"", 62.5, ""a остальное"", 70, ""б остальное"", 80)/100,0)"),0.0)</f>
        <v>0</v>
      </c>
      <c r="O338" s="91">
        <f t="shared" si="2"/>
        <v>0</v>
      </c>
      <c r="P338" s="91">
        <f>IFERROR(__xludf.DUMMYFUNCTION("IFERROR(sum(filter('Генеральный баннер'!$O:$O, 'Генеральный баннер'!$B:$B=$A338,'Генеральный баннер'!$C:$C=$B338,'Генеральный баннер'!$I:$I=$C338)), 0) "),0.0)</f>
        <v>0</v>
      </c>
      <c r="Q338" s="91">
        <f>IFERROR(__xludf.DUMMYFUNCTION("IFERROR(sum(filter('Генеральный баннер'!$Q:$Q, 'Генеральный баннер'!$B:$B=$A338,'Генеральный баннер'!$C:$C=$B338,'Генеральный баннер'!$I:$I=$C338)), 0) "),0.0)</f>
        <v>0</v>
      </c>
      <c r="R338" s="91">
        <f>IFERROR(__xludf.DUMMYFUNCTION("IFERROR(AVERAGE(filter('Генеральный баннер'!$AA:$AA, 'Генеральный баннер'!$B:$B=$A338,'Генеральный баннер'!$C:$C=$B338,'Генеральный баннер'!$I:$I=$C338)), 0) "),0.0)</f>
        <v>0</v>
      </c>
      <c r="S338" s="91">
        <f>IFERROR(__xludf.DUMMYFUNCTION("IFERROR(SUM(filter('Генеральный баннер'!$AH:$AH, 'Генеральный баннер'!$B:$B=$A338,'Генеральный баннер'!$C:$C=$B338,'Генеральный баннер'!$I:$I=$C338)), 0) "),0.0)</f>
        <v>0</v>
      </c>
      <c r="T338" s="91" t="str">
        <f>IFERROR(__xludf.DUMMYFUNCTION("IFERROR(REGEXREPLACE(unique(filter('Генеральный баннер'!$A:$A, 'Генеральный баннер'!$B:$B=$A338,'Генеральный баннер'!$C:$C=$B338,'Генеральный баннер'!$I:$I=$C338)), ""\d+"", """"),"""")"),"")</f>
        <v/>
      </c>
      <c r="U338" s="91" t="str">
        <f>IFERROR(__xludf.DUMMYFUNCTION("IFERROR(unique(filter('Генеральный баннер'!$F:$F, 'Генеральный баннер'!$B:$B=$A338,'Генеральный баннер'!$C:$C=$B338,'Генеральный баннер'!$I:$I=$C338)),"""")"),"")</f>
        <v/>
      </c>
      <c r="V338" s="92" t="str">
        <f t="shared" si="3"/>
        <v/>
      </c>
      <c r="W338" s="93">
        <f>IFERROR(__xludf.DUMMYFUNCTION("IFERROR(SWITCH(lower(join("" "",U338:V338)),""а миллионник"", 62.5,""б миллионник"", 75,""а мск"", 50, ""б мск"", 62.5, ""a остальное"", 70, ""б остальное"", 80)/100,0)"),0.0)</f>
        <v>0</v>
      </c>
      <c r="X338" s="91">
        <f t="shared" si="4"/>
        <v>0</v>
      </c>
    </row>
    <row r="339">
      <c r="A339" s="12"/>
      <c r="B339" s="12"/>
      <c r="C339" s="12"/>
      <c r="D339" s="91">
        <f>IFERROR(__xludf.DUMMYFUNCTION("IFERROR(sum(filter('Основной эфир'!$AA:$AA, 'Основной эфир'!$B:$B=$A339,'Основной эфир'!$C:$C=$B339,'Основной эфир'!$I:$I=$C339)), 0) "),0.0)</f>
        <v>0</v>
      </c>
      <c r="E339" s="91">
        <f>IFERROR(__xludf.DUMMYFUNCTION("IFERROR(sum(filter('Основной эфир'!$AC:$AC, 'Основной эфир'!$B:$B=$A339,'Основной эфир'!$C:$C=$B339,'Основной эфир'!$I:$I=$C339)), 0) "),0.0)</f>
        <v>0</v>
      </c>
      <c r="F339" s="91">
        <f>IFERROR(__xludf.DUMMYFUNCTION("IFERROR(sum(filter('Основной эфир'!$O:$O, 'Основной эфир'!$B:$B=$A339,'Основной эфир'!$C:$C=$B339,'Основной эфир'!$I:$I=$C339)), 0) "),0.0)</f>
        <v>0</v>
      </c>
      <c r="G339" s="91">
        <f>IFERROR(__xludf.DUMMYFUNCTION("IFERROR(sum(filter('Основной эфир'!$Q:$Q, 'Основной эфир'!$B:$B=$A339,'Основной эфир'!$C:$C=$B339,'Основной эфир'!$I:$I=$C339)), 0) "),0.0)</f>
        <v>0</v>
      </c>
      <c r="H339" s="91">
        <f>IFERROR(__xludf.DUMMYFUNCTION("IFERROR(AVERAGE(filter('Основной эфир'!$Y:$Y, 'Основной эфир'!$B:$B=$A339,'Основной эфир'!$C:$C=$B339,'Основной эфир'!$I:$I=$C339)), 0) "),0.0)</f>
        <v>0</v>
      </c>
      <c r="I339" s="91">
        <f>IFERROR(__xludf.DUMMYFUNCTION("IFERROR(AVERAGE(filter('Основной эфир'!$AE:$AE, 'Основной эфир'!$B:$B=$A339,'Основной эфир'!$C:$C=$B339,'Основной эфир'!$I:$I=$C339)), 0) "),0.0)</f>
        <v>0</v>
      </c>
      <c r="J339" s="91">
        <f>IFERROR(__xludf.DUMMYFUNCTION("IFERROR(SUM(filter('Основной эфир'!$AL:$AL, 'Основной эфир'!$B:$B=$A339,'Основной эфир'!$C:$C=$B339,'Основной эфир'!$I:$I=$C339)), 0) "),0.0)</f>
        <v>0</v>
      </c>
      <c r="K339" s="91" t="str">
        <f>IFERROR(__xludf.DUMMYFUNCTION("IFERROR(REGEXREPLACE(unique(filter('Основной эфир'!$A:$A, 'Основной эфир'!$B:$B=$A339,'Основной эфир'!$C:$C=$B339,'Основной эфир'!$I:$I=$C339)), ""\d+"", """"),"""")"),"")</f>
        <v/>
      </c>
      <c r="L339" s="91" t="str">
        <f>IFERROR(__xludf.DUMMYFUNCTION("IFERROR(unique(filter('Основной эфир'!$F:$F, 'Основной эфир'!$B:$B=$A339,'Основной эфир'!$C:$C=$B339,'Основной эфир'!$I:$I=$C339)),"""")"),"")</f>
        <v/>
      </c>
      <c r="M339" s="92" t="str">
        <f t="shared" si="1"/>
        <v/>
      </c>
      <c r="N339" s="93">
        <f>IFERROR(__xludf.DUMMYFUNCTION("IFERROR(SWITCH(lower(join("" "",L339:M339)),""а миллионник"", 62.5,""б миллионник"", 75,""а мск"", 50, ""б мск"", 62.5, ""a остальное"", 70, ""б остальное"", 80)/100,0)"),0.0)</f>
        <v>0</v>
      </c>
      <c r="O339" s="91">
        <f t="shared" si="2"/>
        <v>0</v>
      </c>
      <c r="P339" s="91">
        <f>IFERROR(__xludf.DUMMYFUNCTION("IFERROR(sum(filter('Генеральный баннер'!$O:$O, 'Генеральный баннер'!$B:$B=$A339,'Генеральный баннер'!$C:$C=$B339,'Генеральный баннер'!$I:$I=$C339)), 0) "),0.0)</f>
        <v>0</v>
      </c>
      <c r="Q339" s="91">
        <f>IFERROR(__xludf.DUMMYFUNCTION("IFERROR(sum(filter('Генеральный баннер'!$Q:$Q, 'Генеральный баннер'!$B:$B=$A339,'Генеральный баннер'!$C:$C=$B339,'Генеральный баннер'!$I:$I=$C339)), 0) "),0.0)</f>
        <v>0</v>
      </c>
      <c r="R339" s="91">
        <f>IFERROR(__xludf.DUMMYFUNCTION("IFERROR(AVERAGE(filter('Генеральный баннер'!$AA:$AA, 'Генеральный баннер'!$B:$B=$A339,'Генеральный баннер'!$C:$C=$B339,'Генеральный баннер'!$I:$I=$C339)), 0) "),0.0)</f>
        <v>0</v>
      </c>
      <c r="S339" s="91">
        <f>IFERROR(__xludf.DUMMYFUNCTION("IFERROR(SUM(filter('Генеральный баннер'!$AH:$AH, 'Генеральный баннер'!$B:$B=$A339,'Генеральный баннер'!$C:$C=$B339,'Генеральный баннер'!$I:$I=$C339)), 0) "),0.0)</f>
        <v>0</v>
      </c>
      <c r="T339" s="91" t="str">
        <f>IFERROR(__xludf.DUMMYFUNCTION("IFERROR(REGEXREPLACE(unique(filter('Генеральный баннер'!$A:$A, 'Генеральный баннер'!$B:$B=$A339,'Генеральный баннер'!$C:$C=$B339,'Генеральный баннер'!$I:$I=$C339)), ""\d+"", """"),"""")"),"")</f>
        <v/>
      </c>
      <c r="U339" s="91" t="str">
        <f>IFERROR(__xludf.DUMMYFUNCTION("IFERROR(unique(filter('Генеральный баннер'!$F:$F, 'Генеральный баннер'!$B:$B=$A339,'Генеральный баннер'!$C:$C=$B339,'Генеральный баннер'!$I:$I=$C339)),"""")"),"")</f>
        <v/>
      </c>
      <c r="V339" s="92" t="str">
        <f t="shared" si="3"/>
        <v/>
      </c>
      <c r="W339" s="93">
        <f>IFERROR(__xludf.DUMMYFUNCTION("IFERROR(SWITCH(lower(join("" "",U339:V339)),""а миллионник"", 62.5,""б миллионник"", 75,""а мск"", 50, ""б мск"", 62.5, ""a остальное"", 70, ""б остальное"", 80)/100,0)"),0.0)</f>
        <v>0</v>
      </c>
      <c r="X339" s="91">
        <f t="shared" si="4"/>
        <v>0</v>
      </c>
    </row>
    <row r="340">
      <c r="A340" s="12"/>
      <c r="B340" s="12"/>
      <c r="C340" s="12"/>
      <c r="D340" s="91">
        <f>IFERROR(__xludf.DUMMYFUNCTION("IFERROR(sum(filter('Основной эфир'!$AA:$AA, 'Основной эфир'!$B:$B=$A340,'Основной эфир'!$C:$C=$B340,'Основной эфир'!$I:$I=$C340)), 0) "),0.0)</f>
        <v>0</v>
      </c>
      <c r="E340" s="91">
        <f>IFERROR(__xludf.DUMMYFUNCTION("IFERROR(sum(filter('Основной эфир'!$AC:$AC, 'Основной эфир'!$B:$B=$A340,'Основной эфир'!$C:$C=$B340,'Основной эфир'!$I:$I=$C340)), 0) "),0.0)</f>
        <v>0</v>
      </c>
      <c r="F340" s="91">
        <f>IFERROR(__xludf.DUMMYFUNCTION("IFERROR(sum(filter('Основной эфир'!$O:$O, 'Основной эфир'!$B:$B=$A340,'Основной эфир'!$C:$C=$B340,'Основной эфир'!$I:$I=$C340)), 0) "),0.0)</f>
        <v>0</v>
      </c>
      <c r="G340" s="91">
        <f>IFERROR(__xludf.DUMMYFUNCTION("IFERROR(sum(filter('Основной эфир'!$Q:$Q, 'Основной эфир'!$B:$B=$A340,'Основной эфир'!$C:$C=$B340,'Основной эфир'!$I:$I=$C340)), 0) "),0.0)</f>
        <v>0</v>
      </c>
      <c r="H340" s="91">
        <f>IFERROR(__xludf.DUMMYFUNCTION("IFERROR(AVERAGE(filter('Основной эфир'!$Y:$Y, 'Основной эфир'!$B:$B=$A340,'Основной эфир'!$C:$C=$B340,'Основной эфир'!$I:$I=$C340)), 0) "),0.0)</f>
        <v>0</v>
      </c>
      <c r="I340" s="91">
        <f>IFERROR(__xludf.DUMMYFUNCTION("IFERROR(AVERAGE(filter('Основной эфир'!$AE:$AE, 'Основной эфир'!$B:$B=$A340,'Основной эфир'!$C:$C=$B340,'Основной эфир'!$I:$I=$C340)), 0) "),0.0)</f>
        <v>0</v>
      </c>
      <c r="J340" s="91">
        <f>IFERROR(__xludf.DUMMYFUNCTION("IFERROR(SUM(filter('Основной эфир'!$AL:$AL, 'Основной эфир'!$B:$B=$A340,'Основной эфир'!$C:$C=$B340,'Основной эфир'!$I:$I=$C340)), 0) "),0.0)</f>
        <v>0</v>
      </c>
      <c r="K340" s="91" t="str">
        <f>IFERROR(__xludf.DUMMYFUNCTION("IFERROR(REGEXREPLACE(unique(filter('Основной эфир'!$A:$A, 'Основной эфир'!$B:$B=$A340,'Основной эфир'!$C:$C=$B340,'Основной эфир'!$I:$I=$C340)), ""\d+"", """"),"""")"),"")</f>
        <v/>
      </c>
      <c r="L340" s="91" t="str">
        <f>IFERROR(__xludf.DUMMYFUNCTION("IFERROR(unique(filter('Основной эфир'!$F:$F, 'Основной эфир'!$B:$B=$A340,'Основной эфир'!$C:$C=$B340,'Основной эфир'!$I:$I=$C340)),"""")"),"")</f>
        <v/>
      </c>
      <c r="M340" s="92" t="str">
        <f t="shared" si="1"/>
        <v/>
      </c>
      <c r="N340" s="93">
        <f>IFERROR(__xludf.DUMMYFUNCTION("IFERROR(SWITCH(lower(join("" "",L340:M340)),""а миллионник"", 62.5,""б миллионник"", 75,""а мск"", 50, ""б мск"", 62.5, ""a остальное"", 70, ""б остальное"", 80)/100,0)"),0.0)</f>
        <v>0</v>
      </c>
      <c r="O340" s="91">
        <f t="shared" si="2"/>
        <v>0</v>
      </c>
      <c r="P340" s="91">
        <f>IFERROR(__xludf.DUMMYFUNCTION("IFERROR(sum(filter('Генеральный баннер'!$O:$O, 'Генеральный баннер'!$B:$B=$A340,'Генеральный баннер'!$C:$C=$B340,'Генеральный баннер'!$I:$I=$C340)), 0) "),0.0)</f>
        <v>0</v>
      </c>
      <c r="Q340" s="91">
        <f>IFERROR(__xludf.DUMMYFUNCTION("IFERROR(sum(filter('Генеральный баннер'!$Q:$Q, 'Генеральный баннер'!$B:$B=$A340,'Генеральный баннер'!$C:$C=$B340,'Генеральный баннер'!$I:$I=$C340)), 0) "),0.0)</f>
        <v>0</v>
      </c>
      <c r="R340" s="91">
        <f>IFERROR(__xludf.DUMMYFUNCTION("IFERROR(AVERAGE(filter('Генеральный баннер'!$AA:$AA, 'Генеральный баннер'!$B:$B=$A340,'Генеральный баннер'!$C:$C=$B340,'Генеральный баннер'!$I:$I=$C340)), 0) "),0.0)</f>
        <v>0</v>
      </c>
      <c r="S340" s="91">
        <f>IFERROR(__xludf.DUMMYFUNCTION("IFERROR(SUM(filter('Генеральный баннер'!$AH:$AH, 'Генеральный баннер'!$B:$B=$A340,'Генеральный баннер'!$C:$C=$B340,'Генеральный баннер'!$I:$I=$C340)), 0) "),0.0)</f>
        <v>0</v>
      </c>
      <c r="T340" s="91" t="str">
        <f>IFERROR(__xludf.DUMMYFUNCTION("IFERROR(REGEXREPLACE(unique(filter('Генеральный баннер'!$A:$A, 'Генеральный баннер'!$B:$B=$A340,'Генеральный баннер'!$C:$C=$B340,'Генеральный баннер'!$I:$I=$C340)), ""\d+"", """"),"""")"),"")</f>
        <v/>
      </c>
      <c r="U340" s="91" t="str">
        <f>IFERROR(__xludf.DUMMYFUNCTION("IFERROR(unique(filter('Генеральный баннер'!$F:$F, 'Генеральный баннер'!$B:$B=$A340,'Генеральный баннер'!$C:$C=$B340,'Генеральный баннер'!$I:$I=$C340)),"""")"),"")</f>
        <v/>
      </c>
      <c r="V340" s="92" t="str">
        <f t="shared" si="3"/>
        <v/>
      </c>
      <c r="W340" s="93">
        <f>IFERROR(__xludf.DUMMYFUNCTION("IFERROR(SWITCH(lower(join("" "",U340:V340)),""а миллионник"", 62.5,""б миллионник"", 75,""а мск"", 50, ""б мск"", 62.5, ""a остальное"", 70, ""б остальное"", 80)/100,0)"),0.0)</f>
        <v>0</v>
      </c>
      <c r="X340" s="91">
        <f t="shared" si="4"/>
        <v>0</v>
      </c>
    </row>
    <row r="341">
      <c r="A341" s="12"/>
      <c r="B341" s="12"/>
      <c r="C341" s="12"/>
      <c r="D341" s="91">
        <f>IFERROR(__xludf.DUMMYFUNCTION("IFERROR(sum(filter('Основной эфир'!$AA:$AA, 'Основной эфир'!$B:$B=$A341,'Основной эфир'!$C:$C=$B341,'Основной эфир'!$I:$I=$C341)), 0) "),0.0)</f>
        <v>0</v>
      </c>
      <c r="E341" s="91">
        <f>IFERROR(__xludf.DUMMYFUNCTION("IFERROR(sum(filter('Основной эфир'!$AC:$AC, 'Основной эфир'!$B:$B=$A341,'Основной эфир'!$C:$C=$B341,'Основной эфир'!$I:$I=$C341)), 0) "),0.0)</f>
        <v>0</v>
      </c>
      <c r="F341" s="91">
        <f>IFERROR(__xludf.DUMMYFUNCTION("IFERROR(sum(filter('Основной эфир'!$O:$O, 'Основной эфир'!$B:$B=$A341,'Основной эфир'!$C:$C=$B341,'Основной эфир'!$I:$I=$C341)), 0) "),0.0)</f>
        <v>0</v>
      </c>
      <c r="G341" s="91">
        <f>IFERROR(__xludf.DUMMYFUNCTION("IFERROR(sum(filter('Основной эфир'!$Q:$Q, 'Основной эфир'!$B:$B=$A341,'Основной эфир'!$C:$C=$B341,'Основной эфир'!$I:$I=$C341)), 0) "),0.0)</f>
        <v>0</v>
      </c>
      <c r="H341" s="91">
        <f>IFERROR(__xludf.DUMMYFUNCTION("IFERROR(AVERAGE(filter('Основной эфир'!$Y:$Y, 'Основной эфир'!$B:$B=$A341,'Основной эфир'!$C:$C=$B341,'Основной эфир'!$I:$I=$C341)), 0) "),0.0)</f>
        <v>0</v>
      </c>
      <c r="I341" s="91">
        <f>IFERROR(__xludf.DUMMYFUNCTION("IFERROR(AVERAGE(filter('Основной эфир'!$AE:$AE, 'Основной эфир'!$B:$B=$A341,'Основной эфир'!$C:$C=$B341,'Основной эфир'!$I:$I=$C341)), 0) "),0.0)</f>
        <v>0</v>
      </c>
      <c r="J341" s="91">
        <f>IFERROR(__xludf.DUMMYFUNCTION("IFERROR(SUM(filter('Основной эфир'!$AL:$AL, 'Основной эфир'!$B:$B=$A341,'Основной эфир'!$C:$C=$B341,'Основной эфир'!$I:$I=$C341)), 0) "),0.0)</f>
        <v>0</v>
      </c>
      <c r="K341" s="91" t="str">
        <f>IFERROR(__xludf.DUMMYFUNCTION("IFERROR(REGEXREPLACE(unique(filter('Основной эфир'!$A:$A, 'Основной эфир'!$B:$B=$A341,'Основной эфир'!$C:$C=$B341,'Основной эфир'!$I:$I=$C341)), ""\d+"", """"),"""")"),"")</f>
        <v/>
      </c>
      <c r="L341" s="91" t="str">
        <f>IFERROR(__xludf.DUMMYFUNCTION("IFERROR(unique(filter('Основной эфир'!$F:$F, 'Основной эфир'!$B:$B=$A341,'Основной эфир'!$C:$C=$B341,'Основной эфир'!$I:$I=$C341)),"""")"),"")</f>
        <v/>
      </c>
      <c r="M341" s="92" t="str">
        <f t="shared" si="1"/>
        <v/>
      </c>
      <c r="N341" s="93">
        <f>IFERROR(__xludf.DUMMYFUNCTION("IFERROR(SWITCH(lower(join("" "",L341:M341)),""а миллионник"", 62.5,""б миллионник"", 75,""а мск"", 50, ""б мск"", 62.5, ""a остальное"", 70, ""б остальное"", 80)/100,0)"),0.0)</f>
        <v>0</v>
      </c>
      <c r="O341" s="91">
        <f t="shared" si="2"/>
        <v>0</v>
      </c>
      <c r="P341" s="91">
        <f>IFERROR(__xludf.DUMMYFUNCTION("IFERROR(sum(filter('Генеральный баннер'!$O:$O, 'Генеральный баннер'!$B:$B=$A341,'Генеральный баннер'!$C:$C=$B341,'Генеральный баннер'!$I:$I=$C341)), 0) "),0.0)</f>
        <v>0</v>
      </c>
      <c r="Q341" s="91">
        <f>IFERROR(__xludf.DUMMYFUNCTION("IFERROR(sum(filter('Генеральный баннер'!$Q:$Q, 'Генеральный баннер'!$B:$B=$A341,'Генеральный баннер'!$C:$C=$B341,'Генеральный баннер'!$I:$I=$C341)), 0) "),0.0)</f>
        <v>0</v>
      </c>
      <c r="R341" s="91">
        <f>IFERROR(__xludf.DUMMYFUNCTION("IFERROR(AVERAGE(filter('Генеральный баннер'!$AA:$AA, 'Генеральный баннер'!$B:$B=$A341,'Генеральный баннер'!$C:$C=$B341,'Генеральный баннер'!$I:$I=$C341)), 0) "),0.0)</f>
        <v>0</v>
      </c>
      <c r="S341" s="91">
        <f>IFERROR(__xludf.DUMMYFUNCTION("IFERROR(SUM(filter('Генеральный баннер'!$AH:$AH, 'Генеральный баннер'!$B:$B=$A341,'Генеральный баннер'!$C:$C=$B341,'Генеральный баннер'!$I:$I=$C341)), 0) "),0.0)</f>
        <v>0</v>
      </c>
      <c r="T341" s="91" t="str">
        <f>IFERROR(__xludf.DUMMYFUNCTION("IFERROR(REGEXREPLACE(unique(filter('Генеральный баннер'!$A:$A, 'Генеральный баннер'!$B:$B=$A341,'Генеральный баннер'!$C:$C=$B341,'Генеральный баннер'!$I:$I=$C341)), ""\d+"", """"),"""")"),"")</f>
        <v/>
      </c>
      <c r="U341" s="91" t="str">
        <f>IFERROR(__xludf.DUMMYFUNCTION("IFERROR(unique(filter('Генеральный баннер'!$F:$F, 'Генеральный баннер'!$B:$B=$A341,'Генеральный баннер'!$C:$C=$B341,'Генеральный баннер'!$I:$I=$C341)),"""")"),"")</f>
        <v/>
      </c>
      <c r="V341" s="92" t="str">
        <f t="shared" si="3"/>
        <v/>
      </c>
      <c r="W341" s="93">
        <f>IFERROR(__xludf.DUMMYFUNCTION("IFERROR(SWITCH(lower(join("" "",U341:V341)),""а миллионник"", 62.5,""б миллионник"", 75,""а мск"", 50, ""б мск"", 62.5, ""a остальное"", 70, ""б остальное"", 80)/100,0)"),0.0)</f>
        <v>0</v>
      </c>
      <c r="X341" s="91">
        <f t="shared" si="4"/>
        <v>0</v>
      </c>
    </row>
    <row r="342">
      <c r="A342" s="12"/>
      <c r="B342" s="12"/>
      <c r="C342" s="12"/>
      <c r="D342" s="91">
        <f>IFERROR(__xludf.DUMMYFUNCTION("IFERROR(sum(filter('Основной эфир'!$AA:$AA, 'Основной эфир'!$B:$B=$A342,'Основной эфир'!$C:$C=$B342,'Основной эфир'!$I:$I=$C342)), 0) "),0.0)</f>
        <v>0</v>
      </c>
      <c r="E342" s="91">
        <f>IFERROR(__xludf.DUMMYFUNCTION("IFERROR(sum(filter('Основной эфир'!$AC:$AC, 'Основной эфир'!$B:$B=$A342,'Основной эфир'!$C:$C=$B342,'Основной эфир'!$I:$I=$C342)), 0) "),0.0)</f>
        <v>0</v>
      </c>
      <c r="F342" s="91">
        <f>IFERROR(__xludf.DUMMYFUNCTION("IFERROR(sum(filter('Основной эфир'!$O:$O, 'Основной эфир'!$B:$B=$A342,'Основной эфир'!$C:$C=$B342,'Основной эфир'!$I:$I=$C342)), 0) "),0.0)</f>
        <v>0</v>
      </c>
      <c r="G342" s="91">
        <f>IFERROR(__xludf.DUMMYFUNCTION("IFERROR(sum(filter('Основной эфир'!$Q:$Q, 'Основной эфир'!$B:$B=$A342,'Основной эфир'!$C:$C=$B342,'Основной эфир'!$I:$I=$C342)), 0) "),0.0)</f>
        <v>0</v>
      </c>
      <c r="H342" s="91">
        <f>IFERROR(__xludf.DUMMYFUNCTION("IFERROR(AVERAGE(filter('Основной эфир'!$Y:$Y, 'Основной эфир'!$B:$B=$A342,'Основной эфир'!$C:$C=$B342,'Основной эфир'!$I:$I=$C342)), 0) "),0.0)</f>
        <v>0</v>
      </c>
      <c r="I342" s="91">
        <f>IFERROR(__xludf.DUMMYFUNCTION("IFERROR(AVERAGE(filter('Основной эфир'!$AE:$AE, 'Основной эфир'!$B:$B=$A342,'Основной эфир'!$C:$C=$B342,'Основной эфир'!$I:$I=$C342)), 0) "),0.0)</f>
        <v>0</v>
      </c>
      <c r="J342" s="91">
        <f>IFERROR(__xludf.DUMMYFUNCTION("IFERROR(SUM(filter('Основной эфир'!$AL:$AL, 'Основной эфир'!$B:$B=$A342,'Основной эфир'!$C:$C=$B342,'Основной эфир'!$I:$I=$C342)), 0) "),0.0)</f>
        <v>0</v>
      </c>
      <c r="K342" s="91" t="str">
        <f>IFERROR(__xludf.DUMMYFUNCTION("IFERROR(REGEXREPLACE(unique(filter('Основной эфир'!$A:$A, 'Основной эфир'!$B:$B=$A342,'Основной эфир'!$C:$C=$B342,'Основной эфир'!$I:$I=$C342)), ""\d+"", """"),"""")"),"")</f>
        <v/>
      </c>
      <c r="L342" s="91" t="str">
        <f>IFERROR(__xludf.DUMMYFUNCTION("IFERROR(unique(filter('Основной эфир'!$F:$F, 'Основной эфир'!$B:$B=$A342,'Основной эфир'!$C:$C=$B342,'Основной эфир'!$I:$I=$C342)),"""")"),"")</f>
        <v/>
      </c>
      <c r="M342" s="92" t="str">
        <f t="shared" si="1"/>
        <v/>
      </c>
      <c r="N342" s="93">
        <f>IFERROR(__xludf.DUMMYFUNCTION("IFERROR(SWITCH(lower(join("" "",L342:M342)),""а миллионник"", 62.5,""б миллионник"", 75,""а мск"", 50, ""б мск"", 62.5, ""a остальное"", 70, ""б остальное"", 80)/100,0)"),0.0)</f>
        <v>0</v>
      </c>
      <c r="O342" s="91">
        <f t="shared" si="2"/>
        <v>0</v>
      </c>
      <c r="P342" s="91">
        <f>IFERROR(__xludf.DUMMYFUNCTION("IFERROR(sum(filter('Генеральный баннер'!$O:$O, 'Генеральный баннер'!$B:$B=$A342,'Генеральный баннер'!$C:$C=$B342,'Генеральный баннер'!$I:$I=$C342)), 0) "),0.0)</f>
        <v>0</v>
      </c>
      <c r="Q342" s="91">
        <f>IFERROR(__xludf.DUMMYFUNCTION("IFERROR(sum(filter('Генеральный баннер'!$Q:$Q, 'Генеральный баннер'!$B:$B=$A342,'Генеральный баннер'!$C:$C=$B342,'Генеральный баннер'!$I:$I=$C342)), 0) "),0.0)</f>
        <v>0</v>
      </c>
      <c r="R342" s="91">
        <f>IFERROR(__xludf.DUMMYFUNCTION("IFERROR(AVERAGE(filter('Генеральный баннер'!$AA:$AA, 'Генеральный баннер'!$B:$B=$A342,'Генеральный баннер'!$C:$C=$B342,'Генеральный баннер'!$I:$I=$C342)), 0) "),0.0)</f>
        <v>0</v>
      </c>
      <c r="S342" s="91">
        <f>IFERROR(__xludf.DUMMYFUNCTION("IFERROR(SUM(filter('Генеральный баннер'!$AH:$AH, 'Генеральный баннер'!$B:$B=$A342,'Генеральный баннер'!$C:$C=$B342,'Генеральный баннер'!$I:$I=$C342)), 0) "),0.0)</f>
        <v>0</v>
      </c>
      <c r="T342" s="91" t="str">
        <f>IFERROR(__xludf.DUMMYFUNCTION("IFERROR(REGEXREPLACE(unique(filter('Генеральный баннер'!$A:$A, 'Генеральный баннер'!$B:$B=$A342,'Генеральный баннер'!$C:$C=$B342,'Генеральный баннер'!$I:$I=$C342)), ""\d+"", """"),"""")"),"")</f>
        <v/>
      </c>
      <c r="U342" s="91" t="str">
        <f>IFERROR(__xludf.DUMMYFUNCTION("IFERROR(unique(filter('Генеральный баннер'!$F:$F, 'Генеральный баннер'!$B:$B=$A342,'Генеральный баннер'!$C:$C=$B342,'Генеральный баннер'!$I:$I=$C342)),"""")"),"")</f>
        <v/>
      </c>
      <c r="V342" s="92" t="str">
        <f t="shared" si="3"/>
        <v/>
      </c>
      <c r="W342" s="93">
        <f>IFERROR(__xludf.DUMMYFUNCTION("IFERROR(SWITCH(lower(join("" "",U342:V342)),""а миллионник"", 62.5,""б миллионник"", 75,""а мск"", 50, ""б мск"", 62.5, ""a остальное"", 70, ""б остальное"", 80)/100,0)"),0.0)</f>
        <v>0</v>
      </c>
      <c r="X342" s="91">
        <f t="shared" si="4"/>
        <v>0</v>
      </c>
    </row>
    <row r="343">
      <c r="A343" s="12"/>
      <c r="B343" s="12"/>
      <c r="C343" s="12"/>
      <c r="D343" s="91">
        <f>IFERROR(__xludf.DUMMYFUNCTION("IFERROR(sum(filter('Основной эфир'!$AA:$AA, 'Основной эфир'!$B:$B=$A343,'Основной эфир'!$C:$C=$B343,'Основной эфир'!$I:$I=$C343)), 0) "),0.0)</f>
        <v>0</v>
      </c>
      <c r="E343" s="91">
        <f>IFERROR(__xludf.DUMMYFUNCTION("IFERROR(sum(filter('Основной эфир'!$AC:$AC, 'Основной эфир'!$B:$B=$A343,'Основной эфир'!$C:$C=$B343,'Основной эфир'!$I:$I=$C343)), 0) "),0.0)</f>
        <v>0</v>
      </c>
      <c r="F343" s="91">
        <f>IFERROR(__xludf.DUMMYFUNCTION("IFERROR(sum(filter('Основной эфир'!$O:$O, 'Основной эфир'!$B:$B=$A343,'Основной эфир'!$C:$C=$B343,'Основной эфир'!$I:$I=$C343)), 0) "),0.0)</f>
        <v>0</v>
      </c>
      <c r="G343" s="91">
        <f>IFERROR(__xludf.DUMMYFUNCTION("IFERROR(sum(filter('Основной эфир'!$Q:$Q, 'Основной эфир'!$B:$B=$A343,'Основной эфир'!$C:$C=$B343,'Основной эфир'!$I:$I=$C343)), 0) "),0.0)</f>
        <v>0</v>
      </c>
      <c r="H343" s="91">
        <f>IFERROR(__xludf.DUMMYFUNCTION("IFERROR(AVERAGE(filter('Основной эфир'!$Y:$Y, 'Основной эфир'!$B:$B=$A343,'Основной эфир'!$C:$C=$B343,'Основной эфир'!$I:$I=$C343)), 0) "),0.0)</f>
        <v>0</v>
      </c>
      <c r="I343" s="91">
        <f>IFERROR(__xludf.DUMMYFUNCTION("IFERROR(AVERAGE(filter('Основной эфир'!$AE:$AE, 'Основной эфир'!$B:$B=$A343,'Основной эфир'!$C:$C=$B343,'Основной эфир'!$I:$I=$C343)), 0) "),0.0)</f>
        <v>0</v>
      </c>
      <c r="J343" s="91">
        <f>IFERROR(__xludf.DUMMYFUNCTION("IFERROR(SUM(filter('Основной эфир'!$AL:$AL, 'Основной эфир'!$B:$B=$A343,'Основной эфир'!$C:$C=$B343,'Основной эфир'!$I:$I=$C343)), 0) "),0.0)</f>
        <v>0</v>
      </c>
      <c r="K343" s="91" t="str">
        <f>IFERROR(__xludf.DUMMYFUNCTION("IFERROR(REGEXREPLACE(unique(filter('Основной эфир'!$A:$A, 'Основной эфир'!$B:$B=$A343,'Основной эфир'!$C:$C=$B343,'Основной эфир'!$I:$I=$C343)), ""\d+"", """"),"""")"),"")</f>
        <v/>
      </c>
      <c r="L343" s="91" t="str">
        <f>IFERROR(__xludf.DUMMYFUNCTION("IFERROR(unique(filter('Основной эфир'!$F:$F, 'Основной эфир'!$B:$B=$A343,'Основной эфир'!$C:$C=$B343,'Основной эфир'!$I:$I=$C343)),"""")"),"")</f>
        <v/>
      </c>
      <c r="M343" s="92" t="str">
        <f t="shared" si="1"/>
        <v/>
      </c>
      <c r="N343" s="93">
        <f>IFERROR(__xludf.DUMMYFUNCTION("IFERROR(SWITCH(lower(join("" "",L343:M343)),""а миллионник"", 62.5,""б миллионник"", 75,""а мск"", 50, ""б мск"", 62.5, ""a остальное"", 70, ""б остальное"", 80)/100,0)"),0.0)</f>
        <v>0</v>
      </c>
      <c r="O343" s="91">
        <f t="shared" si="2"/>
        <v>0</v>
      </c>
      <c r="P343" s="91">
        <f>IFERROR(__xludf.DUMMYFUNCTION("IFERROR(sum(filter('Генеральный баннер'!$O:$O, 'Генеральный баннер'!$B:$B=$A343,'Генеральный баннер'!$C:$C=$B343,'Генеральный баннер'!$I:$I=$C343)), 0) "),0.0)</f>
        <v>0</v>
      </c>
      <c r="Q343" s="91">
        <f>IFERROR(__xludf.DUMMYFUNCTION("IFERROR(sum(filter('Генеральный баннер'!$Q:$Q, 'Генеральный баннер'!$B:$B=$A343,'Генеральный баннер'!$C:$C=$B343,'Генеральный баннер'!$I:$I=$C343)), 0) "),0.0)</f>
        <v>0</v>
      </c>
      <c r="R343" s="91">
        <f>IFERROR(__xludf.DUMMYFUNCTION("IFERROR(AVERAGE(filter('Генеральный баннер'!$AA:$AA, 'Генеральный баннер'!$B:$B=$A343,'Генеральный баннер'!$C:$C=$B343,'Генеральный баннер'!$I:$I=$C343)), 0) "),0.0)</f>
        <v>0</v>
      </c>
      <c r="S343" s="91">
        <f>IFERROR(__xludf.DUMMYFUNCTION("IFERROR(SUM(filter('Генеральный баннер'!$AH:$AH, 'Генеральный баннер'!$B:$B=$A343,'Генеральный баннер'!$C:$C=$B343,'Генеральный баннер'!$I:$I=$C343)), 0) "),0.0)</f>
        <v>0</v>
      </c>
      <c r="T343" s="91" t="str">
        <f>IFERROR(__xludf.DUMMYFUNCTION("IFERROR(REGEXREPLACE(unique(filter('Генеральный баннер'!$A:$A, 'Генеральный баннер'!$B:$B=$A343,'Генеральный баннер'!$C:$C=$B343,'Генеральный баннер'!$I:$I=$C343)), ""\d+"", """"),"""")"),"")</f>
        <v/>
      </c>
      <c r="U343" s="91" t="str">
        <f>IFERROR(__xludf.DUMMYFUNCTION("IFERROR(unique(filter('Генеральный баннер'!$F:$F, 'Генеральный баннер'!$B:$B=$A343,'Генеральный баннер'!$C:$C=$B343,'Генеральный баннер'!$I:$I=$C343)),"""")"),"")</f>
        <v/>
      </c>
      <c r="V343" s="92" t="str">
        <f t="shared" si="3"/>
        <v/>
      </c>
      <c r="W343" s="93">
        <f>IFERROR(__xludf.DUMMYFUNCTION("IFERROR(SWITCH(lower(join("" "",U343:V343)),""а миллионник"", 62.5,""б миллионник"", 75,""а мск"", 50, ""б мск"", 62.5, ""a остальное"", 70, ""б остальное"", 80)/100,0)"),0.0)</f>
        <v>0</v>
      </c>
      <c r="X343" s="91">
        <f t="shared" si="4"/>
        <v>0</v>
      </c>
    </row>
    <row r="344">
      <c r="A344" s="12"/>
      <c r="B344" s="12"/>
      <c r="C344" s="12"/>
      <c r="D344" s="91">
        <f>IFERROR(__xludf.DUMMYFUNCTION("IFERROR(sum(filter('Основной эфир'!$AA:$AA, 'Основной эфир'!$B:$B=$A344,'Основной эфир'!$C:$C=$B344,'Основной эфир'!$I:$I=$C344)), 0) "),0.0)</f>
        <v>0</v>
      </c>
      <c r="E344" s="91">
        <f>IFERROR(__xludf.DUMMYFUNCTION("IFERROR(sum(filter('Основной эфир'!$AC:$AC, 'Основной эфир'!$B:$B=$A344,'Основной эфир'!$C:$C=$B344,'Основной эфир'!$I:$I=$C344)), 0) "),0.0)</f>
        <v>0</v>
      </c>
      <c r="F344" s="91">
        <f>IFERROR(__xludf.DUMMYFUNCTION("IFERROR(sum(filter('Основной эфир'!$O:$O, 'Основной эфир'!$B:$B=$A344,'Основной эфир'!$C:$C=$B344,'Основной эфир'!$I:$I=$C344)), 0) "),0.0)</f>
        <v>0</v>
      </c>
      <c r="G344" s="91">
        <f>IFERROR(__xludf.DUMMYFUNCTION("IFERROR(sum(filter('Основной эфир'!$Q:$Q, 'Основной эфир'!$B:$B=$A344,'Основной эфир'!$C:$C=$B344,'Основной эфир'!$I:$I=$C344)), 0) "),0.0)</f>
        <v>0</v>
      </c>
      <c r="H344" s="91">
        <f>IFERROR(__xludf.DUMMYFUNCTION("IFERROR(AVERAGE(filter('Основной эфир'!$Y:$Y, 'Основной эфир'!$B:$B=$A344,'Основной эфир'!$C:$C=$B344,'Основной эфир'!$I:$I=$C344)), 0) "),0.0)</f>
        <v>0</v>
      </c>
      <c r="I344" s="91">
        <f>IFERROR(__xludf.DUMMYFUNCTION("IFERROR(AVERAGE(filter('Основной эфир'!$AE:$AE, 'Основной эфир'!$B:$B=$A344,'Основной эфир'!$C:$C=$B344,'Основной эфир'!$I:$I=$C344)), 0) "),0.0)</f>
        <v>0</v>
      </c>
      <c r="J344" s="91">
        <f>IFERROR(__xludf.DUMMYFUNCTION("IFERROR(SUM(filter('Основной эфир'!$AL:$AL, 'Основной эфир'!$B:$B=$A344,'Основной эфир'!$C:$C=$B344,'Основной эфир'!$I:$I=$C344)), 0) "),0.0)</f>
        <v>0</v>
      </c>
      <c r="K344" s="91" t="str">
        <f>IFERROR(__xludf.DUMMYFUNCTION("IFERROR(REGEXREPLACE(unique(filter('Основной эфир'!$A:$A, 'Основной эфир'!$B:$B=$A344,'Основной эфир'!$C:$C=$B344,'Основной эфир'!$I:$I=$C344)), ""\d+"", """"),"""")"),"")</f>
        <v/>
      </c>
      <c r="L344" s="91" t="str">
        <f>IFERROR(__xludf.DUMMYFUNCTION("IFERROR(unique(filter('Основной эфир'!$F:$F, 'Основной эфир'!$B:$B=$A344,'Основной эфир'!$C:$C=$B344,'Основной эфир'!$I:$I=$C344)),"""")"),"")</f>
        <v/>
      </c>
      <c r="M344" s="92" t="str">
        <f t="shared" si="1"/>
        <v/>
      </c>
      <c r="N344" s="93">
        <f>IFERROR(__xludf.DUMMYFUNCTION("IFERROR(SWITCH(lower(join("" "",L344:M344)),""а миллионник"", 62.5,""б миллионник"", 75,""а мск"", 50, ""б мск"", 62.5, ""a остальное"", 70, ""б остальное"", 80)/100,0)"),0.0)</f>
        <v>0</v>
      </c>
      <c r="O344" s="91">
        <f t="shared" si="2"/>
        <v>0</v>
      </c>
      <c r="P344" s="91">
        <f>IFERROR(__xludf.DUMMYFUNCTION("IFERROR(sum(filter('Генеральный баннер'!$O:$O, 'Генеральный баннер'!$B:$B=$A344,'Генеральный баннер'!$C:$C=$B344,'Генеральный баннер'!$I:$I=$C344)), 0) "),0.0)</f>
        <v>0</v>
      </c>
      <c r="Q344" s="91">
        <f>IFERROR(__xludf.DUMMYFUNCTION("IFERROR(sum(filter('Генеральный баннер'!$Q:$Q, 'Генеральный баннер'!$B:$B=$A344,'Генеральный баннер'!$C:$C=$B344,'Генеральный баннер'!$I:$I=$C344)), 0) "),0.0)</f>
        <v>0</v>
      </c>
      <c r="R344" s="91">
        <f>IFERROR(__xludf.DUMMYFUNCTION("IFERROR(AVERAGE(filter('Генеральный баннер'!$AA:$AA, 'Генеральный баннер'!$B:$B=$A344,'Генеральный баннер'!$C:$C=$B344,'Генеральный баннер'!$I:$I=$C344)), 0) "),0.0)</f>
        <v>0</v>
      </c>
      <c r="S344" s="91">
        <f>IFERROR(__xludf.DUMMYFUNCTION("IFERROR(SUM(filter('Генеральный баннер'!$AH:$AH, 'Генеральный баннер'!$B:$B=$A344,'Генеральный баннер'!$C:$C=$B344,'Генеральный баннер'!$I:$I=$C344)), 0) "),0.0)</f>
        <v>0</v>
      </c>
      <c r="T344" s="91" t="str">
        <f>IFERROR(__xludf.DUMMYFUNCTION("IFERROR(REGEXREPLACE(unique(filter('Генеральный баннер'!$A:$A, 'Генеральный баннер'!$B:$B=$A344,'Генеральный баннер'!$C:$C=$B344,'Генеральный баннер'!$I:$I=$C344)), ""\d+"", """"),"""")"),"")</f>
        <v/>
      </c>
      <c r="U344" s="91" t="str">
        <f>IFERROR(__xludf.DUMMYFUNCTION("IFERROR(unique(filter('Генеральный баннер'!$F:$F, 'Генеральный баннер'!$B:$B=$A344,'Генеральный баннер'!$C:$C=$B344,'Генеральный баннер'!$I:$I=$C344)),"""")"),"")</f>
        <v/>
      </c>
      <c r="V344" s="92" t="str">
        <f t="shared" si="3"/>
        <v/>
      </c>
      <c r="W344" s="93">
        <f>IFERROR(__xludf.DUMMYFUNCTION("IFERROR(SWITCH(lower(join("" "",U344:V344)),""а миллионник"", 62.5,""б миллионник"", 75,""а мск"", 50, ""б мск"", 62.5, ""a остальное"", 70, ""б остальное"", 80)/100,0)"),0.0)</f>
        <v>0</v>
      </c>
      <c r="X344" s="91">
        <f t="shared" si="4"/>
        <v>0</v>
      </c>
    </row>
    <row r="345">
      <c r="A345" s="12"/>
      <c r="B345" s="12"/>
      <c r="C345" s="12"/>
      <c r="D345" s="91">
        <f>IFERROR(__xludf.DUMMYFUNCTION("IFERROR(sum(filter('Основной эфир'!$AA:$AA, 'Основной эфир'!$B:$B=$A345,'Основной эфир'!$C:$C=$B345,'Основной эфир'!$I:$I=$C345)), 0) "),0.0)</f>
        <v>0</v>
      </c>
      <c r="E345" s="91">
        <f>IFERROR(__xludf.DUMMYFUNCTION("IFERROR(sum(filter('Основной эфир'!$AC:$AC, 'Основной эфир'!$B:$B=$A345,'Основной эфир'!$C:$C=$B345,'Основной эфир'!$I:$I=$C345)), 0) "),0.0)</f>
        <v>0</v>
      </c>
      <c r="F345" s="91">
        <f>IFERROR(__xludf.DUMMYFUNCTION("IFERROR(sum(filter('Основной эфир'!$O:$O, 'Основной эфир'!$B:$B=$A345,'Основной эфир'!$C:$C=$B345,'Основной эфир'!$I:$I=$C345)), 0) "),0.0)</f>
        <v>0</v>
      </c>
      <c r="G345" s="91">
        <f>IFERROR(__xludf.DUMMYFUNCTION("IFERROR(sum(filter('Основной эфир'!$Q:$Q, 'Основной эфир'!$B:$B=$A345,'Основной эфир'!$C:$C=$B345,'Основной эфир'!$I:$I=$C345)), 0) "),0.0)</f>
        <v>0</v>
      </c>
      <c r="H345" s="91">
        <f>IFERROR(__xludf.DUMMYFUNCTION("IFERROR(AVERAGE(filter('Основной эфир'!$Y:$Y, 'Основной эфир'!$B:$B=$A345,'Основной эфир'!$C:$C=$B345,'Основной эфир'!$I:$I=$C345)), 0) "),0.0)</f>
        <v>0</v>
      </c>
      <c r="I345" s="91">
        <f>IFERROR(__xludf.DUMMYFUNCTION("IFERROR(AVERAGE(filter('Основной эфир'!$AE:$AE, 'Основной эфир'!$B:$B=$A345,'Основной эфир'!$C:$C=$B345,'Основной эфир'!$I:$I=$C345)), 0) "),0.0)</f>
        <v>0</v>
      </c>
      <c r="J345" s="91">
        <f>IFERROR(__xludf.DUMMYFUNCTION("IFERROR(SUM(filter('Основной эфир'!$AL:$AL, 'Основной эфир'!$B:$B=$A345,'Основной эфир'!$C:$C=$B345,'Основной эфир'!$I:$I=$C345)), 0) "),0.0)</f>
        <v>0</v>
      </c>
      <c r="K345" s="91" t="str">
        <f>IFERROR(__xludf.DUMMYFUNCTION("IFERROR(REGEXREPLACE(unique(filter('Основной эфир'!$A:$A, 'Основной эфир'!$B:$B=$A345,'Основной эфир'!$C:$C=$B345,'Основной эфир'!$I:$I=$C345)), ""\d+"", """"),"""")"),"")</f>
        <v/>
      </c>
      <c r="L345" s="91" t="str">
        <f>IFERROR(__xludf.DUMMYFUNCTION("IFERROR(unique(filter('Основной эфир'!$F:$F, 'Основной эфир'!$B:$B=$A345,'Основной эфир'!$C:$C=$B345,'Основной эфир'!$I:$I=$C345)),"""")"),"")</f>
        <v/>
      </c>
      <c r="M345" s="92" t="str">
        <f t="shared" si="1"/>
        <v/>
      </c>
      <c r="N345" s="93">
        <f>IFERROR(__xludf.DUMMYFUNCTION("IFERROR(SWITCH(lower(join("" "",L345:M345)),""а миллионник"", 62.5,""б миллионник"", 75,""а мск"", 50, ""б мск"", 62.5, ""a остальное"", 70, ""б остальное"", 80)/100,0)"),0.0)</f>
        <v>0</v>
      </c>
      <c r="O345" s="91">
        <f t="shared" si="2"/>
        <v>0</v>
      </c>
      <c r="P345" s="91">
        <f>IFERROR(__xludf.DUMMYFUNCTION("IFERROR(sum(filter('Генеральный баннер'!$O:$O, 'Генеральный баннер'!$B:$B=$A345,'Генеральный баннер'!$C:$C=$B345,'Генеральный баннер'!$I:$I=$C345)), 0) "),0.0)</f>
        <v>0</v>
      </c>
      <c r="Q345" s="91">
        <f>IFERROR(__xludf.DUMMYFUNCTION("IFERROR(sum(filter('Генеральный баннер'!$Q:$Q, 'Генеральный баннер'!$B:$B=$A345,'Генеральный баннер'!$C:$C=$B345,'Генеральный баннер'!$I:$I=$C345)), 0) "),0.0)</f>
        <v>0</v>
      </c>
      <c r="R345" s="91">
        <f>IFERROR(__xludf.DUMMYFUNCTION("IFERROR(AVERAGE(filter('Генеральный баннер'!$AA:$AA, 'Генеральный баннер'!$B:$B=$A345,'Генеральный баннер'!$C:$C=$B345,'Генеральный баннер'!$I:$I=$C345)), 0) "),0.0)</f>
        <v>0</v>
      </c>
      <c r="S345" s="91">
        <f>IFERROR(__xludf.DUMMYFUNCTION("IFERROR(SUM(filter('Генеральный баннер'!$AH:$AH, 'Генеральный баннер'!$B:$B=$A345,'Генеральный баннер'!$C:$C=$B345,'Генеральный баннер'!$I:$I=$C345)), 0) "),0.0)</f>
        <v>0</v>
      </c>
      <c r="T345" s="91" t="str">
        <f>IFERROR(__xludf.DUMMYFUNCTION("IFERROR(REGEXREPLACE(unique(filter('Генеральный баннер'!$A:$A, 'Генеральный баннер'!$B:$B=$A345,'Генеральный баннер'!$C:$C=$B345,'Генеральный баннер'!$I:$I=$C345)), ""\d+"", """"),"""")"),"")</f>
        <v/>
      </c>
      <c r="U345" s="91" t="str">
        <f>IFERROR(__xludf.DUMMYFUNCTION("IFERROR(unique(filter('Генеральный баннер'!$F:$F, 'Генеральный баннер'!$B:$B=$A345,'Генеральный баннер'!$C:$C=$B345,'Генеральный баннер'!$I:$I=$C345)),"""")"),"")</f>
        <v/>
      </c>
      <c r="V345" s="92" t="str">
        <f t="shared" si="3"/>
        <v/>
      </c>
      <c r="W345" s="93">
        <f>IFERROR(__xludf.DUMMYFUNCTION("IFERROR(SWITCH(lower(join("" "",U345:V345)),""а миллионник"", 62.5,""б миллионник"", 75,""а мск"", 50, ""б мск"", 62.5, ""a остальное"", 70, ""б остальное"", 80)/100,0)"),0.0)</f>
        <v>0</v>
      </c>
      <c r="X345" s="91">
        <f t="shared" si="4"/>
        <v>0</v>
      </c>
    </row>
    <row r="346">
      <c r="A346" s="12"/>
      <c r="B346" s="12"/>
      <c r="C346" s="12"/>
      <c r="D346" s="91">
        <f>IFERROR(__xludf.DUMMYFUNCTION("IFERROR(sum(filter('Основной эфир'!$AA:$AA, 'Основной эфир'!$B:$B=$A346,'Основной эфир'!$C:$C=$B346,'Основной эфир'!$I:$I=$C346)), 0) "),0.0)</f>
        <v>0</v>
      </c>
      <c r="E346" s="91">
        <f>IFERROR(__xludf.DUMMYFUNCTION("IFERROR(sum(filter('Основной эфир'!$AC:$AC, 'Основной эфир'!$B:$B=$A346,'Основной эфир'!$C:$C=$B346,'Основной эфир'!$I:$I=$C346)), 0) "),0.0)</f>
        <v>0</v>
      </c>
      <c r="F346" s="91">
        <f>IFERROR(__xludf.DUMMYFUNCTION("IFERROR(sum(filter('Основной эфир'!$O:$O, 'Основной эфир'!$B:$B=$A346,'Основной эфир'!$C:$C=$B346,'Основной эфир'!$I:$I=$C346)), 0) "),0.0)</f>
        <v>0</v>
      </c>
      <c r="G346" s="91">
        <f>IFERROR(__xludf.DUMMYFUNCTION("IFERROR(sum(filter('Основной эфир'!$Q:$Q, 'Основной эфир'!$B:$B=$A346,'Основной эфир'!$C:$C=$B346,'Основной эфир'!$I:$I=$C346)), 0) "),0.0)</f>
        <v>0</v>
      </c>
      <c r="H346" s="91">
        <f>IFERROR(__xludf.DUMMYFUNCTION("IFERROR(AVERAGE(filter('Основной эфир'!$Y:$Y, 'Основной эфир'!$B:$B=$A346,'Основной эфир'!$C:$C=$B346,'Основной эфир'!$I:$I=$C346)), 0) "),0.0)</f>
        <v>0</v>
      </c>
      <c r="I346" s="91">
        <f>IFERROR(__xludf.DUMMYFUNCTION("IFERROR(AVERAGE(filter('Основной эфир'!$AE:$AE, 'Основной эфир'!$B:$B=$A346,'Основной эфир'!$C:$C=$B346,'Основной эфир'!$I:$I=$C346)), 0) "),0.0)</f>
        <v>0</v>
      </c>
      <c r="J346" s="91">
        <f>IFERROR(__xludf.DUMMYFUNCTION("IFERROR(SUM(filter('Основной эфир'!$AL:$AL, 'Основной эфир'!$B:$B=$A346,'Основной эфир'!$C:$C=$B346,'Основной эфир'!$I:$I=$C346)), 0) "),0.0)</f>
        <v>0</v>
      </c>
      <c r="K346" s="91" t="str">
        <f>IFERROR(__xludf.DUMMYFUNCTION("IFERROR(REGEXREPLACE(unique(filter('Основной эфир'!$A:$A, 'Основной эфир'!$B:$B=$A346,'Основной эфир'!$C:$C=$B346,'Основной эфир'!$I:$I=$C346)), ""\d+"", """"),"""")"),"")</f>
        <v/>
      </c>
      <c r="L346" s="91" t="str">
        <f>IFERROR(__xludf.DUMMYFUNCTION("IFERROR(unique(filter('Основной эфир'!$F:$F, 'Основной эфир'!$B:$B=$A346,'Основной эфир'!$C:$C=$B346,'Основной эфир'!$I:$I=$C346)),"""")"),"")</f>
        <v/>
      </c>
      <c r="M346" s="92" t="str">
        <f t="shared" si="1"/>
        <v/>
      </c>
      <c r="N346" s="93">
        <f>IFERROR(__xludf.DUMMYFUNCTION("IFERROR(SWITCH(lower(join("" "",L346:M346)),""а миллионник"", 62.5,""б миллионник"", 75,""а мск"", 50, ""б мск"", 62.5, ""a остальное"", 70, ""б остальное"", 80)/100,0)"),0.0)</f>
        <v>0</v>
      </c>
      <c r="O346" s="91">
        <f t="shared" si="2"/>
        <v>0</v>
      </c>
      <c r="P346" s="91">
        <f>IFERROR(__xludf.DUMMYFUNCTION("IFERROR(sum(filter('Генеральный баннер'!$O:$O, 'Генеральный баннер'!$B:$B=$A346,'Генеральный баннер'!$C:$C=$B346,'Генеральный баннер'!$I:$I=$C346)), 0) "),0.0)</f>
        <v>0</v>
      </c>
      <c r="Q346" s="91">
        <f>IFERROR(__xludf.DUMMYFUNCTION("IFERROR(sum(filter('Генеральный баннер'!$Q:$Q, 'Генеральный баннер'!$B:$B=$A346,'Генеральный баннер'!$C:$C=$B346,'Генеральный баннер'!$I:$I=$C346)), 0) "),0.0)</f>
        <v>0</v>
      </c>
      <c r="R346" s="91">
        <f>IFERROR(__xludf.DUMMYFUNCTION("IFERROR(AVERAGE(filter('Генеральный баннер'!$AA:$AA, 'Генеральный баннер'!$B:$B=$A346,'Генеральный баннер'!$C:$C=$B346,'Генеральный баннер'!$I:$I=$C346)), 0) "),0.0)</f>
        <v>0</v>
      </c>
      <c r="S346" s="91">
        <f>IFERROR(__xludf.DUMMYFUNCTION("IFERROR(SUM(filter('Генеральный баннер'!$AH:$AH, 'Генеральный баннер'!$B:$B=$A346,'Генеральный баннер'!$C:$C=$B346,'Генеральный баннер'!$I:$I=$C346)), 0) "),0.0)</f>
        <v>0</v>
      </c>
      <c r="T346" s="91" t="str">
        <f>IFERROR(__xludf.DUMMYFUNCTION("IFERROR(REGEXREPLACE(unique(filter('Генеральный баннер'!$A:$A, 'Генеральный баннер'!$B:$B=$A346,'Генеральный баннер'!$C:$C=$B346,'Генеральный баннер'!$I:$I=$C346)), ""\d+"", """"),"""")"),"")</f>
        <v/>
      </c>
      <c r="U346" s="91" t="str">
        <f>IFERROR(__xludf.DUMMYFUNCTION("IFERROR(unique(filter('Генеральный баннер'!$F:$F, 'Генеральный баннер'!$B:$B=$A346,'Генеральный баннер'!$C:$C=$B346,'Генеральный баннер'!$I:$I=$C346)),"""")"),"")</f>
        <v/>
      </c>
      <c r="V346" s="92" t="str">
        <f t="shared" si="3"/>
        <v/>
      </c>
      <c r="W346" s="93">
        <f>IFERROR(__xludf.DUMMYFUNCTION("IFERROR(SWITCH(lower(join("" "",U346:V346)),""а миллионник"", 62.5,""б миллионник"", 75,""а мск"", 50, ""б мск"", 62.5, ""a остальное"", 70, ""б остальное"", 80)/100,0)"),0.0)</f>
        <v>0</v>
      </c>
      <c r="X346" s="91">
        <f t="shared" si="4"/>
        <v>0</v>
      </c>
    </row>
    <row r="347">
      <c r="A347" s="12"/>
      <c r="B347" s="12"/>
      <c r="C347" s="12"/>
      <c r="D347" s="91">
        <f>IFERROR(__xludf.DUMMYFUNCTION("IFERROR(sum(filter('Основной эфир'!$AA:$AA, 'Основной эфир'!$B:$B=$A347,'Основной эфир'!$C:$C=$B347,'Основной эфир'!$I:$I=$C347)), 0) "),0.0)</f>
        <v>0</v>
      </c>
      <c r="E347" s="91">
        <f>IFERROR(__xludf.DUMMYFUNCTION("IFERROR(sum(filter('Основной эфир'!$AC:$AC, 'Основной эфир'!$B:$B=$A347,'Основной эфир'!$C:$C=$B347,'Основной эфир'!$I:$I=$C347)), 0) "),0.0)</f>
        <v>0</v>
      </c>
      <c r="F347" s="91">
        <f>IFERROR(__xludf.DUMMYFUNCTION("IFERROR(sum(filter('Основной эфир'!$O:$O, 'Основной эфир'!$B:$B=$A347,'Основной эфир'!$C:$C=$B347,'Основной эфир'!$I:$I=$C347)), 0) "),0.0)</f>
        <v>0</v>
      </c>
      <c r="G347" s="91">
        <f>IFERROR(__xludf.DUMMYFUNCTION("IFERROR(sum(filter('Основной эфир'!$Q:$Q, 'Основной эфир'!$B:$B=$A347,'Основной эфир'!$C:$C=$B347,'Основной эфир'!$I:$I=$C347)), 0) "),0.0)</f>
        <v>0</v>
      </c>
      <c r="H347" s="91">
        <f>IFERROR(__xludf.DUMMYFUNCTION("IFERROR(AVERAGE(filter('Основной эфир'!$Y:$Y, 'Основной эфир'!$B:$B=$A347,'Основной эфир'!$C:$C=$B347,'Основной эфир'!$I:$I=$C347)), 0) "),0.0)</f>
        <v>0</v>
      </c>
      <c r="I347" s="91">
        <f>IFERROR(__xludf.DUMMYFUNCTION("IFERROR(AVERAGE(filter('Основной эфир'!$AE:$AE, 'Основной эфир'!$B:$B=$A347,'Основной эфир'!$C:$C=$B347,'Основной эфир'!$I:$I=$C347)), 0) "),0.0)</f>
        <v>0</v>
      </c>
      <c r="J347" s="91">
        <f>IFERROR(__xludf.DUMMYFUNCTION("IFERROR(SUM(filter('Основной эфир'!$AL:$AL, 'Основной эфир'!$B:$B=$A347,'Основной эфир'!$C:$C=$B347,'Основной эфир'!$I:$I=$C347)), 0) "),0.0)</f>
        <v>0</v>
      </c>
      <c r="K347" s="91" t="str">
        <f>IFERROR(__xludf.DUMMYFUNCTION("IFERROR(REGEXREPLACE(unique(filter('Основной эфир'!$A:$A, 'Основной эфир'!$B:$B=$A347,'Основной эфир'!$C:$C=$B347,'Основной эфир'!$I:$I=$C347)), ""\d+"", """"),"""")"),"")</f>
        <v/>
      </c>
      <c r="L347" s="91" t="str">
        <f>IFERROR(__xludf.DUMMYFUNCTION("IFERROR(unique(filter('Основной эфир'!$F:$F, 'Основной эфир'!$B:$B=$A347,'Основной эфир'!$C:$C=$B347,'Основной эфир'!$I:$I=$C347)),"""")"),"")</f>
        <v/>
      </c>
      <c r="M347" s="92" t="str">
        <f t="shared" si="1"/>
        <v/>
      </c>
      <c r="N347" s="93">
        <f>IFERROR(__xludf.DUMMYFUNCTION("IFERROR(SWITCH(lower(join("" "",L347:M347)),""а миллионник"", 62.5,""б миллионник"", 75,""а мск"", 50, ""б мск"", 62.5, ""a остальное"", 70, ""б остальное"", 80)/100,0)"),0.0)</f>
        <v>0</v>
      </c>
      <c r="O347" s="91">
        <f t="shared" si="2"/>
        <v>0</v>
      </c>
      <c r="P347" s="91">
        <f>IFERROR(__xludf.DUMMYFUNCTION("IFERROR(sum(filter('Генеральный баннер'!$O:$O, 'Генеральный баннер'!$B:$B=$A347,'Генеральный баннер'!$C:$C=$B347,'Генеральный баннер'!$I:$I=$C347)), 0) "),0.0)</f>
        <v>0</v>
      </c>
      <c r="Q347" s="91">
        <f>IFERROR(__xludf.DUMMYFUNCTION("IFERROR(sum(filter('Генеральный баннер'!$Q:$Q, 'Генеральный баннер'!$B:$B=$A347,'Генеральный баннер'!$C:$C=$B347,'Генеральный баннер'!$I:$I=$C347)), 0) "),0.0)</f>
        <v>0</v>
      </c>
      <c r="R347" s="91">
        <f>IFERROR(__xludf.DUMMYFUNCTION("IFERROR(AVERAGE(filter('Генеральный баннер'!$AA:$AA, 'Генеральный баннер'!$B:$B=$A347,'Генеральный баннер'!$C:$C=$B347,'Генеральный баннер'!$I:$I=$C347)), 0) "),0.0)</f>
        <v>0</v>
      </c>
      <c r="S347" s="91">
        <f>IFERROR(__xludf.DUMMYFUNCTION("IFERROR(SUM(filter('Генеральный баннер'!$AH:$AH, 'Генеральный баннер'!$B:$B=$A347,'Генеральный баннер'!$C:$C=$B347,'Генеральный баннер'!$I:$I=$C347)), 0) "),0.0)</f>
        <v>0</v>
      </c>
      <c r="T347" s="91" t="str">
        <f>IFERROR(__xludf.DUMMYFUNCTION("IFERROR(REGEXREPLACE(unique(filter('Генеральный баннер'!$A:$A, 'Генеральный баннер'!$B:$B=$A347,'Генеральный баннер'!$C:$C=$B347,'Генеральный баннер'!$I:$I=$C347)), ""\d+"", """"),"""")"),"")</f>
        <v/>
      </c>
      <c r="U347" s="91" t="str">
        <f>IFERROR(__xludf.DUMMYFUNCTION("IFERROR(unique(filter('Генеральный баннер'!$F:$F, 'Генеральный баннер'!$B:$B=$A347,'Генеральный баннер'!$C:$C=$B347,'Генеральный баннер'!$I:$I=$C347)),"""")"),"")</f>
        <v/>
      </c>
      <c r="V347" s="92" t="str">
        <f t="shared" si="3"/>
        <v/>
      </c>
      <c r="W347" s="93">
        <f>IFERROR(__xludf.DUMMYFUNCTION("IFERROR(SWITCH(lower(join("" "",U347:V347)),""а миллионник"", 62.5,""б миллионник"", 75,""а мск"", 50, ""б мск"", 62.5, ""a остальное"", 70, ""б остальное"", 80)/100,0)"),0.0)</f>
        <v>0</v>
      </c>
      <c r="X347" s="91">
        <f t="shared" si="4"/>
        <v>0</v>
      </c>
    </row>
    <row r="348">
      <c r="A348" s="12"/>
      <c r="B348" s="12"/>
      <c r="C348" s="12"/>
      <c r="D348" s="91">
        <f>IFERROR(__xludf.DUMMYFUNCTION("IFERROR(sum(filter('Основной эфир'!$AA:$AA, 'Основной эфир'!$B:$B=$A348,'Основной эфир'!$C:$C=$B348,'Основной эфир'!$I:$I=$C348)), 0) "),0.0)</f>
        <v>0</v>
      </c>
      <c r="E348" s="91">
        <f>IFERROR(__xludf.DUMMYFUNCTION("IFERROR(sum(filter('Основной эфир'!$AC:$AC, 'Основной эфир'!$B:$B=$A348,'Основной эфир'!$C:$C=$B348,'Основной эфир'!$I:$I=$C348)), 0) "),0.0)</f>
        <v>0</v>
      </c>
      <c r="F348" s="91">
        <f>IFERROR(__xludf.DUMMYFUNCTION("IFERROR(sum(filter('Основной эфир'!$O:$O, 'Основной эфир'!$B:$B=$A348,'Основной эфир'!$C:$C=$B348,'Основной эфир'!$I:$I=$C348)), 0) "),0.0)</f>
        <v>0</v>
      </c>
      <c r="G348" s="91">
        <f>IFERROR(__xludf.DUMMYFUNCTION("IFERROR(sum(filter('Основной эфир'!$Q:$Q, 'Основной эфир'!$B:$B=$A348,'Основной эфир'!$C:$C=$B348,'Основной эфир'!$I:$I=$C348)), 0) "),0.0)</f>
        <v>0</v>
      </c>
      <c r="H348" s="91">
        <f>IFERROR(__xludf.DUMMYFUNCTION("IFERROR(AVERAGE(filter('Основной эфир'!$Y:$Y, 'Основной эфир'!$B:$B=$A348,'Основной эфир'!$C:$C=$B348,'Основной эфир'!$I:$I=$C348)), 0) "),0.0)</f>
        <v>0</v>
      </c>
      <c r="I348" s="91">
        <f>IFERROR(__xludf.DUMMYFUNCTION("IFERROR(AVERAGE(filter('Основной эфир'!$AE:$AE, 'Основной эфир'!$B:$B=$A348,'Основной эфир'!$C:$C=$B348,'Основной эфир'!$I:$I=$C348)), 0) "),0.0)</f>
        <v>0</v>
      </c>
      <c r="J348" s="91">
        <f>IFERROR(__xludf.DUMMYFUNCTION("IFERROR(SUM(filter('Основной эфир'!$AL:$AL, 'Основной эфир'!$B:$B=$A348,'Основной эфир'!$C:$C=$B348,'Основной эфир'!$I:$I=$C348)), 0) "),0.0)</f>
        <v>0</v>
      </c>
      <c r="K348" s="91" t="str">
        <f>IFERROR(__xludf.DUMMYFUNCTION("IFERROR(REGEXREPLACE(unique(filter('Основной эфир'!$A:$A, 'Основной эфир'!$B:$B=$A348,'Основной эфир'!$C:$C=$B348,'Основной эфир'!$I:$I=$C348)), ""\d+"", """"),"""")"),"")</f>
        <v/>
      </c>
      <c r="L348" s="91" t="str">
        <f>IFERROR(__xludf.DUMMYFUNCTION("IFERROR(unique(filter('Основной эфир'!$F:$F, 'Основной эфир'!$B:$B=$A348,'Основной эфир'!$C:$C=$B348,'Основной эфир'!$I:$I=$C348)),"""")"),"")</f>
        <v/>
      </c>
      <c r="M348" s="92" t="str">
        <f t="shared" si="1"/>
        <v/>
      </c>
      <c r="N348" s="93">
        <f>IFERROR(__xludf.DUMMYFUNCTION("IFERROR(SWITCH(lower(join("" "",L348:M348)),""а миллионник"", 62.5,""б миллионник"", 75,""а мск"", 50, ""б мск"", 62.5, ""a остальное"", 70, ""б остальное"", 80)/100,0)"),0.0)</f>
        <v>0</v>
      </c>
      <c r="O348" s="91">
        <f t="shared" si="2"/>
        <v>0</v>
      </c>
      <c r="P348" s="91">
        <f>IFERROR(__xludf.DUMMYFUNCTION("IFERROR(sum(filter('Генеральный баннер'!$O:$O, 'Генеральный баннер'!$B:$B=$A348,'Генеральный баннер'!$C:$C=$B348,'Генеральный баннер'!$I:$I=$C348)), 0) "),0.0)</f>
        <v>0</v>
      </c>
      <c r="Q348" s="91">
        <f>IFERROR(__xludf.DUMMYFUNCTION("IFERROR(sum(filter('Генеральный баннер'!$Q:$Q, 'Генеральный баннер'!$B:$B=$A348,'Генеральный баннер'!$C:$C=$B348,'Генеральный баннер'!$I:$I=$C348)), 0) "),0.0)</f>
        <v>0</v>
      </c>
      <c r="R348" s="91">
        <f>IFERROR(__xludf.DUMMYFUNCTION("IFERROR(AVERAGE(filter('Генеральный баннер'!$AA:$AA, 'Генеральный баннер'!$B:$B=$A348,'Генеральный баннер'!$C:$C=$B348,'Генеральный баннер'!$I:$I=$C348)), 0) "),0.0)</f>
        <v>0</v>
      </c>
      <c r="S348" s="91">
        <f>IFERROR(__xludf.DUMMYFUNCTION("IFERROR(SUM(filter('Генеральный баннер'!$AH:$AH, 'Генеральный баннер'!$B:$B=$A348,'Генеральный баннер'!$C:$C=$B348,'Генеральный баннер'!$I:$I=$C348)), 0) "),0.0)</f>
        <v>0</v>
      </c>
      <c r="T348" s="91" t="str">
        <f>IFERROR(__xludf.DUMMYFUNCTION("IFERROR(REGEXREPLACE(unique(filter('Генеральный баннер'!$A:$A, 'Генеральный баннер'!$B:$B=$A348,'Генеральный баннер'!$C:$C=$B348,'Генеральный баннер'!$I:$I=$C348)), ""\d+"", """"),"""")"),"")</f>
        <v/>
      </c>
      <c r="U348" s="91" t="str">
        <f>IFERROR(__xludf.DUMMYFUNCTION("IFERROR(unique(filter('Генеральный баннер'!$F:$F, 'Генеральный баннер'!$B:$B=$A348,'Генеральный баннер'!$C:$C=$B348,'Генеральный баннер'!$I:$I=$C348)),"""")"),"")</f>
        <v/>
      </c>
      <c r="V348" s="92" t="str">
        <f t="shared" si="3"/>
        <v/>
      </c>
      <c r="W348" s="93">
        <f>IFERROR(__xludf.DUMMYFUNCTION("IFERROR(SWITCH(lower(join("" "",U348:V348)),""а миллионник"", 62.5,""б миллионник"", 75,""а мск"", 50, ""б мск"", 62.5, ""a остальное"", 70, ""б остальное"", 80)/100,0)"),0.0)</f>
        <v>0</v>
      </c>
      <c r="X348" s="91">
        <f t="shared" si="4"/>
        <v>0</v>
      </c>
    </row>
    <row r="349">
      <c r="A349" s="12"/>
      <c r="B349" s="12"/>
      <c r="C349" s="12"/>
      <c r="D349" s="91">
        <f>IFERROR(__xludf.DUMMYFUNCTION("IFERROR(sum(filter('Основной эфир'!$AA:$AA, 'Основной эфир'!$B:$B=$A349,'Основной эфир'!$C:$C=$B349,'Основной эфир'!$I:$I=$C349)), 0) "),0.0)</f>
        <v>0</v>
      </c>
      <c r="E349" s="91">
        <f>IFERROR(__xludf.DUMMYFUNCTION("IFERROR(sum(filter('Основной эфир'!$AC:$AC, 'Основной эфир'!$B:$B=$A349,'Основной эфир'!$C:$C=$B349,'Основной эфир'!$I:$I=$C349)), 0) "),0.0)</f>
        <v>0</v>
      </c>
      <c r="F349" s="91">
        <f>IFERROR(__xludf.DUMMYFUNCTION("IFERROR(sum(filter('Основной эфир'!$O:$O, 'Основной эфир'!$B:$B=$A349,'Основной эфир'!$C:$C=$B349,'Основной эфир'!$I:$I=$C349)), 0) "),0.0)</f>
        <v>0</v>
      </c>
      <c r="G349" s="91">
        <f>IFERROR(__xludf.DUMMYFUNCTION("IFERROR(sum(filter('Основной эфир'!$Q:$Q, 'Основной эфир'!$B:$B=$A349,'Основной эфир'!$C:$C=$B349,'Основной эфир'!$I:$I=$C349)), 0) "),0.0)</f>
        <v>0</v>
      </c>
      <c r="H349" s="91">
        <f>IFERROR(__xludf.DUMMYFUNCTION("IFERROR(AVERAGE(filter('Основной эфир'!$Y:$Y, 'Основной эфир'!$B:$B=$A349,'Основной эфир'!$C:$C=$B349,'Основной эфир'!$I:$I=$C349)), 0) "),0.0)</f>
        <v>0</v>
      </c>
      <c r="I349" s="91">
        <f>IFERROR(__xludf.DUMMYFUNCTION("IFERROR(AVERAGE(filter('Основной эфир'!$AE:$AE, 'Основной эфир'!$B:$B=$A349,'Основной эфир'!$C:$C=$B349,'Основной эфир'!$I:$I=$C349)), 0) "),0.0)</f>
        <v>0</v>
      </c>
      <c r="J349" s="91">
        <f>IFERROR(__xludf.DUMMYFUNCTION("IFERROR(SUM(filter('Основной эфир'!$AL:$AL, 'Основной эфир'!$B:$B=$A349,'Основной эфир'!$C:$C=$B349,'Основной эфир'!$I:$I=$C349)), 0) "),0.0)</f>
        <v>0</v>
      </c>
      <c r="K349" s="91" t="str">
        <f>IFERROR(__xludf.DUMMYFUNCTION("IFERROR(REGEXREPLACE(unique(filter('Основной эфир'!$A:$A, 'Основной эфир'!$B:$B=$A349,'Основной эфир'!$C:$C=$B349,'Основной эфир'!$I:$I=$C349)), ""\d+"", """"),"""")"),"")</f>
        <v/>
      </c>
      <c r="L349" s="91" t="str">
        <f>IFERROR(__xludf.DUMMYFUNCTION("IFERROR(unique(filter('Основной эфир'!$F:$F, 'Основной эфир'!$B:$B=$A349,'Основной эфир'!$C:$C=$B349,'Основной эфир'!$I:$I=$C349)),"""")"),"")</f>
        <v/>
      </c>
      <c r="M349" s="92" t="str">
        <f t="shared" si="1"/>
        <v/>
      </c>
      <c r="N349" s="93">
        <f>IFERROR(__xludf.DUMMYFUNCTION("IFERROR(SWITCH(lower(join("" "",L349:M349)),""а миллионник"", 62.5,""б миллионник"", 75,""а мск"", 50, ""б мск"", 62.5, ""a остальное"", 70, ""б остальное"", 80)/100,0)"),0.0)</f>
        <v>0</v>
      </c>
      <c r="O349" s="91">
        <f t="shared" si="2"/>
        <v>0</v>
      </c>
      <c r="P349" s="91">
        <f>IFERROR(__xludf.DUMMYFUNCTION("IFERROR(sum(filter('Генеральный баннер'!$O:$O, 'Генеральный баннер'!$B:$B=$A349,'Генеральный баннер'!$C:$C=$B349,'Генеральный баннер'!$I:$I=$C349)), 0) "),0.0)</f>
        <v>0</v>
      </c>
      <c r="Q349" s="91">
        <f>IFERROR(__xludf.DUMMYFUNCTION("IFERROR(sum(filter('Генеральный баннер'!$Q:$Q, 'Генеральный баннер'!$B:$B=$A349,'Генеральный баннер'!$C:$C=$B349,'Генеральный баннер'!$I:$I=$C349)), 0) "),0.0)</f>
        <v>0</v>
      </c>
      <c r="R349" s="91">
        <f>IFERROR(__xludf.DUMMYFUNCTION("IFERROR(AVERAGE(filter('Генеральный баннер'!$AA:$AA, 'Генеральный баннер'!$B:$B=$A349,'Генеральный баннер'!$C:$C=$B349,'Генеральный баннер'!$I:$I=$C349)), 0) "),0.0)</f>
        <v>0</v>
      </c>
      <c r="S349" s="91">
        <f>IFERROR(__xludf.DUMMYFUNCTION("IFERROR(SUM(filter('Генеральный баннер'!$AH:$AH, 'Генеральный баннер'!$B:$B=$A349,'Генеральный баннер'!$C:$C=$B349,'Генеральный баннер'!$I:$I=$C349)), 0) "),0.0)</f>
        <v>0</v>
      </c>
      <c r="T349" s="91" t="str">
        <f>IFERROR(__xludf.DUMMYFUNCTION("IFERROR(REGEXREPLACE(unique(filter('Генеральный баннер'!$A:$A, 'Генеральный баннер'!$B:$B=$A349,'Генеральный баннер'!$C:$C=$B349,'Генеральный баннер'!$I:$I=$C349)), ""\d+"", """"),"""")"),"")</f>
        <v/>
      </c>
      <c r="U349" s="91" t="str">
        <f>IFERROR(__xludf.DUMMYFUNCTION("IFERROR(unique(filter('Генеральный баннер'!$F:$F, 'Генеральный баннер'!$B:$B=$A349,'Генеральный баннер'!$C:$C=$B349,'Генеральный баннер'!$I:$I=$C349)),"""")"),"")</f>
        <v/>
      </c>
      <c r="V349" s="92" t="str">
        <f t="shared" si="3"/>
        <v/>
      </c>
      <c r="W349" s="93">
        <f>IFERROR(__xludf.DUMMYFUNCTION("IFERROR(SWITCH(lower(join("" "",U349:V349)),""а миллионник"", 62.5,""б миллионник"", 75,""а мск"", 50, ""б мск"", 62.5, ""a остальное"", 70, ""б остальное"", 80)/100,0)"),0.0)</f>
        <v>0</v>
      </c>
      <c r="X349" s="91">
        <f t="shared" si="4"/>
        <v>0</v>
      </c>
    </row>
    <row r="350">
      <c r="A350" s="12"/>
      <c r="B350" s="12"/>
      <c r="C350" s="12"/>
      <c r="D350" s="91">
        <f>IFERROR(__xludf.DUMMYFUNCTION("IFERROR(sum(filter('Основной эфир'!$AA:$AA, 'Основной эфир'!$B:$B=$A350,'Основной эфир'!$C:$C=$B350,'Основной эфир'!$I:$I=$C350)), 0) "),0.0)</f>
        <v>0</v>
      </c>
      <c r="E350" s="91">
        <f>IFERROR(__xludf.DUMMYFUNCTION("IFERROR(sum(filter('Основной эфир'!$AC:$AC, 'Основной эфир'!$B:$B=$A350,'Основной эфир'!$C:$C=$B350,'Основной эфир'!$I:$I=$C350)), 0) "),0.0)</f>
        <v>0</v>
      </c>
      <c r="F350" s="91">
        <f>IFERROR(__xludf.DUMMYFUNCTION("IFERROR(sum(filter('Основной эфир'!$O:$O, 'Основной эфир'!$B:$B=$A350,'Основной эфир'!$C:$C=$B350,'Основной эфир'!$I:$I=$C350)), 0) "),0.0)</f>
        <v>0</v>
      </c>
      <c r="G350" s="91">
        <f>IFERROR(__xludf.DUMMYFUNCTION("IFERROR(sum(filter('Основной эфир'!$Q:$Q, 'Основной эфир'!$B:$B=$A350,'Основной эфир'!$C:$C=$B350,'Основной эфир'!$I:$I=$C350)), 0) "),0.0)</f>
        <v>0</v>
      </c>
      <c r="H350" s="91">
        <f>IFERROR(__xludf.DUMMYFUNCTION("IFERROR(AVERAGE(filter('Основной эфир'!$Y:$Y, 'Основной эфир'!$B:$B=$A350,'Основной эфир'!$C:$C=$B350,'Основной эфир'!$I:$I=$C350)), 0) "),0.0)</f>
        <v>0</v>
      </c>
      <c r="I350" s="91">
        <f>IFERROR(__xludf.DUMMYFUNCTION("IFERROR(AVERAGE(filter('Основной эфир'!$AE:$AE, 'Основной эфир'!$B:$B=$A350,'Основной эфир'!$C:$C=$B350,'Основной эфир'!$I:$I=$C350)), 0) "),0.0)</f>
        <v>0</v>
      </c>
      <c r="J350" s="91">
        <f>IFERROR(__xludf.DUMMYFUNCTION("IFERROR(SUM(filter('Основной эфир'!$AL:$AL, 'Основной эфир'!$B:$B=$A350,'Основной эфир'!$C:$C=$B350,'Основной эфир'!$I:$I=$C350)), 0) "),0.0)</f>
        <v>0</v>
      </c>
      <c r="K350" s="91" t="str">
        <f>IFERROR(__xludf.DUMMYFUNCTION("IFERROR(REGEXREPLACE(unique(filter('Основной эфир'!$A:$A, 'Основной эфир'!$B:$B=$A350,'Основной эфир'!$C:$C=$B350,'Основной эфир'!$I:$I=$C350)), ""\d+"", """"),"""")"),"")</f>
        <v/>
      </c>
      <c r="L350" s="91" t="str">
        <f>IFERROR(__xludf.DUMMYFUNCTION("IFERROR(unique(filter('Основной эфир'!$F:$F, 'Основной эфир'!$B:$B=$A350,'Основной эфир'!$C:$C=$B350,'Основной эфир'!$I:$I=$C350)),"""")"),"")</f>
        <v/>
      </c>
      <c r="M350" s="92" t="str">
        <f t="shared" si="1"/>
        <v/>
      </c>
      <c r="N350" s="93">
        <f>IFERROR(__xludf.DUMMYFUNCTION("IFERROR(SWITCH(lower(join("" "",L350:M350)),""а миллионник"", 62.5,""б миллионник"", 75,""а мск"", 50, ""б мск"", 62.5, ""a остальное"", 70, ""б остальное"", 80)/100,0)"),0.0)</f>
        <v>0</v>
      </c>
      <c r="O350" s="91">
        <f t="shared" si="2"/>
        <v>0</v>
      </c>
      <c r="P350" s="91">
        <f>IFERROR(__xludf.DUMMYFUNCTION("IFERROR(sum(filter('Генеральный баннер'!$O:$O, 'Генеральный баннер'!$B:$B=$A350,'Генеральный баннер'!$C:$C=$B350,'Генеральный баннер'!$I:$I=$C350)), 0) "),0.0)</f>
        <v>0</v>
      </c>
      <c r="Q350" s="91">
        <f>IFERROR(__xludf.DUMMYFUNCTION("IFERROR(sum(filter('Генеральный баннер'!$Q:$Q, 'Генеральный баннер'!$B:$B=$A350,'Генеральный баннер'!$C:$C=$B350,'Генеральный баннер'!$I:$I=$C350)), 0) "),0.0)</f>
        <v>0</v>
      </c>
      <c r="R350" s="91">
        <f>IFERROR(__xludf.DUMMYFUNCTION("IFERROR(AVERAGE(filter('Генеральный баннер'!$AA:$AA, 'Генеральный баннер'!$B:$B=$A350,'Генеральный баннер'!$C:$C=$B350,'Генеральный баннер'!$I:$I=$C350)), 0) "),0.0)</f>
        <v>0</v>
      </c>
      <c r="S350" s="91">
        <f>IFERROR(__xludf.DUMMYFUNCTION("IFERROR(SUM(filter('Генеральный баннер'!$AH:$AH, 'Генеральный баннер'!$B:$B=$A350,'Генеральный баннер'!$C:$C=$B350,'Генеральный баннер'!$I:$I=$C350)), 0) "),0.0)</f>
        <v>0</v>
      </c>
      <c r="T350" s="91" t="str">
        <f>IFERROR(__xludf.DUMMYFUNCTION("IFERROR(REGEXREPLACE(unique(filter('Генеральный баннер'!$A:$A, 'Генеральный баннер'!$B:$B=$A350,'Генеральный баннер'!$C:$C=$B350,'Генеральный баннер'!$I:$I=$C350)), ""\d+"", """"),"""")"),"")</f>
        <v/>
      </c>
      <c r="U350" s="91" t="str">
        <f>IFERROR(__xludf.DUMMYFUNCTION("IFERROR(unique(filter('Генеральный баннер'!$F:$F, 'Генеральный баннер'!$B:$B=$A350,'Генеральный баннер'!$C:$C=$B350,'Генеральный баннер'!$I:$I=$C350)),"""")"),"")</f>
        <v/>
      </c>
      <c r="V350" s="92" t="str">
        <f t="shared" si="3"/>
        <v/>
      </c>
      <c r="W350" s="93">
        <f>IFERROR(__xludf.DUMMYFUNCTION("IFERROR(SWITCH(lower(join("" "",U350:V350)),""а миллионник"", 62.5,""б миллионник"", 75,""а мск"", 50, ""б мск"", 62.5, ""a остальное"", 70, ""б остальное"", 80)/100,0)"),0.0)</f>
        <v>0</v>
      </c>
      <c r="X350" s="91">
        <f t="shared" si="4"/>
        <v>0</v>
      </c>
    </row>
    <row r="351">
      <c r="A351" s="12"/>
      <c r="B351" s="12"/>
      <c r="C351" s="12"/>
      <c r="D351" s="91">
        <f>IFERROR(__xludf.DUMMYFUNCTION("IFERROR(sum(filter('Основной эфир'!$AA:$AA, 'Основной эфир'!$B:$B=$A351,'Основной эфир'!$C:$C=$B351,'Основной эфир'!$I:$I=$C351)), 0) "),0.0)</f>
        <v>0</v>
      </c>
      <c r="E351" s="91">
        <f>IFERROR(__xludf.DUMMYFUNCTION("IFERROR(sum(filter('Основной эфир'!$AC:$AC, 'Основной эфир'!$B:$B=$A351,'Основной эфир'!$C:$C=$B351,'Основной эфир'!$I:$I=$C351)), 0) "),0.0)</f>
        <v>0</v>
      </c>
      <c r="F351" s="91">
        <f>IFERROR(__xludf.DUMMYFUNCTION("IFERROR(sum(filter('Основной эфир'!$O:$O, 'Основной эфир'!$B:$B=$A351,'Основной эфир'!$C:$C=$B351,'Основной эфир'!$I:$I=$C351)), 0) "),0.0)</f>
        <v>0</v>
      </c>
      <c r="G351" s="91">
        <f>IFERROR(__xludf.DUMMYFUNCTION("IFERROR(sum(filter('Основной эфир'!$Q:$Q, 'Основной эфир'!$B:$B=$A351,'Основной эфир'!$C:$C=$B351,'Основной эфир'!$I:$I=$C351)), 0) "),0.0)</f>
        <v>0</v>
      </c>
      <c r="H351" s="91">
        <f>IFERROR(__xludf.DUMMYFUNCTION("IFERROR(AVERAGE(filter('Основной эфир'!$Y:$Y, 'Основной эфир'!$B:$B=$A351,'Основной эфир'!$C:$C=$B351,'Основной эфир'!$I:$I=$C351)), 0) "),0.0)</f>
        <v>0</v>
      </c>
      <c r="I351" s="91">
        <f>IFERROR(__xludf.DUMMYFUNCTION("IFERROR(AVERAGE(filter('Основной эфир'!$AE:$AE, 'Основной эфир'!$B:$B=$A351,'Основной эфир'!$C:$C=$B351,'Основной эфир'!$I:$I=$C351)), 0) "),0.0)</f>
        <v>0</v>
      </c>
      <c r="J351" s="91">
        <f>IFERROR(__xludf.DUMMYFUNCTION("IFERROR(SUM(filter('Основной эфир'!$AL:$AL, 'Основной эфир'!$B:$B=$A351,'Основной эфир'!$C:$C=$B351,'Основной эфир'!$I:$I=$C351)), 0) "),0.0)</f>
        <v>0</v>
      </c>
      <c r="K351" s="91" t="str">
        <f>IFERROR(__xludf.DUMMYFUNCTION("IFERROR(REGEXREPLACE(unique(filter('Основной эфир'!$A:$A, 'Основной эфир'!$B:$B=$A351,'Основной эфир'!$C:$C=$B351,'Основной эфир'!$I:$I=$C351)), ""\d+"", """"),"""")"),"")</f>
        <v/>
      </c>
      <c r="L351" s="91" t="str">
        <f>IFERROR(__xludf.DUMMYFUNCTION("IFERROR(unique(filter('Основной эфир'!$F:$F, 'Основной эфир'!$B:$B=$A351,'Основной эфир'!$C:$C=$B351,'Основной эфир'!$I:$I=$C351)),"""")"),"")</f>
        <v/>
      </c>
      <c r="M351" s="92" t="str">
        <f t="shared" si="1"/>
        <v/>
      </c>
      <c r="N351" s="93">
        <f>IFERROR(__xludf.DUMMYFUNCTION("IFERROR(SWITCH(lower(join("" "",L351:M351)),""а миллионник"", 62.5,""б миллионник"", 75,""а мск"", 50, ""б мск"", 62.5, ""a остальное"", 70, ""б остальное"", 80)/100,0)"),0.0)</f>
        <v>0</v>
      </c>
      <c r="O351" s="91">
        <f t="shared" si="2"/>
        <v>0</v>
      </c>
      <c r="P351" s="91">
        <f>IFERROR(__xludf.DUMMYFUNCTION("IFERROR(sum(filter('Генеральный баннер'!$O:$O, 'Генеральный баннер'!$B:$B=$A351,'Генеральный баннер'!$C:$C=$B351,'Генеральный баннер'!$I:$I=$C351)), 0) "),0.0)</f>
        <v>0</v>
      </c>
      <c r="Q351" s="91">
        <f>IFERROR(__xludf.DUMMYFUNCTION("IFERROR(sum(filter('Генеральный баннер'!$Q:$Q, 'Генеральный баннер'!$B:$B=$A351,'Генеральный баннер'!$C:$C=$B351,'Генеральный баннер'!$I:$I=$C351)), 0) "),0.0)</f>
        <v>0</v>
      </c>
      <c r="R351" s="91">
        <f>IFERROR(__xludf.DUMMYFUNCTION("IFERROR(AVERAGE(filter('Генеральный баннер'!$AA:$AA, 'Генеральный баннер'!$B:$B=$A351,'Генеральный баннер'!$C:$C=$B351,'Генеральный баннер'!$I:$I=$C351)), 0) "),0.0)</f>
        <v>0</v>
      </c>
      <c r="S351" s="91">
        <f>IFERROR(__xludf.DUMMYFUNCTION("IFERROR(SUM(filter('Генеральный баннер'!$AH:$AH, 'Генеральный баннер'!$B:$B=$A351,'Генеральный баннер'!$C:$C=$B351,'Генеральный баннер'!$I:$I=$C351)), 0) "),0.0)</f>
        <v>0</v>
      </c>
      <c r="T351" s="91" t="str">
        <f>IFERROR(__xludf.DUMMYFUNCTION("IFERROR(REGEXREPLACE(unique(filter('Генеральный баннер'!$A:$A, 'Генеральный баннер'!$B:$B=$A351,'Генеральный баннер'!$C:$C=$B351,'Генеральный баннер'!$I:$I=$C351)), ""\d+"", """"),"""")"),"")</f>
        <v/>
      </c>
      <c r="U351" s="91" t="str">
        <f>IFERROR(__xludf.DUMMYFUNCTION("IFERROR(unique(filter('Генеральный баннер'!$F:$F, 'Генеральный баннер'!$B:$B=$A351,'Генеральный баннер'!$C:$C=$B351,'Генеральный баннер'!$I:$I=$C351)),"""")"),"")</f>
        <v/>
      </c>
      <c r="V351" s="92" t="str">
        <f t="shared" si="3"/>
        <v/>
      </c>
      <c r="W351" s="93">
        <f>IFERROR(__xludf.DUMMYFUNCTION("IFERROR(SWITCH(lower(join("" "",U351:V351)),""а миллионник"", 62.5,""б миллионник"", 75,""а мск"", 50, ""б мск"", 62.5, ""a остальное"", 70, ""б остальное"", 80)/100,0)"),0.0)</f>
        <v>0</v>
      </c>
      <c r="X351" s="91">
        <f t="shared" si="4"/>
        <v>0</v>
      </c>
    </row>
    <row r="352">
      <c r="A352" s="12"/>
      <c r="B352" s="12"/>
      <c r="C352" s="12"/>
      <c r="D352" s="91">
        <f>IFERROR(__xludf.DUMMYFUNCTION("IFERROR(sum(filter('Основной эфир'!$AA:$AA, 'Основной эфир'!$B:$B=$A352,'Основной эфир'!$C:$C=$B352,'Основной эфир'!$I:$I=$C352)), 0) "),0.0)</f>
        <v>0</v>
      </c>
      <c r="E352" s="91">
        <f>IFERROR(__xludf.DUMMYFUNCTION("IFERROR(sum(filter('Основной эфир'!$AC:$AC, 'Основной эфир'!$B:$B=$A352,'Основной эфир'!$C:$C=$B352,'Основной эфир'!$I:$I=$C352)), 0) "),0.0)</f>
        <v>0</v>
      </c>
      <c r="F352" s="91">
        <f>IFERROR(__xludf.DUMMYFUNCTION("IFERROR(sum(filter('Основной эфир'!$O:$O, 'Основной эфир'!$B:$B=$A352,'Основной эфир'!$C:$C=$B352,'Основной эфир'!$I:$I=$C352)), 0) "),0.0)</f>
        <v>0</v>
      </c>
      <c r="G352" s="91">
        <f>IFERROR(__xludf.DUMMYFUNCTION("IFERROR(sum(filter('Основной эфир'!$Q:$Q, 'Основной эфир'!$B:$B=$A352,'Основной эфир'!$C:$C=$B352,'Основной эфир'!$I:$I=$C352)), 0) "),0.0)</f>
        <v>0</v>
      </c>
      <c r="H352" s="91">
        <f>IFERROR(__xludf.DUMMYFUNCTION("IFERROR(AVERAGE(filter('Основной эфир'!$Y:$Y, 'Основной эфир'!$B:$B=$A352,'Основной эфир'!$C:$C=$B352,'Основной эфир'!$I:$I=$C352)), 0) "),0.0)</f>
        <v>0</v>
      </c>
      <c r="I352" s="91">
        <f>IFERROR(__xludf.DUMMYFUNCTION("IFERROR(AVERAGE(filter('Основной эфир'!$AE:$AE, 'Основной эфир'!$B:$B=$A352,'Основной эфир'!$C:$C=$B352,'Основной эфир'!$I:$I=$C352)), 0) "),0.0)</f>
        <v>0</v>
      </c>
      <c r="J352" s="91">
        <f>IFERROR(__xludf.DUMMYFUNCTION("IFERROR(SUM(filter('Основной эфир'!$AL:$AL, 'Основной эфир'!$B:$B=$A352,'Основной эфир'!$C:$C=$B352,'Основной эфир'!$I:$I=$C352)), 0) "),0.0)</f>
        <v>0</v>
      </c>
      <c r="K352" s="91" t="str">
        <f>IFERROR(__xludf.DUMMYFUNCTION("IFERROR(REGEXREPLACE(unique(filter('Основной эфир'!$A:$A, 'Основной эфир'!$B:$B=$A352,'Основной эфир'!$C:$C=$B352,'Основной эфир'!$I:$I=$C352)), ""\d+"", """"),"""")"),"")</f>
        <v/>
      </c>
      <c r="L352" s="91" t="str">
        <f>IFERROR(__xludf.DUMMYFUNCTION("IFERROR(unique(filter('Основной эфир'!$F:$F, 'Основной эфир'!$B:$B=$A352,'Основной эфир'!$C:$C=$B352,'Основной эфир'!$I:$I=$C352)),"""")"),"")</f>
        <v/>
      </c>
      <c r="M352" s="92" t="str">
        <f t="shared" si="1"/>
        <v/>
      </c>
      <c r="N352" s="93">
        <f>IFERROR(__xludf.DUMMYFUNCTION("IFERROR(SWITCH(lower(join("" "",L352:M352)),""а миллионник"", 62.5,""б миллионник"", 75,""а мск"", 50, ""б мск"", 62.5, ""a остальное"", 70, ""б остальное"", 80)/100,0)"),0.0)</f>
        <v>0</v>
      </c>
      <c r="O352" s="91">
        <f t="shared" si="2"/>
        <v>0</v>
      </c>
      <c r="P352" s="91">
        <f>IFERROR(__xludf.DUMMYFUNCTION("IFERROR(sum(filter('Генеральный баннер'!$O:$O, 'Генеральный баннер'!$B:$B=$A352,'Генеральный баннер'!$C:$C=$B352,'Генеральный баннер'!$I:$I=$C352)), 0) "),0.0)</f>
        <v>0</v>
      </c>
      <c r="Q352" s="91">
        <f>IFERROR(__xludf.DUMMYFUNCTION("IFERROR(sum(filter('Генеральный баннер'!$Q:$Q, 'Генеральный баннер'!$B:$B=$A352,'Генеральный баннер'!$C:$C=$B352,'Генеральный баннер'!$I:$I=$C352)), 0) "),0.0)</f>
        <v>0</v>
      </c>
      <c r="R352" s="91">
        <f>IFERROR(__xludf.DUMMYFUNCTION("IFERROR(AVERAGE(filter('Генеральный баннер'!$AA:$AA, 'Генеральный баннер'!$B:$B=$A352,'Генеральный баннер'!$C:$C=$B352,'Генеральный баннер'!$I:$I=$C352)), 0) "),0.0)</f>
        <v>0</v>
      </c>
      <c r="S352" s="91">
        <f>IFERROR(__xludf.DUMMYFUNCTION("IFERROR(SUM(filter('Генеральный баннер'!$AH:$AH, 'Генеральный баннер'!$B:$B=$A352,'Генеральный баннер'!$C:$C=$B352,'Генеральный баннер'!$I:$I=$C352)), 0) "),0.0)</f>
        <v>0</v>
      </c>
      <c r="T352" s="91" t="str">
        <f>IFERROR(__xludf.DUMMYFUNCTION("IFERROR(REGEXREPLACE(unique(filter('Генеральный баннер'!$A:$A, 'Генеральный баннер'!$B:$B=$A352,'Генеральный баннер'!$C:$C=$B352,'Генеральный баннер'!$I:$I=$C352)), ""\d+"", """"),"""")"),"")</f>
        <v/>
      </c>
      <c r="U352" s="91" t="str">
        <f>IFERROR(__xludf.DUMMYFUNCTION("IFERROR(unique(filter('Генеральный баннер'!$F:$F, 'Генеральный баннер'!$B:$B=$A352,'Генеральный баннер'!$C:$C=$B352,'Генеральный баннер'!$I:$I=$C352)),"""")"),"")</f>
        <v/>
      </c>
      <c r="V352" s="92" t="str">
        <f t="shared" si="3"/>
        <v/>
      </c>
      <c r="W352" s="93">
        <f>IFERROR(__xludf.DUMMYFUNCTION("IFERROR(SWITCH(lower(join("" "",U352:V352)),""а миллионник"", 62.5,""б миллионник"", 75,""а мск"", 50, ""б мск"", 62.5, ""a остальное"", 70, ""б остальное"", 80)/100,0)"),0.0)</f>
        <v>0</v>
      </c>
      <c r="X352" s="91">
        <f t="shared" si="4"/>
        <v>0</v>
      </c>
    </row>
    <row r="353">
      <c r="A353" s="12"/>
      <c r="B353" s="12"/>
      <c r="C353" s="12"/>
      <c r="D353" s="91">
        <f>IFERROR(__xludf.DUMMYFUNCTION("IFERROR(sum(filter('Основной эфир'!$AA:$AA, 'Основной эфир'!$B:$B=$A353,'Основной эфир'!$C:$C=$B353,'Основной эфир'!$I:$I=$C353)), 0) "),0.0)</f>
        <v>0</v>
      </c>
      <c r="E353" s="91">
        <f>IFERROR(__xludf.DUMMYFUNCTION("IFERROR(sum(filter('Основной эфир'!$AC:$AC, 'Основной эфир'!$B:$B=$A353,'Основной эфир'!$C:$C=$B353,'Основной эфир'!$I:$I=$C353)), 0) "),0.0)</f>
        <v>0</v>
      </c>
      <c r="F353" s="91">
        <f>IFERROR(__xludf.DUMMYFUNCTION("IFERROR(sum(filter('Основной эфир'!$O:$O, 'Основной эфир'!$B:$B=$A353,'Основной эфир'!$C:$C=$B353,'Основной эфир'!$I:$I=$C353)), 0) "),0.0)</f>
        <v>0</v>
      </c>
      <c r="G353" s="91">
        <f>IFERROR(__xludf.DUMMYFUNCTION("IFERROR(sum(filter('Основной эфир'!$Q:$Q, 'Основной эфир'!$B:$B=$A353,'Основной эфир'!$C:$C=$B353,'Основной эфир'!$I:$I=$C353)), 0) "),0.0)</f>
        <v>0</v>
      </c>
      <c r="H353" s="91">
        <f>IFERROR(__xludf.DUMMYFUNCTION("IFERROR(AVERAGE(filter('Основной эфир'!$Y:$Y, 'Основной эфир'!$B:$B=$A353,'Основной эфир'!$C:$C=$B353,'Основной эфир'!$I:$I=$C353)), 0) "),0.0)</f>
        <v>0</v>
      </c>
      <c r="I353" s="91">
        <f>IFERROR(__xludf.DUMMYFUNCTION("IFERROR(AVERAGE(filter('Основной эфир'!$AE:$AE, 'Основной эфир'!$B:$B=$A353,'Основной эфир'!$C:$C=$B353,'Основной эфир'!$I:$I=$C353)), 0) "),0.0)</f>
        <v>0</v>
      </c>
      <c r="J353" s="91">
        <f>IFERROR(__xludf.DUMMYFUNCTION("IFERROR(SUM(filter('Основной эфир'!$AL:$AL, 'Основной эфир'!$B:$B=$A353,'Основной эфир'!$C:$C=$B353,'Основной эфир'!$I:$I=$C353)), 0) "),0.0)</f>
        <v>0</v>
      </c>
      <c r="K353" s="91" t="str">
        <f>IFERROR(__xludf.DUMMYFUNCTION("IFERROR(REGEXREPLACE(unique(filter('Основной эфир'!$A:$A, 'Основной эфир'!$B:$B=$A353,'Основной эфир'!$C:$C=$B353,'Основной эфир'!$I:$I=$C353)), ""\d+"", """"),"""")"),"")</f>
        <v/>
      </c>
      <c r="L353" s="91" t="str">
        <f>IFERROR(__xludf.DUMMYFUNCTION("IFERROR(unique(filter('Основной эфир'!$F:$F, 'Основной эфир'!$B:$B=$A353,'Основной эфир'!$C:$C=$B353,'Основной эфир'!$I:$I=$C353)),"""")"),"")</f>
        <v/>
      </c>
      <c r="M353" s="92" t="str">
        <f t="shared" si="1"/>
        <v/>
      </c>
      <c r="N353" s="93">
        <f>IFERROR(__xludf.DUMMYFUNCTION("IFERROR(SWITCH(lower(join("" "",L353:M353)),""а миллионник"", 62.5,""б миллионник"", 75,""а мск"", 50, ""б мск"", 62.5, ""a остальное"", 70, ""б остальное"", 80)/100,0)"),0.0)</f>
        <v>0</v>
      </c>
      <c r="O353" s="91">
        <f t="shared" si="2"/>
        <v>0</v>
      </c>
      <c r="P353" s="91">
        <f>IFERROR(__xludf.DUMMYFUNCTION("IFERROR(sum(filter('Генеральный баннер'!$O:$O, 'Генеральный баннер'!$B:$B=$A353,'Генеральный баннер'!$C:$C=$B353,'Генеральный баннер'!$I:$I=$C353)), 0) "),0.0)</f>
        <v>0</v>
      </c>
      <c r="Q353" s="91">
        <f>IFERROR(__xludf.DUMMYFUNCTION("IFERROR(sum(filter('Генеральный баннер'!$Q:$Q, 'Генеральный баннер'!$B:$B=$A353,'Генеральный баннер'!$C:$C=$B353,'Генеральный баннер'!$I:$I=$C353)), 0) "),0.0)</f>
        <v>0</v>
      </c>
      <c r="R353" s="91">
        <f>IFERROR(__xludf.DUMMYFUNCTION("IFERROR(AVERAGE(filter('Генеральный баннер'!$AA:$AA, 'Генеральный баннер'!$B:$B=$A353,'Генеральный баннер'!$C:$C=$B353,'Генеральный баннер'!$I:$I=$C353)), 0) "),0.0)</f>
        <v>0</v>
      </c>
      <c r="S353" s="91">
        <f>IFERROR(__xludf.DUMMYFUNCTION("IFERROR(SUM(filter('Генеральный баннер'!$AH:$AH, 'Генеральный баннер'!$B:$B=$A353,'Генеральный баннер'!$C:$C=$B353,'Генеральный баннер'!$I:$I=$C353)), 0) "),0.0)</f>
        <v>0</v>
      </c>
      <c r="T353" s="91" t="str">
        <f>IFERROR(__xludf.DUMMYFUNCTION("IFERROR(REGEXREPLACE(unique(filter('Генеральный баннер'!$A:$A, 'Генеральный баннер'!$B:$B=$A353,'Генеральный баннер'!$C:$C=$B353,'Генеральный баннер'!$I:$I=$C353)), ""\d+"", """"),"""")"),"")</f>
        <v/>
      </c>
      <c r="U353" s="91" t="str">
        <f>IFERROR(__xludf.DUMMYFUNCTION("IFERROR(unique(filter('Генеральный баннер'!$F:$F, 'Генеральный баннер'!$B:$B=$A353,'Генеральный баннер'!$C:$C=$B353,'Генеральный баннер'!$I:$I=$C353)),"""")"),"")</f>
        <v/>
      </c>
      <c r="V353" s="92" t="str">
        <f t="shared" si="3"/>
        <v/>
      </c>
      <c r="W353" s="93">
        <f>IFERROR(__xludf.DUMMYFUNCTION("IFERROR(SWITCH(lower(join("" "",U353:V353)),""а миллионник"", 62.5,""б миллионник"", 75,""а мск"", 50, ""б мск"", 62.5, ""a остальное"", 70, ""б остальное"", 80)/100,0)"),0.0)</f>
        <v>0</v>
      </c>
      <c r="X353" s="91">
        <f t="shared" si="4"/>
        <v>0</v>
      </c>
    </row>
    <row r="354">
      <c r="A354" s="12"/>
      <c r="B354" s="12"/>
      <c r="C354" s="12"/>
      <c r="D354" s="91">
        <f>IFERROR(__xludf.DUMMYFUNCTION("IFERROR(sum(filter('Основной эфир'!$AA:$AA, 'Основной эфир'!$B:$B=$A354,'Основной эфир'!$C:$C=$B354,'Основной эфир'!$I:$I=$C354)), 0) "),0.0)</f>
        <v>0</v>
      </c>
      <c r="E354" s="91">
        <f>IFERROR(__xludf.DUMMYFUNCTION("IFERROR(sum(filter('Основной эфир'!$AC:$AC, 'Основной эфир'!$B:$B=$A354,'Основной эфир'!$C:$C=$B354,'Основной эфир'!$I:$I=$C354)), 0) "),0.0)</f>
        <v>0</v>
      </c>
      <c r="F354" s="91">
        <f>IFERROR(__xludf.DUMMYFUNCTION("IFERROR(sum(filter('Основной эфир'!$O:$O, 'Основной эфир'!$B:$B=$A354,'Основной эфир'!$C:$C=$B354,'Основной эфир'!$I:$I=$C354)), 0) "),0.0)</f>
        <v>0</v>
      </c>
      <c r="G354" s="91">
        <f>IFERROR(__xludf.DUMMYFUNCTION("IFERROR(sum(filter('Основной эфир'!$Q:$Q, 'Основной эфир'!$B:$B=$A354,'Основной эфир'!$C:$C=$B354,'Основной эфир'!$I:$I=$C354)), 0) "),0.0)</f>
        <v>0</v>
      </c>
      <c r="H354" s="91">
        <f>IFERROR(__xludf.DUMMYFUNCTION("IFERROR(AVERAGE(filter('Основной эфир'!$Y:$Y, 'Основной эфир'!$B:$B=$A354,'Основной эфир'!$C:$C=$B354,'Основной эфир'!$I:$I=$C354)), 0) "),0.0)</f>
        <v>0</v>
      </c>
      <c r="I354" s="91">
        <f>IFERROR(__xludf.DUMMYFUNCTION("IFERROR(AVERAGE(filter('Основной эфир'!$AE:$AE, 'Основной эфир'!$B:$B=$A354,'Основной эфир'!$C:$C=$B354,'Основной эфир'!$I:$I=$C354)), 0) "),0.0)</f>
        <v>0</v>
      </c>
      <c r="J354" s="91">
        <f>IFERROR(__xludf.DUMMYFUNCTION("IFERROR(SUM(filter('Основной эфир'!$AL:$AL, 'Основной эфир'!$B:$B=$A354,'Основной эфир'!$C:$C=$B354,'Основной эфир'!$I:$I=$C354)), 0) "),0.0)</f>
        <v>0</v>
      </c>
      <c r="K354" s="91" t="str">
        <f>IFERROR(__xludf.DUMMYFUNCTION("IFERROR(REGEXREPLACE(unique(filter('Основной эфир'!$A:$A, 'Основной эфир'!$B:$B=$A354,'Основной эфир'!$C:$C=$B354,'Основной эфир'!$I:$I=$C354)), ""\d+"", """"),"""")"),"")</f>
        <v/>
      </c>
      <c r="L354" s="91" t="str">
        <f>IFERROR(__xludf.DUMMYFUNCTION("IFERROR(unique(filter('Основной эфир'!$F:$F, 'Основной эфир'!$B:$B=$A354,'Основной эфир'!$C:$C=$B354,'Основной эфир'!$I:$I=$C354)),"""")"),"")</f>
        <v/>
      </c>
      <c r="M354" s="92" t="str">
        <f t="shared" si="1"/>
        <v/>
      </c>
      <c r="N354" s="93">
        <f>IFERROR(__xludf.DUMMYFUNCTION("IFERROR(SWITCH(lower(join("" "",L354:M354)),""а миллионник"", 62.5,""б миллионник"", 75,""а мск"", 50, ""б мск"", 62.5, ""a остальное"", 70, ""б остальное"", 80)/100,0)"),0.0)</f>
        <v>0</v>
      </c>
      <c r="O354" s="91">
        <f t="shared" si="2"/>
        <v>0</v>
      </c>
      <c r="P354" s="91">
        <f>IFERROR(__xludf.DUMMYFUNCTION("IFERROR(sum(filter('Генеральный баннер'!$O:$O, 'Генеральный баннер'!$B:$B=$A354,'Генеральный баннер'!$C:$C=$B354,'Генеральный баннер'!$I:$I=$C354)), 0) "),0.0)</f>
        <v>0</v>
      </c>
      <c r="Q354" s="91">
        <f>IFERROR(__xludf.DUMMYFUNCTION("IFERROR(sum(filter('Генеральный баннер'!$Q:$Q, 'Генеральный баннер'!$B:$B=$A354,'Генеральный баннер'!$C:$C=$B354,'Генеральный баннер'!$I:$I=$C354)), 0) "),0.0)</f>
        <v>0</v>
      </c>
      <c r="R354" s="91">
        <f>IFERROR(__xludf.DUMMYFUNCTION("IFERROR(AVERAGE(filter('Генеральный баннер'!$AA:$AA, 'Генеральный баннер'!$B:$B=$A354,'Генеральный баннер'!$C:$C=$B354,'Генеральный баннер'!$I:$I=$C354)), 0) "),0.0)</f>
        <v>0</v>
      </c>
      <c r="S354" s="91">
        <f>IFERROR(__xludf.DUMMYFUNCTION("IFERROR(SUM(filter('Генеральный баннер'!$AH:$AH, 'Генеральный баннер'!$B:$B=$A354,'Генеральный баннер'!$C:$C=$B354,'Генеральный баннер'!$I:$I=$C354)), 0) "),0.0)</f>
        <v>0</v>
      </c>
      <c r="T354" s="91" t="str">
        <f>IFERROR(__xludf.DUMMYFUNCTION("IFERROR(REGEXREPLACE(unique(filter('Генеральный баннер'!$A:$A, 'Генеральный баннер'!$B:$B=$A354,'Генеральный баннер'!$C:$C=$B354,'Генеральный баннер'!$I:$I=$C354)), ""\d+"", """"),"""")"),"")</f>
        <v/>
      </c>
      <c r="U354" s="91" t="str">
        <f>IFERROR(__xludf.DUMMYFUNCTION("IFERROR(unique(filter('Генеральный баннер'!$F:$F, 'Генеральный баннер'!$B:$B=$A354,'Генеральный баннер'!$C:$C=$B354,'Генеральный баннер'!$I:$I=$C354)),"""")"),"")</f>
        <v/>
      </c>
      <c r="V354" s="92" t="str">
        <f t="shared" si="3"/>
        <v/>
      </c>
      <c r="W354" s="93">
        <f>IFERROR(__xludf.DUMMYFUNCTION("IFERROR(SWITCH(lower(join("" "",U354:V354)),""а миллионник"", 62.5,""б миллионник"", 75,""а мск"", 50, ""б мск"", 62.5, ""a остальное"", 70, ""б остальное"", 80)/100,0)"),0.0)</f>
        <v>0</v>
      </c>
      <c r="X354" s="91">
        <f t="shared" si="4"/>
        <v>0</v>
      </c>
    </row>
    <row r="355">
      <c r="A355" s="12"/>
      <c r="B355" s="12"/>
      <c r="C355" s="12"/>
      <c r="D355" s="91">
        <f>IFERROR(__xludf.DUMMYFUNCTION("IFERROR(sum(filter('Основной эфир'!$AA:$AA, 'Основной эфир'!$B:$B=$A355,'Основной эфир'!$C:$C=$B355,'Основной эфир'!$I:$I=$C355)), 0) "),0.0)</f>
        <v>0</v>
      </c>
      <c r="E355" s="91">
        <f>IFERROR(__xludf.DUMMYFUNCTION("IFERROR(sum(filter('Основной эфир'!$AC:$AC, 'Основной эфир'!$B:$B=$A355,'Основной эфир'!$C:$C=$B355,'Основной эфир'!$I:$I=$C355)), 0) "),0.0)</f>
        <v>0</v>
      </c>
      <c r="F355" s="91">
        <f>IFERROR(__xludf.DUMMYFUNCTION("IFERROR(sum(filter('Основной эфир'!$O:$O, 'Основной эфир'!$B:$B=$A355,'Основной эфир'!$C:$C=$B355,'Основной эфир'!$I:$I=$C355)), 0) "),0.0)</f>
        <v>0</v>
      </c>
      <c r="G355" s="91">
        <f>IFERROR(__xludf.DUMMYFUNCTION("IFERROR(sum(filter('Основной эфир'!$Q:$Q, 'Основной эфир'!$B:$B=$A355,'Основной эфир'!$C:$C=$B355,'Основной эфир'!$I:$I=$C355)), 0) "),0.0)</f>
        <v>0</v>
      </c>
      <c r="H355" s="91">
        <f>IFERROR(__xludf.DUMMYFUNCTION("IFERROR(AVERAGE(filter('Основной эфир'!$Y:$Y, 'Основной эфир'!$B:$B=$A355,'Основной эфир'!$C:$C=$B355,'Основной эфир'!$I:$I=$C355)), 0) "),0.0)</f>
        <v>0</v>
      </c>
      <c r="I355" s="91">
        <f>IFERROR(__xludf.DUMMYFUNCTION("IFERROR(AVERAGE(filter('Основной эфир'!$AE:$AE, 'Основной эфир'!$B:$B=$A355,'Основной эфир'!$C:$C=$B355,'Основной эфир'!$I:$I=$C355)), 0) "),0.0)</f>
        <v>0</v>
      </c>
      <c r="J355" s="91">
        <f>IFERROR(__xludf.DUMMYFUNCTION("IFERROR(SUM(filter('Основной эфир'!$AL:$AL, 'Основной эфир'!$B:$B=$A355,'Основной эфир'!$C:$C=$B355,'Основной эфир'!$I:$I=$C355)), 0) "),0.0)</f>
        <v>0</v>
      </c>
      <c r="K355" s="91" t="str">
        <f>IFERROR(__xludf.DUMMYFUNCTION("IFERROR(REGEXREPLACE(unique(filter('Основной эфир'!$A:$A, 'Основной эфир'!$B:$B=$A355,'Основной эфир'!$C:$C=$B355,'Основной эфир'!$I:$I=$C355)), ""\d+"", """"),"""")"),"")</f>
        <v/>
      </c>
      <c r="L355" s="91" t="str">
        <f>IFERROR(__xludf.DUMMYFUNCTION("IFERROR(unique(filter('Основной эфир'!$F:$F, 'Основной эфир'!$B:$B=$A355,'Основной эфир'!$C:$C=$B355,'Основной эфир'!$I:$I=$C355)),"""")"),"")</f>
        <v/>
      </c>
      <c r="M355" s="92" t="str">
        <f t="shared" si="1"/>
        <v/>
      </c>
      <c r="N355" s="93">
        <f>IFERROR(__xludf.DUMMYFUNCTION("IFERROR(SWITCH(lower(join("" "",L355:M355)),""а миллионник"", 62.5,""б миллионник"", 75,""а мск"", 50, ""б мск"", 62.5, ""a остальное"", 70, ""б остальное"", 80)/100,0)"),0.0)</f>
        <v>0</v>
      </c>
      <c r="O355" s="91">
        <f t="shared" si="2"/>
        <v>0</v>
      </c>
      <c r="P355" s="91">
        <f>IFERROR(__xludf.DUMMYFUNCTION("IFERROR(sum(filter('Генеральный баннер'!$O:$O, 'Генеральный баннер'!$B:$B=$A355,'Генеральный баннер'!$C:$C=$B355,'Генеральный баннер'!$I:$I=$C355)), 0) "),0.0)</f>
        <v>0</v>
      </c>
      <c r="Q355" s="91">
        <f>IFERROR(__xludf.DUMMYFUNCTION("IFERROR(sum(filter('Генеральный баннер'!$Q:$Q, 'Генеральный баннер'!$B:$B=$A355,'Генеральный баннер'!$C:$C=$B355,'Генеральный баннер'!$I:$I=$C355)), 0) "),0.0)</f>
        <v>0</v>
      </c>
      <c r="R355" s="91">
        <f>IFERROR(__xludf.DUMMYFUNCTION("IFERROR(AVERAGE(filter('Генеральный баннер'!$AA:$AA, 'Генеральный баннер'!$B:$B=$A355,'Генеральный баннер'!$C:$C=$B355,'Генеральный баннер'!$I:$I=$C355)), 0) "),0.0)</f>
        <v>0</v>
      </c>
      <c r="S355" s="91">
        <f>IFERROR(__xludf.DUMMYFUNCTION("IFERROR(SUM(filter('Генеральный баннер'!$AH:$AH, 'Генеральный баннер'!$B:$B=$A355,'Генеральный баннер'!$C:$C=$B355,'Генеральный баннер'!$I:$I=$C355)), 0) "),0.0)</f>
        <v>0</v>
      </c>
      <c r="T355" s="91" t="str">
        <f>IFERROR(__xludf.DUMMYFUNCTION("IFERROR(REGEXREPLACE(unique(filter('Генеральный баннер'!$A:$A, 'Генеральный баннер'!$B:$B=$A355,'Генеральный баннер'!$C:$C=$B355,'Генеральный баннер'!$I:$I=$C355)), ""\d+"", """"),"""")"),"")</f>
        <v/>
      </c>
      <c r="U355" s="91" t="str">
        <f>IFERROR(__xludf.DUMMYFUNCTION("IFERROR(unique(filter('Генеральный баннер'!$F:$F, 'Генеральный баннер'!$B:$B=$A355,'Генеральный баннер'!$C:$C=$B355,'Генеральный баннер'!$I:$I=$C355)),"""")"),"")</f>
        <v/>
      </c>
      <c r="V355" s="92" t="str">
        <f t="shared" si="3"/>
        <v/>
      </c>
      <c r="W355" s="93">
        <f>IFERROR(__xludf.DUMMYFUNCTION("IFERROR(SWITCH(lower(join("" "",U355:V355)),""а миллионник"", 62.5,""б миллионник"", 75,""а мск"", 50, ""б мск"", 62.5, ""a остальное"", 70, ""б остальное"", 80)/100,0)"),0.0)</f>
        <v>0</v>
      </c>
      <c r="X355" s="91">
        <f t="shared" si="4"/>
        <v>0</v>
      </c>
    </row>
    <row r="356">
      <c r="A356" s="12"/>
      <c r="B356" s="12"/>
      <c r="C356" s="12"/>
      <c r="D356" s="91">
        <f>IFERROR(__xludf.DUMMYFUNCTION("IFERROR(sum(filter('Основной эфир'!$AA:$AA, 'Основной эфир'!$B:$B=$A356,'Основной эфир'!$C:$C=$B356,'Основной эфир'!$I:$I=$C356)), 0) "),0.0)</f>
        <v>0</v>
      </c>
      <c r="E356" s="91">
        <f>IFERROR(__xludf.DUMMYFUNCTION("IFERROR(sum(filter('Основной эфир'!$AC:$AC, 'Основной эфир'!$B:$B=$A356,'Основной эфир'!$C:$C=$B356,'Основной эфир'!$I:$I=$C356)), 0) "),0.0)</f>
        <v>0</v>
      </c>
      <c r="F356" s="91">
        <f>IFERROR(__xludf.DUMMYFUNCTION("IFERROR(sum(filter('Основной эфир'!$O:$O, 'Основной эфир'!$B:$B=$A356,'Основной эфир'!$C:$C=$B356,'Основной эфир'!$I:$I=$C356)), 0) "),0.0)</f>
        <v>0</v>
      </c>
      <c r="G356" s="91">
        <f>IFERROR(__xludf.DUMMYFUNCTION("IFERROR(sum(filter('Основной эфир'!$Q:$Q, 'Основной эфир'!$B:$B=$A356,'Основной эфир'!$C:$C=$B356,'Основной эфир'!$I:$I=$C356)), 0) "),0.0)</f>
        <v>0</v>
      </c>
      <c r="H356" s="91">
        <f>IFERROR(__xludf.DUMMYFUNCTION("IFERROR(AVERAGE(filter('Основной эфир'!$Y:$Y, 'Основной эфир'!$B:$B=$A356,'Основной эфир'!$C:$C=$B356,'Основной эфир'!$I:$I=$C356)), 0) "),0.0)</f>
        <v>0</v>
      </c>
      <c r="I356" s="91">
        <f>IFERROR(__xludf.DUMMYFUNCTION("IFERROR(AVERAGE(filter('Основной эфир'!$AE:$AE, 'Основной эфир'!$B:$B=$A356,'Основной эфир'!$C:$C=$B356,'Основной эфир'!$I:$I=$C356)), 0) "),0.0)</f>
        <v>0</v>
      </c>
      <c r="J356" s="91">
        <f>IFERROR(__xludf.DUMMYFUNCTION("IFERROR(SUM(filter('Основной эфир'!$AL:$AL, 'Основной эфир'!$B:$B=$A356,'Основной эфир'!$C:$C=$B356,'Основной эфир'!$I:$I=$C356)), 0) "),0.0)</f>
        <v>0</v>
      </c>
      <c r="K356" s="91" t="str">
        <f>IFERROR(__xludf.DUMMYFUNCTION("IFERROR(REGEXREPLACE(unique(filter('Основной эфир'!$A:$A, 'Основной эфир'!$B:$B=$A356,'Основной эфир'!$C:$C=$B356,'Основной эфир'!$I:$I=$C356)), ""\d+"", """"),"""")"),"")</f>
        <v/>
      </c>
      <c r="L356" s="91" t="str">
        <f>IFERROR(__xludf.DUMMYFUNCTION("IFERROR(unique(filter('Основной эфир'!$F:$F, 'Основной эфир'!$B:$B=$A356,'Основной эфир'!$C:$C=$B356,'Основной эфир'!$I:$I=$C356)),"""")"),"")</f>
        <v/>
      </c>
      <c r="M356" s="92" t="str">
        <f t="shared" si="1"/>
        <v/>
      </c>
      <c r="N356" s="93">
        <f>IFERROR(__xludf.DUMMYFUNCTION("IFERROR(SWITCH(lower(join("" "",L356:M356)),""а миллионник"", 62.5,""б миллионник"", 75,""а мск"", 50, ""б мск"", 62.5, ""a остальное"", 70, ""б остальное"", 80)/100,0)"),0.0)</f>
        <v>0</v>
      </c>
      <c r="O356" s="91">
        <f t="shared" si="2"/>
        <v>0</v>
      </c>
      <c r="P356" s="91">
        <f>IFERROR(__xludf.DUMMYFUNCTION("IFERROR(sum(filter('Генеральный баннер'!$O:$O, 'Генеральный баннер'!$B:$B=$A356,'Генеральный баннер'!$C:$C=$B356,'Генеральный баннер'!$I:$I=$C356)), 0) "),0.0)</f>
        <v>0</v>
      </c>
      <c r="Q356" s="91">
        <f>IFERROR(__xludf.DUMMYFUNCTION("IFERROR(sum(filter('Генеральный баннер'!$Q:$Q, 'Генеральный баннер'!$B:$B=$A356,'Генеральный баннер'!$C:$C=$B356,'Генеральный баннер'!$I:$I=$C356)), 0) "),0.0)</f>
        <v>0</v>
      </c>
      <c r="R356" s="91">
        <f>IFERROR(__xludf.DUMMYFUNCTION("IFERROR(AVERAGE(filter('Генеральный баннер'!$AA:$AA, 'Генеральный баннер'!$B:$B=$A356,'Генеральный баннер'!$C:$C=$B356,'Генеральный баннер'!$I:$I=$C356)), 0) "),0.0)</f>
        <v>0</v>
      </c>
      <c r="S356" s="91">
        <f>IFERROR(__xludf.DUMMYFUNCTION("IFERROR(SUM(filter('Генеральный баннер'!$AH:$AH, 'Генеральный баннер'!$B:$B=$A356,'Генеральный баннер'!$C:$C=$B356,'Генеральный баннер'!$I:$I=$C356)), 0) "),0.0)</f>
        <v>0</v>
      </c>
      <c r="T356" s="91" t="str">
        <f>IFERROR(__xludf.DUMMYFUNCTION("IFERROR(REGEXREPLACE(unique(filter('Генеральный баннер'!$A:$A, 'Генеральный баннер'!$B:$B=$A356,'Генеральный баннер'!$C:$C=$B356,'Генеральный баннер'!$I:$I=$C356)), ""\d+"", """"),"""")"),"")</f>
        <v/>
      </c>
      <c r="U356" s="91" t="str">
        <f>IFERROR(__xludf.DUMMYFUNCTION("IFERROR(unique(filter('Генеральный баннер'!$F:$F, 'Генеральный баннер'!$B:$B=$A356,'Генеральный баннер'!$C:$C=$B356,'Генеральный баннер'!$I:$I=$C356)),"""")"),"")</f>
        <v/>
      </c>
      <c r="V356" s="92" t="str">
        <f t="shared" si="3"/>
        <v/>
      </c>
      <c r="W356" s="93">
        <f>IFERROR(__xludf.DUMMYFUNCTION("IFERROR(SWITCH(lower(join("" "",U356:V356)),""а миллионник"", 62.5,""б миллионник"", 75,""а мск"", 50, ""б мск"", 62.5, ""a остальное"", 70, ""б остальное"", 80)/100,0)"),0.0)</f>
        <v>0</v>
      </c>
      <c r="X356" s="91">
        <f t="shared" si="4"/>
        <v>0</v>
      </c>
    </row>
    <row r="357">
      <c r="A357" s="12"/>
      <c r="B357" s="12"/>
      <c r="C357" s="12"/>
      <c r="D357" s="91">
        <f>IFERROR(__xludf.DUMMYFUNCTION("IFERROR(sum(filter('Основной эфир'!$AA:$AA, 'Основной эфир'!$B:$B=$A357,'Основной эфир'!$C:$C=$B357,'Основной эфир'!$I:$I=$C357)), 0) "),0.0)</f>
        <v>0</v>
      </c>
      <c r="E357" s="91">
        <f>IFERROR(__xludf.DUMMYFUNCTION("IFERROR(sum(filter('Основной эфир'!$AC:$AC, 'Основной эфир'!$B:$B=$A357,'Основной эфир'!$C:$C=$B357,'Основной эфир'!$I:$I=$C357)), 0) "),0.0)</f>
        <v>0</v>
      </c>
      <c r="F357" s="91">
        <f>IFERROR(__xludf.DUMMYFUNCTION("IFERROR(sum(filter('Основной эфир'!$O:$O, 'Основной эфир'!$B:$B=$A357,'Основной эфир'!$C:$C=$B357,'Основной эфир'!$I:$I=$C357)), 0) "),0.0)</f>
        <v>0</v>
      </c>
      <c r="G357" s="91">
        <f>IFERROR(__xludf.DUMMYFUNCTION("IFERROR(sum(filter('Основной эфир'!$Q:$Q, 'Основной эфир'!$B:$B=$A357,'Основной эфир'!$C:$C=$B357,'Основной эфир'!$I:$I=$C357)), 0) "),0.0)</f>
        <v>0</v>
      </c>
      <c r="H357" s="91">
        <f>IFERROR(__xludf.DUMMYFUNCTION("IFERROR(AVERAGE(filter('Основной эфир'!$Y:$Y, 'Основной эфир'!$B:$B=$A357,'Основной эфир'!$C:$C=$B357,'Основной эфир'!$I:$I=$C357)), 0) "),0.0)</f>
        <v>0</v>
      </c>
      <c r="I357" s="91">
        <f>IFERROR(__xludf.DUMMYFUNCTION("IFERROR(AVERAGE(filter('Основной эфир'!$AE:$AE, 'Основной эфир'!$B:$B=$A357,'Основной эфир'!$C:$C=$B357,'Основной эфир'!$I:$I=$C357)), 0) "),0.0)</f>
        <v>0</v>
      </c>
      <c r="J357" s="91">
        <f>IFERROR(__xludf.DUMMYFUNCTION("IFERROR(SUM(filter('Основной эфир'!$AL:$AL, 'Основной эфир'!$B:$B=$A357,'Основной эфир'!$C:$C=$B357,'Основной эфир'!$I:$I=$C357)), 0) "),0.0)</f>
        <v>0</v>
      </c>
      <c r="K357" s="91" t="str">
        <f>IFERROR(__xludf.DUMMYFUNCTION("IFERROR(REGEXREPLACE(unique(filter('Основной эфир'!$A:$A, 'Основной эфир'!$B:$B=$A357,'Основной эфир'!$C:$C=$B357,'Основной эфир'!$I:$I=$C357)), ""\d+"", """"),"""")"),"")</f>
        <v/>
      </c>
      <c r="L357" s="91" t="str">
        <f>IFERROR(__xludf.DUMMYFUNCTION("IFERROR(unique(filter('Основной эфир'!$F:$F, 'Основной эфир'!$B:$B=$A357,'Основной эфир'!$C:$C=$B357,'Основной эфир'!$I:$I=$C357)),"""")"),"")</f>
        <v/>
      </c>
      <c r="M357" s="92" t="str">
        <f t="shared" si="1"/>
        <v/>
      </c>
      <c r="N357" s="93">
        <f>IFERROR(__xludf.DUMMYFUNCTION("IFERROR(SWITCH(lower(join("" "",L357:M357)),""а миллионник"", 62.5,""б миллионник"", 75,""а мск"", 50, ""б мск"", 62.5, ""a остальное"", 70, ""б остальное"", 80)/100,0)"),0.0)</f>
        <v>0</v>
      </c>
      <c r="O357" s="91">
        <f t="shared" si="2"/>
        <v>0</v>
      </c>
      <c r="P357" s="91">
        <f>IFERROR(__xludf.DUMMYFUNCTION("IFERROR(sum(filter('Генеральный баннер'!$O:$O, 'Генеральный баннер'!$B:$B=$A357,'Генеральный баннер'!$C:$C=$B357,'Генеральный баннер'!$I:$I=$C357)), 0) "),0.0)</f>
        <v>0</v>
      </c>
      <c r="Q357" s="91">
        <f>IFERROR(__xludf.DUMMYFUNCTION("IFERROR(sum(filter('Генеральный баннер'!$Q:$Q, 'Генеральный баннер'!$B:$B=$A357,'Генеральный баннер'!$C:$C=$B357,'Генеральный баннер'!$I:$I=$C357)), 0) "),0.0)</f>
        <v>0</v>
      </c>
      <c r="R357" s="91">
        <f>IFERROR(__xludf.DUMMYFUNCTION("IFERROR(AVERAGE(filter('Генеральный баннер'!$AA:$AA, 'Генеральный баннер'!$B:$B=$A357,'Генеральный баннер'!$C:$C=$B357,'Генеральный баннер'!$I:$I=$C357)), 0) "),0.0)</f>
        <v>0</v>
      </c>
      <c r="S357" s="91">
        <f>IFERROR(__xludf.DUMMYFUNCTION("IFERROR(SUM(filter('Генеральный баннер'!$AH:$AH, 'Генеральный баннер'!$B:$B=$A357,'Генеральный баннер'!$C:$C=$B357,'Генеральный баннер'!$I:$I=$C357)), 0) "),0.0)</f>
        <v>0</v>
      </c>
      <c r="T357" s="91" t="str">
        <f>IFERROR(__xludf.DUMMYFUNCTION("IFERROR(REGEXREPLACE(unique(filter('Генеральный баннер'!$A:$A, 'Генеральный баннер'!$B:$B=$A357,'Генеральный баннер'!$C:$C=$B357,'Генеральный баннер'!$I:$I=$C357)), ""\d+"", """"),"""")"),"")</f>
        <v/>
      </c>
      <c r="U357" s="91" t="str">
        <f>IFERROR(__xludf.DUMMYFUNCTION("IFERROR(unique(filter('Генеральный баннер'!$F:$F, 'Генеральный баннер'!$B:$B=$A357,'Генеральный баннер'!$C:$C=$B357,'Генеральный баннер'!$I:$I=$C357)),"""")"),"")</f>
        <v/>
      </c>
      <c r="V357" s="92" t="str">
        <f t="shared" si="3"/>
        <v/>
      </c>
      <c r="W357" s="93">
        <f>IFERROR(__xludf.DUMMYFUNCTION("IFERROR(SWITCH(lower(join("" "",U357:V357)),""а миллионник"", 62.5,""б миллионник"", 75,""а мск"", 50, ""б мск"", 62.5, ""a остальное"", 70, ""б остальное"", 80)/100,0)"),0.0)</f>
        <v>0</v>
      </c>
      <c r="X357" s="91">
        <f t="shared" si="4"/>
        <v>0</v>
      </c>
    </row>
    <row r="358">
      <c r="A358" s="12"/>
      <c r="B358" s="12"/>
      <c r="C358" s="12"/>
      <c r="D358" s="91">
        <f>IFERROR(__xludf.DUMMYFUNCTION("IFERROR(sum(filter('Основной эфир'!$AA:$AA, 'Основной эфир'!$B:$B=$A358,'Основной эфир'!$C:$C=$B358,'Основной эфир'!$I:$I=$C358)), 0) "),0.0)</f>
        <v>0</v>
      </c>
      <c r="E358" s="91">
        <f>IFERROR(__xludf.DUMMYFUNCTION("IFERROR(sum(filter('Основной эфир'!$AC:$AC, 'Основной эфир'!$B:$B=$A358,'Основной эфир'!$C:$C=$B358,'Основной эфир'!$I:$I=$C358)), 0) "),0.0)</f>
        <v>0</v>
      </c>
      <c r="F358" s="91">
        <f>IFERROR(__xludf.DUMMYFUNCTION("IFERROR(sum(filter('Основной эфир'!$O:$O, 'Основной эфир'!$B:$B=$A358,'Основной эфир'!$C:$C=$B358,'Основной эфир'!$I:$I=$C358)), 0) "),0.0)</f>
        <v>0</v>
      </c>
      <c r="G358" s="91">
        <f>IFERROR(__xludf.DUMMYFUNCTION("IFERROR(sum(filter('Основной эфир'!$Q:$Q, 'Основной эфир'!$B:$B=$A358,'Основной эфир'!$C:$C=$B358,'Основной эфир'!$I:$I=$C358)), 0) "),0.0)</f>
        <v>0</v>
      </c>
      <c r="H358" s="91">
        <f>IFERROR(__xludf.DUMMYFUNCTION("IFERROR(AVERAGE(filter('Основной эфир'!$Y:$Y, 'Основной эфир'!$B:$B=$A358,'Основной эфир'!$C:$C=$B358,'Основной эфир'!$I:$I=$C358)), 0) "),0.0)</f>
        <v>0</v>
      </c>
      <c r="I358" s="91">
        <f>IFERROR(__xludf.DUMMYFUNCTION("IFERROR(AVERAGE(filter('Основной эфир'!$AE:$AE, 'Основной эфир'!$B:$B=$A358,'Основной эфир'!$C:$C=$B358,'Основной эфир'!$I:$I=$C358)), 0) "),0.0)</f>
        <v>0</v>
      </c>
      <c r="J358" s="91">
        <f>IFERROR(__xludf.DUMMYFUNCTION("IFERROR(SUM(filter('Основной эфир'!$AL:$AL, 'Основной эфир'!$B:$B=$A358,'Основной эфир'!$C:$C=$B358,'Основной эфир'!$I:$I=$C358)), 0) "),0.0)</f>
        <v>0</v>
      </c>
      <c r="K358" s="91" t="str">
        <f>IFERROR(__xludf.DUMMYFUNCTION("IFERROR(REGEXREPLACE(unique(filter('Основной эфир'!$A:$A, 'Основной эфир'!$B:$B=$A358,'Основной эфир'!$C:$C=$B358,'Основной эфир'!$I:$I=$C358)), ""\d+"", """"),"""")"),"")</f>
        <v/>
      </c>
      <c r="L358" s="91" t="str">
        <f>IFERROR(__xludf.DUMMYFUNCTION("IFERROR(unique(filter('Основной эфир'!$F:$F, 'Основной эфир'!$B:$B=$A358,'Основной эфир'!$C:$C=$B358,'Основной эфир'!$I:$I=$C358)),"""")"),"")</f>
        <v/>
      </c>
      <c r="M358" s="92" t="str">
        <f t="shared" si="1"/>
        <v/>
      </c>
      <c r="N358" s="93">
        <f>IFERROR(__xludf.DUMMYFUNCTION("IFERROR(SWITCH(lower(join("" "",L358:M358)),""а миллионник"", 62.5,""б миллионник"", 75,""а мск"", 50, ""б мск"", 62.5, ""a остальное"", 70, ""б остальное"", 80)/100,0)"),0.0)</f>
        <v>0</v>
      </c>
      <c r="O358" s="91">
        <f t="shared" si="2"/>
        <v>0</v>
      </c>
      <c r="P358" s="91">
        <f>IFERROR(__xludf.DUMMYFUNCTION("IFERROR(sum(filter('Генеральный баннер'!$O:$O, 'Генеральный баннер'!$B:$B=$A358,'Генеральный баннер'!$C:$C=$B358,'Генеральный баннер'!$I:$I=$C358)), 0) "),0.0)</f>
        <v>0</v>
      </c>
      <c r="Q358" s="91">
        <f>IFERROR(__xludf.DUMMYFUNCTION("IFERROR(sum(filter('Генеральный баннер'!$Q:$Q, 'Генеральный баннер'!$B:$B=$A358,'Генеральный баннер'!$C:$C=$B358,'Генеральный баннер'!$I:$I=$C358)), 0) "),0.0)</f>
        <v>0</v>
      </c>
      <c r="R358" s="91">
        <f>IFERROR(__xludf.DUMMYFUNCTION("IFERROR(AVERAGE(filter('Генеральный баннер'!$AA:$AA, 'Генеральный баннер'!$B:$B=$A358,'Генеральный баннер'!$C:$C=$B358,'Генеральный баннер'!$I:$I=$C358)), 0) "),0.0)</f>
        <v>0</v>
      </c>
      <c r="S358" s="91">
        <f>IFERROR(__xludf.DUMMYFUNCTION("IFERROR(SUM(filter('Генеральный баннер'!$AH:$AH, 'Генеральный баннер'!$B:$B=$A358,'Генеральный баннер'!$C:$C=$B358,'Генеральный баннер'!$I:$I=$C358)), 0) "),0.0)</f>
        <v>0</v>
      </c>
      <c r="T358" s="91" t="str">
        <f>IFERROR(__xludf.DUMMYFUNCTION("IFERROR(REGEXREPLACE(unique(filter('Генеральный баннер'!$A:$A, 'Генеральный баннер'!$B:$B=$A358,'Генеральный баннер'!$C:$C=$B358,'Генеральный баннер'!$I:$I=$C358)), ""\d+"", """"),"""")"),"")</f>
        <v/>
      </c>
      <c r="U358" s="91" t="str">
        <f>IFERROR(__xludf.DUMMYFUNCTION("IFERROR(unique(filter('Генеральный баннер'!$F:$F, 'Генеральный баннер'!$B:$B=$A358,'Генеральный баннер'!$C:$C=$B358,'Генеральный баннер'!$I:$I=$C358)),"""")"),"")</f>
        <v/>
      </c>
      <c r="V358" s="92" t="str">
        <f t="shared" si="3"/>
        <v/>
      </c>
      <c r="W358" s="93">
        <f>IFERROR(__xludf.DUMMYFUNCTION("IFERROR(SWITCH(lower(join("" "",U358:V358)),""а миллионник"", 62.5,""б миллионник"", 75,""а мск"", 50, ""б мск"", 62.5, ""a остальное"", 70, ""б остальное"", 80)/100,0)"),0.0)</f>
        <v>0</v>
      </c>
      <c r="X358" s="91">
        <f t="shared" si="4"/>
        <v>0</v>
      </c>
    </row>
    <row r="359">
      <c r="A359" s="12"/>
      <c r="B359" s="12"/>
      <c r="C359" s="12"/>
      <c r="D359" s="91">
        <f>IFERROR(__xludf.DUMMYFUNCTION("IFERROR(sum(filter('Основной эфир'!$AA:$AA, 'Основной эфир'!$B:$B=$A359,'Основной эфир'!$C:$C=$B359,'Основной эфир'!$I:$I=$C359)), 0) "),0.0)</f>
        <v>0</v>
      </c>
      <c r="E359" s="91">
        <f>IFERROR(__xludf.DUMMYFUNCTION("IFERROR(sum(filter('Основной эфир'!$AC:$AC, 'Основной эфир'!$B:$B=$A359,'Основной эфир'!$C:$C=$B359,'Основной эфир'!$I:$I=$C359)), 0) "),0.0)</f>
        <v>0</v>
      </c>
      <c r="F359" s="91">
        <f>IFERROR(__xludf.DUMMYFUNCTION("IFERROR(sum(filter('Основной эфир'!$O:$O, 'Основной эфир'!$B:$B=$A359,'Основной эфир'!$C:$C=$B359,'Основной эфир'!$I:$I=$C359)), 0) "),0.0)</f>
        <v>0</v>
      </c>
      <c r="G359" s="91">
        <f>IFERROR(__xludf.DUMMYFUNCTION("IFERROR(sum(filter('Основной эфир'!$Q:$Q, 'Основной эфир'!$B:$B=$A359,'Основной эфир'!$C:$C=$B359,'Основной эфир'!$I:$I=$C359)), 0) "),0.0)</f>
        <v>0</v>
      </c>
      <c r="H359" s="91">
        <f>IFERROR(__xludf.DUMMYFUNCTION("IFERROR(AVERAGE(filter('Основной эфир'!$Y:$Y, 'Основной эфир'!$B:$B=$A359,'Основной эфир'!$C:$C=$B359,'Основной эфир'!$I:$I=$C359)), 0) "),0.0)</f>
        <v>0</v>
      </c>
      <c r="I359" s="91">
        <f>IFERROR(__xludf.DUMMYFUNCTION("IFERROR(AVERAGE(filter('Основной эфир'!$AE:$AE, 'Основной эфир'!$B:$B=$A359,'Основной эфир'!$C:$C=$B359,'Основной эфир'!$I:$I=$C359)), 0) "),0.0)</f>
        <v>0</v>
      </c>
      <c r="J359" s="91">
        <f>IFERROR(__xludf.DUMMYFUNCTION("IFERROR(SUM(filter('Основной эфир'!$AL:$AL, 'Основной эфир'!$B:$B=$A359,'Основной эфир'!$C:$C=$B359,'Основной эфир'!$I:$I=$C359)), 0) "),0.0)</f>
        <v>0</v>
      </c>
      <c r="K359" s="91" t="str">
        <f>IFERROR(__xludf.DUMMYFUNCTION("IFERROR(REGEXREPLACE(unique(filter('Основной эфир'!$A:$A, 'Основной эфир'!$B:$B=$A359,'Основной эфир'!$C:$C=$B359,'Основной эфир'!$I:$I=$C359)), ""\d+"", """"),"""")"),"")</f>
        <v/>
      </c>
      <c r="L359" s="91" t="str">
        <f>IFERROR(__xludf.DUMMYFUNCTION("IFERROR(unique(filter('Основной эфир'!$F:$F, 'Основной эфир'!$B:$B=$A359,'Основной эфир'!$C:$C=$B359,'Основной эфир'!$I:$I=$C359)),"""")"),"")</f>
        <v/>
      </c>
      <c r="M359" s="92" t="str">
        <f t="shared" si="1"/>
        <v/>
      </c>
      <c r="N359" s="93">
        <f>IFERROR(__xludf.DUMMYFUNCTION("IFERROR(SWITCH(lower(join("" "",L359:M359)),""а миллионник"", 62.5,""б миллионник"", 75,""а мск"", 50, ""б мск"", 62.5, ""a остальное"", 70, ""б остальное"", 80)/100,0)"),0.0)</f>
        <v>0</v>
      </c>
      <c r="O359" s="91">
        <f t="shared" si="2"/>
        <v>0</v>
      </c>
      <c r="P359" s="91">
        <f>IFERROR(__xludf.DUMMYFUNCTION("IFERROR(sum(filter('Генеральный баннер'!$O:$O, 'Генеральный баннер'!$B:$B=$A359,'Генеральный баннер'!$C:$C=$B359,'Генеральный баннер'!$I:$I=$C359)), 0) "),0.0)</f>
        <v>0</v>
      </c>
      <c r="Q359" s="91">
        <f>IFERROR(__xludf.DUMMYFUNCTION("IFERROR(sum(filter('Генеральный баннер'!$Q:$Q, 'Генеральный баннер'!$B:$B=$A359,'Генеральный баннер'!$C:$C=$B359,'Генеральный баннер'!$I:$I=$C359)), 0) "),0.0)</f>
        <v>0</v>
      </c>
      <c r="R359" s="91">
        <f>IFERROR(__xludf.DUMMYFUNCTION("IFERROR(AVERAGE(filter('Генеральный баннер'!$AA:$AA, 'Генеральный баннер'!$B:$B=$A359,'Генеральный баннер'!$C:$C=$B359,'Генеральный баннер'!$I:$I=$C359)), 0) "),0.0)</f>
        <v>0</v>
      </c>
      <c r="S359" s="91">
        <f>IFERROR(__xludf.DUMMYFUNCTION("IFERROR(SUM(filter('Генеральный баннер'!$AH:$AH, 'Генеральный баннер'!$B:$B=$A359,'Генеральный баннер'!$C:$C=$B359,'Генеральный баннер'!$I:$I=$C359)), 0) "),0.0)</f>
        <v>0</v>
      </c>
      <c r="T359" s="91" t="str">
        <f>IFERROR(__xludf.DUMMYFUNCTION("IFERROR(REGEXREPLACE(unique(filter('Генеральный баннер'!$A:$A, 'Генеральный баннер'!$B:$B=$A359,'Генеральный баннер'!$C:$C=$B359,'Генеральный баннер'!$I:$I=$C359)), ""\d+"", """"),"""")"),"")</f>
        <v/>
      </c>
      <c r="U359" s="91" t="str">
        <f>IFERROR(__xludf.DUMMYFUNCTION("IFERROR(unique(filter('Генеральный баннер'!$F:$F, 'Генеральный баннер'!$B:$B=$A359,'Генеральный баннер'!$C:$C=$B359,'Генеральный баннер'!$I:$I=$C359)),"""")"),"")</f>
        <v/>
      </c>
      <c r="V359" s="92" t="str">
        <f t="shared" si="3"/>
        <v/>
      </c>
      <c r="W359" s="93">
        <f>IFERROR(__xludf.DUMMYFUNCTION("IFERROR(SWITCH(lower(join("" "",U359:V359)),""а миллионник"", 62.5,""б миллионник"", 75,""а мск"", 50, ""б мск"", 62.5, ""a остальное"", 70, ""б остальное"", 80)/100,0)"),0.0)</f>
        <v>0</v>
      </c>
      <c r="X359" s="91">
        <f t="shared" si="4"/>
        <v>0</v>
      </c>
    </row>
    <row r="360">
      <c r="A360" s="12"/>
      <c r="B360" s="12"/>
      <c r="C360" s="12"/>
      <c r="D360" s="91">
        <f>IFERROR(__xludf.DUMMYFUNCTION("IFERROR(sum(filter('Основной эфир'!$AA:$AA, 'Основной эфир'!$B:$B=$A360,'Основной эфир'!$C:$C=$B360,'Основной эфир'!$I:$I=$C360)), 0) "),0.0)</f>
        <v>0</v>
      </c>
      <c r="E360" s="91">
        <f>IFERROR(__xludf.DUMMYFUNCTION("IFERROR(sum(filter('Основной эфир'!$AC:$AC, 'Основной эфир'!$B:$B=$A360,'Основной эфир'!$C:$C=$B360,'Основной эфир'!$I:$I=$C360)), 0) "),0.0)</f>
        <v>0</v>
      </c>
      <c r="F360" s="91">
        <f>IFERROR(__xludf.DUMMYFUNCTION("IFERROR(sum(filter('Основной эфир'!$O:$O, 'Основной эфир'!$B:$B=$A360,'Основной эфир'!$C:$C=$B360,'Основной эфир'!$I:$I=$C360)), 0) "),0.0)</f>
        <v>0</v>
      </c>
      <c r="G360" s="91">
        <f>IFERROR(__xludf.DUMMYFUNCTION("IFERROR(sum(filter('Основной эфир'!$Q:$Q, 'Основной эфир'!$B:$B=$A360,'Основной эфир'!$C:$C=$B360,'Основной эфир'!$I:$I=$C360)), 0) "),0.0)</f>
        <v>0</v>
      </c>
      <c r="H360" s="91">
        <f>IFERROR(__xludf.DUMMYFUNCTION("IFERROR(AVERAGE(filter('Основной эфир'!$Y:$Y, 'Основной эфир'!$B:$B=$A360,'Основной эфир'!$C:$C=$B360,'Основной эфир'!$I:$I=$C360)), 0) "),0.0)</f>
        <v>0</v>
      </c>
      <c r="I360" s="91">
        <f>IFERROR(__xludf.DUMMYFUNCTION("IFERROR(AVERAGE(filter('Основной эфир'!$AE:$AE, 'Основной эфир'!$B:$B=$A360,'Основной эфир'!$C:$C=$B360,'Основной эфир'!$I:$I=$C360)), 0) "),0.0)</f>
        <v>0</v>
      </c>
      <c r="J360" s="91">
        <f>IFERROR(__xludf.DUMMYFUNCTION("IFERROR(SUM(filter('Основной эфир'!$AL:$AL, 'Основной эфир'!$B:$B=$A360,'Основной эфир'!$C:$C=$B360,'Основной эфир'!$I:$I=$C360)), 0) "),0.0)</f>
        <v>0</v>
      </c>
      <c r="K360" s="91" t="str">
        <f>IFERROR(__xludf.DUMMYFUNCTION("IFERROR(REGEXREPLACE(unique(filter('Основной эфир'!$A:$A, 'Основной эфир'!$B:$B=$A360,'Основной эфир'!$C:$C=$B360,'Основной эфир'!$I:$I=$C360)), ""\d+"", """"),"""")"),"")</f>
        <v/>
      </c>
      <c r="L360" s="91" t="str">
        <f>IFERROR(__xludf.DUMMYFUNCTION("IFERROR(unique(filter('Основной эфир'!$F:$F, 'Основной эфир'!$B:$B=$A360,'Основной эфир'!$C:$C=$B360,'Основной эфир'!$I:$I=$C360)),"""")"),"")</f>
        <v/>
      </c>
      <c r="M360" s="92" t="str">
        <f t="shared" si="1"/>
        <v/>
      </c>
      <c r="N360" s="93">
        <f>IFERROR(__xludf.DUMMYFUNCTION("IFERROR(SWITCH(lower(join("" "",L360:M360)),""а миллионник"", 62.5,""б миллионник"", 75,""а мск"", 50, ""б мск"", 62.5, ""a остальное"", 70, ""б остальное"", 80)/100,0)"),0.0)</f>
        <v>0</v>
      </c>
      <c r="O360" s="91">
        <f t="shared" si="2"/>
        <v>0</v>
      </c>
      <c r="P360" s="91">
        <f>IFERROR(__xludf.DUMMYFUNCTION("IFERROR(sum(filter('Генеральный баннер'!$O:$O, 'Генеральный баннер'!$B:$B=$A360,'Генеральный баннер'!$C:$C=$B360,'Генеральный баннер'!$I:$I=$C360)), 0) "),0.0)</f>
        <v>0</v>
      </c>
      <c r="Q360" s="91">
        <f>IFERROR(__xludf.DUMMYFUNCTION("IFERROR(sum(filter('Генеральный баннер'!$Q:$Q, 'Генеральный баннер'!$B:$B=$A360,'Генеральный баннер'!$C:$C=$B360,'Генеральный баннер'!$I:$I=$C360)), 0) "),0.0)</f>
        <v>0</v>
      </c>
      <c r="R360" s="91">
        <f>IFERROR(__xludf.DUMMYFUNCTION("IFERROR(AVERAGE(filter('Генеральный баннер'!$AA:$AA, 'Генеральный баннер'!$B:$B=$A360,'Генеральный баннер'!$C:$C=$B360,'Генеральный баннер'!$I:$I=$C360)), 0) "),0.0)</f>
        <v>0</v>
      </c>
      <c r="S360" s="91">
        <f>IFERROR(__xludf.DUMMYFUNCTION("IFERROR(SUM(filter('Генеральный баннер'!$AH:$AH, 'Генеральный баннер'!$B:$B=$A360,'Генеральный баннер'!$C:$C=$B360,'Генеральный баннер'!$I:$I=$C360)), 0) "),0.0)</f>
        <v>0</v>
      </c>
      <c r="T360" s="91" t="str">
        <f>IFERROR(__xludf.DUMMYFUNCTION("IFERROR(REGEXREPLACE(unique(filter('Генеральный баннер'!$A:$A, 'Генеральный баннер'!$B:$B=$A360,'Генеральный баннер'!$C:$C=$B360,'Генеральный баннер'!$I:$I=$C360)), ""\d+"", """"),"""")"),"")</f>
        <v/>
      </c>
      <c r="U360" s="91" t="str">
        <f>IFERROR(__xludf.DUMMYFUNCTION("IFERROR(unique(filter('Генеральный баннер'!$F:$F, 'Генеральный баннер'!$B:$B=$A360,'Генеральный баннер'!$C:$C=$B360,'Генеральный баннер'!$I:$I=$C360)),"""")"),"")</f>
        <v/>
      </c>
      <c r="V360" s="92" t="str">
        <f t="shared" si="3"/>
        <v/>
      </c>
      <c r="W360" s="93">
        <f>IFERROR(__xludf.DUMMYFUNCTION("IFERROR(SWITCH(lower(join("" "",U360:V360)),""а миллионник"", 62.5,""б миллионник"", 75,""а мск"", 50, ""б мск"", 62.5, ""a остальное"", 70, ""б остальное"", 80)/100,0)"),0.0)</f>
        <v>0</v>
      </c>
      <c r="X360" s="91">
        <f t="shared" si="4"/>
        <v>0</v>
      </c>
    </row>
    <row r="361">
      <c r="A361" s="12"/>
      <c r="B361" s="12"/>
      <c r="C361" s="12"/>
      <c r="D361" s="91">
        <f>IFERROR(__xludf.DUMMYFUNCTION("IFERROR(sum(filter('Основной эфир'!$AA:$AA, 'Основной эфир'!$B:$B=$A361,'Основной эфир'!$C:$C=$B361,'Основной эфир'!$I:$I=$C361)), 0) "),0.0)</f>
        <v>0</v>
      </c>
      <c r="E361" s="91">
        <f>IFERROR(__xludf.DUMMYFUNCTION("IFERROR(sum(filter('Основной эфир'!$AC:$AC, 'Основной эфир'!$B:$B=$A361,'Основной эфир'!$C:$C=$B361,'Основной эфир'!$I:$I=$C361)), 0) "),0.0)</f>
        <v>0</v>
      </c>
      <c r="F361" s="91">
        <f>IFERROR(__xludf.DUMMYFUNCTION("IFERROR(sum(filter('Основной эфир'!$O:$O, 'Основной эфир'!$B:$B=$A361,'Основной эфир'!$C:$C=$B361,'Основной эфир'!$I:$I=$C361)), 0) "),0.0)</f>
        <v>0</v>
      </c>
      <c r="G361" s="91">
        <f>IFERROR(__xludf.DUMMYFUNCTION("IFERROR(sum(filter('Основной эфир'!$Q:$Q, 'Основной эфир'!$B:$B=$A361,'Основной эфир'!$C:$C=$B361,'Основной эфир'!$I:$I=$C361)), 0) "),0.0)</f>
        <v>0</v>
      </c>
      <c r="H361" s="91">
        <f>IFERROR(__xludf.DUMMYFUNCTION("IFERROR(AVERAGE(filter('Основной эфир'!$Y:$Y, 'Основной эфир'!$B:$B=$A361,'Основной эфир'!$C:$C=$B361,'Основной эфир'!$I:$I=$C361)), 0) "),0.0)</f>
        <v>0</v>
      </c>
      <c r="I361" s="91">
        <f>IFERROR(__xludf.DUMMYFUNCTION("IFERROR(AVERAGE(filter('Основной эфир'!$AE:$AE, 'Основной эфир'!$B:$B=$A361,'Основной эфир'!$C:$C=$B361,'Основной эфир'!$I:$I=$C361)), 0) "),0.0)</f>
        <v>0</v>
      </c>
      <c r="J361" s="91">
        <f>IFERROR(__xludf.DUMMYFUNCTION("IFERROR(SUM(filter('Основной эфир'!$AL:$AL, 'Основной эфир'!$B:$B=$A361,'Основной эфир'!$C:$C=$B361,'Основной эфир'!$I:$I=$C361)), 0) "),0.0)</f>
        <v>0</v>
      </c>
      <c r="K361" s="91" t="str">
        <f>IFERROR(__xludf.DUMMYFUNCTION("IFERROR(REGEXREPLACE(unique(filter('Основной эфир'!$A:$A, 'Основной эфир'!$B:$B=$A361,'Основной эфир'!$C:$C=$B361,'Основной эфир'!$I:$I=$C361)), ""\d+"", """"),"""")"),"")</f>
        <v/>
      </c>
      <c r="L361" s="91" t="str">
        <f>IFERROR(__xludf.DUMMYFUNCTION("IFERROR(unique(filter('Основной эфир'!$F:$F, 'Основной эфир'!$B:$B=$A361,'Основной эфир'!$C:$C=$B361,'Основной эфир'!$I:$I=$C361)),"""")"),"")</f>
        <v/>
      </c>
      <c r="M361" s="92" t="str">
        <f t="shared" si="1"/>
        <v/>
      </c>
      <c r="N361" s="93">
        <f>IFERROR(__xludf.DUMMYFUNCTION("IFERROR(SWITCH(lower(join("" "",L361:M361)),""а миллионник"", 62.5,""б миллионник"", 75,""а мск"", 50, ""б мск"", 62.5, ""a остальное"", 70, ""б остальное"", 80)/100,0)"),0.0)</f>
        <v>0</v>
      </c>
      <c r="O361" s="91">
        <f t="shared" si="2"/>
        <v>0</v>
      </c>
      <c r="P361" s="91">
        <f>IFERROR(__xludf.DUMMYFUNCTION("IFERROR(sum(filter('Генеральный баннер'!$O:$O, 'Генеральный баннер'!$B:$B=$A361,'Генеральный баннер'!$C:$C=$B361,'Генеральный баннер'!$I:$I=$C361)), 0) "),0.0)</f>
        <v>0</v>
      </c>
      <c r="Q361" s="91">
        <f>IFERROR(__xludf.DUMMYFUNCTION("IFERROR(sum(filter('Генеральный баннер'!$Q:$Q, 'Генеральный баннер'!$B:$B=$A361,'Генеральный баннер'!$C:$C=$B361,'Генеральный баннер'!$I:$I=$C361)), 0) "),0.0)</f>
        <v>0</v>
      </c>
      <c r="R361" s="91">
        <f>IFERROR(__xludf.DUMMYFUNCTION("IFERROR(AVERAGE(filter('Генеральный баннер'!$AA:$AA, 'Генеральный баннер'!$B:$B=$A361,'Генеральный баннер'!$C:$C=$B361,'Генеральный баннер'!$I:$I=$C361)), 0) "),0.0)</f>
        <v>0</v>
      </c>
      <c r="S361" s="91">
        <f>IFERROR(__xludf.DUMMYFUNCTION("IFERROR(SUM(filter('Генеральный баннер'!$AH:$AH, 'Генеральный баннер'!$B:$B=$A361,'Генеральный баннер'!$C:$C=$B361,'Генеральный баннер'!$I:$I=$C361)), 0) "),0.0)</f>
        <v>0</v>
      </c>
      <c r="T361" s="91" t="str">
        <f>IFERROR(__xludf.DUMMYFUNCTION("IFERROR(REGEXREPLACE(unique(filter('Генеральный баннер'!$A:$A, 'Генеральный баннер'!$B:$B=$A361,'Генеральный баннер'!$C:$C=$B361,'Генеральный баннер'!$I:$I=$C361)), ""\d+"", """"),"""")"),"")</f>
        <v/>
      </c>
      <c r="U361" s="91" t="str">
        <f>IFERROR(__xludf.DUMMYFUNCTION("IFERROR(unique(filter('Генеральный баннер'!$F:$F, 'Генеральный баннер'!$B:$B=$A361,'Генеральный баннер'!$C:$C=$B361,'Генеральный баннер'!$I:$I=$C361)),"""")"),"")</f>
        <v/>
      </c>
      <c r="V361" s="92" t="str">
        <f t="shared" si="3"/>
        <v/>
      </c>
      <c r="W361" s="93">
        <f>IFERROR(__xludf.DUMMYFUNCTION("IFERROR(SWITCH(lower(join("" "",U361:V361)),""а миллионник"", 62.5,""б миллионник"", 75,""а мск"", 50, ""б мск"", 62.5, ""a остальное"", 70, ""б остальное"", 80)/100,0)"),0.0)</f>
        <v>0</v>
      </c>
      <c r="X361" s="91">
        <f t="shared" si="4"/>
        <v>0</v>
      </c>
    </row>
    <row r="362">
      <c r="A362" s="12"/>
      <c r="B362" s="12"/>
      <c r="C362" s="12"/>
      <c r="D362" s="91">
        <f>IFERROR(__xludf.DUMMYFUNCTION("IFERROR(sum(filter('Основной эфир'!$AA:$AA, 'Основной эфир'!$B:$B=$A362,'Основной эфир'!$C:$C=$B362,'Основной эфир'!$I:$I=$C362)), 0) "),0.0)</f>
        <v>0</v>
      </c>
      <c r="E362" s="91">
        <f>IFERROR(__xludf.DUMMYFUNCTION("IFERROR(sum(filter('Основной эфир'!$AC:$AC, 'Основной эфир'!$B:$B=$A362,'Основной эфир'!$C:$C=$B362,'Основной эфир'!$I:$I=$C362)), 0) "),0.0)</f>
        <v>0</v>
      </c>
      <c r="F362" s="91">
        <f>IFERROR(__xludf.DUMMYFUNCTION("IFERROR(sum(filter('Основной эфир'!$O:$O, 'Основной эфир'!$B:$B=$A362,'Основной эфир'!$C:$C=$B362,'Основной эфир'!$I:$I=$C362)), 0) "),0.0)</f>
        <v>0</v>
      </c>
      <c r="G362" s="91">
        <f>IFERROR(__xludf.DUMMYFUNCTION("IFERROR(sum(filter('Основной эфир'!$Q:$Q, 'Основной эфир'!$B:$B=$A362,'Основной эфир'!$C:$C=$B362,'Основной эфир'!$I:$I=$C362)), 0) "),0.0)</f>
        <v>0</v>
      </c>
      <c r="H362" s="91">
        <f>IFERROR(__xludf.DUMMYFUNCTION("IFERROR(AVERAGE(filter('Основной эфир'!$Y:$Y, 'Основной эфир'!$B:$B=$A362,'Основной эфир'!$C:$C=$B362,'Основной эфир'!$I:$I=$C362)), 0) "),0.0)</f>
        <v>0</v>
      </c>
      <c r="I362" s="91">
        <f>IFERROR(__xludf.DUMMYFUNCTION("IFERROR(AVERAGE(filter('Основной эфир'!$AE:$AE, 'Основной эфир'!$B:$B=$A362,'Основной эфир'!$C:$C=$B362,'Основной эфир'!$I:$I=$C362)), 0) "),0.0)</f>
        <v>0</v>
      </c>
      <c r="J362" s="91">
        <f>IFERROR(__xludf.DUMMYFUNCTION("IFERROR(SUM(filter('Основной эфир'!$AL:$AL, 'Основной эфир'!$B:$B=$A362,'Основной эфир'!$C:$C=$B362,'Основной эфир'!$I:$I=$C362)), 0) "),0.0)</f>
        <v>0</v>
      </c>
      <c r="K362" s="91" t="str">
        <f>IFERROR(__xludf.DUMMYFUNCTION("IFERROR(REGEXREPLACE(unique(filter('Основной эфир'!$A:$A, 'Основной эфир'!$B:$B=$A362,'Основной эфир'!$C:$C=$B362,'Основной эфир'!$I:$I=$C362)), ""\d+"", """"),"""")"),"")</f>
        <v/>
      </c>
      <c r="L362" s="91" t="str">
        <f>IFERROR(__xludf.DUMMYFUNCTION("IFERROR(unique(filter('Основной эфир'!$F:$F, 'Основной эфир'!$B:$B=$A362,'Основной эфир'!$C:$C=$B362,'Основной эфир'!$I:$I=$C362)),"""")"),"")</f>
        <v/>
      </c>
      <c r="M362" s="92" t="str">
        <f t="shared" si="1"/>
        <v/>
      </c>
      <c r="N362" s="93">
        <f>IFERROR(__xludf.DUMMYFUNCTION("IFERROR(SWITCH(lower(join("" "",L362:M362)),""а миллионник"", 62.5,""б миллионник"", 75,""а мск"", 50, ""б мск"", 62.5, ""a остальное"", 70, ""б остальное"", 80)/100,0)"),0.0)</f>
        <v>0</v>
      </c>
      <c r="O362" s="91">
        <f t="shared" si="2"/>
        <v>0</v>
      </c>
      <c r="P362" s="91">
        <f>IFERROR(__xludf.DUMMYFUNCTION("IFERROR(sum(filter('Генеральный баннер'!$O:$O, 'Генеральный баннер'!$B:$B=$A362,'Генеральный баннер'!$C:$C=$B362,'Генеральный баннер'!$I:$I=$C362)), 0) "),0.0)</f>
        <v>0</v>
      </c>
      <c r="Q362" s="91">
        <f>IFERROR(__xludf.DUMMYFUNCTION("IFERROR(sum(filter('Генеральный баннер'!$Q:$Q, 'Генеральный баннер'!$B:$B=$A362,'Генеральный баннер'!$C:$C=$B362,'Генеральный баннер'!$I:$I=$C362)), 0) "),0.0)</f>
        <v>0</v>
      </c>
      <c r="R362" s="91">
        <f>IFERROR(__xludf.DUMMYFUNCTION("IFERROR(AVERAGE(filter('Генеральный баннер'!$AA:$AA, 'Генеральный баннер'!$B:$B=$A362,'Генеральный баннер'!$C:$C=$B362,'Генеральный баннер'!$I:$I=$C362)), 0) "),0.0)</f>
        <v>0</v>
      </c>
      <c r="S362" s="91">
        <f>IFERROR(__xludf.DUMMYFUNCTION("IFERROR(SUM(filter('Генеральный баннер'!$AH:$AH, 'Генеральный баннер'!$B:$B=$A362,'Генеральный баннер'!$C:$C=$B362,'Генеральный баннер'!$I:$I=$C362)), 0) "),0.0)</f>
        <v>0</v>
      </c>
      <c r="T362" s="91" t="str">
        <f>IFERROR(__xludf.DUMMYFUNCTION("IFERROR(REGEXREPLACE(unique(filter('Генеральный баннер'!$A:$A, 'Генеральный баннер'!$B:$B=$A362,'Генеральный баннер'!$C:$C=$B362,'Генеральный баннер'!$I:$I=$C362)), ""\d+"", """"),"""")"),"")</f>
        <v/>
      </c>
      <c r="U362" s="91" t="str">
        <f>IFERROR(__xludf.DUMMYFUNCTION("IFERROR(unique(filter('Генеральный баннер'!$F:$F, 'Генеральный баннер'!$B:$B=$A362,'Генеральный баннер'!$C:$C=$B362,'Генеральный баннер'!$I:$I=$C362)),"""")"),"")</f>
        <v/>
      </c>
      <c r="V362" s="92" t="str">
        <f t="shared" si="3"/>
        <v/>
      </c>
      <c r="W362" s="93">
        <f>IFERROR(__xludf.DUMMYFUNCTION("IFERROR(SWITCH(lower(join("" "",U362:V362)),""а миллионник"", 62.5,""б миллионник"", 75,""а мск"", 50, ""б мск"", 62.5, ""a остальное"", 70, ""б остальное"", 80)/100,0)"),0.0)</f>
        <v>0</v>
      </c>
      <c r="X362" s="91">
        <f t="shared" si="4"/>
        <v>0</v>
      </c>
    </row>
    <row r="363">
      <c r="A363" s="12"/>
      <c r="B363" s="12"/>
      <c r="C363" s="12"/>
      <c r="D363" s="91">
        <f>IFERROR(__xludf.DUMMYFUNCTION("IFERROR(sum(filter('Основной эфир'!$AA:$AA, 'Основной эфир'!$B:$B=$A363,'Основной эфир'!$C:$C=$B363,'Основной эфир'!$I:$I=$C363)), 0) "),0.0)</f>
        <v>0</v>
      </c>
      <c r="E363" s="91">
        <f>IFERROR(__xludf.DUMMYFUNCTION("IFERROR(sum(filter('Основной эфир'!$AC:$AC, 'Основной эфир'!$B:$B=$A363,'Основной эфир'!$C:$C=$B363,'Основной эфир'!$I:$I=$C363)), 0) "),0.0)</f>
        <v>0</v>
      </c>
      <c r="F363" s="91">
        <f>IFERROR(__xludf.DUMMYFUNCTION("IFERROR(sum(filter('Основной эфир'!$O:$O, 'Основной эфир'!$B:$B=$A363,'Основной эфир'!$C:$C=$B363,'Основной эфир'!$I:$I=$C363)), 0) "),0.0)</f>
        <v>0</v>
      </c>
      <c r="G363" s="91">
        <f>IFERROR(__xludf.DUMMYFUNCTION("IFERROR(sum(filter('Основной эфир'!$Q:$Q, 'Основной эфир'!$B:$B=$A363,'Основной эфир'!$C:$C=$B363,'Основной эфир'!$I:$I=$C363)), 0) "),0.0)</f>
        <v>0</v>
      </c>
      <c r="H363" s="91">
        <f>IFERROR(__xludf.DUMMYFUNCTION("IFERROR(AVERAGE(filter('Основной эфир'!$Y:$Y, 'Основной эфир'!$B:$B=$A363,'Основной эфир'!$C:$C=$B363,'Основной эфир'!$I:$I=$C363)), 0) "),0.0)</f>
        <v>0</v>
      </c>
      <c r="I363" s="91">
        <f>IFERROR(__xludf.DUMMYFUNCTION("IFERROR(AVERAGE(filter('Основной эфир'!$AE:$AE, 'Основной эфир'!$B:$B=$A363,'Основной эфир'!$C:$C=$B363,'Основной эфир'!$I:$I=$C363)), 0) "),0.0)</f>
        <v>0</v>
      </c>
      <c r="J363" s="91">
        <f>IFERROR(__xludf.DUMMYFUNCTION("IFERROR(SUM(filter('Основной эфир'!$AL:$AL, 'Основной эфир'!$B:$B=$A363,'Основной эфир'!$C:$C=$B363,'Основной эфир'!$I:$I=$C363)), 0) "),0.0)</f>
        <v>0</v>
      </c>
      <c r="K363" s="91" t="str">
        <f>IFERROR(__xludf.DUMMYFUNCTION("IFERROR(REGEXREPLACE(unique(filter('Основной эфир'!$A:$A, 'Основной эфир'!$B:$B=$A363,'Основной эфир'!$C:$C=$B363,'Основной эфир'!$I:$I=$C363)), ""\d+"", """"),"""")"),"")</f>
        <v/>
      </c>
      <c r="L363" s="91" t="str">
        <f>IFERROR(__xludf.DUMMYFUNCTION("IFERROR(unique(filter('Основной эфир'!$F:$F, 'Основной эфир'!$B:$B=$A363,'Основной эфир'!$C:$C=$B363,'Основной эфир'!$I:$I=$C363)),"""")"),"")</f>
        <v/>
      </c>
      <c r="M363" s="92" t="str">
        <f t="shared" si="1"/>
        <v/>
      </c>
      <c r="N363" s="93">
        <f>IFERROR(__xludf.DUMMYFUNCTION("IFERROR(SWITCH(lower(join("" "",L363:M363)),""а миллионник"", 62.5,""б миллионник"", 75,""а мск"", 50, ""б мск"", 62.5, ""a остальное"", 70, ""б остальное"", 80)/100,0)"),0.0)</f>
        <v>0</v>
      </c>
      <c r="O363" s="91">
        <f t="shared" si="2"/>
        <v>0</v>
      </c>
      <c r="P363" s="91">
        <f>IFERROR(__xludf.DUMMYFUNCTION("IFERROR(sum(filter('Генеральный баннер'!$O:$O, 'Генеральный баннер'!$B:$B=$A363,'Генеральный баннер'!$C:$C=$B363,'Генеральный баннер'!$I:$I=$C363)), 0) "),0.0)</f>
        <v>0</v>
      </c>
      <c r="Q363" s="91">
        <f>IFERROR(__xludf.DUMMYFUNCTION("IFERROR(sum(filter('Генеральный баннер'!$Q:$Q, 'Генеральный баннер'!$B:$B=$A363,'Генеральный баннер'!$C:$C=$B363,'Генеральный баннер'!$I:$I=$C363)), 0) "),0.0)</f>
        <v>0</v>
      </c>
      <c r="R363" s="91">
        <f>IFERROR(__xludf.DUMMYFUNCTION("IFERROR(AVERAGE(filter('Генеральный баннер'!$AA:$AA, 'Генеральный баннер'!$B:$B=$A363,'Генеральный баннер'!$C:$C=$B363,'Генеральный баннер'!$I:$I=$C363)), 0) "),0.0)</f>
        <v>0</v>
      </c>
      <c r="S363" s="91">
        <f>IFERROR(__xludf.DUMMYFUNCTION("IFERROR(SUM(filter('Генеральный баннер'!$AH:$AH, 'Генеральный баннер'!$B:$B=$A363,'Генеральный баннер'!$C:$C=$B363,'Генеральный баннер'!$I:$I=$C363)), 0) "),0.0)</f>
        <v>0</v>
      </c>
      <c r="T363" s="91" t="str">
        <f>IFERROR(__xludf.DUMMYFUNCTION("IFERROR(REGEXREPLACE(unique(filter('Генеральный баннер'!$A:$A, 'Генеральный баннер'!$B:$B=$A363,'Генеральный баннер'!$C:$C=$B363,'Генеральный баннер'!$I:$I=$C363)), ""\d+"", """"),"""")"),"")</f>
        <v/>
      </c>
      <c r="U363" s="91" t="str">
        <f>IFERROR(__xludf.DUMMYFUNCTION("IFERROR(unique(filter('Генеральный баннер'!$F:$F, 'Генеральный баннер'!$B:$B=$A363,'Генеральный баннер'!$C:$C=$B363,'Генеральный баннер'!$I:$I=$C363)),"""")"),"")</f>
        <v/>
      </c>
      <c r="V363" s="92" t="str">
        <f t="shared" si="3"/>
        <v/>
      </c>
      <c r="W363" s="93">
        <f>IFERROR(__xludf.DUMMYFUNCTION("IFERROR(SWITCH(lower(join("" "",U363:V363)),""а миллионник"", 62.5,""б миллионник"", 75,""а мск"", 50, ""б мск"", 62.5, ""a остальное"", 70, ""б остальное"", 80)/100,0)"),0.0)</f>
        <v>0</v>
      </c>
      <c r="X363" s="91">
        <f t="shared" si="4"/>
        <v>0</v>
      </c>
    </row>
    <row r="364">
      <c r="A364" s="12"/>
      <c r="B364" s="12"/>
      <c r="C364" s="12"/>
      <c r="D364" s="91">
        <f>IFERROR(__xludf.DUMMYFUNCTION("IFERROR(sum(filter('Основной эфир'!$AA:$AA, 'Основной эфир'!$B:$B=$A364,'Основной эфир'!$C:$C=$B364,'Основной эфир'!$I:$I=$C364)), 0) "),0.0)</f>
        <v>0</v>
      </c>
      <c r="E364" s="91">
        <f>IFERROR(__xludf.DUMMYFUNCTION("IFERROR(sum(filter('Основной эфир'!$AC:$AC, 'Основной эфир'!$B:$B=$A364,'Основной эфир'!$C:$C=$B364,'Основной эфир'!$I:$I=$C364)), 0) "),0.0)</f>
        <v>0</v>
      </c>
      <c r="F364" s="91">
        <f>IFERROR(__xludf.DUMMYFUNCTION("IFERROR(sum(filter('Основной эфир'!$O:$O, 'Основной эфир'!$B:$B=$A364,'Основной эфир'!$C:$C=$B364,'Основной эфир'!$I:$I=$C364)), 0) "),0.0)</f>
        <v>0</v>
      </c>
      <c r="G364" s="91">
        <f>IFERROR(__xludf.DUMMYFUNCTION("IFERROR(sum(filter('Основной эфир'!$Q:$Q, 'Основной эфир'!$B:$B=$A364,'Основной эфир'!$C:$C=$B364,'Основной эфир'!$I:$I=$C364)), 0) "),0.0)</f>
        <v>0</v>
      </c>
      <c r="H364" s="91">
        <f>IFERROR(__xludf.DUMMYFUNCTION("IFERROR(AVERAGE(filter('Основной эфир'!$Y:$Y, 'Основной эфир'!$B:$B=$A364,'Основной эфир'!$C:$C=$B364,'Основной эфир'!$I:$I=$C364)), 0) "),0.0)</f>
        <v>0</v>
      </c>
      <c r="I364" s="91">
        <f>IFERROR(__xludf.DUMMYFUNCTION("IFERROR(AVERAGE(filter('Основной эфир'!$AE:$AE, 'Основной эфир'!$B:$B=$A364,'Основной эфир'!$C:$C=$B364,'Основной эфир'!$I:$I=$C364)), 0) "),0.0)</f>
        <v>0</v>
      </c>
      <c r="J364" s="91">
        <f>IFERROR(__xludf.DUMMYFUNCTION("IFERROR(SUM(filter('Основной эфир'!$AL:$AL, 'Основной эфир'!$B:$B=$A364,'Основной эфир'!$C:$C=$B364,'Основной эфир'!$I:$I=$C364)), 0) "),0.0)</f>
        <v>0</v>
      </c>
      <c r="K364" s="91" t="str">
        <f>IFERROR(__xludf.DUMMYFUNCTION("IFERROR(REGEXREPLACE(unique(filter('Основной эфир'!$A:$A, 'Основной эфир'!$B:$B=$A364,'Основной эфир'!$C:$C=$B364,'Основной эфир'!$I:$I=$C364)), ""\d+"", """"),"""")"),"")</f>
        <v/>
      </c>
      <c r="L364" s="91" t="str">
        <f>IFERROR(__xludf.DUMMYFUNCTION("IFERROR(unique(filter('Основной эфир'!$F:$F, 'Основной эфир'!$B:$B=$A364,'Основной эфир'!$C:$C=$B364,'Основной эфир'!$I:$I=$C364)),"""")"),"")</f>
        <v/>
      </c>
      <c r="M364" s="92" t="str">
        <f t="shared" si="1"/>
        <v/>
      </c>
      <c r="N364" s="93">
        <f>IFERROR(__xludf.DUMMYFUNCTION("IFERROR(SWITCH(lower(join("" "",L364:M364)),""а миллионник"", 62.5,""б миллионник"", 75,""а мск"", 50, ""б мск"", 62.5, ""a остальное"", 70, ""б остальное"", 80)/100,0)"),0.0)</f>
        <v>0</v>
      </c>
      <c r="O364" s="91">
        <f t="shared" si="2"/>
        <v>0</v>
      </c>
      <c r="P364" s="91">
        <f>IFERROR(__xludf.DUMMYFUNCTION("IFERROR(sum(filter('Генеральный баннер'!$O:$O, 'Генеральный баннер'!$B:$B=$A364,'Генеральный баннер'!$C:$C=$B364,'Генеральный баннер'!$I:$I=$C364)), 0) "),0.0)</f>
        <v>0</v>
      </c>
      <c r="Q364" s="91">
        <f>IFERROR(__xludf.DUMMYFUNCTION("IFERROR(sum(filter('Генеральный баннер'!$Q:$Q, 'Генеральный баннер'!$B:$B=$A364,'Генеральный баннер'!$C:$C=$B364,'Генеральный баннер'!$I:$I=$C364)), 0) "),0.0)</f>
        <v>0</v>
      </c>
      <c r="R364" s="91">
        <f>IFERROR(__xludf.DUMMYFUNCTION("IFERROR(AVERAGE(filter('Генеральный баннер'!$AA:$AA, 'Генеральный баннер'!$B:$B=$A364,'Генеральный баннер'!$C:$C=$B364,'Генеральный баннер'!$I:$I=$C364)), 0) "),0.0)</f>
        <v>0</v>
      </c>
      <c r="S364" s="91">
        <f>IFERROR(__xludf.DUMMYFUNCTION("IFERROR(SUM(filter('Генеральный баннер'!$AH:$AH, 'Генеральный баннер'!$B:$B=$A364,'Генеральный баннер'!$C:$C=$B364,'Генеральный баннер'!$I:$I=$C364)), 0) "),0.0)</f>
        <v>0</v>
      </c>
      <c r="T364" s="91" t="str">
        <f>IFERROR(__xludf.DUMMYFUNCTION("IFERROR(REGEXREPLACE(unique(filter('Генеральный баннер'!$A:$A, 'Генеральный баннер'!$B:$B=$A364,'Генеральный баннер'!$C:$C=$B364,'Генеральный баннер'!$I:$I=$C364)), ""\d+"", """"),"""")"),"")</f>
        <v/>
      </c>
      <c r="U364" s="91" t="str">
        <f>IFERROR(__xludf.DUMMYFUNCTION("IFERROR(unique(filter('Генеральный баннер'!$F:$F, 'Генеральный баннер'!$B:$B=$A364,'Генеральный баннер'!$C:$C=$B364,'Генеральный баннер'!$I:$I=$C364)),"""")"),"")</f>
        <v/>
      </c>
      <c r="V364" s="92" t="str">
        <f t="shared" si="3"/>
        <v/>
      </c>
      <c r="W364" s="93">
        <f>IFERROR(__xludf.DUMMYFUNCTION("IFERROR(SWITCH(lower(join("" "",U364:V364)),""а миллионник"", 62.5,""б миллионник"", 75,""а мск"", 50, ""б мск"", 62.5, ""a остальное"", 70, ""б остальное"", 80)/100,0)"),0.0)</f>
        <v>0</v>
      </c>
      <c r="X364" s="91">
        <f t="shared" si="4"/>
        <v>0</v>
      </c>
    </row>
    <row r="365">
      <c r="A365" s="12"/>
      <c r="B365" s="12"/>
      <c r="C365" s="12"/>
      <c r="D365" s="91">
        <f>IFERROR(__xludf.DUMMYFUNCTION("IFERROR(sum(filter('Основной эфир'!$AA:$AA, 'Основной эфир'!$B:$B=$A365,'Основной эфир'!$C:$C=$B365,'Основной эфир'!$I:$I=$C365)), 0) "),0.0)</f>
        <v>0</v>
      </c>
      <c r="E365" s="91">
        <f>IFERROR(__xludf.DUMMYFUNCTION("IFERROR(sum(filter('Основной эфир'!$AC:$AC, 'Основной эфир'!$B:$B=$A365,'Основной эфир'!$C:$C=$B365,'Основной эфир'!$I:$I=$C365)), 0) "),0.0)</f>
        <v>0</v>
      </c>
      <c r="F365" s="91">
        <f>IFERROR(__xludf.DUMMYFUNCTION("IFERROR(sum(filter('Основной эфир'!$O:$O, 'Основной эфир'!$B:$B=$A365,'Основной эфир'!$C:$C=$B365,'Основной эфир'!$I:$I=$C365)), 0) "),0.0)</f>
        <v>0</v>
      </c>
      <c r="G365" s="91">
        <f>IFERROR(__xludf.DUMMYFUNCTION("IFERROR(sum(filter('Основной эфир'!$Q:$Q, 'Основной эфир'!$B:$B=$A365,'Основной эфир'!$C:$C=$B365,'Основной эфир'!$I:$I=$C365)), 0) "),0.0)</f>
        <v>0</v>
      </c>
      <c r="H365" s="91">
        <f>IFERROR(__xludf.DUMMYFUNCTION("IFERROR(AVERAGE(filter('Основной эфир'!$Y:$Y, 'Основной эфир'!$B:$B=$A365,'Основной эфир'!$C:$C=$B365,'Основной эфир'!$I:$I=$C365)), 0) "),0.0)</f>
        <v>0</v>
      </c>
      <c r="I365" s="91">
        <f>IFERROR(__xludf.DUMMYFUNCTION("IFERROR(AVERAGE(filter('Основной эфир'!$AE:$AE, 'Основной эфир'!$B:$B=$A365,'Основной эфир'!$C:$C=$B365,'Основной эфир'!$I:$I=$C365)), 0) "),0.0)</f>
        <v>0</v>
      </c>
      <c r="J365" s="91">
        <f>IFERROR(__xludf.DUMMYFUNCTION("IFERROR(SUM(filter('Основной эфир'!$AL:$AL, 'Основной эфир'!$B:$B=$A365,'Основной эфир'!$C:$C=$B365,'Основной эфир'!$I:$I=$C365)), 0) "),0.0)</f>
        <v>0</v>
      </c>
      <c r="K365" s="91" t="str">
        <f>IFERROR(__xludf.DUMMYFUNCTION("IFERROR(REGEXREPLACE(unique(filter('Основной эфир'!$A:$A, 'Основной эфир'!$B:$B=$A365,'Основной эфир'!$C:$C=$B365,'Основной эфир'!$I:$I=$C365)), ""\d+"", """"),"""")"),"")</f>
        <v/>
      </c>
      <c r="L365" s="91" t="str">
        <f>IFERROR(__xludf.DUMMYFUNCTION("IFERROR(unique(filter('Основной эфир'!$F:$F, 'Основной эфир'!$B:$B=$A365,'Основной эфир'!$C:$C=$B365,'Основной эфир'!$I:$I=$C365)),"""")"),"")</f>
        <v/>
      </c>
      <c r="M365" s="92" t="str">
        <f t="shared" si="1"/>
        <v/>
      </c>
      <c r="N365" s="93">
        <f>IFERROR(__xludf.DUMMYFUNCTION("IFERROR(SWITCH(lower(join("" "",L365:M365)),""а миллионник"", 62.5,""б миллионник"", 75,""а мск"", 50, ""б мск"", 62.5, ""a остальное"", 70, ""б остальное"", 80)/100,0)"),0.0)</f>
        <v>0</v>
      </c>
      <c r="O365" s="91">
        <f t="shared" si="2"/>
        <v>0</v>
      </c>
      <c r="P365" s="91">
        <f>IFERROR(__xludf.DUMMYFUNCTION("IFERROR(sum(filter('Генеральный баннер'!$O:$O, 'Генеральный баннер'!$B:$B=$A365,'Генеральный баннер'!$C:$C=$B365,'Генеральный баннер'!$I:$I=$C365)), 0) "),0.0)</f>
        <v>0</v>
      </c>
      <c r="Q365" s="91">
        <f>IFERROR(__xludf.DUMMYFUNCTION("IFERROR(sum(filter('Генеральный баннер'!$Q:$Q, 'Генеральный баннер'!$B:$B=$A365,'Генеральный баннер'!$C:$C=$B365,'Генеральный баннер'!$I:$I=$C365)), 0) "),0.0)</f>
        <v>0</v>
      </c>
      <c r="R365" s="91">
        <f>IFERROR(__xludf.DUMMYFUNCTION("IFERROR(AVERAGE(filter('Генеральный баннер'!$AA:$AA, 'Генеральный баннер'!$B:$B=$A365,'Генеральный баннер'!$C:$C=$B365,'Генеральный баннер'!$I:$I=$C365)), 0) "),0.0)</f>
        <v>0</v>
      </c>
      <c r="S365" s="91">
        <f>IFERROR(__xludf.DUMMYFUNCTION("IFERROR(SUM(filter('Генеральный баннер'!$AH:$AH, 'Генеральный баннер'!$B:$B=$A365,'Генеральный баннер'!$C:$C=$B365,'Генеральный баннер'!$I:$I=$C365)), 0) "),0.0)</f>
        <v>0</v>
      </c>
      <c r="T365" s="91" t="str">
        <f>IFERROR(__xludf.DUMMYFUNCTION("IFERROR(REGEXREPLACE(unique(filter('Генеральный баннер'!$A:$A, 'Генеральный баннер'!$B:$B=$A365,'Генеральный баннер'!$C:$C=$B365,'Генеральный баннер'!$I:$I=$C365)), ""\d+"", """"),"""")"),"")</f>
        <v/>
      </c>
      <c r="U365" s="91" t="str">
        <f>IFERROR(__xludf.DUMMYFUNCTION("IFERROR(unique(filter('Генеральный баннер'!$F:$F, 'Генеральный баннер'!$B:$B=$A365,'Генеральный баннер'!$C:$C=$B365,'Генеральный баннер'!$I:$I=$C365)),"""")"),"")</f>
        <v/>
      </c>
      <c r="V365" s="92" t="str">
        <f t="shared" si="3"/>
        <v/>
      </c>
      <c r="W365" s="93">
        <f>IFERROR(__xludf.DUMMYFUNCTION("IFERROR(SWITCH(lower(join("" "",U365:V365)),""а миллионник"", 62.5,""б миллионник"", 75,""а мск"", 50, ""б мск"", 62.5, ""a остальное"", 70, ""б остальное"", 80)/100,0)"),0.0)</f>
        <v>0</v>
      </c>
      <c r="X365" s="91">
        <f t="shared" si="4"/>
        <v>0</v>
      </c>
    </row>
    <row r="366">
      <c r="A366" s="12"/>
      <c r="B366" s="12"/>
      <c r="C366" s="12"/>
      <c r="D366" s="91">
        <f>IFERROR(__xludf.DUMMYFUNCTION("IFERROR(sum(filter('Основной эфир'!$AA:$AA, 'Основной эфир'!$B:$B=$A366,'Основной эфир'!$C:$C=$B366,'Основной эфир'!$I:$I=$C366)), 0) "),0.0)</f>
        <v>0</v>
      </c>
      <c r="E366" s="91">
        <f>IFERROR(__xludf.DUMMYFUNCTION("IFERROR(sum(filter('Основной эфир'!$AC:$AC, 'Основной эфир'!$B:$B=$A366,'Основной эфир'!$C:$C=$B366,'Основной эфир'!$I:$I=$C366)), 0) "),0.0)</f>
        <v>0</v>
      </c>
      <c r="F366" s="91">
        <f>IFERROR(__xludf.DUMMYFUNCTION("IFERROR(sum(filter('Основной эфир'!$O:$O, 'Основной эфир'!$B:$B=$A366,'Основной эфир'!$C:$C=$B366,'Основной эфир'!$I:$I=$C366)), 0) "),0.0)</f>
        <v>0</v>
      </c>
      <c r="G366" s="91">
        <f>IFERROR(__xludf.DUMMYFUNCTION("IFERROR(sum(filter('Основной эфир'!$Q:$Q, 'Основной эфир'!$B:$B=$A366,'Основной эфир'!$C:$C=$B366,'Основной эфир'!$I:$I=$C366)), 0) "),0.0)</f>
        <v>0</v>
      </c>
      <c r="H366" s="91">
        <f>IFERROR(__xludf.DUMMYFUNCTION("IFERROR(AVERAGE(filter('Основной эфир'!$Y:$Y, 'Основной эфир'!$B:$B=$A366,'Основной эфир'!$C:$C=$B366,'Основной эфир'!$I:$I=$C366)), 0) "),0.0)</f>
        <v>0</v>
      </c>
      <c r="I366" s="91">
        <f>IFERROR(__xludf.DUMMYFUNCTION("IFERROR(AVERAGE(filter('Основной эфир'!$AE:$AE, 'Основной эфир'!$B:$B=$A366,'Основной эфир'!$C:$C=$B366,'Основной эфир'!$I:$I=$C366)), 0) "),0.0)</f>
        <v>0</v>
      </c>
      <c r="J366" s="91">
        <f>IFERROR(__xludf.DUMMYFUNCTION("IFERROR(SUM(filter('Основной эфир'!$AL:$AL, 'Основной эфир'!$B:$B=$A366,'Основной эфир'!$C:$C=$B366,'Основной эфир'!$I:$I=$C366)), 0) "),0.0)</f>
        <v>0</v>
      </c>
      <c r="K366" s="91" t="str">
        <f>IFERROR(__xludf.DUMMYFUNCTION("IFERROR(REGEXREPLACE(unique(filter('Основной эфир'!$A:$A, 'Основной эфир'!$B:$B=$A366,'Основной эфир'!$C:$C=$B366,'Основной эфир'!$I:$I=$C366)), ""\d+"", """"),"""")"),"")</f>
        <v/>
      </c>
      <c r="L366" s="91" t="str">
        <f>IFERROR(__xludf.DUMMYFUNCTION("IFERROR(unique(filter('Основной эфир'!$F:$F, 'Основной эфир'!$B:$B=$A366,'Основной эфир'!$C:$C=$B366,'Основной эфир'!$I:$I=$C366)),"""")"),"")</f>
        <v/>
      </c>
      <c r="M366" s="92" t="str">
        <f t="shared" si="1"/>
        <v/>
      </c>
      <c r="N366" s="93">
        <f>IFERROR(__xludf.DUMMYFUNCTION("IFERROR(SWITCH(lower(join("" "",L366:M366)),""а миллионник"", 62.5,""б миллионник"", 75,""а мск"", 50, ""б мск"", 62.5, ""a остальное"", 70, ""б остальное"", 80)/100,0)"),0.0)</f>
        <v>0</v>
      </c>
      <c r="O366" s="91">
        <f t="shared" si="2"/>
        <v>0</v>
      </c>
      <c r="P366" s="91">
        <f>IFERROR(__xludf.DUMMYFUNCTION("IFERROR(sum(filter('Генеральный баннер'!$O:$O, 'Генеральный баннер'!$B:$B=$A366,'Генеральный баннер'!$C:$C=$B366,'Генеральный баннер'!$I:$I=$C366)), 0) "),0.0)</f>
        <v>0</v>
      </c>
      <c r="Q366" s="91">
        <f>IFERROR(__xludf.DUMMYFUNCTION("IFERROR(sum(filter('Генеральный баннер'!$Q:$Q, 'Генеральный баннер'!$B:$B=$A366,'Генеральный баннер'!$C:$C=$B366,'Генеральный баннер'!$I:$I=$C366)), 0) "),0.0)</f>
        <v>0</v>
      </c>
      <c r="R366" s="91">
        <f>IFERROR(__xludf.DUMMYFUNCTION("IFERROR(AVERAGE(filter('Генеральный баннер'!$AA:$AA, 'Генеральный баннер'!$B:$B=$A366,'Генеральный баннер'!$C:$C=$B366,'Генеральный баннер'!$I:$I=$C366)), 0) "),0.0)</f>
        <v>0</v>
      </c>
      <c r="S366" s="91">
        <f>IFERROR(__xludf.DUMMYFUNCTION("IFERROR(SUM(filter('Генеральный баннер'!$AH:$AH, 'Генеральный баннер'!$B:$B=$A366,'Генеральный баннер'!$C:$C=$B366,'Генеральный баннер'!$I:$I=$C366)), 0) "),0.0)</f>
        <v>0</v>
      </c>
      <c r="T366" s="91" t="str">
        <f>IFERROR(__xludf.DUMMYFUNCTION("IFERROR(REGEXREPLACE(unique(filter('Генеральный баннер'!$A:$A, 'Генеральный баннер'!$B:$B=$A366,'Генеральный баннер'!$C:$C=$B366,'Генеральный баннер'!$I:$I=$C366)), ""\d+"", """"),"""")"),"")</f>
        <v/>
      </c>
      <c r="U366" s="91" t="str">
        <f>IFERROR(__xludf.DUMMYFUNCTION("IFERROR(unique(filter('Генеральный баннер'!$F:$F, 'Генеральный баннер'!$B:$B=$A366,'Генеральный баннер'!$C:$C=$B366,'Генеральный баннер'!$I:$I=$C366)),"""")"),"")</f>
        <v/>
      </c>
      <c r="V366" s="92" t="str">
        <f t="shared" si="3"/>
        <v/>
      </c>
      <c r="W366" s="93">
        <f>IFERROR(__xludf.DUMMYFUNCTION("IFERROR(SWITCH(lower(join("" "",U366:V366)),""а миллионник"", 62.5,""б миллионник"", 75,""а мск"", 50, ""б мск"", 62.5, ""a остальное"", 70, ""б остальное"", 80)/100,0)"),0.0)</f>
        <v>0</v>
      </c>
      <c r="X366" s="91">
        <f t="shared" si="4"/>
        <v>0</v>
      </c>
    </row>
    <row r="367">
      <c r="A367" s="12"/>
      <c r="B367" s="12"/>
      <c r="C367" s="12"/>
      <c r="D367" s="91">
        <f>IFERROR(__xludf.DUMMYFUNCTION("IFERROR(sum(filter('Основной эфир'!$AA:$AA, 'Основной эфир'!$B:$B=$A367,'Основной эфир'!$C:$C=$B367,'Основной эфир'!$I:$I=$C367)), 0) "),0.0)</f>
        <v>0</v>
      </c>
      <c r="E367" s="91">
        <f>IFERROR(__xludf.DUMMYFUNCTION("IFERROR(sum(filter('Основной эфир'!$AC:$AC, 'Основной эфир'!$B:$B=$A367,'Основной эфир'!$C:$C=$B367,'Основной эфир'!$I:$I=$C367)), 0) "),0.0)</f>
        <v>0</v>
      </c>
      <c r="F367" s="91">
        <f>IFERROR(__xludf.DUMMYFUNCTION("IFERROR(sum(filter('Основной эфир'!$O:$O, 'Основной эфир'!$B:$B=$A367,'Основной эфир'!$C:$C=$B367,'Основной эфир'!$I:$I=$C367)), 0) "),0.0)</f>
        <v>0</v>
      </c>
      <c r="G367" s="91">
        <f>IFERROR(__xludf.DUMMYFUNCTION("IFERROR(sum(filter('Основной эфир'!$Q:$Q, 'Основной эфир'!$B:$B=$A367,'Основной эфир'!$C:$C=$B367,'Основной эфир'!$I:$I=$C367)), 0) "),0.0)</f>
        <v>0</v>
      </c>
      <c r="H367" s="91">
        <f>IFERROR(__xludf.DUMMYFUNCTION("IFERROR(AVERAGE(filter('Основной эфир'!$Y:$Y, 'Основной эфир'!$B:$B=$A367,'Основной эфир'!$C:$C=$B367,'Основной эфир'!$I:$I=$C367)), 0) "),0.0)</f>
        <v>0</v>
      </c>
      <c r="I367" s="91">
        <f>IFERROR(__xludf.DUMMYFUNCTION("IFERROR(AVERAGE(filter('Основной эфир'!$AE:$AE, 'Основной эфир'!$B:$B=$A367,'Основной эфир'!$C:$C=$B367,'Основной эфир'!$I:$I=$C367)), 0) "),0.0)</f>
        <v>0</v>
      </c>
      <c r="J367" s="91">
        <f>IFERROR(__xludf.DUMMYFUNCTION("IFERROR(SUM(filter('Основной эфир'!$AL:$AL, 'Основной эфир'!$B:$B=$A367,'Основной эфир'!$C:$C=$B367,'Основной эфир'!$I:$I=$C367)), 0) "),0.0)</f>
        <v>0</v>
      </c>
      <c r="K367" s="91" t="str">
        <f>IFERROR(__xludf.DUMMYFUNCTION("IFERROR(REGEXREPLACE(unique(filter('Основной эфир'!$A:$A, 'Основной эфир'!$B:$B=$A367,'Основной эфир'!$C:$C=$B367,'Основной эфир'!$I:$I=$C367)), ""\d+"", """"),"""")"),"")</f>
        <v/>
      </c>
      <c r="L367" s="91" t="str">
        <f>IFERROR(__xludf.DUMMYFUNCTION("IFERROR(unique(filter('Основной эфир'!$F:$F, 'Основной эфир'!$B:$B=$A367,'Основной эфир'!$C:$C=$B367,'Основной эфир'!$I:$I=$C367)),"""")"),"")</f>
        <v/>
      </c>
      <c r="M367" s="92" t="str">
        <f t="shared" si="1"/>
        <v/>
      </c>
      <c r="N367" s="93">
        <f>IFERROR(__xludf.DUMMYFUNCTION("IFERROR(SWITCH(lower(join("" "",L367:M367)),""а миллионник"", 62.5,""б миллионник"", 75,""а мск"", 50, ""б мск"", 62.5, ""a остальное"", 70, ""б остальное"", 80)/100,0)"),0.0)</f>
        <v>0</v>
      </c>
      <c r="O367" s="91">
        <f t="shared" si="2"/>
        <v>0</v>
      </c>
      <c r="P367" s="91">
        <f>IFERROR(__xludf.DUMMYFUNCTION("IFERROR(sum(filter('Генеральный баннер'!$O:$O, 'Генеральный баннер'!$B:$B=$A367,'Генеральный баннер'!$C:$C=$B367,'Генеральный баннер'!$I:$I=$C367)), 0) "),0.0)</f>
        <v>0</v>
      </c>
      <c r="Q367" s="91">
        <f>IFERROR(__xludf.DUMMYFUNCTION("IFERROR(sum(filter('Генеральный баннер'!$Q:$Q, 'Генеральный баннер'!$B:$B=$A367,'Генеральный баннер'!$C:$C=$B367,'Генеральный баннер'!$I:$I=$C367)), 0) "),0.0)</f>
        <v>0</v>
      </c>
      <c r="R367" s="91">
        <f>IFERROR(__xludf.DUMMYFUNCTION("IFERROR(AVERAGE(filter('Генеральный баннер'!$AA:$AA, 'Генеральный баннер'!$B:$B=$A367,'Генеральный баннер'!$C:$C=$B367,'Генеральный баннер'!$I:$I=$C367)), 0) "),0.0)</f>
        <v>0</v>
      </c>
      <c r="S367" s="91">
        <f>IFERROR(__xludf.DUMMYFUNCTION("IFERROR(SUM(filter('Генеральный баннер'!$AH:$AH, 'Генеральный баннер'!$B:$B=$A367,'Генеральный баннер'!$C:$C=$B367,'Генеральный баннер'!$I:$I=$C367)), 0) "),0.0)</f>
        <v>0</v>
      </c>
      <c r="T367" s="91" t="str">
        <f>IFERROR(__xludf.DUMMYFUNCTION("IFERROR(REGEXREPLACE(unique(filter('Генеральный баннер'!$A:$A, 'Генеральный баннер'!$B:$B=$A367,'Генеральный баннер'!$C:$C=$B367,'Генеральный баннер'!$I:$I=$C367)), ""\d+"", """"),"""")"),"")</f>
        <v/>
      </c>
      <c r="U367" s="91" t="str">
        <f>IFERROR(__xludf.DUMMYFUNCTION("IFERROR(unique(filter('Генеральный баннер'!$F:$F, 'Генеральный баннер'!$B:$B=$A367,'Генеральный баннер'!$C:$C=$B367,'Генеральный баннер'!$I:$I=$C367)),"""")"),"")</f>
        <v/>
      </c>
      <c r="V367" s="92" t="str">
        <f t="shared" si="3"/>
        <v/>
      </c>
      <c r="W367" s="93">
        <f>IFERROR(__xludf.DUMMYFUNCTION("IFERROR(SWITCH(lower(join("" "",U367:V367)),""а миллионник"", 62.5,""б миллионник"", 75,""а мск"", 50, ""б мск"", 62.5, ""a остальное"", 70, ""б остальное"", 80)/100,0)"),0.0)</f>
        <v>0</v>
      </c>
      <c r="X367" s="91">
        <f t="shared" si="4"/>
        <v>0</v>
      </c>
    </row>
    <row r="368">
      <c r="A368" s="12"/>
      <c r="B368" s="12"/>
      <c r="C368" s="12"/>
      <c r="D368" s="91">
        <f>IFERROR(__xludf.DUMMYFUNCTION("IFERROR(sum(filter('Основной эфир'!$AA:$AA, 'Основной эфир'!$B:$B=$A368,'Основной эфир'!$C:$C=$B368,'Основной эфир'!$I:$I=$C368)), 0) "),0.0)</f>
        <v>0</v>
      </c>
      <c r="E368" s="91">
        <f>IFERROR(__xludf.DUMMYFUNCTION("IFERROR(sum(filter('Основной эфир'!$AC:$AC, 'Основной эфир'!$B:$B=$A368,'Основной эфир'!$C:$C=$B368,'Основной эфир'!$I:$I=$C368)), 0) "),0.0)</f>
        <v>0</v>
      </c>
      <c r="F368" s="91">
        <f>IFERROR(__xludf.DUMMYFUNCTION("IFERROR(sum(filter('Основной эфир'!$O:$O, 'Основной эфир'!$B:$B=$A368,'Основной эфир'!$C:$C=$B368,'Основной эфир'!$I:$I=$C368)), 0) "),0.0)</f>
        <v>0</v>
      </c>
      <c r="G368" s="91">
        <f>IFERROR(__xludf.DUMMYFUNCTION("IFERROR(sum(filter('Основной эфир'!$Q:$Q, 'Основной эфир'!$B:$B=$A368,'Основной эфир'!$C:$C=$B368,'Основной эфир'!$I:$I=$C368)), 0) "),0.0)</f>
        <v>0</v>
      </c>
      <c r="H368" s="91">
        <f>IFERROR(__xludf.DUMMYFUNCTION("IFERROR(AVERAGE(filter('Основной эфир'!$Y:$Y, 'Основной эфир'!$B:$B=$A368,'Основной эфир'!$C:$C=$B368,'Основной эфир'!$I:$I=$C368)), 0) "),0.0)</f>
        <v>0</v>
      </c>
      <c r="I368" s="91">
        <f>IFERROR(__xludf.DUMMYFUNCTION("IFERROR(AVERAGE(filter('Основной эфир'!$AE:$AE, 'Основной эфир'!$B:$B=$A368,'Основной эфир'!$C:$C=$B368,'Основной эфир'!$I:$I=$C368)), 0) "),0.0)</f>
        <v>0</v>
      </c>
      <c r="J368" s="91">
        <f>IFERROR(__xludf.DUMMYFUNCTION("IFERROR(SUM(filter('Основной эфир'!$AL:$AL, 'Основной эфир'!$B:$B=$A368,'Основной эфир'!$C:$C=$B368,'Основной эфир'!$I:$I=$C368)), 0) "),0.0)</f>
        <v>0</v>
      </c>
      <c r="K368" s="91" t="str">
        <f>IFERROR(__xludf.DUMMYFUNCTION("IFERROR(REGEXREPLACE(unique(filter('Основной эфир'!$A:$A, 'Основной эфир'!$B:$B=$A368,'Основной эфир'!$C:$C=$B368,'Основной эфир'!$I:$I=$C368)), ""\d+"", """"),"""")"),"")</f>
        <v/>
      </c>
      <c r="L368" s="91" t="str">
        <f>IFERROR(__xludf.DUMMYFUNCTION("IFERROR(unique(filter('Основной эфир'!$F:$F, 'Основной эфир'!$B:$B=$A368,'Основной эфир'!$C:$C=$B368,'Основной эфир'!$I:$I=$C368)),"""")"),"")</f>
        <v/>
      </c>
      <c r="M368" s="92" t="str">
        <f t="shared" si="1"/>
        <v/>
      </c>
      <c r="N368" s="93">
        <f>IFERROR(__xludf.DUMMYFUNCTION("IFERROR(SWITCH(lower(join("" "",L368:M368)),""а миллионник"", 62.5,""б миллионник"", 75,""а мск"", 50, ""б мск"", 62.5, ""a остальное"", 70, ""б остальное"", 80)/100,0)"),0.0)</f>
        <v>0</v>
      </c>
      <c r="O368" s="91">
        <f t="shared" si="2"/>
        <v>0</v>
      </c>
      <c r="P368" s="91">
        <f>IFERROR(__xludf.DUMMYFUNCTION("IFERROR(sum(filter('Генеральный баннер'!$O:$O, 'Генеральный баннер'!$B:$B=$A368,'Генеральный баннер'!$C:$C=$B368,'Генеральный баннер'!$I:$I=$C368)), 0) "),0.0)</f>
        <v>0</v>
      </c>
      <c r="Q368" s="91">
        <f>IFERROR(__xludf.DUMMYFUNCTION("IFERROR(sum(filter('Генеральный баннер'!$Q:$Q, 'Генеральный баннер'!$B:$B=$A368,'Генеральный баннер'!$C:$C=$B368,'Генеральный баннер'!$I:$I=$C368)), 0) "),0.0)</f>
        <v>0</v>
      </c>
      <c r="R368" s="91">
        <f>IFERROR(__xludf.DUMMYFUNCTION("IFERROR(AVERAGE(filter('Генеральный баннер'!$AA:$AA, 'Генеральный баннер'!$B:$B=$A368,'Генеральный баннер'!$C:$C=$B368,'Генеральный баннер'!$I:$I=$C368)), 0) "),0.0)</f>
        <v>0</v>
      </c>
      <c r="S368" s="91">
        <f>IFERROR(__xludf.DUMMYFUNCTION("IFERROR(SUM(filter('Генеральный баннер'!$AH:$AH, 'Генеральный баннер'!$B:$B=$A368,'Генеральный баннер'!$C:$C=$B368,'Генеральный баннер'!$I:$I=$C368)), 0) "),0.0)</f>
        <v>0</v>
      </c>
      <c r="T368" s="91" t="str">
        <f>IFERROR(__xludf.DUMMYFUNCTION("IFERROR(REGEXREPLACE(unique(filter('Генеральный баннер'!$A:$A, 'Генеральный баннер'!$B:$B=$A368,'Генеральный баннер'!$C:$C=$B368,'Генеральный баннер'!$I:$I=$C368)), ""\d+"", """"),"""")"),"")</f>
        <v/>
      </c>
      <c r="U368" s="91" t="str">
        <f>IFERROR(__xludf.DUMMYFUNCTION("IFERROR(unique(filter('Генеральный баннер'!$F:$F, 'Генеральный баннер'!$B:$B=$A368,'Генеральный баннер'!$C:$C=$B368,'Генеральный баннер'!$I:$I=$C368)),"""")"),"")</f>
        <v/>
      </c>
      <c r="V368" s="92" t="str">
        <f t="shared" si="3"/>
        <v/>
      </c>
      <c r="W368" s="93">
        <f>IFERROR(__xludf.DUMMYFUNCTION("IFERROR(SWITCH(lower(join("" "",U368:V368)),""а миллионник"", 62.5,""б миллионник"", 75,""а мск"", 50, ""б мск"", 62.5, ""a остальное"", 70, ""б остальное"", 80)/100,0)"),0.0)</f>
        <v>0</v>
      </c>
      <c r="X368" s="91">
        <f t="shared" si="4"/>
        <v>0</v>
      </c>
    </row>
    <row r="369">
      <c r="A369" s="12"/>
      <c r="B369" s="12"/>
      <c r="C369" s="12"/>
      <c r="D369" s="91">
        <f>IFERROR(__xludf.DUMMYFUNCTION("IFERROR(sum(filter('Основной эфир'!$AA:$AA, 'Основной эфир'!$B:$B=$A369,'Основной эфир'!$C:$C=$B369,'Основной эфир'!$I:$I=$C369)), 0) "),0.0)</f>
        <v>0</v>
      </c>
      <c r="E369" s="91">
        <f>IFERROR(__xludf.DUMMYFUNCTION("IFERROR(sum(filter('Основной эфир'!$AC:$AC, 'Основной эфир'!$B:$B=$A369,'Основной эфир'!$C:$C=$B369,'Основной эфир'!$I:$I=$C369)), 0) "),0.0)</f>
        <v>0</v>
      </c>
      <c r="F369" s="91">
        <f>IFERROR(__xludf.DUMMYFUNCTION("IFERROR(sum(filter('Основной эфир'!$O:$O, 'Основной эфир'!$B:$B=$A369,'Основной эфир'!$C:$C=$B369,'Основной эфир'!$I:$I=$C369)), 0) "),0.0)</f>
        <v>0</v>
      </c>
      <c r="G369" s="91">
        <f>IFERROR(__xludf.DUMMYFUNCTION("IFERROR(sum(filter('Основной эфир'!$Q:$Q, 'Основной эфир'!$B:$B=$A369,'Основной эфир'!$C:$C=$B369,'Основной эфир'!$I:$I=$C369)), 0) "),0.0)</f>
        <v>0</v>
      </c>
      <c r="H369" s="91">
        <f>IFERROR(__xludf.DUMMYFUNCTION("IFERROR(AVERAGE(filter('Основной эфир'!$Y:$Y, 'Основной эфир'!$B:$B=$A369,'Основной эфир'!$C:$C=$B369,'Основной эфир'!$I:$I=$C369)), 0) "),0.0)</f>
        <v>0</v>
      </c>
      <c r="I369" s="91">
        <f>IFERROR(__xludf.DUMMYFUNCTION("IFERROR(AVERAGE(filter('Основной эфир'!$AE:$AE, 'Основной эфир'!$B:$B=$A369,'Основной эфир'!$C:$C=$B369,'Основной эфир'!$I:$I=$C369)), 0) "),0.0)</f>
        <v>0</v>
      </c>
      <c r="J369" s="91">
        <f>IFERROR(__xludf.DUMMYFUNCTION("IFERROR(SUM(filter('Основной эфир'!$AL:$AL, 'Основной эфир'!$B:$B=$A369,'Основной эфир'!$C:$C=$B369,'Основной эфир'!$I:$I=$C369)), 0) "),0.0)</f>
        <v>0</v>
      </c>
      <c r="K369" s="91" t="str">
        <f>IFERROR(__xludf.DUMMYFUNCTION("IFERROR(REGEXREPLACE(unique(filter('Основной эфир'!$A:$A, 'Основной эфир'!$B:$B=$A369,'Основной эфир'!$C:$C=$B369,'Основной эфир'!$I:$I=$C369)), ""\d+"", """"),"""")"),"")</f>
        <v/>
      </c>
      <c r="L369" s="91" t="str">
        <f>IFERROR(__xludf.DUMMYFUNCTION("IFERROR(unique(filter('Основной эфир'!$F:$F, 'Основной эфир'!$B:$B=$A369,'Основной эфир'!$C:$C=$B369,'Основной эфир'!$I:$I=$C369)),"""")"),"")</f>
        <v/>
      </c>
      <c r="M369" s="92" t="str">
        <f t="shared" si="1"/>
        <v/>
      </c>
      <c r="N369" s="93">
        <f>IFERROR(__xludf.DUMMYFUNCTION("IFERROR(SWITCH(lower(join("" "",L369:M369)),""а миллионник"", 62.5,""б миллионник"", 75,""а мск"", 50, ""б мск"", 62.5, ""a остальное"", 70, ""б остальное"", 80)/100,0)"),0.0)</f>
        <v>0</v>
      </c>
      <c r="O369" s="91">
        <f t="shared" si="2"/>
        <v>0</v>
      </c>
      <c r="P369" s="91">
        <f>IFERROR(__xludf.DUMMYFUNCTION("IFERROR(sum(filter('Генеральный баннер'!$O:$O, 'Генеральный баннер'!$B:$B=$A369,'Генеральный баннер'!$C:$C=$B369,'Генеральный баннер'!$I:$I=$C369)), 0) "),0.0)</f>
        <v>0</v>
      </c>
      <c r="Q369" s="91">
        <f>IFERROR(__xludf.DUMMYFUNCTION("IFERROR(sum(filter('Генеральный баннер'!$Q:$Q, 'Генеральный баннер'!$B:$B=$A369,'Генеральный баннер'!$C:$C=$B369,'Генеральный баннер'!$I:$I=$C369)), 0) "),0.0)</f>
        <v>0</v>
      </c>
      <c r="R369" s="91">
        <f>IFERROR(__xludf.DUMMYFUNCTION("IFERROR(AVERAGE(filter('Генеральный баннер'!$AA:$AA, 'Генеральный баннер'!$B:$B=$A369,'Генеральный баннер'!$C:$C=$B369,'Генеральный баннер'!$I:$I=$C369)), 0) "),0.0)</f>
        <v>0</v>
      </c>
      <c r="S369" s="91">
        <f>IFERROR(__xludf.DUMMYFUNCTION("IFERROR(SUM(filter('Генеральный баннер'!$AH:$AH, 'Генеральный баннер'!$B:$B=$A369,'Генеральный баннер'!$C:$C=$B369,'Генеральный баннер'!$I:$I=$C369)), 0) "),0.0)</f>
        <v>0</v>
      </c>
      <c r="T369" s="91" t="str">
        <f>IFERROR(__xludf.DUMMYFUNCTION("IFERROR(REGEXREPLACE(unique(filter('Генеральный баннер'!$A:$A, 'Генеральный баннер'!$B:$B=$A369,'Генеральный баннер'!$C:$C=$B369,'Генеральный баннер'!$I:$I=$C369)), ""\d+"", """"),"""")"),"")</f>
        <v/>
      </c>
      <c r="U369" s="91" t="str">
        <f>IFERROR(__xludf.DUMMYFUNCTION("IFERROR(unique(filter('Генеральный баннер'!$F:$F, 'Генеральный баннер'!$B:$B=$A369,'Генеральный баннер'!$C:$C=$B369,'Генеральный баннер'!$I:$I=$C369)),"""")"),"")</f>
        <v/>
      </c>
      <c r="V369" s="92" t="str">
        <f t="shared" si="3"/>
        <v/>
      </c>
      <c r="W369" s="93">
        <f>IFERROR(__xludf.DUMMYFUNCTION("IFERROR(SWITCH(lower(join("" "",U369:V369)),""а миллионник"", 62.5,""б миллионник"", 75,""а мск"", 50, ""б мск"", 62.5, ""a остальное"", 70, ""б остальное"", 80)/100,0)"),0.0)</f>
        <v>0</v>
      </c>
      <c r="X369" s="91">
        <f t="shared" si="4"/>
        <v>0</v>
      </c>
    </row>
    <row r="370">
      <c r="A370" s="12"/>
      <c r="B370" s="12"/>
      <c r="C370" s="12"/>
      <c r="D370" s="91">
        <f>IFERROR(__xludf.DUMMYFUNCTION("IFERROR(sum(filter('Основной эфир'!$AA:$AA, 'Основной эфир'!$B:$B=$A370,'Основной эфир'!$C:$C=$B370,'Основной эфир'!$I:$I=$C370)), 0) "),0.0)</f>
        <v>0</v>
      </c>
      <c r="E370" s="91">
        <f>IFERROR(__xludf.DUMMYFUNCTION("IFERROR(sum(filter('Основной эфир'!$AC:$AC, 'Основной эфир'!$B:$B=$A370,'Основной эфир'!$C:$C=$B370,'Основной эфир'!$I:$I=$C370)), 0) "),0.0)</f>
        <v>0</v>
      </c>
      <c r="F370" s="91">
        <f>IFERROR(__xludf.DUMMYFUNCTION("IFERROR(sum(filter('Основной эфир'!$O:$O, 'Основной эфир'!$B:$B=$A370,'Основной эфир'!$C:$C=$B370,'Основной эфир'!$I:$I=$C370)), 0) "),0.0)</f>
        <v>0</v>
      </c>
      <c r="G370" s="91">
        <f>IFERROR(__xludf.DUMMYFUNCTION("IFERROR(sum(filter('Основной эфир'!$Q:$Q, 'Основной эфир'!$B:$B=$A370,'Основной эфир'!$C:$C=$B370,'Основной эфир'!$I:$I=$C370)), 0) "),0.0)</f>
        <v>0</v>
      </c>
      <c r="H370" s="91">
        <f>IFERROR(__xludf.DUMMYFUNCTION("IFERROR(AVERAGE(filter('Основной эфир'!$Y:$Y, 'Основной эфир'!$B:$B=$A370,'Основной эфир'!$C:$C=$B370,'Основной эфир'!$I:$I=$C370)), 0) "),0.0)</f>
        <v>0</v>
      </c>
      <c r="I370" s="91">
        <f>IFERROR(__xludf.DUMMYFUNCTION("IFERROR(AVERAGE(filter('Основной эфир'!$AE:$AE, 'Основной эфир'!$B:$B=$A370,'Основной эфир'!$C:$C=$B370,'Основной эфир'!$I:$I=$C370)), 0) "),0.0)</f>
        <v>0</v>
      </c>
      <c r="J370" s="91">
        <f>IFERROR(__xludf.DUMMYFUNCTION("IFERROR(SUM(filter('Основной эфир'!$AL:$AL, 'Основной эфир'!$B:$B=$A370,'Основной эфир'!$C:$C=$B370,'Основной эфир'!$I:$I=$C370)), 0) "),0.0)</f>
        <v>0</v>
      </c>
      <c r="K370" s="91" t="str">
        <f>IFERROR(__xludf.DUMMYFUNCTION("IFERROR(REGEXREPLACE(unique(filter('Основной эфир'!$A:$A, 'Основной эфир'!$B:$B=$A370,'Основной эфир'!$C:$C=$B370,'Основной эфир'!$I:$I=$C370)), ""\d+"", """"),"""")"),"")</f>
        <v/>
      </c>
      <c r="L370" s="91" t="str">
        <f>IFERROR(__xludf.DUMMYFUNCTION("IFERROR(unique(filter('Основной эфир'!$F:$F, 'Основной эфир'!$B:$B=$A370,'Основной эфир'!$C:$C=$B370,'Основной эфир'!$I:$I=$C370)),"""")"),"")</f>
        <v/>
      </c>
      <c r="M370" s="92" t="str">
        <f t="shared" si="1"/>
        <v/>
      </c>
      <c r="N370" s="93">
        <f>IFERROR(__xludf.DUMMYFUNCTION("IFERROR(SWITCH(lower(join("" "",L370:M370)),""а миллионник"", 62.5,""б миллионник"", 75,""а мск"", 50, ""б мск"", 62.5, ""a остальное"", 70, ""б остальное"", 80)/100,0)"),0.0)</f>
        <v>0</v>
      </c>
      <c r="O370" s="91">
        <f t="shared" si="2"/>
        <v>0</v>
      </c>
      <c r="P370" s="91">
        <f>IFERROR(__xludf.DUMMYFUNCTION("IFERROR(sum(filter('Генеральный баннер'!$O:$O, 'Генеральный баннер'!$B:$B=$A370,'Генеральный баннер'!$C:$C=$B370,'Генеральный баннер'!$I:$I=$C370)), 0) "),0.0)</f>
        <v>0</v>
      </c>
      <c r="Q370" s="91">
        <f>IFERROR(__xludf.DUMMYFUNCTION("IFERROR(sum(filter('Генеральный баннер'!$Q:$Q, 'Генеральный баннер'!$B:$B=$A370,'Генеральный баннер'!$C:$C=$B370,'Генеральный баннер'!$I:$I=$C370)), 0) "),0.0)</f>
        <v>0</v>
      </c>
      <c r="R370" s="91">
        <f>IFERROR(__xludf.DUMMYFUNCTION("IFERROR(AVERAGE(filter('Генеральный баннер'!$AA:$AA, 'Генеральный баннер'!$B:$B=$A370,'Генеральный баннер'!$C:$C=$B370,'Генеральный баннер'!$I:$I=$C370)), 0) "),0.0)</f>
        <v>0</v>
      </c>
      <c r="S370" s="91">
        <f>IFERROR(__xludf.DUMMYFUNCTION("IFERROR(SUM(filter('Генеральный баннер'!$AH:$AH, 'Генеральный баннер'!$B:$B=$A370,'Генеральный баннер'!$C:$C=$B370,'Генеральный баннер'!$I:$I=$C370)), 0) "),0.0)</f>
        <v>0</v>
      </c>
      <c r="T370" s="91" t="str">
        <f>IFERROR(__xludf.DUMMYFUNCTION("IFERROR(REGEXREPLACE(unique(filter('Генеральный баннер'!$A:$A, 'Генеральный баннер'!$B:$B=$A370,'Генеральный баннер'!$C:$C=$B370,'Генеральный баннер'!$I:$I=$C370)), ""\d+"", """"),"""")"),"")</f>
        <v/>
      </c>
      <c r="U370" s="91" t="str">
        <f>IFERROR(__xludf.DUMMYFUNCTION("IFERROR(unique(filter('Генеральный баннер'!$F:$F, 'Генеральный баннер'!$B:$B=$A370,'Генеральный баннер'!$C:$C=$B370,'Генеральный баннер'!$I:$I=$C370)),"""")"),"")</f>
        <v/>
      </c>
      <c r="V370" s="92" t="str">
        <f t="shared" si="3"/>
        <v/>
      </c>
      <c r="W370" s="93">
        <f>IFERROR(__xludf.DUMMYFUNCTION("IFERROR(SWITCH(lower(join("" "",U370:V370)),""а миллионник"", 62.5,""б миллионник"", 75,""а мск"", 50, ""б мск"", 62.5, ""a остальное"", 70, ""б остальное"", 80)/100,0)"),0.0)</f>
        <v>0</v>
      </c>
      <c r="X370" s="91">
        <f t="shared" si="4"/>
        <v>0</v>
      </c>
    </row>
    <row r="371">
      <c r="A371" s="12"/>
      <c r="B371" s="12"/>
      <c r="C371" s="12"/>
      <c r="D371" s="91">
        <f>IFERROR(__xludf.DUMMYFUNCTION("IFERROR(sum(filter('Основной эфир'!$AA:$AA, 'Основной эфир'!$B:$B=$A371,'Основной эфир'!$C:$C=$B371,'Основной эфир'!$I:$I=$C371)), 0) "),0.0)</f>
        <v>0</v>
      </c>
      <c r="E371" s="91">
        <f>IFERROR(__xludf.DUMMYFUNCTION("IFERROR(sum(filter('Основной эфир'!$AC:$AC, 'Основной эфир'!$B:$B=$A371,'Основной эфир'!$C:$C=$B371,'Основной эфир'!$I:$I=$C371)), 0) "),0.0)</f>
        <v>0</v>
      </c>
      <c r="F371" s="91">
        <f>IFERROR(__xludf.DUMMYFUNCTION("IFERROR(sum(filter('Основной эфир'!$O:$O, 'Основной эфир'!$B:$B=$A371,'Основной эфир'!$C:$C=$B371,'Основной эфир'!$I:$I=$C371)), 0) "),0.0)</f>
        <v>0</v>
      </c>
      <c r="G371" s="91">
        <f>IFERROR(__xludf.DUMMYFUNCTION("IFERROR(sum(filter('Основной эфир'!$Q:$Q, 'Основной эфир'!$B:$B=$A371,'Основной эфир'!$C:$C=$B371,'Основной эфир'!$I:$I=$C371)), 0) "),0.0)</f>
        <v>0</v>
      </c>
      <c r="H371" s="91">
        <f>IFERROR(__xludf.DUMMYFUNCTION("IFERROR(AVERAGE(filter('Основной эфир'!$Y:$Y, 'Основной эфир'!$B:$B=$A371,'Основной эфир'!$C:$C=$B371,'Основной эфир'!$I:$I=$C371)), 0) "),0.0)</f>
        <v>0</v>
      </c>
      <c r="I371" s="91">
        <f>IFERROR(__xludf.DUMMYFUNCTION("IFERROR(AVERAGE(filter('Основной эфир'!$AE:$AE, 'Основной эфир'!$B:$B=$A371,'Основной эфир'!$C:$C=$B371,'Основной эфир'!$I:$I=$C371)), 0) "),0.0)</f>
        <v>0</v>
      </c>
      <c r="J371" s="91">
        <f>IFERROR(__xludf.DUMMYFUNCTION("IFERROR(SUM(filter('Основной эфир'!$AL:$AL, 'Основной эфир'!$B:$B=$A371,'Основной эфир'!$C:$C=$B371,'Основной эфир'!$I:$I=$C371)), 0) "),0.0)</f>
        <v>0</v>
      </c>
      <c r="K371" s="91" t="str">
        <f>IFERROR(__xludf.DUMMYFUNCTION("IFERROR(REGEXREPLACE(unique(filter('Основной эфир'!$A:$A, 'Основной эфир'!$B:$B=$A371,'Основной эфир'!$C:$C=$B371,'Основной эфир'!$I:$I=$C371)), ""\d+"", """"),"""")"),"")</f>
        <v/>
      </c>
      <c r="L371" s="91" t="str">
        <f>IFERROR(__xludf.DUMMYFUNCTION("IFERROR(unique(filter('Основной эфир'!$F:$F, 'Основной эфир'!$B:$B=$A371,'Основной эфир'!$C:$C=$B371,'Основной эфир'!$I:$I=$C371)),"""")"),"")</f>
        <v/>
      </c>
      <c r="M371" s="92" t="str">
        <f t="shared" si="1"/>
        <v/>
      </c>
      <c r="N371" s="93">
        <f>IFERROR(__xludf.DUMMYFUNCTION("IFERROR(SWITCH(lower(join("" "",L371:M371)),""а миллионник"", 62.5,""б миллионник"", 75,""а мск"", 50, ""б мск"", 62.5, ""a остальное"", 70, ""б остальное"", 80)/100,0)"),0.0)</f>
        <v>0</v>
      </c>
      <c r="O371" s="91">
        <f t="shared" si="2"/>
        <v>0</v>
      </c>
      <c r="P371" s="91">
        <f>IFERROR(__xludf.DUMMYFUNCTION("IFERROR(sum(filter('Генеральный баннер'!$O:$O, 'Генеральный баннер'!$B:$B=$A371,'Генеральный баннер'!$C:$C=$B371,'Генеральный баннер'!$I:$I=$C371)), 0) "),0.0)</f>
        <v>0</v>
      </c>
      <c r="Q371" s="91">
        <f>IFERROR(__xludf.DUMMYFUNCTION("IFERROR(sum(filter('Генеральный баннер'!$Q:$Q, 'Генеральный баннер'!$B:$B=$A371,'Генеральный баннер'!$C:$C=$B371,'Генеральный баннер'!$I:$I=$C371)), 0) "),0.0)</f>
        <v>0</v>
      </c>
      <c r="R371" s="91">
        <f>IFERROR(__xludf.DUMMYFUNCTION("IFERROR(AVERAGE(filter('Генеральный баннер'!$AA:$AA, 'Генеральный баннер'!$B:$B=$A371,'Генеральный баннер'!$C:$C=$B371,'Генеральный баннер'!$I:$I=$C371)), 0) "),0.0)</f>
        <v>0</v>
      </c>
      <c r="S371" s="91">
        <f>IFERROR(__xludf.DUMMYFUNCTION("IFERROR(SUM(filter('Генеральный баннер'!$AH:$AH, 'Генеральный баннер'!$B:$B=$A371,'Генеральный баннер'!$C:$C=$B371,'Генеральный баннер'!$I:$I=$C371)), 0) "),0.0)</f>
        <v>0</v>
      </c>
      <c r="T371" s="91" t="str">
        <f>IFERROR(__xludf.DUMMYFUNCTION("IFERROR(REGEXREPLACE(unique(filter('Генеральный баннер'!$A:$A, 'Генеральный баннер'!$B:$B=$A371,'Генеральный баннер'!$C:$C=$B371,'Генеральный баннер'!$I:$I=$C371)), ""\d+"", """"),"""")"),"")</f>
        <v/>
      </c>
      <c r="U371" s="91" t="str">
        <f>IFERROR(__xludf.DUMMYFUNCTION("IFERROR(unique(filter('Генеральный баннер'!$F:$F, 'Генеральный баннер'!$B:$B=$A371,'Генеральный баннер'!$C:$C=$B371,'Генеральный баннер'!$I:$I=$C371)),"""")"),"")</f>
        <v/>
      </c>
      <c r="V371" s="92" t="str">
        <f t="shared" si="3"/>
        <v/>
      </c>
      <c r="W371" s="93">
        <f>IFERROR(__xludf.DUMMYFUNCTION("IFERROR(SWITCH(lower(join("" "",U371:V371)),""а миллионник"", 62.5,""б миллионник"", 75,""а мск"", 50, ""б мск"", 62.5, ""a остальное"", 70, ""б остальное"", 80)/100,0)"),0.0)</f>
        <v>0</v>
      </c>
      <c r="X371" s="91">
        <f t="shared" si="4"/>
        <v>0</v>
      </c>
    </row>
    <row r="372">
      <c r="A372" s="12"/>
      <c r="B372" s="12"/>
      <c r="C372" s="12"/>
      <c r="D372" s="91">
        <f>IFERROR(__xludf.DUMMYFUNCTION("IFERROR(sum(filter('Основной эфир'!$AA:$AA, 'Основной эфир'!$B:$B=$A372,'Основной эфир'!$C:$C=$B372,'Основной эфир'!$I:$I=$C372)), 0) "),0.0)</f>
        <v>0</v>
      </c>
      <c r="E372" s="91">
        <f>IFERROR(__xludf.DUMMYFUNCTION("IFERROR(sum(filter('Основной эфир'!$AC:$AC, 'Основной эфир'!$B:$B=$A372,'Основной эфир'!$C:$C=$B372,'Основной эфир'!$I:$I=$C372)), 0) "),0.0)</f>
        <v>0</v>
      </c>
      <c r="F372" s="91">
        <f>IFERROR(__xludf.DUMMYFUNCTION("IFERROR(sum(filter('Основной эфир'!$O:$O, 'Основной эфир'!$B:$B=$A372,'Основной эфир'!$C:$C=$B372,'Основной эфир'!$I:$I=$C372)), 0) "),0.0)</f>
        <v>0</v>
      </c>
      <c r="G372" s="91">
        <f>IFERROR(__xludf.DUMMYFUNCTION("IFERROR(sum(filter('Основной эфир'!$Q:$Q, 'Основной эфир'!$B:$B=$A372,'Основной эфир'!$C:$C=$B372,'Основной эфир'!$I:$I=$C372)), 0) "),0.0)</f>
        <v>0</v>
      </c>
      <c r="H372" s="91">
        <f>IFERROR(__xludf.DUMMYFUNCTION("IFERROR(AVERAGE(filter('Основной эфир'!$Y:$Y, 'Основной эфир'!$B:$B=$A372,'Основной эфир'!$C:$C=$B372,'Основной эфир'!$I:$I=$C372)), 0) "),0.0)</f>
        <v>0</v>
      </c>
      <c r="I372" s="91">
        <f>IFERROR(__xludf.DUMMYFUNCTION("IFERROR(AVERAGE(filter('Основной эфир'!$AE:$AE, 'Основной эфир'!$B:$B=$A372,'Основной эфир'!$C:$C=$B372,'Основной эфир'!$I:$I=$C372)), 0) "),0.0)</f>
        <v>0</v>
      </c>
      <c r="J372" s="91">
        <f>IFERROR(__xludf.DUMMYFUNCTION("IFERROR(SUM(filter('Основной эфир'!$AL:$AL, 'Основной эфир'!$B:$B=$A372,'Основной эфир'!$C:$C=$B372,'Основной эфир'!$I:$I=$C372)), 0) "),0.0)</f>
        <v>0</v>
      </c>
      <c r="K372" s="91" t="str">
        <f>IFERROR(__xludf.DUMMYFUNCTION("IFERROR(REGEXREPLACE(unique(filter('Основной эфир'!$A:$A, 'Основной эфир'!$B:$B=$A372,'Основной эфир'!$C:$C=$B372,'Основной эфир'!$I:$I=$C372)), ""\d+"", """"),"""")"),"")</f>
        <v/>
      </c>
      <c r="L372" s="91" t="str">
        <f>IFERROR(__xludf.DUMMYFUNCTION("IFERROR(unique(filter('Основной эфир'!$F:$F, 'Основной эфир'!$B:$B=$A372,'Основной эфир'!$C:$C=$B372,'Основной эфир'!$I:$I=$C372)),"""")"),"")</f>
        <v/>
      </c>
      <c r="M372" s="92" t="str">
        <f t="shared" si="1"/>
        <v/>
      </c>
      <c r="N372" s="93">
        <f>IFERROR(__xludf.DUMMYFUNCTION("IFERROR(SWITCH(lower(join("" "",L372:M372)),""а миллионник"", 62.5,""б миллионник"", 75,""а мск"", 50, ""б мск"", 62.5, ""a остальное"", 70, ""б остальное"", 80)/100,0)"),0.0)</f>
        <v>0</v>
      </c>
      <c r="O372" s="91">
        <f t="shared" si="2"/>
        <v>0</v>
      </c>
      <c r="P372" s="91">
        <f>IFERROR(__xludf.DUMMYFUNCTION("IFERROR(sum(filter('Генеральный баннер'!$O:$O, 'Генеральный баннер'!$B:$B=$A372,'Генеральный баннер'!$C:$C=$B372,'Генеральный баннер'!$I:$I=$C372)), 0) "),0.0)</f>
        <v>0</v>
      </c>
      <c r="Q372" s="91">
        <f>IFERROR(__xludf.DUMMYFUNCTION("IFERROR(sum(filter('Генеральный баннер'!$Q:$Q, 'Генеральный баннер'!$B:$B=$A372,'Генеральный баннер'!$C:$C=$B372,'Генеральный баннер'!$I:$I=$C372)), 0) "),0.0)</f>
        <v>0</v>
      </c>
      <c r="R372" s="91">
        <f>IFERROR(__xludf.DUMMYFUNCTION("IFERROR(AVERAGE(filter('Генеральный баннер'!$AA:$AA, 'Генеральный баннер'!$B:$B=$A372,'Генеральный баннер'!$C:$C=$B372,'Генеральный баннер'!$I:$I=$C372)), 0) "),0.0)</f>
        <v>0</v>
      </c>
      <c r="S372" s="91">
        <f>IFERROR(__xludf.DUMMYFUNCTION("IFERROR(SUM(filter('Генеральный баннер'!$AH:$AH, 'Генеральный баннер'!$B:$B=$A372,'Генеральный баннер'!$C:$C=$B372,'Генеральный баннер'!$I:$I=$C372)), 0) "),0.0)</f>
        <v>0</v>
      </c>
      <c r="T372" s="91" t="str">
        <f>IFERROR(__xludf.DUMMYFUNCTION("IFERROR(REGEXREPLACE(unique(filter('Генеральный баннер'!$A:$A, 'Генеральный баннер'!$B:$B=$A372,'Генеральный баннер'!$C:$C=$B372,'Генеральный баннер'!$I:$I=$C372)), ""\d+"", """"),"""")"),"")</f>
        <v/>
      </c>
      <c r="U372" s="91" t="str">
        <f>IFERROR(__xludf.DUMMYFUNCTION("IFERROR(unique(filter('Генеральный баннер'!$F:$F, 'Генеральный баннер'!$B:$B=$A372,'Генеральный баннер'!$C:$C=$B372,'Генеральный баннер'!$I:$I=$C372)),"""")"),"")</f>
        <v/>
      </c>
      <c r="V372" s="92" t="str">
        <f t="shared" si="3"/>
        <v/>
      </c>
      <c r="W372" s="93">
        <f>IFERROR(__xludf.DUMMYFUNCTION("IFERROR(SWITCH(lower(join("" "",U372:V372)),""а миллионник"", 62.5,""б миллионник"", 75,""а мск"", 50, ""б мск"", 62.5, ""a остальное"", 70, ""б остальное"", 80)/100,0)"),0.0)</f>
        <v>0</v>
      </c>
      <c r="X372" s="91">
        <f t="shared" si="4"/>
        <v>0</v>
      </c>
    </row>
    <row r="373">
      <c r="A373" s="12"/>
      <c r="B373" s="12"/>
      <c r="C373" s="12"/>
      <c r="D373" s="91">
        <f>IFERROR(__xludf.DUMMYFUNCTION("IFERROR(sum(filter('Основной эфир'!$AA:$AA, 'Основной эфир'!$B:$B=$A373,'Основной эфир'!$C:$C=$B373,'Основной эфир'!$I:$I=$C373)), 0) "),0.0)</f>
        <v>0</v>
      </c>
      <c r="E373" s="91">
        <f>IFERROR(__xludf.DUMMYFUNCTION("IFERROR(sum(filter('Основной эфир'!$AC:$AC, 'Основной эфир'!$B:$B=$A373,'Основной эфир'!$C:$C=$B373,'Основной эфир'!$I:$I=$C373)), 0) "),0.0)</f>
        <v>0</v>
      </c>
      <c r="F373" s="91">
        <f>IFERROR(__xludf.DUMMYFUNCTION("IFERROR(sum(filter('Основной эфир'!$O:$O, 'Основной эфир'!$B:$B=$A373,'Основной эфир'!$C:$C=$B373,'Основной эфир'!$I:$I=$C373)), 0) "),0.0)</f>
        <v>0</v>
      </c>
      <c r="G373" s="91">
        <f>IFERROR(__xludf.DUMMYFUNCTION("IFERROR(sum(filter('Основной эфир'!$Q:$Q, 'Основной эфир'!$B:$B=$A373,'Основной эфир'!$C:$C=$B373,'Основной эфир'!$I:$I=$C373)), 0) "),0.0)</f>
        <v>0</v>
      </c>
      <c r="H373" s="91">
        <f>IFERROR(__xludf.DUMMYFUNCTION("IFERROR(AVERAGE(filter('Основной эфир'!$Y:$Y, 'Основной эфир'!$B:$B=$A373,'Основной эфир'!$C:$C=$B373,'Основной эфир'!$I:$I=$C373)), 0) "),0.0)</f>
        <v>0</v>
      </c>
      <c r="I373" s="91">
        <f>IFERROR(__xludf.DUMMYFUNCTION("IFERROR(AVERAGE(filter('Основной эфир'!$AE:$AE, 'Основной эфир'!$B:$B=$A373,'Основной эфир'!$C:$C=$B373,'Основной эфир'!$I:$I=$C373)), 0) "),0.0)</f>
        <v>0</v>
      </c>
      <c r="J373" s="91">
        <f>IFERROR(__xludf.DUMMYFUNCTION("IFERROR(SUM(filter('Основной эфир'!$AL:$AL, 'Основной эфир'!$B:$B=$A373,'Основной эфир'!$C:$C=$B373,'Основной эфир'!$I:$I=$C373)), 0) "),0.0)</f>
        <v>0</v>
      </c>
      <c r="K373" s="91" t="str">
        <f>IFERROR(__xludf.DUMMYFUNCTION("IFERROR(REGEXREPLACE(unique(filter('Основной эфир'!$A:$A, 'Основной эфир'!$B:$B=$A373,'Основной эфир'!$C:$C=$B373,'Основной эфир'!$I:$I=$C373)), ""\d+"", """"),"""")"),"")</f>
        <v/>
      </c>
      <c r="L373" s="91" t="str">
        <f>IFERROR(__xludf.DUMMYFUNCTION("IFERROR(unique(filter('Основной эфир'!$F:$F, 'Основной эфир'!$B:$B=$A373,'Основной эфир'!$C:$C=$B373,'Основной эфир'!$I:$I=$C373)),"""")"),"")</f>
        <v/>
      </c>
      <c r="M373" s="92" t="str">
        <f t="shared" si="1"/>
        <v/>
      </c>
      <c r="N373" s="93">
        <f>IFERROR(__xludf.DUMMYFUNCTION("IFERROR(SWITCH(lower(join("" "",L373:M373)),""а миллионник"", 62.5,""б миллионник"", 75,""а мск"", 50, ""б мск"", 62.5, ""a остальное"", 70, ""б остальное"", 80)/100,0)"),0.0)</f>
        <v>0</v>
      </c>
      <c r="O373" s="91">
        <f t="shared" si="2"/>
        <v>0</v>
      </c>
      <c r="P373" s="91">
        <f>IFERROR(__xludf.DUMMYFUNCTION("IFERROR(sum(filter('Генеральный баннер'!$O:$O, 'Генеральный баннер'!$B:$B=$A373,'Генеральный баннер'!$C:$C=$B373,'Генеральный баннер'!$I:$I=$C373)), 0) "),0.0)</f>
        <v>0</v>
      </c>
      <c r="Q373" s="91">
        <f>IFERROR(__xludf.DUMMYFUNCTION("IFERROR(sum(filter('Генеральный баннер'!$Q:$Q, 'Генеральный баннер'!$B:$B=$A373,'Генеральный баннер'!$C:$C=$B373,'Генеральный баннер'!$I:$I=$C373)), 0) "),0.0)</f>
        <v>0</v>
      </c>
      <c r="R373" s="91">
        <f>IFERROR(__xludf.DUMMYFUNCTION("IFERROR(AVERAGE(filter('Генеральный баннер'!$AA:$AA, 'Генеральный баннер'!$B:$B=$A373,'Генеральный баннер'!$C:$C=$B373,'Генеральный баннер'!$I:$I=$C373)), 0) "),0.0)</f>
        <v>0</v>
      </c>
      <c r="S373" s="91">
        <f>IFERROR(__xludf.DUMMYFUNCTION("IFERROR(SUM(filter('Генеральный баннер'!$AH:$AH, 'Генеральный баннер'!$B:$B=$A373,'Генеральный баннер'!$C:$C=$B373,'Генеральный баннер'!$I:$I=$C373)), 0) "),0.0)</f>
        <v>0</v>
      </c>
      <c r="T373" s="91" t="str">
        <f>IFERROR(__xludf.DUMMYFUNCTION("IFERROR(REGEXREPLACE(unique(filter('Генеральный баннер'!$A:$A, 'Генеральный баннер'!$B:$B=$A373,'Генеральный баннер'!$C:$C=$B373,'Генеральный баннер'!$I:$I=$C373)), ""\d+"", """"),"""")"),"")</f>
        <v/>
      </c>
      <c r="U373" s="91" t="str">
        <f>IFERROR(__xludf.DUMMYFUNCTION("IFERROR(unique(filter('Генеральный баннер'!$F:$F, 'Генеральный баннер'!$B:$B=$A373,'Генеральный баннер'!$C:$C=$B373,'Генеральный баннер'!$I:$I=$C373)),"""")"),"")</f>
        <v/>
      </c>
      <c r="V373" s="92" t="str">
        <f t="shared" si="3"/>
        <v/>
      </c>
      <c r="W373" s="93">
        <f>IFERROR(__xludf.DUMMYFUNCTION("IFERROR(SWITCH(lower(join("" "",U373:V373)),""а миллионник"", 62.5,""б миллионник"", 75,""а мск"", 50, ""б мск"", 62.5, ""a остальное"", 70, ""б остальное"", 80)/100,0)"),0.0)</f>
        <v>0</v>
      </c>
      <c r="X373" s="91">
        <f t="shared" si="4"/>
        <v>0</v>
      </c>
    </row>
    <row r="374">
      <c r="A374" s="12"/>
      <c r="B374" s="12"/>
      <c r="C374" s="12"/>
      <c r="D374" s="91">
        <f>IFERROR(__xludf.DUMMYFUNCTION("IFERROR(sum(filter('Основной эфир'!$AA:$AA, 'Основной эфир'!$B:$B=$A374,'Основной эфир'!$C:$C=$B374,'Основной эфир'!$I:$I=$C374)), 0) "),0.0)</f>
        <v>0</v>
      </c>
      <c r="E374" s="91">
        <f>IFERROR(__xludf.DUMMYFUNCTION("IFERROR(sum(filter('Основной эфир'!$AC:$AC, 'Основной эфир'!$B:$B=$A374,'Основной эфир'!$C:$C=$B374,'Основной эфир'!$I:$I=$C374)), 0) "),0.0)</f>
        <v>0</v>
      </c>
      <c r="F374" s="91">
        <f>IFERROR(__xludf.DUMMYFUNCTION("IFERROR(sum(filter('Основной эфир'!$O:$O, 'Основной эфир'!$B:$B=$A374,'Основной эфир'!$C:$C=$B374,'Основной эфир'!$I:$I=$C374)), 0) "),0.0)</f>
        <v>0</v>
      </c>
      <c r="G374" s="91">
        <f>IFERROR(__xludf.DUMMYFUNCTION("IFERROR(sum(filter('Основной эфир'!$Q:$Q, 'Основной эфир'!$B:$B=$A374,'Основной эфир'!$C:$C=$B374,'Основной эфир'!$I:$I=$C374)), 0) "),0.0)</f>
        <v>0</v>
      </c>
      <c r="H374" s="91">
        <f>IFERROR(__xludf.DUMMYFUNCTION("IFERROR(AVERAGE(filter('Основной эфир'!$Y:$Y, 'Основной эфир'!$B:$B=$A374,'Основной эфир'!$C:$C=$B374,'Основной эфир'!$I:$I=$C374)), 0) "),0.0)</f>
        <v>0</v>
      </c>
      <c r="I374" s="91">
        <f>IFERROR(__xludf.DUMMYFUNCTION("IFERROR(AVERAGE(filter('Основной эфир'!$AE:$AE, 'Основной эфир'!$B:$B=$A374,'Основной эфир'!$C:$C=$B374,'Основной эфир'!$I:$I=$C374)), 0) "),0.0)</f>
        <v>0</v>
      </c>
      <c r="J374" s="91">
        <f>IFERROR(__xludf.DUMMYFUNCTION("IFERROR(SUM(filter('Основной эфир'!$AL:$AL, 'Основной эфир'!$B:$B=$A374,'Основной эфир'!$C:$C=$B374,'Основной эфир'!$I:$I=$C374)), 0) "),0.0)</f>
        <v>0</v>
      </c>
      <c r="K374" s="91" t="str">
        <f>IFERROR(__xludf.DUMMYFUNCTION("IFERROR(REGEXREPLACE(unique(filter('Основной эфир'!$A:$A, 'Основной эфир'!$B:$B=$A374,'Основной эфир'!$C:$C=$B374,'Основной эфир'!$I:$I=$C374)), ""\d+"", """"),"""")"),"")</f>
        <v/>
      </c>
      <c r="L374" s="91" t="str">
        <f>IFERROR(__xludf.DUMMYFUNCTION("IFERROR(unique(filter('Основной эфир'!$F:$F, 'Основной эфир'!$B:$B=$A374,'Основной эфир'!$C:$C=$B374,'Основной эфир'!$I:$I=$C374)),"""")"),"")</f>
        <v/>
      </c>
      <c r="M374" s="92" t="str">
        <f t="shared" si="1"/>
        <v/>
      </c>
      <c r="N374" s="93">
        <f>IFERROR(__xludf.DUMMYFUNCTION("IFERROR(SWITCH(lower(join("" "",L374:M374)),""а миллионник"", 62.5,""б миллионник"", 75,""а мск"", 50, ""б мск"", 62.5, ""a остальное"", 70, ""б остальное"", 80)/100,0)"),0.0)</f>
        <v>0</v>
      </c>
      <c r="O374" s="91">
        <f t="shared" si="2"/>
        <v>0</v>
      </c>
      <c r="P374" s="91">
        <f>IFERROR(__xludf.DUMMYFUNCTION("IFERROR(sum(filter('Генеральный баннер'!$O:$O, 'Генеральный баннер'!$B:$B=$A374,'Генеральный баннер'!$C:$C=$B374,'Генеральный баннер'!$I:$I=$C374)), 0) "),0.0)</f>
        <v>0</v>
      </c>
      <c r="Q374" s="91">
        <f>IFERROR(__xludf.DUMMYFUNCTION("IFERROR(sum(filter('Генеральный баннер'!$Q:$Q, 'Генеральный баннер'!$B:$B=$A374,'Генеральный баннер'!$C:$C=$B374,'Генеральный баннер'!$I:$I=$C374)), 0) "),0.0)</f>
        <v>0</v>
      </c>
      <c r="R374" s="91">
        <f>IFERROR(__xludf.DUMMYFUNCTION("IFERROR(AVERAGE(filter('Генеральный баннер'!$AA:$AA, 'Генеральный баннер'!$B:$B=$A374,'Генеральный баннер'!$C:$C=$B374,'Генеральный баннер'!$I:$I=$C374)), 0) "),0.0)</f>
        <v>0</v>
      </c>
      <c r="S374" s="91">
        <f>IFERROR(__xludf.DUMMYFUNCTION("IFERROR(SUM(filter('Генеральный баннер'!$AH:$AH, 'Генеральный баннер'!$B:$B=$A374,'Генеральный баннер'!$C:$C=$B374,'Генеральный баннер'!$I:$I=$C374)), 0) "),0.0)</f>
        <v>0</v>
      </c>
      <c r="T374" s="91" t="str">
        <f>IFERROR(__xludf.DUMMYFUNCTION("IFERROR(REGEXREPLACE(unique(filter('Генеральный баннер'!$A:$A, 'Генеральный баннер'!$B:$B=$A374,'Генеральный баннер'!$C:$C=$B374,'Генеральный баннер'!$I:$I=$C374)), ""\d+"", """"),"""")"),"")</f>
        <v/>
      </c>
      <c r="U374" s="91" t="str">
        <f>IFERROR(__xludf.DUMMYFUNCTION("IFERROR(unique(filter('Генеральный баннер'!$F:$F, 'Генеральный баннер'!$B:$B=$A374,'Генеральный баннер'!$C:$C=$B374,'Генеральный баннер'!$I:$I=$C374)),"""")"),"")</f>
        <v/>
      </c>
      <c r="V374" s="92" t="str">
        <f t="shared" si="3"/>
        <v/>
      </c>
      <c r="W374" s="93">
        <f>IFERROR(__xludf.DUMMYFUNCTION("IFERROR(SWITCH(lower(join("" "",U374:V374)),""а миллионник"", 62.5,""б миллионник"", 75,""а мск"", 50, ""б мск"", 62.5, ""a остальное"", 70, ""б остальное"", 80)/100,0)"),0.0)</f>
        <v>0</v>
      </c>
      <c r="X374" s="91">
        <f t="shared" si="4"/>
        <v>0</v>
      </c>
    </row>
    <row r="375">
      <c r="A375" s="12"/>
      <c r="B375" s="12"/>
      <c r="C375" s="12"/>
      <c r="D375" s="91">
        <f>IFERROR(__xludf.DUMMYFUNCTION("IFERROR(sum(filter('Основной эфир'!$AA:$AA, 'Основной эфир'!$B:$B=$A375,'Основной эфир'!$C:$C=$B375,'Основной эфир'!$I:$I=$C375)), 0) "),0.0)</f>
        <v>0</v>
      </c>
      <c r="E375" s="91">
        <f>IFERROR(__xludf.DUMMYFUNCTION("IFERROR(sum(filter('Основной эфир'!$AC:$AC, 'Основной эфир'!$B:$B=$A375,'Основной эфир'!$C:$C=$B375,'Основной эфир'!$I:$I=$C375)), 0) "),0.0)</f>
        <v>0</v>
      </c>
      <c r="F375" s="91">
        <f>IFERROR(__xludf.DUMMYFUNCTION("IFERROR(sum(filter('Основной эфир'!$O:$O, 'Основной эфир'!$B:$B=$A375,'Основной эфир'!$C:$C=$B375,'Основной эфир'!$I:$I=$C375)), 0) "),0.0)</f>
        <v>0</v>
      </c>
      <c r="G375" s="91">
        <f>IFERROR(__xludf.DUMMYFUNCTION("IFERROR(sum(filter('Основной эфир'!$Q:$Q, 'Основной эфир'!$B:$B=$A375,'Основной эфир'!$C:$C=$B375,'Основной эфир'!$I:$I=$C375)), 0) "),0.0)</f>
        <v>0</v>
      </c>
      <c r="H375" s="91">
        <f>IFERROR(__xludf.DUMMYFUNCTION("IFERROR(AVERAGE(filter('Основной эфир'!$Y:$Y, 'Основной эфир'!$B:$B=$A375,'Основной эфир'!$C:$C=$B375,'Основной эфир'!$I:$I=$C375)), 0) "),0.0)</f>
        <v>0</v>
      </c>
      <c r="I375" s="91">
        <f>IFERROR(__xludf.DUMMYFUNCTION("IFERROR(AVERAGE(filter('Основной эфир'!$AE:$AE, 'Основной эфир'!$B:$B=$A375,'Основной эфир'!$C:$C=$B375,'Основной эфир'!$I:$I=$C375)), 0) "),0.0)</f>
        <v>0</v>
      </c>
      <c r="J375" s="91">
        <f>IFERROR(__xludf.DUMMYFUNCTION("IFERROR(SUM(filter('Основной эфир'!$AL:$AL, 'Основной эфир'!$B:$B=$A375,'Основной эфир'!$C:$C=$B375,'Основной эфир'!$I:$I=$C375)), 0) "),0.0)</f>
        <v>0</v>
      </c>
      <c r="K375" s="91" t="str">
        <f>IFERROR(__xludf.DUMMYFUNCTION("IFERROR(REGEXREPLACE(unique(filter('Основной эфир'!$A:$A, 'Основной эфир'!$B:$B=$A375,'Основной эфир'!$C:$C=$B375,'Основной эфир'!$I:$I=$C375)), ""\d+"", """"),"""")"),"")</f>
        <v/>
      </c>
      <c r="L375" s="91" t="str">
        <f>IFERROR(__xludf.DUMMYFUNCTION("IFERROR(unique(filter('Основной эфир'!$F:$F, 'Основной эфир'!$B:$B=$A375,'Основной эфир'!$C:$C=$B375,'Основной эфир'!$I:$I=$C375)),"""")"),"")</f>
        <v/>
      </c>
      <c r="M375" s="92" t="str">
        <f t="shared" si="1"/>
        <v/>
      </c>
      <c r="N375" s="93">
        <f>IFERROR(__xludf.DUMMYFUNCTION("IFERROR(SWITCH(lower(join("" "",L375:M375)),""а миллионник"", 62.5,""б миллионник"", 75,""а мск"", 50, ""б мск"", 62.5, ""a остальное"", 70, ""б остальное"", 80)/100,0)"),0.0)</f>
        <v>0</v>
      </c>
      <c r="O375" s="91">
        <f t="shared" si="2"/>
        <v>0</v>
      </c>
      <c r="P375" s="91">
        <f>IFERROR(__xludf.DUMMYFUNCTION("IFERROR(sum(filter('Генеральный баннер'!$O:$O, 'Генеральный баннер'!$B:$B=$A375,'Генеральный баннер'!$C:$C=$B375,'Генеральный баннер'!$I:$I=$C375)), 0) "),0.0)</f>
        <v>0</v>
      </c>
      <c r="Q375" s="91">
        <f>IFERROR(__xludf.DUMMYFUNCTION("IFERROR(sum(filter('Генеральный баннер'!$Q:$Q, 'Генеральный баннер'!$B:$B=$A375,'Генеральный баннер'!$C:$C=$B375,'Генеральный баннер'!$I:$I=$C375)), 0) "),0.0)</f>
        <v>0</v>
      </c>
      <c r="R375" s="91">
        <f>IFERROR(__xludf.DUMMYFUNCTION("IFERROR(AVERAGE(filter('Генеральный баннер'!$AA:$AA, 'Генеральный баннер'!$B:$B=$A375,'Генеральный баннер'!$C:$C=$B375,'Генеральный баннер'!$I:$I=$C375)), 0) "),0.0)</f>
        <v>0</v>
      </c>
      <c r="S375" s="91">
        <f>IFERROR(__xludf.DUMMYFUNCTION("IFERROR(SUM(filter('Генеральный баннер'!$AH:$AH, 'Генеральный баннер'!$B:$B=$A375,'Генеральный баннер'!$C:$C=$B375,'Генеральный баннер'!$I:$I=$C375)), 0) "),0.0)</f>
        <v>0</v>
      </c>
      <c r="T375" s="91" t="str">
        <f>IFERROR(__xludf.DUMMYFUNCTION("IFERROR(REGEXREPLACE(unique(filter('Генеральный баннер'!$A:$A, 'Генеральный баннер'!$B:$B=$A375,'Генеральный баннер'!$C:$C=$B375,'Генеральный баннер'!$I:$I=$C375)), ""\d+"", """"),"""")"),"")</f>
        <v/>
      </c>
      <c r="U375" s="91" t="str">
        <f>IFERROR(__xludf.DUMMYFUNCTION("IFERROR(unique(filter('Генеральный баннер'!$F:$F, 'Генеральный баннер'!$B:$B=$A375,'Генеральный баннер'!$C:$C=$B375,'Генеральный баннер'!$I:$I=$C375)),"""")"),"")</f>
        <v/>
      </c>
      <c r="V375" s="92" t="str">
        <f t="shared" si="3"/>
        <v/>
      </c>
      <c r="W375" s="93">
        <f>IFERROR(__xludf.DUMMYFUNCTION("IFERROR(SWITCH(lower(join("" "",U375:V375)),""а миллионник"", 62.5,""б миллионник"", 75,""а мск"", 50, ""б мск"", 62.5, ""a остальное"", 70, ""б остальное"", 80)/100,0)"),0.0)</f>
        <v>0</v>
      </c>
      <c r="X375" s="91">
        <f t="shared" si="4"/>
        <v>0</v>
      </c>
    </row>
    <row r="376">
      <c r="A376" s="12"/>
      <c r="B376" s="12"/>
      <c r="C376" s="12"/>
      <c r="D376" s="91">
        <f>IFERROR(__xludf.DUMMYFUNCTION("IFERROR(sum(filter('Основной эфир'!$AA:$AA, 'Основной эфир'!$B:$B=$A376,'Основной эфир'!$C:$C=$B376,'Основной эфир'!$I:$I=$C376)), 0) "),0.0)</f>
        <v>0</v>
      </c>
      <c r="E376" s="91">
        <f>IFERROR(__xludf.DUMMYFUNCTION("IFERROR(sum(filter('Основной эфир'!$AC:$AC, 'Основной эфир'!$B:$B=$A376,'Основной эфир'!$C:$C=$B376,'Основной эфир'!$I:$I=$C376)), 0) "),0.0)</f>
        <v>0</v>
      </c>
      <c r="F376" s="91">
        <f>IFERROR(__xludf.DUMMYFUNCTION("IFERROR(sum(filter('Основной эфир'!$O:$O, 'Основной эфир'!$B:$B=$A376,'Основной эфир'!$C:$C=$B376,'Основной эфир'!$I:$I=$C376)), 0) "),0.0)</f>
        <v>0</v>
      </c>
      <c r="G376" s="91">
        <f>IFERROR(__xludf.DUMMYFUNCTION("IFERROR(sum(filter('Основной эфир'!$Q:$Q, 'Основной эфир'!$B:$B=$A376,'Основной эфир'!$C:$C=$B376,'Основной эфир'!$I:$I=$C376)), 0) "),0.0)</f>
        <v>0</v>
      </c>
      <c r="H376" s="91">
        <f>IFERROR(__xludf.DUMMYFUNCTION("IFERROR(AVERAGE(filter('Основной эфир'!$Y:$Y, 'Основной эфир'!$B:$B=$A376,'Основной эфир'!$C:$C=$B376,'Основной эфир'!$I:$I=$C376)), 0) "),0.0)</f>
        <v>0</v>
      </c>
      <c r="I376" s="91">
        <f>IFERROR(__xludf.DUMMYFUNCTION("IFERROR(AVERAGE(filter('Основной эфир'!$AE:$AE, 'Основной эфир'!$B:$B=$A376,'Основной эфир'!$C:$C=$B376,'Основной эфир'!$I:$I=$C376)), 0) "),0.0)</f>
        <v>0</v>
      </c>
      <c r="J376" s="91">
        <f>IFERROR(__xludf.DUMMYFUNCTION("IFERROR(SUM(filter('Основной эфир'!$AL:$AL, 'Основной эфир'!$B:$B=$A376,'Основной эфир'!$C:$C=$B376,'Основной эфир'!$I:$I=$C376)), 0) "),0.0)</f>
        <v>0</v>
      </c>
      <c r="K376" s="91" t="str">
        <f>IFERROR(__xludf.DUMMYFUNCTION("IFERROR(REGEXREPLACE(unique(filter('Основной эфир'!$A:$A, 'Основной эфир'!$B:$B=$A376,'Основной эфир'!$C:$C=$B376,'Основной эфир'!$I:$I=$C376)), ""\d+"", """"),"""")"),"")</f>
        <v/>
      </c>
      <c r="L376" s="91" t="str">
        <f>IFERROR(__xludf.DUMMYFUNCTION("IFERROR(unique(filter('Основной эфир'!$F:$F, 'Основной эфир'!$B:$B=$A376,'Основной эфир'!$C:$C=$B376,'Основной эфир'!$I:$I=$C376)),"""")"),"")</f>
        <v/>
      </c>
      <c r="M376" s="92" t="str">
        <f t="shared" si="1"/>
        <v/>
      </c>
      <c r="N376" s="93">
        <f>IFERROR(__xludf.DUMMYFUNCTION("IFERROR(SWITCH(lower(join("" "",L376:M376)),""а миллионник"", 62.5,""б миллионник"", 75,""а мск"", 50, ""б мск"", 62.5, ""a остальное"", 70, ""б остальное"", 80)/100,0)"),0.0)</f>
        <v>0</v>
      </c>
      <c r="O376" s="91">
        <f t="shared" si="2"/>
        <v>0</v>
      </c>
      <c r="P376" s="91">
        <f>IFERROR(__xludf.DUMMYFUNCTION("IFERROR(sum(filter('Генеральный баннер'!$O:$O, 'Генеральный баннер'!$B:$B=$A376,'Генеральный баннер'!$C:$C=$B376,'Генеральный баннер'!$I:$I=$C376)), 0) "),0.0)</f>
        <v>0</v>
      </c>
      <c r="Q376" s="91">
        <f>IFERROR(__xludf.DUMMYFUNCTION("IFERROR(sum(filter('Генеральный баннер'!$Q:$Q, 'Генеральный баннер'!$B:$B=$A376,'Генеральный баннер'!$C:$C=$B376,'Генеральный баннер'!$I:$I=$C376)), 0) "),0.0)</f>
        <v>0</v>
      </c>
      <c r="R376" s="91">
        <f>IFERROR(__xludf.DUMMYFUNCTION("IFERROR(AVERAGE(filter('Генеральный баннер'!$AA:$AA, 'Генеральный баннер'!$B:$B=$A376,'Генеральный баннер'!$C:$C=$B376,'Генеральный баннер'!$I:$I=$C376)), 0) "),0.0)</f>
        <v>0</v>
      </c>
      <c r="S376" s="91">
        <f>IFERROR(__xludf.DUMMYFUNCTION("IFERROR(SUM(filter('Генеральный баннер'!$AH:$AH, 'Генеральный баннер'!$B:$B=$A376,'Генеральный баннер'!$C:$C=$B376,'Генеральный баннер'!$I:$I=$C376)), 0) "),0.0)</f>
        <v>0</v>
      </c>
      <c r="T376" s="91" t="str">
        <f>IFERROR(__xludf.DUMMYFUNCTION("IFERROR(REGEXREPLACE(unique(filter('Генеральный баннер'!$A:$A, 'Генеральный баннер'!$B:$B=$A376,'Генеральный баннер'!$C:$C=$B376,'Генеральный баннер'!$I:$I=$C376)), ""\d+"", """"),"""")"),"")</f>
        <v/>
      </c>
      <c r="U376" s="91" t="str">
        <f>IFERROR(__xludf.DUMMYFUNCTION("IFERROR(unique(filter('Генеральный баннер'!$F:$F, 'Генеральный баннер'!$B:$B=$A376,'Генеральный баннер'!$C:$C=$B376,'Генеральный баннер'!$I:$I=$C376)),"""")"),"")</f>
        <v/>
      </c>
      <c r="V376" s="92" t="str">
        <f t="shared" si="3"/>
        <v/>
      </c>
      <c r="W376" s="93">
        <f>IFERROR(__xludf.DUMMYFUNCTION("IFERROR(SWITCH(lower(join("" "",U376:V376)),""а миллионник"", 62.5,""б миллионник"", 75,""а мск"", 50, ""б мск"", 62.5, ""a остальное"", 70, ""б остальное"", 80)/100,0)"),0.0)</f>
        <v>0</v>
      </c>
      <c r="X376" s="91">
        <f t="shared" si="4"/>
        <v>0</v>
      </c>
    </row>
    <row r="377">
      <c r="A377" s="12"/>
      <c r="B377" s="12"/>
      <c r="C377" s="12"/>
      <c r="D377" s="91">
        <f>IFERROR(__xludf.DUMMYFUNCTION("IFERROR(sum(filter('Основной эфир'!$AA:$AA, 'Основной эфир'!$B:$B=$A377,'Основной эфир'!$C:$C=$B377,'Основной эфир'!$I:$I=$C377)), 0) "),0.0)</f>
        <v>0</v>
      </c>
      <c r="E377" s="91">
        <f>IFERROR(__xludf.DUMMYFUNCTION("IFERROR(sum(filter('Основной эфир'!$AC:$AC, 'Основной эфир'!$B:$B=$A377,'Основной эфир'!$C:$C=$B377,'Основной эфир'!$I:$I=$C377)), 0) "),0.0)</f>
        <v>0</v>
      </c>
      <c r="F377" s="91">
        <f>IFERROR(__xludf.DUMMYFUNCTION("IFERROR(sum(filter('Основной эфир'!$O:$O, 'Основной эфир'!$B:$B=$A377,'Основной эфир'!$C:$C=$B377,'Основной эфир'!$I:$I=$C377)), 0) "),0.0)</f>
        <v>0</v>
      </c>
      <c r="G377" s="91">
        <f>IFERROR(__xludf.DUMMYFUNCTION("IFERROR(sum(filter('Основной эфир'!$Q:$Q, 'Основной эфир'!$B:$B=$A377,'Основной эфир'!$C:$C=$B377,'Основной эфир'!$I:$I=$C377)), 0) "),0.0)</f>
        <v>0</v>
      </c>
      <c r="H377" s="91">
        <f>IFERROR(__xludf.DUMMYFUNCTION("IFERROR(AVERAGE(filter('Основной эфир'!$Y:$Y, 'Основной эфир'!$B:$B=$A377,'Основной эфир'!$C:$C=$B377,'Основной эфир'!$I:$I=$C377)), 0) "),0.0)</f>
        <v>0</v>
      </c>
      <c r="I377" s="91">
        <f>IFERROR(__xludf.DUMMYFUNCTION("IFERROR(AVERAGE(filter('Основной эфир'!$AE:$AE, 'Основной эфир'!$B:$B=$A377,'Основной эфир'!$C:$C=$B377,'Основной эфир'!$I:$I=$C377)), 0) "),0.0)</f>
        <v>0</v>
      </c>
      <c r="J377" s="91">
        <f>IFERROR(__xludf.DUMMYFUNCTION("IFERROR(SUM(filter('Основной эфир'!$AL:$AL, 'Основной эфир'!$B:$B=$A377,'Основной эфир'!$C:$C=$B377,'Основной эфир'!$I:$I=$C377)), 0) "),0.0)</f>
        <v>0</v>
      </c>
      <c r="K377" s="91" t="str">
        <f>IFERROR(__xludf.DUMMYFUNCTION("IFERROR(REGEXREPLACE(unique(filter('Основной эфир'!$A:$A, 'Основной эфир'!$B:$B=$A377,'Основной эфир'!$C:$C=$B377,'Основной эфир'!$I:$I=$C377)), ""\d+"", """"),"""")"),"")</f>
        <v/>
      </c>
      <c r="L377" s="91" t="str">
        <f>IFERROR(__xludf.DUMMYFUNCTION("IFERROR(unique(filter('Основной эфир'!$F:$F, 'Основной эфир'!$B:$B=$A377,'Основной эфир'!$C:$C=$B377,'Основной эфир'!$I:$I=$C377)),"""")"),"")</f>
        <v/>
      </c>
      <c r="M377" s="92" t="str">
        <f t="shared" si="1"/>
        <v/>
      </c>
      <c r="N377" s="93">
        <f>IFERROR(__xludf.DUMMYFUNCTION("IFERROR(SWITCH(lower(join("" "",L377:M377)),""а миллионник"", 62.5,""б миллионник"", 75,""а мск"", 50, ""б мск"", 62.5, ""a остальное"", 70, ""б остальное"", 80)/100,0)"),0.0)</f>
        <v>0</v>
      </c>
      <c r="O377" s="91">
        <f t="shared" si="2"/>
        <v>0</v>
      </c>
      <c r="P377" s="91">
        <f>IFERROR(__xludf.DUMMYFUNCTION("IFERROR(sum(filter('Генеральный баннер'!$O:$O, 'Генеральный баннер'!$B:$B=$A377,'Генеральный баннер'!$C:$C=$B377,'Генеральный баннер'!$I:$I=$C377)), 0) "),0.0)</f>
        <v>0</v>
      </c>
      <c r="Q377" s="91">
        <f>IFERROR(__xludf.DUMMYFUNCTION("IFERROR(sum(filter('Генеральный баннер'!$Q:$Q, 'Генеральный баннер'!$B:$B=$A377,'Генеральный баннер'!$C:$C=$B377,'Генеральный баннер'!$I:$I=$C377)), 0) "),0.0)</f>
        <v>0</v>
      </c>
      <c r="R377" s="91">
        <f>IFERROR(__xludf.DUMMYFUNCTION("IFERROR(AVERAGE(filter('Генеральный баннер'!$AA:$AA, 'Генеральный баннер'!$B:$B=$A377,'Генеральный баннер'!$C:$C=$B377,'Генеральный баннер'!$I:$I=$C377)), 0) "),0.0)</f>
        <v>0</v>
      </c>
      <c r="S377" s="91">
        <f>IFERROR(__xludf.DUMMYFUNCTION("IFERROR(SUM(filter('Генеральный баннер'!$AH:$AH, 'Генеральный баннер'!$B:$B=$A377,'Генеральный баннер'!$C:$C=$B377,'Генеральный баннер'!$I:$I=$C377)), 0) "),0.0)</f>
        <v>0</v>
      </c>
      <c r="T377" s="91" t="str">
        <f>IFERROR(__xludf.DUMMYFUNCTION("IFERROR(REGEXREPLACE(unique(filter('Генеральный баннер'!$A:$A, 'Генеральный баннер'!$B:$B=$A377,'Генеральный баннер'!$C:$C=$B377,'Генеральный баннер'!$I:$I=$C377)), ""\d+"", """"),"""")"),"")</f>
        <v/>
      </c>
      <c r="U377" s="91" t="str">
        <f>IFERROR(__xludf.DUMMYFUNCTION("IFERROR(unique(filter('Генеральный баннер'!$F:$F, 'Генеральный баннер'!$B:$B=$A377,'Генеральный баннер'!$C:$C=$B377,'Генеральный баннер'!$I:$I=$C377)),"""")"),"")</f>
        <v/>
      </c>
      <c r="V377" s="92" t="str">
        <f t="shared" si="3"/>
        <v/>
      </c>
      <c r="W377" s="93">
        <f>IFERROR(__xludf.DUMMYFUNCTION("IFERROR(SWITCH(lower(join("" "",U377:V377)),""а миллионник"", 62.5,""б миллионник"", 75,""а мск"", 50, ""б мск"", 62.5, ""a остальное"", 70, ""б остальное"", 80)/100,0)"),0.0)</f>
        <v>0</v>
      </c>
      <c r="X377" s="91">
        <f t="shared" si="4"/>
        <v>0</v>
      </c>
    </row>
    <row r="378">
      <c r="A378" s="12"/>
      <c r="B378" s="12"/>
      <c r="C378" s="12"/>
      <c r="D378" s="91">
        <f>IFERROR(__xludf.DUMMYFUNCTION("IFERROR(sum(filter('Основной эфир'!$AA:$AA, 'Основной эфир'!$B:$B=$A378,'Основной эфир'!$C:$C=$B378,'Основной эфир'!$I:$I=$C378)), 0) "),0.0)</f>
        <v>0</v>
      </c>
      <c r="E378" s="91">
        <f>IFERROR(__xludf.DUMMYFUNCTION("IFERROR(sum(filter('Основной эфир'!$AC:$AC, 'Основной эфир'!$B:$B=$A378,'Основной эфир'!$C:$C=$B378,'Основной эфир'!$I:$I=$C378)), 0) "),0.0)</f>
        <v>0</v>
      </c>
      <c r="F378" s="91">
        <f>IFERROR(__xludf.DUMMYFUNCTION("IFERROR(sum(filter('Основной эфир'!$O:$O, 'Основной эфир'!$B:$B=$A378,'Основной эфир'!$C:$C=$B378,'Основной эфир'!$I:$I=$C378)), 0) "),0.0)</f>
        <v>0</v>
      </c>
      <c r="G378" s="91">
        <f>IFERROR(__xludf.DUMMYFUNCTION("IFERROR(sum(filter('Основной эфир'!$Q:$Q, 'Основной эфир'!$B:$B=$A378,'Основной эфир'!$C:$C=$B378,'Основной эфир'!$I:$I=$C378)), 0) "),0.0)</f>
        <v>0</v>
      </c>
      <c r="H378" s="91">
        <f>IFERROR(__xludf.DUMMYFUNCTION("IFERROR(AVERAGE(filter('Основной эфир'!$Y:$Y, 'Основной эфир'!$B:$B=$A378,'Основной эфир'!$C:$C=$B378,'Основной эфир'!$I:$I=$C378)), 0) "),0.0)</f>
        <v>0</v>
      </c>
      <c r="I378" s="91">
        <f>IFERROR(__xludf.DUMMYFUNCTION("IFERROR(AVERAGE(filter('Основной эфир'!$AE:$AE, 'Основной эфир'!$B:$B=$A378,'Основной эфир'!$C:$C=$B378,'Основной эфир'!$I:$I=$C378)), 0) "),0.0)</f>
        <v>0</v>
      </c>
      <c r="J378" s="91">
        <f>IFERROR(__xludf.DUMMYFUNCTION("IFERROR(SUM(filter('Основной эфир'!$AL:$AL, 'Основной эфир'!$B:$B=$A378,'Основной эфир'!$C:$C=$B378,'Основной эфир'!$I:$I=$C378)), 0) "),0.0)</f>
        <v>0</v>
      </c>
      <c r="K378" s="91" t="str">
        <f>IFERROR(__xludf.DUMMYFUNCTION("IFERROR(REGEXREPLACE(unique(filter('Основной эфир'!$A:$A, 'Основной эфир'!$B:$B=$A378,'Основной эфир'!$C:$C=$B378,'Основной эфир'!$I:$I=$C378)), ""\d+"", """"),"""")"),"")</f>
        <v/>
      </c>
      <c r="L378" s="91" t="str">
        <f>IFERROR(__xludf.DUMMYFUNCTION("IFERROR(unique(filter('Основной эфир'!$F:$F, 'Основной эфир'!$B:$B=$A378,'Основной эфир'!$C:$C=$B378,'Основной эфир'!$I:$I=$C378)),"""")"),"")</f>
        <v/>
      </c>
      <c r="M378" s="92" t="str">
        <f t="shared" si="1"/>
        <v/>
      </c>
      <c r="N378" s="93">
        <f>IFERROR(__xludf.DUMMYFUNCTION("IFERROR(SWITCH(lower(join("" "",L378:M378)),""а миллионник"", 62.5,""б миллионник"", 75,""а мск"", 50, ""б мск"", 62.5, ""a остальное"", 70, ""б остальное"", 80)/100,0)"),0.0)</f>
        <v>0</v>
      </c>
      <c r="O378" s="91">
        <f t="shared" si="2"/>
        <v>0</v>
      </c>
      <c r="P378" s="91">
        <f>IFERROR(__xludf.DUMMYFUNCTION("IFERROR(sum(filter('Генеральный баннер'!$O:$O, 'Генеральный баннер'!$B:$B=$A378,'Генеральный баннер'!$C:$C=$B378,'Генеральный баннер'!$I:$I=$C378)), 0) "),0.0)</f>
        <v>0</v>
      </c>
      <c r="Q378" s="91">
        <f>IFERROR(__xludf.DUMMYFUNCTION("IFERROR(sum(filter('Генеральный баннер'!$Q:$Q, 'Генеральный баннер'!$B:$B=$A378,'Генеральный баннер'!$C:$C=$B378,'Генеральный баннер'!$I:$I=$C378)), 0) "),0.0)</f>
        <v>0</v>
      </c>
      <c r="R378" s="91">
        <f>IFERROR(__xludf.DUMMYFUNCTION("IFERROR(AVERAGE(filter('Генеральный баннер'!$AA:$AA, 'Генеральный баннер'!$B:$B=$A378,'Генеральный баннер'!$C:$C=$B378,'Генеральный баннер'!$I:$I=$C378)), 0) "),0.0)</f>
        <v>0</v>
      </c>
      <c r="S378" s="91">
        <f>IFERROR(__xludf.DUMMYFUNCTION("IFERROR(SUM(filter('Генеральный баннер'!$AH:$AH, 'Генеральный баннер'!$B:$B=$A378,'Генеральный баннер'!$C:$C=$B378,'Генеральный баннер'!$I:$I=$C378)), 0) "),0.0)</f>
        <v>0</v>
      </c>
      <c r="T378" s="91" t="str">
        <f>IFERROR(__xludf.DUMMYFUNCTION("IFERROR(REGEXREPLACE(unique(filter('Генеральный баннер'!$A:$A, 'Генеральный баннер'!$B:$B=$A378,'Генеральный баннер'!$C:$C=$B378,'Генеральный баннер'!$I:$I=$C378)), ""\d+"", """"),"""")"),"")</f>
        <v/>
      </c>
      <c r="U378" s="91" t="str">
        <f>IFERROR(__xludf.DUMMYFUNCTION("IFERROR(unique(filter('Генеральный баннер'!$F:$F, 'Генеральный баннер'!$B:$B=$A378,'Генеральный баннер'!$C:$C=$B378,'Генеральный баннер'!$I:$I=$C378)),"""")"),"")</f>
        <v/>
      </c>
      <c r="V378" s="92" t="str">
        <f t="shared" si="3"/>
        <v/>
      </c>
      <c r="W378" s="93">
        <f>IFERROR(__xludf.DUMMYFUNCTION("IFERROR(SWITCH(lower(join("" "",U378:V378)),""а миллионник"", 62.5,""б миллионник"", 75,""а мск"", 50, ""б мск"", 62.5, ""a остальное"", 70, ""б остальное"", 80)/100,0)"),0.0)</f>
        <v>0</v>
      </c>
      <c r="X378" s="91">
        <f t="shared" si="4"/>
        <v>0</v>
      </c>
    </row>
    <row r="379">
      <c r="A379" s="12"/>
      <c r="B379" s="12"/>
      <c r="C379" s="12"/>
      <c r="D379" s="91">
        <f>IFERROR(__xludf.DUMMYFUNCTION("IFERROR(sum(filter('Основной эфир'!$AA:$AA, 'Основной эфир'!$B:$B=$A379,'Основной эфир'!$C:$C=$B379,'Основной эфир'!$I:$I=$C379)), 0) "),0.0)</f>
        <v>0</v>
      </c>
      <c r="E379" s="91">
        <f>IFERROR(__xludf.DUMMYFUNCTION("IFERROR(sum(filter('Основной эфир'!$AC:$AC, 'Основной эфир'!$B:$B=$A379,'Основной эфир'!$C:$C=$B379,'Основной эфир'!$I:$I=$C379)), 0) "),0.0)</f>
        <v>0</v>
      </c>
      <c r="F379" s="91">
        <f>IFERROR(__xludf.DUMMYFUNCTION("IFERROR(sum(filter('Основной эфир'!$O:$O, 'Основной эфир'!$B:$B=$A379,'Основной эфир'!$C:$C=$B379,'Основной эфир'!$I:$I=$C379)), 0) "),0.0)</f>
        <v>0</v>
      </c>
      <c r="G379" s="91">
        <f>IFERROR(__xludf.DUMMYFUNCTION("IFERROR(sum(filter('Основной эфир'!$Q:$Q, 'Основной эфир'!$B:$B=$A379,'Основной эфир'!$C:$C=$B379,'Основной эфир'!$I:$I=$C379)), 0) "),0.0)</f>
        <v>0</v>
      </c>
      <c r="H379" s="91">
        <f>IFERROR(__xludf.DUMMYFUNCTION("IFERROR(AVERAGE(filter('Основной эфир'!$Y:$Y, 'Основной эфир'!$B:$B=$A379,'Основной эфир'!$C:$C=$B379,'Основной эфир'!$I:$I=$C379)), 0) "),0.0)</f>
        <v>0</v>
      </c>
      <c r="I379" s="91">
        <f>IFERROR(__xludf.DUMMYFUNCTION("IFERROR(AVERAGE(filter('Основной эфир'!$AE:$AE, 'Основной эфир'!$B:$B=$A379,'Основной эфир'!$C:$C=$B379,'Основной эфир'!$I:$I=$C379)), 0) "),0.0)</f>
        <v>0</v>
      </c>
      <c r="J379" s="91">
        <f>IFERROR(__xludf.DUMMYFUNCTION("IFERROR(SUM(filter('Основной эфир'!$AL:$AL, 'Основной эфир'!$B:$B=$A379,'Основной эфир'!$C:$C=$B379,'Основной эфир'!$I:$I=$C379)), 0) "),0.0)</f>
        <v>0</v>
      </c>
      <c r="K379" s="91" t="str">
        <f>IFERROR(__xludf.DUMMYFUNCTION("IFERROR(REGEXREPLACE(unique(filter('Основной эфир'!$A:$A, 'Основной эфир'!$B:$B=$A379,'Основной эфир'!$C:$C=$B379,'Основной эфир'!$I:$I=$C379)), ""\d+"", """"),"""")"),"")</f>
        <v/>
      </c>
      <c r="L379" s="91" t="str">
        <f>IFERROR(__xludf.DUMMYFUNCTION("IFERROR(unique(filter('Основной эфир'!$F:$F, 'Основной эфир'!$B:$B=$A379,'Основной эфир'!$C:$C=$B379,'Основной эфир'!$I:$I=$C379)),"""")"),"")</f>
        <v/>
      </c>
      <c r="M379" s="92" t="str">
        <f t="shared" si="1"/>
        <v/>
      </c>
      <c r="N379" s="93">
        <f>IFERROR(__xludf.DUMMYFUNCTION("IFERROR(SWITCH(lower(join("" "",L379:M379)),""а миллионник"", 62.5,""б миллионник"", 75,""а мск"", 50, ""б мск"", 62.5, ""a остальное"", 70, ""б остальное"", 80)/100,0)"),0.0)</f>
        <v>0</v>
      </c>
      <c r="O379" s="91">
        <f t="shared" si="2"/>
        <v>0</v>
      </c>
      <c r="P379" s="91">
        <f>IFERROR(__xludf.DUMMYFUNCTION("IFERROR(sum(filter('Генеральный баннер'!$O:$O, 'Генеральный баннер'!$B:$B=$A379,'Генеральный баннер'!$C:$C=$B379,'Генеральный баннер'!$I:$I=$C379)), 0) "),0.0)</f>
        <v>0</v>
      </c>
      <c r="Q379" s="91">
        <f>IFERROR(__xludf.DUMMYFUNCTION("IFERROR(sum(filter('Генеральный баннер'!$Q:$Q, 'Генеральный баннер'!$B:$B=$A379,'Генеральный баннер'!$C:$C=$B379,'Генеральный баннер'!$I:$I=$C379)), 0) "),0.0)</f>
        <v>0</v>
      </c>
      <c r="R379" s="91">
        <f>IFERROR(__xludf.DUMMYFUNCTION("IFERROR(AVERAGE(filter('Генеральный баннер'!$AA:$AA, 'Генеральный баннер'!$B:$B=$A379,'Генеральный баннер'!$C:$C=$B379,'Генеральный баннер'!$I:$I=$C379)), 0) "),0.0)</f>
        <v>0</v>
      </c>
      <c r="S379" s="91">
        <f>IFERROR(__xludf.DUMMYFUNCTION("IFERROR(SUM(filter('Генеральный баннер'!$AH:$AH, 'Генеральный баннер'!$B:$B=$A379,'Генеральный баннер'!$C:$C=$B379,'Генеральный баннер'!$I:$I=$C379)), 0) "),0.0)</f>
        <v>0</v>
      </c>
      <c r="T379" s="91" t="str">
        <f>IFERROR(__xludf.DUMMYFUNCTION("IFERROR(REGEXREPLACE(unique(filter('Генеральный баннер'!$A:$A, 'Генеральный баннер'!$B:$B=$A379,'Генеральный баннер'!$C:$C=$B379,'Генеральный баннер'!$I:$I=$C379)), ""\d+"", """"),"""")"),"")</f>
        <v/>
      </c>
      <c r="U379" s="91" t="str">
        <f>IFERROR(__xludf.DUMMYFUNCTION("IFERROR(unique(filter('Генеральный баннер'!$F:$F, 'Генеральный баннер'!$B:$B=$A379,'Генеральный баннер'!$C:$C=$B379,'Генеральный баннер'!$I:$I=$C379)),"""")"),"")</f>
        <v/>
      </c>
      <c r="V379" s="92" t="str">
        <f t="shared" si="3"/>
        <v/>
      </c>
      <c r="W379" s="93">
        <f>IFERROR(__xludf.DUMMYFUNCTION("IFERROR(SWITCH(lower(join("" "",U379:V379)),""а миллионник"", 62.5,""б миллионник"", 75,""а мск"", 50, ""б мск"", 62.5, ""a остальное"", 70, ""б остальное"", 80)/100,0)"),0.0)</f>
        <v>0</v>
      </c>
      <c r="X379" s="91">
        <f t="shared" si="4"/>
        <v>0</v>
      </c>
    </row>
    <row r="380">
      <c r="A380" s="12"/>
      <c r="B380" s="12"/>
      <c r="C380" s="12"/>
      <c r="D380" s="91">
        <f>IFERROR(__xludf.DUMMYFUNCTION("IFERROR(sum(filter('Основной эфир'!$AA:$AA, 'Основной эфир'!$B:$B=$A380,'Основной эфир'!$C:$C=$B380,'Основной эфир'!$I:$I=$C380)), 0) "),0.0)</f>
        <v>0</v>
      </c>
      <c r="E380" s="91">
        <f>IFERROR(__xludf.DUMMYFUNCTION("IFERROR(sum(filter('Основной эфир'!$AC:$AC, 'Основной эфир'!$B:$B=$A380,'Основной эфир'!$C:$C=$B380,'Основной эфир'!$I:$I=$C380)), 0) "),0.0)</f>
        <v>0</v>
      </c>
      <c r="F380" s="91">
        <f>IFERROR(__xludf.DUMMYFUNCTION("IFERROR(sum(filter('Основной эфир'!$O:$O, 'Основной эфир'!$B:$B=$A380,'Основной эфир'!$C:$C=$B380,'Основной эфир'!$I:$I=$C380)), 0) "),0.0)</f>
        <v>0</v>
      </c>
      <c r="G380" s="91">
        <f>IFERROR(__xludf.DUMMYFUNCTION("IFERROR(sum(filter('Основной эфир'!$Q:$Q, 'Основной эфир'!$B:$B=$A380,'Основной эфир'!$C:$C=$B380,'Основной эфир'!$I:$I=$C380)), 0) "),0.0)</f>
        <v>0</v>
      </c>
      <c r="H380" s="91">
        <f>IFERROR(__xludf.DUMMYFUNCTION("IFERROR(AVERAGE(filter('Основной эфир'!$Y:$Y, 'Основной эфир'!$B:$B=$A380,'Основной эфир'!$C:$C=$B380,'Основной эфир'!$I:$I=$C380)), 0) "),0.0)</f>
        <v>0</v>
      </c>
      <c r="I380" s="91">
        <f>IFERROR(__xludf.DUMMYFUNCTION("IFERROR(AVERAGE(filter('Основной эфир'!$AE:$AE, 'Основной эфир'!$B:$B=$A380,'Основной эфир'!$C:$C=$B380,'Основной эфир'!$I:$I=$C380)), 0) "),0.0)</f>
        <v>0</v>
      </c>
      <c r="J380" s="91">
        <f>IFERROR(__xludf.DUMMYFUNCTION("IFERROR(SUM(filter('Основной эфир'!$AL:$AL, 'Основной эфир'!$B:$B=$A380,'Основной эфир'!$C:$C=$B380,'Основной эфир'!$I:$I=$C380)), 0) "),0.0)</f>
        <v>0</v>
      </c>
      <c r="K380" s="91" t="str">
        <f>IFERROR(__xludf.DUMMYFUNCTION("IFERROR(REGEXREPLACE(unique(filter('Основной эфир'!$A:$A, 'Основной эфир'!$B:$B=$A380,'Основной эфир'!$C:$C=$B380,'Основной эфир'!$I:$I=$C380)), ""\d+"", """"),"""")"),"")</f>
        <v/>
      </c>
      <c r="L380" s="91" t="str">
        <f>IFERROR(__xludf.DUMMYFUNCTION("IFERROR(unique(filter('Основной эфир'!$F:$F, 'Основной эфир'!$B:$B=$A380,'Основной эфир'!$C:$C=$B380,'Основной эфир'!$I:$I=$C380)),"""")"),"")</f>
        <v/>
      </c>
      <c r="M380" s="92" t="str">
        <f t="shared" si="1"/>
        <v/>
      </c>
      <c r="N380" s="93">
        <f>IFERROR(__xludf.DUMMYFUNCTION("IFERROR(SWITCH(lower(join("" "",L380:M380)),""а миллионник"", 62.5,""б миллионник"", 75,""а мск"", 50, ""б мск"", 62.5, ""a остальное"", 70, ""б остальное"", 80)/100,0)"),0.0)</f>
        <v>0</v>
      </c>
      <c r="O380" s="91">
        <f t="shared" si="2"/>
        <v>0</v>
      </c>
      <c r="P380" s="91">
        <f>IFERROR(__xludf.DUMMYFUNCTION("IFERROR(sum(filter('Генеральный баннер'!$O:$O, 'Генеральный баннер'!$B:$B=$A380,'Генеральный баннер'!$C:$C=$B380,'Генеральный баннер'!$I:$I=$C380)), 0) "),0.0)</f>
        <v>0</v>
      </c>
      <c r="Q380" s="91">
        <f>IFERROR(__xludf.DUMMYFUNCTION("IFERROR(sum(filter('Генеральный баннер'!$Q:$Q, 'Генеральный баннер'!$B:$B=$A380,'Генеральный баннер'!$C:$C=$B380,'Генеральный баннер'!$I:$I=$C380)), 0) "),0.0)</f>
        <v>0</v>
      </c>
      <c r="R380" s="91">
        <f>IFERROR(__xludf.DUMMYFUNCTION("IFERROR(AVERAGE(filter('Генеральный баннер'!$AA:$AA, 'Генеральный баннер'!$B:$B=$A380,'Генеральный баннер'!$C:$C=$B380,'Генеральный баннер'!$I:$I=$C380)), 0) "),0.0)</f>
        <v>0</v>
      </c>
      <c r="S380" s="91">
        <f>IFERROR(__xludf.DUMMYFUNCTION("IFERROR(SUM(filter('Генеральный баннер'!$AH:$AH, 'Генеральный баннер'!$B:$B=$A380,'Генеральный баннер'!$C:$C=$B380,'Генеральный баннер'!$I:$I=$C380)), 0) "),0.0)</f>
        <v>0</v>
      </c>
      <c r="T380" s="91" t="str">
        <f>IFERROR(__xludf.DUMMYFUNCTION("IFERROR(REGEXREPLACE(unique(filter('Генеральный баннер'!$A:$A, 'Генеральный баннер'!$B:$B=$A380,'Генеральный баннер'!$C:$C=$B380,'Генеральный баннер'!$I:$I=$C380)), ""\d+"", """"),"""")"),"")</f>
        <v/>
      </c>
      <c r="U380" s="91" t="str">
        <f>IFERROR(__xludf.DUMMYFUNCTION("IFERROR(unique(filter('Генеральный баннер'!$F:$F, 'Генеральный баннер'!$B:$B=$A380,'Генеральный баннер'!$C:$C=$B380,'Генеральный баннер'!$I:$I=$C380)),"""")"),"")</f>
        <v/>
      </c>
      <c r="V380" s="92" t="str">
        <f t="shared" si="3"/>
        <v/>
      </c>
      <c r="W380" s="93">
        <f>IFERROR(__xludf.DUMMYFUNCTION("IFERROR(SWITCH(lower(join("" "",U380:V380)),""а миллионник"", 62.5,""б миллионник"", 75,""а мск"", 50, ""б мск"", 62.5, ""a остальное"", 70, ""б остальное"", 80)/100,0)"),0.0)</f>
        <v>0</v>
      </c>
      <c r="X380" s="91">
        <f t="shared" si="4"/>
        <v>0</v>
      </c>
    </row>
    <row r="381">
      <c r="A381" s="12"/>
      <c r="B381" s="12"/>
      <c r="C381" s="12"/>
      <c r="D381" s="91">
        <f>IFERROR(__xludf.DUMMYFUNCTION("IFERROR(sum(filter('Основной эфир'!$AA:$AA, 'Основной эфир'!$B:$B=$A381,'Основной эфир'!$C:$C=$B381,'Основной эфир'!$I:$I=$C381)), 0) "),0.0)</f>
        <v>0</v>
      </c>
      <c r="E381" s="91">
        <f>IFERROR(__xludf.DUMMYFUNCTION("IFERROR(sum(filter('Основной эфир'!$AC:$AC, 'Основной эфир'!$B:$B=$A381,'Основной эфир'!$C:$C=$B381,'Основной эфир'!$I:$I=$C381)), 0) "),0.0)</f>
        <v>0</v>
      </c>
      <c r="F381" s="91">
        <f>IFERROR(__xludf.DUMMYFUNCTION("IFERROR(sum(filter('Основной эфир'!$O:$O, 'Основной эфир'!$B:$B=$A381,'Основной эфир'!$C:$C=$B381,'Основной эфир'!$I:$I=$C381)), 0) "),0.0)</f>
        <v>0</v>
      </c>
      <c r="G381" s="91">
        <f>IFERROR(__xludf.DUMMYFUNCTION("IFERROR(sum(filter('Основной эфир'!$Q:$Q, 'Основной эфир'!$B:$B=$A381,'Основной эфир'!$C:$C=$B381,'Основной эфир'!$I:$I=$C381)), 0) "),0.0)</f>
        <v>0</v>
      </c>
      <c r="H381" s="91">
        <f>IFERROR(__xludf.DUMMYFUNCTION("IFERROR(AVERAGE(filter('Основной эфир'!$Y:$Y, 'Основной эфир'!$B:$B=$A381,'Основной эфир'!$C:$C=$B381,'Основной эфир'!$I:$I=$C381)), 0) "),0.0)</f>
        <v>0</v>
      </c>
      <c r="I381" s="91">
        <f>IFERROR(__xludf.DUMMYFUNCTION("IFERROR(AVERAGE(filter('Основной эфир'!$AE:$AE, 'Основной эфир'!$B:$B=$A381,'Основной эфир'!$C:$C=$B381,'Основной эфир'!$I:$I=$C381)), 0) "),0.0)</f>
        <v>0</v>
      </c>
      <c r="J381" s="91">
        <f>IFERROR(__xludf.DUMMYFUNCTION("IFERROR(SUM(filter('Основной эфир'!$AL:$AL, 'Основной эфир'!$B:$B=$A381,'Основной эфир'!$C:$C=$B381,'Основной эфир'!$I:$I=$C381)), 0) "),0.0)</f>
        <v>0</v>
      </c>
      <c r="K381" s="91" t="str">
        <f>IFERROR(__xludf.DUMMYFUNCTION("IFERROR(REGEXREPLACE(unique(filter('Основной эфир'!$A:$A, 'Основной эфир'!$B:$B=$A381,'Основной эфир'!$C:$C=$B381,'Основной эфир'!$I:$I=$C381)), ""\d+"", """"),"""")"),"")</f>
        <v/>
      </c>
      <c r="L381" s="91" t="str">
        <f>IFERROR(__xludf.DUMMYFUNCTION("IFERROR(unique(filter('Основной эфир'!$F:$F, 'Основной эфир'!$B:$B=$A381,'Основной эфир'!$C:$C=$B381,'Основной эфир'!$I:$I=$C381)),"""")"),"")</f>
        <v/>
      </c>
      <c r="M381" s="92" t="str">
        <f t="shared" si="1"/>
        <v/>
      </c>
      <c r="N381" s="93">
        <f>IFERROR(__xludf.DUMMYFUNCTION("IFERROR(SWITCH(lower(join("" "",L381:M381)),""а миллионник"", 62.5,""б миллионник"", 75,""а мск"", 50, ""б мск"", 62.5, ""a остальное"", 70, ""б остальное"", 80)/100,0)"),0.0)</f>
        <v>0</v>
      </c>
      <c r="O381" s="91">
        <f t="shared" si="2"/>
        <v>0</v>
      </c>
      <c r="P381" s="91">
        <f>IFERROR(__xludf.DUMMYFUNCTION("IFERROR(sum(filter('Генеральный баннер'!$O:$O, 'Генеральный баннер'!$B:$B=$A381,'Генеральный баннер'!$C:$C=$B381,'Генеральный баннер'!$I:$I=$C381)), 0) "),0.0)</f>
        <v>0</v>
      </c>
      <c r="Q381" s="91">
        <f>IFERROR(__xludf.DUMMYFUNCTION("IFERROR(sum(filter('Генеральный баннер'!$Q:$Q, 'Генеральный баннер'!$B:$B=$A381,'Генеральный баннер'!$C:$C=$B381,'Генеральный баннер'!$I:$I=$C381)), 0) "),0.0)</f>
        <v>0</v>
      </c>
      <c r="R381" s="91">
        <f>IFERROR(__xludf.DUMMYFUNCTION("IFERROR(AVERAGE(filter('Генеральный баннер'!$AA:$AA, 'Генеральный баннер'!$B:$B=$A381,'Генеральный баннер'!$C:$C=$B381,'Генеральный баннер'!$I:$I=$C381)), 0) "),0.0)</f>
        <v>0</v>
      </c>
      <c r="S381" s="91">
        <f>IFERROR(__xludf.DUMMYFUNCTION("IFERROR(SUM(filter('Генеральный баннер'!$AH:$AH, 'Генеральный баннер'!$B:$B=$A381,'Генеральный баннер'!$C:$C=$B381,'Генеральный баннер'!$I:$I=$C381)), 0) "),0.0)</f>
        <v>0</v>
      </c>
      <c r="T381" s="91" t="str">
        <f>IFERROR(__xludf.DUMMYFUNCTION("IFERROR(REGEXREPLACE(unique(filter('Генеральный баннер'!$A:$A, 'Генеральный баннер'!$B:$B=$A381,'Генеральный баннер'!$C:$C=$B381,'Генеральный баннер'!$I:$I=$C381)), ""\d+"", """"),"""")"),"")</f>
        <v/>
      </c>
      <c r="U381" s="91" t="str">
        <f>IFERROR(__xludf.DUMMYFUNCTION("IFERROR(unique(filter('Генеральный баннер'!$F:$F, 'Генеральный баннер'!$B:$B=$A381,'Генеральный баннер'!$C:$C=$B381,'Генеральный баннер'!$I:$I=$C381)),"""")"),"")</f>
        <v/>
      </c>
      <c r="V381" s="92" t="str">
        <f t="shared" si="3"/>
        <v/>
      </c>
      <c r="W381" s="93">
        <f>IFERROR(__xludf.DUMMYFUNCTION("IFERROR(SWITCH(lower(join("" "",U381:V381)),""а миллионник"", 62.5,""б миллионник"", 75,""а мск"", 50, ""б мск"", 62.5, ""a остальное"", 70, ""б остальное"", 80)/100,0)"),0.0)</f>
        <v>0</v>
      </c>
      <c r="X381" s="91">
        <f t="shared" si="4"/>
        <v>0</v>
      </c>
    </row>
    <row r="382">
      <c r="A382" s="12"/>
      <c r="B382" s="12"/>
      <c r="C382" s="12"/>
      <c r="D382" s="91">
        <f>IFERROR(__xludf.DUMMYFUNCTION("IFERROR(sum(filter('Основной эфир'!$AA:$AA, 'Основной эфир'!$B:$B=$A382,'Основной эфир'!$C:$C=$B382,'Основной эфир'!$I:$I=$C382)), 0) "),0.0)</f>
        <v>0</v>
      </c>
      <c r="E382" s="91">
        <f>IFERROR(__xludf.DUMMYFUNCTION("IFERROR(sum(filter('Основной эфир'!$AC:$AC, 'Основной эфир'!$B:$B=$A382,'Основной эфир'!$C:$C=$B382,'Основной эфир'!$I:$I=$C382)), 0) "),0.0)</f>
        <v>0</v>
      </c>
      <c r="F382" s="91">
        <f>IFERROR(__xludf.DUMMYFUNCTION("IFERROR(sum(filter('Основной эфир'!$O:$O, 'Основной эфир'!$B:$B=$A382,'Основной эфир'!$C:$C=$B382,'Основной эфир'!$I:$I=$C382)), 0) "),0.0)</f>
        <v>0</v>
      </c>
      <c r="G382" s="91">
        <f>IFERROR(__xludf.DUMMYFUNCTION("IFERROR(sum(filter('Основной эфир'!$Q:$Q, 'Основной эфир'!$B:$B=$A382,'Основной эфир'!$C:$C=$B382,'Основной эфир'!$I:$I=$C382)), 0) "),0.0)</f>
        <v>0</v>
      </c>
      <c r="H382" s="91">
        <f>IFERROR(__xludf.DUMMYFUNCTION("IFERROR(AVERAGE(filter('Основной эфир'!$Y:$Y, 'Основной эфир'!$B:$B=$A382,'Основной эфир'!$C:$C=$B382,'Основной эфир'!$I:$I=$C382)), 0) "),0.0)</f>
        <v>0</v>
      </c>
      <c r="I382" s="91">
        <f>IFERROR(__xludf.DUMMYFUNCTION("IFERROR(AVERAGE(filter('Основной эфир'!$AE:$AE, 'Основной эфир'!$B:$B=$A382,'Основной эфир'!$C:$C=$B382,'Основной эфир'!$I:$I=$C382)), 0) "),0.0)</f>
        <v>0</v>
      </c>
      <c r="J382" s="91">
        <f>IFERROR(__xludf.DUMMYFUNCTION("IFERROR(SUM(filter('Основной эфир'!$AL:$AL, 'Основной эфир'!$B:$B=$A382,'Основной эфир'!$C:$C=$B382,'Основной эфир'!$I:$I=$C382)), 0) "),0.0)</f>
        <v>0</v>
      </c>
      <c r="K382" s="91" t="str">
        <f>IFERROR(__xludf.DUMMYFUNCTION("IFERROR(REGEXREPLACE(unique(filter('Основной эфир'!$A:$A, 'Основной эфир'!$B:$B=$A382,'Основной эфир'!$C:$C=$B382,'Основной эфир'!$I:$I=$C382)), ""\d+"", """"),"""")"),"")</f>
        <v/>
      </c>
      <c r="L382" s="91" t="str">
        <f>IFERROR(__xludf.DUMMYFUNCTION("IFERROR(unique(filter('Основной эфир'!$F:$F, 'Основной эфир'!$B:$B=$A382,'Основной эфир'!$C:$C=$B382,'Основной эфир'!$I:$I=$C382)),"""")"),"")</f>
        <v/>
      </c>
      <c r="M382" s="92" t="str">
        <f t="shared" si="1"/>
        <v/>
      </c>
      <c r="N382" s="93">
        <f>IFERROR(__xludf.DUMMYFUNCTION("IFERROR(SWITCH(lower(join("" "",L382:M382)),""а миллионник"", 62.5,""б миллионник"", 75,""а мск"", 50, ""б мск"", 62.5, ""a остальное"", 70, ""б остальное"", 80)/100,0)"),0.0)</f>
        <v>0</v>
      </c>
      <c r="O382" s="91">
        <f t="shared" si="2"/>
        <v>0</v>
      </c>
      <c r="P382" s="91">
        <f>IFERROR(__xludf.DUMMYFUNCTION("IFERROR(sum(filter('Генеральный баннер'!$O:$O, 'Генеральный баннер'!$B:$B=$A382,'Генеральный баннер'!$C:$C=$B382,'Генеральный баннер'!$I:$I=$C382)), 0) "),0.0)</f>
        <v>0</v>
      </c>
      <c r="Q382" s="91">
        <f>IFERROR(__xludf.DUMMYFUNCTION("IFERROR(sum(filter('Генеральный баннер'!$Q:$Q, 'Генеральный баннер'!$B:$B=$A382,'Генеральный баннер'!$C:$C=$B382,'Генеральный баннер'!$I:$I=$C382)), 0) "),0.0)</f>
        <v>0</v>
      </c>
      <c r="R382" s="91">
        <f>IFERROR(__xludf.DUMMYFUNCTION("IFERROR(AVERAGE(filter('Генеральный баннер'!$AA:$AA, 'Генеральный баннер'!$B:$B=$A382,'Генеральный баннер'!$C:$C=$B382,'Генеральный баннер'!$I:$I=$C382)), 0) "),0.0)</f>
        <v>0</v>
      </c>
      <c r="S382" s="91">
        <f>IFERROR(__xludf.DUMMYFUNCTION("IFERROR(SUM(filter('Генеральный баннер'!$AH:$AH, 'Генеральный баннер'!$B:$B=$A382,'Генеральный баннер'!$C:$C=$B382,'Генеральный баннер'!$I:$I=$C382)), 0) "),0.0)</f>
        <v>0</v>
      </c>
      <c r="T382" s="91" t="str">
        <f>IFERROR(__xludf.DUMMYFUNCTION("IFERROR(REGEXREPLACE(unique(filter('Генеральный баннер'!$A:$A, 'Генеральный баннер'!$B:$B=$A382,'Генеральный баннер'!$C:$C=$B382,'Генеральный баннер'!$I:$I=$C382)), ""\d+"", """"),"""")"),"")</f>
        <v/>
      </c>
      <c r="U382" s="91" t="str">
        <f>IFERROR(__xludf.DUMMYFUNCTION("IFERROR(unique(filter('Генеральный баннер'!$F:$F, 'Генеральный баннер'!$B:$B=$A382,'Генеральный баннер'!$C:$C=$B382,'Генеральный баннер'!$I:$I=$C382)),"""")"),"")</f>
        <v/>
      </c>
      <c r="V382" s="92" t="str">
        <f t="shared" si="3"/>
        <v/>
      </c>
      <c r="W382" s="93">
        <f>IFERROR(__xludf.DUMMYFUNCTION("IFERROR(SWITCH(lower(join("" "",U382:V382)),""а миллионник"", 62.5,""б миллионник"", 75,""а мск"", 50, ""б мск"", 62.5, ""a остальное"", 70, ""б остальное"", 80)/100,0)"),0.0)</f>
        <v>0</v>
      </c>
      <c r="X382" s="91">
        <f t="shared" si="4"/>
        <v>0</v>
      </c>
    </row>
    <row r="383">
      <c r="A383" s="12"/>
      <c r="B383" s="12"/>
      <c r="C383" s="12"/>
      <c r="D383" s="91">
        <f>IFERROR(__xludf.DUMMYFUNCTION("IFERROR(sum(filter('Основной эфир'!$AA:$AA, 'Основной эфир'!$B:$B=$A383,'Основной эфир'!$C:$C=$B383,'Основной эфир'!$I:$I=$C383)), 0) "),0.0)</f>
        <v>0</v>
      </c>
      <c r="E383" s="91">
        <f>IFERROR(__xludf.DUMMYFUNCTION("IFERROR(sum(filter('Основной эфир'!$AC:$AC, 'Основной эфир'!$B:$B=$A383,'Основной эфир'!$C:$C=$B383,'Основной эфир'!$I:$I=$C383)), 0) "),0.0)</f>
        <v>0</v>
      </c>
      <c r="F383" s="91">
        <f>IFERROR(__xludf.DUMMYFUNCTION("IFERROR(sum(filter('Основной эфир'!$O:$O, 'Основной эфир'!$B:$B=$A383,'Основной эфир'!$C:$C=$B383,'Основной эфир'!$I:$I=$C383)), 0) "),0.0)</f>
        <v>0</v>
      </c>
      <c r="G383" s="91">
        <f>IFERROR(__xludf.DUMMYFUNCTION("IFERROR(sum(filter('Основной эфир'!$Q:$Q, 'Основной эфир'!$B:$B=$A383,'Основной эфир'!$C:$C=$B383,'Основной эфир'!$I:$I=$C383)), 0) "),0.0)</f>
        <v>0</v>
      </c>
      <c r="H383" s="91">
        <f>IFERROR(__xludf.DUMMYFUNCTION("IFERROR(AVERAGE(filter('Основной эфир'!$Y:$Y, 'Основной эфир'!$B:$B=$A383,'Основной эфир'!$C:$C=$B383,'Основной эфир'!$I:$I=$C383)), 0) "),0.0)</f>
        <v>0</v>
      </c>
      <c r="I383" s="91">
        <f>IFERROR(__xludf.DUMMYFUNCTION("IFERROR(AVERAGE(filter('Основной эфир'!$AE:$AE, 'Основной эфир'!$B:$B=$A383,'Основной эфир'!$C:$C=$B383,'Основной эфир'!$I:$I=$C383)), 0) "),0.0)</f>
        <v>0</v>
      </c>
      <c r="J383" s="91">
        <f>IFERROR(__xludf.DUMMYFUNCTION("IFERROR(SUM(filter('Основной эфир'!$AL:$AL, 'Основной эфир'!$B:$B=$A383,'Основной эфир'!$C:$C=$B383,'Основной эфир'!$I:$I=$C383)), 0) "),0.0)</f>
        <v>0</v>
      </c>
      <c r="K383" s="91" t="str">
        <f>IFERROR(__xludf.DUMMYFUNCTION("IFERROR(REGEXREPLACE(unique(filter('Основной эфир'!$A:$A, 'Основной эфир'!$B:$B=$A383,'Основной эфир'!$C:$C=$B383,'Основной эфир'!$I:$I=$C383)), ""\d+"", """"),"""")"),"")</f>
        <v/>
      </c>
      <c r="L383" s="91" t="str">
        <f>IFERROR(__xludf.DUMMYFUNCTION("IFERROR(unique(filter('Основной эфир'!$F:$F, 'Основной эфир'!$B:$B=$A383,'Основной эфир'!$C:$C=$B383,'Основной эфир'!$I:$I=$C383)),"""")"),"")</f>
        <v/>
      </c>
      <c r="M383" s="92" t="str">
        <f t="shared" si="1"/>
        <v/>
      </c>
      <c r="N383" s="93">
        <f>IFERROR(__xludf.DUMMYFUNCTION("IFERROR(SWITCH(lower(join("" "",L383:M383)),""а миллионник"", 62.5,""б миллионник"", 75,""а мск"", 50, ""б мск"", 62.5, ""a остальное"", 70, ""б остальное"", 80)/100,0)"),0.0)</f>
        <v>0</v>
      </c>
      <c r="O383" s="91">
        <f t="shared" si="2"/>
        <v>0</v>
      </c>
      <c r="P383" s="91">
        <f>IFERROR(__xludf.DUMMYFUNCTION("IFERROR(sum(filter('Генеральный баннер'!$O:$O, 'Генеральный баннер'!$B:$B=$A383,'Генеральный баннер'!$C:$C=$B383,'Генеральный баннер'!$I:$I=$C383)), 0) "),0.0)</f>
        <v>0</v>
      </c>
      <c r="Q383" s="91">
        <f>IFERROR(__xludf.DUMMYFUNCTION("IFERROR(sum(filter('Генеральный баннер'!$Q:$Q, 'Генеральный баннер'!$B:$B=$A383,'Генеральный баннер'!$C:$C=$B383,'Генеральный баннер'!$I:$I=$C383)), 0) "),0.0)</f>
        <v>0</v>
      </c>
      <c r="R383" s="91">
        <f>IFERROR(__xludf.DUMMYFUNCTION("IFERROR(AVERAGE(filter('Генеральный баннер'!$AA:$AA, 'Генеральный баннер'!$B:$B=$A383,'Генеральный баннер'!$C:$C=$B383,'Генеральный баннер'!$I:$I=$C383)), 0) "),0.0)</f>
        <v>0</v>
      </c>
      <c r="S383" s="91">
        <f>IFERROR(__xludf.DUMMYFUNCTION("IFERROR(SUM(filter('Генеральный баннер'!$AH:$AH, 'Генеральный баннер'!$B:$B=$A383,'Генеральный баннер'!$C:$C=$B383,'Генеральный баннер'!$I:$I=$C383)), 0) "),0.0)</f>
        <v>0</v>
      </c>
      <c r="T383" s="91" t="str">
        <f>IFERROR(__xludf.DUMMYFUNCTION("IFERROR(REGEXREPLACE(unique(filter('Генеральный баннер'!$A:$A, 'Генеральный баннер'!$B:$B=$A383,'Генеральный баннер'!$C:$C=$B383,'Генеральный баннер'!$I:$I=$C383)), ""\d+"", """"),"""")"),"")</f>
        <v/>
      </c>
      <c r="U383" s="91" t="str">
        <f>IFERROR(__xludf.DUMMYFUNCTION("IFERROR(unique(filter('Генеральный баннер'!$F:$F, 'Генеральный баннер'!$B:$B=$A383,'Генеральный баннер'!$C:$C=$B383,'Генеральный баннер'!$I:$I=$C383)),"""")"),"")</f>
        <v/>
      </c>
      <c r="V383" s="92" t="str">
        <f t="shared" si="3"/>
        <v/>
      </c>
      <c r="W383" s="93">
        <f>IFERROR(__xludf.DUMMYFUNCTION("IFERROR(SWITCH(lower(join("" "",U383:V383)),""а миллионник"", 62.5,""б миллионник"", 75,""а мск"", 50, ""б мск"", 62.5, ""a остальное"", 70, ""б остальное"", 80)/100,0)"),0.0)</f>
        <v>0</v>
      </c>
      <c r="X383" s="91">
        <f t="shared" si="4"/>
        <v>0</v>
      </c>
    </row>
    <row r="384">
      <c r="A384" s="12"/>
      <c r="B384" s="12"/>
      <c r="C384" s="12"/>
      <c r="D384" s="91">
        <f>IFERROR(__xludf.DUMMYFUNCTION("IFERROR(sum(filter('Основной эфир'!$AA:$AA, 'Основной эфир'!$B:$B=$A384,'Основной эфир'!$C:$C=$B384,'Основной эфир'!$I:$I=$C384)), 0) "),0.0)</f>
        <v>0</v>
      </c>
      <c r="E384" s="91">
        <f>IFERROR(__xludf.DUMMYFUNCTION("IFERROR(sum(filter('Основной эфир'!$AC:$AC, 'Основной эфир'!$B:$B=$A384,'Основной эфир'!$C:$C=$B384,'Основной эфир'!$I:$I=$C384)), 0) "),0.0)</f>
        <v>0</v>
      </c>
      <c r="F384" s="91">
        <f>IFERROR(__xludf.DUMMYFUNCTION("IFERROR(sum(filter('Основной эфир'!$O:$O, 'Основной эфир'!$B:$B=$A384,'Основной эфир'!$C:$C=$B384,'Основной эфир'!$I:$I=$C384)), 0) "),0.0)</f>
        <v>0</v>
      </c>
      <c r="G384" s="91">
        <f>IFERROR(__xludf.DUMMYFUNCTION("IFERROR(sum(filter('Основной эфир'!$Q:$Q, 'Основной эфир'!$B:$B=$A384,'Основной эфир'!$C:$C=$B384,'Основной эфир'!$I:$I=$C384)), 0) "),0.0)</f>
        <v>0</v>
      </c>
      <c r="H384" s="91">
        <f>IFERROR(__xludf.DUMMYFUNCTION("IFERROR(AVERAGE(filter('Основной эфир'!$Y:$Y, 'Основной эфир'!$B:$B=$A384,'Основной эфир'!$C:$C=$B384,'Основной эфир'!$I:$I=$C384)), 0) "),0.0)</f>
        <v>0</v>
      </c>
      <c r="I384" s="91">
        <f>IFERROR(__xludf.DUMMYFUNCTION("IFERROR(AVERAGE(filter('Основной эфир'!$AE:$AE, 'Основной эфир'!$B:$B=$A384,'Основной эфир'!$C:$C=$B384,'Основной эфир'!$I:$I=$C384)), 0) "),0.0)</f>
        <v>0</v>
      </c>
      <c r="J384" s="91">
        <f>IFERROR(__xludf.DUMMYFUNCTION("IFERROR(SUM(filter('Основной эфир'!$AL:$AL, 'Основной эфир'!$B:$B=$A384,'Основной эфир'!$C:$C=$B384,'Основной эфир'!$I:$I=$C384)), 0) "),0.0)</f>
        <v>0</v>
      </c>
      <c r="K384" s="91" t="str">
        <f>IFERROR(__xludf.DUMMYFUNCTION("IFERROR(REGEXREPLACE(unique(filter('Основной эфир'!$A:$A, 'Основной эфир'!$B:$B=$A384,'Основной эфир'!$C:$C=$B384,'Основной эфир'!$I:$I=$C384)), ""\d+"", """"),"""")"),"")</f>
        <v/>
      </c>
      <c r="L384" s="91" t="str">
        <f>IFERROR(__xludf.DUMMYFUNCTION("IFERROR(unique(filter('Основной эфир'!$F:$F, 'Основной эфир'!$B:$B=$A384,'Основной эфир'!$C:$C=$B384,'Основной эфир'!$I:$I=$C384)),"""")"),"")</f>
        <v/>
      </c>
      <c r="M384" s="92" t="str">
        <f t="shared" si="1"/>
        <v/>
      </c>
      <c r="N384" s="93">
        <f>IFERROR(__xludf.DUMMYFUNCTION("IFERROR(SWITCH(lower(join("" "",L384:M384)),""а миллионник"", 62.5,""б миллионник"", 75,""а мск"", 50, ""б мск"", 62.5, ""a остальное"", 70, ""б остальное"", 80)/100,0)"),0.0)</f>
        <v>0</v>
      </c>
      <c r="O384" s="91">
        <f t="shared" si="2"/>
        <v>0</v>
      </c>
      <c r="P384" s="91">
        <f>IFERROR(__xludf.DUMMYFUNCTION("IFERROR(sum(filter('Генеральный баннер'!$O:$O, 'Генеральный баннер'!$B:$B=$A384,'Генеральный баннер'!$C:$C=$B384,'Генеральный баннер'!$I:$I=$C384)), 0) "),0.0)</f>
        <v>0</v>
      </c>
      <c r="Q384" s="91">
        <f>IFERROR(__xludf.DUMMYFUNCTION("IFERROR(sum(filter('Генеральный баннер'!$Q:$Q, 'Генеральный баннер'!$B:$B=$A384,'Генеральный баннер'!$C:$C=$B384,'Генеральный баннер'!$I:$I=$C384)), 0) "),0.0)</f>
        <v>0</v>
      </c>
      <c r="R384" s="91">
        <f>IFERROR(__xludf.DUMMYFUNCTION("IFERROR(AVERAGE(filter('Генеральный баннер'!$AA:$AA, 'Генеральный баннер'!$B:$B=$A384,'Генеральный баннер'!$C:$C=$B384,'Генеральный баннер'!$I:$I=$C384)), 0) "),0.0)</f>
        <v>0</v>
      </c>
      <c r="S384" s="91">
        <f>IFERROR(__xludf.DUMMYFUNCTION("IFERROR(SUM(filter('Генеральный баннер'!$AH:$AH, 'Генеральный баннер'!$B:$B=$A384,'Генеральный баннер'!$C:$C=$B384,'Генеральный баннер'!$I:$I=$C384)), 0) "),0.0)</f>
        <v>0</v>
      </c>
      <c r="T384" s="91" t="str">
        <f>IFERROR(__xludf.DUMMYFUNCTION("IFERROR(REGEXREPLACE(unique(filter('Генеральный баннер'!$A:$A, 'Генеральный баннер'!$B:$B=$A384,'Генеральный баннер'!$C:$C=$B384,'Генеральный баннер'!$I:$I=$C384)), ""\d+"", """"),"""")"),"")</f>
        <v/>
      </c>
      <c r="U384" s="91" t="str">
        <f>IFERROR(__xludf.DUMMYFUNCTION("IFERROR(unique(filter('Генеральный баннер'!$F:$F, 'Генеральный баннер'!$B:$B=$A384,'Генеральный баннер'!$C:$C=$B384,'Генеральный баннер'!$I:$I=$C384)),"""")"),"")</f>
        <v/>
      </c>
      <c r="V384" s="92" t="str">
        <f t="shared" si="3"/>
        <v/>
      </c>
      <c r="W384" s="93">
        <f>IFERROR(__xludf.DUMMYFUNCTION("IFERROR(SWITCH(lower(join("" "",U384:V384)),""а миллионник"", 62.5,""б миллионник"", 75,""а мск"", 50, ""б мск"", 62.5, ""a остальное"", 70, ""б остальное"", 80)/100,0)"),0.0)</f>
        <v>0</v>
      </c>
      <c r="X384" s="91">
        <f t="shared" si="4"/>
        <v>0</v>
      </c>
    </row>
    <row r="385">
      <c r="A385" s="12"/>
      <c r="B385" s="12"/>
      <c r="C385" s="12"/>
      <c r="D385" s="91">
        <f>IFERROR(__xludf.DUMMYFUNCTION("IFERROR(sum(filter('Основной эфир'!$AA:$AA, 'Основной эфир'!$B:$B=$A385,'Основной эфир'!$C:$C=$B385,'Основной эфир'!$I:$I=$C385)), 0) "),0.0)</f>
        <v>0</v>
      </c>
      <c r="E385" s="91">
        <f>IFERROR(__xludf.DUMMYFUNCTION("IFERROR(sum(filter('Основной эфир'!$AC:$AC, 'Основной эфир'!$B:$B=$A385,'Основной эфир'!$C:$C=$B385,'Основной эфир'!$I:$I=$C385)), 0) "),0.0)</f>
        <v>0</v>
      </c>
      <c r="F385" s="91">
        <f>IFERROR(__xludf.DUMMYFUNCTION("IFERROR(sum(filter('Основной эфир'!$O:$O, 'Основной эфир'!$B:$B=$A385,'Основной эфир'!$C:$C=$B385,'Основной эфир'!$I:$I=$C385)), 0) "),0.0)</f>
        <v>0</v>
      </c>
      <c r="G385" s="91">
        <f>IFERROR(__xludf.DUMMYFUNCTION("IFERROR(sum(filter('Основной эфир'!$Q:$Q, 'Основной эфир'!$B:$B=$A385,'Основной эфир'!$C:$C=$B385,'Основной эфир'!$I:$I=$C385)), 0) "),0.0)</f>
        <v>0</v>
      </c>
      <c r="H385" s="91">
        <f>IFERROR(__xludf.DUMMYFUNCTION("IFERROR(AVERAGE(filter('Основной эфир'!$Y:$Y, 'Основной эфир'!$B:$B=$A385,'Основной эфир'!$C:$C=$B385,'Основной эфир'!$I:$I=$C385)), 0) "),0.0)</f>
        <v>0</v>
      </c>
      <c r="I385" s="91">
        <f>IFERROR(__xludf.DUMMYFUNCTION("IFERROR(AVERAGE(filter('Основной эфир'!$AE:$AE, 'Основной эфир'!$B:$B=$A385,'Основной эфир'!$C:$C=$B385,'Основной эфир'!$I:$I=$C385)), 0) "),0.0)</f>
        <v>0</v>
      </c>
      <c r="J385" s="91">
        <f>IFERROR(__xludf.DUMMYFUNCTION("IFERROR(SUM(filter('Основной эфир'!$AL:$AL, 'Основной эфир'!$B:$B=$A385,'Основной эфир'!$C:$C=$B385,'Основной эфир'!$I:$I=$C385)), 0) "),0.0)</f>
        <v>0</v>
      </c>
      <c r="K385" s="91" t="str">
        <f>IFERROR(__xludf.DUMMYFUNCTION("IFERROR(REGEXREPLACE(unique(filter('Основной эфир'!$A:$A, 'Основной эфир'!$B:$B=$A385,'Основной эфир'!$C:$C=$B385,'Основной эфир'!$I:$I=$C385)), ""\d+"", """"),"""")"),"")</f>
        <v/>
      </c>
      <c r="L385" s="91" t="str">
        <f>IFERROR(__xludf.DUMMYFUNCTION("IFERROR(unique(filter('Основной эфир'!$F:$F, 'Основной эфир'!$B:$B=$A385,'Основной эфир'!$C:$C=$B385,'Основной эфир'!$I:$I=$C385)),"""")"),"")</f>
        <v/>
      </c>
      <c r="M385" s="92" t="str">
        <f t="shared" si="1"/>
        <v/>
      </c>
      <c r="N385" s="93">
        <f>IFERROR(__xludf.DUMMYFUNCTION("IFERROR(SWITCH(lower(join("" "",L385:M385)),""а миллионник"", 62.5,""б миллионник"", 75,""а мск"", 50, ""б мск"", 62.5, ""a остальное"", 70, ""б остальное"", 80)/100,0)"),0.0)</f>
        <v>0</v>
      </c>
      <c r="O385" s="91">
        <f t="shared" si="2"/>
        <v>0</v>
      </c>
      <c r="P385" s="91">
        <f>IFERROR(__xludf.DUMMYFUNCTION("IFERROR(sum(filter('Генеральный баннер'!$O:$O, 'Генеральный баннер'!$B:$B=$A385,'Генеральный баннер'!$C:$C=$B385,'Генеральный баннер'!$I:$I=$C385)), 0) "),0.0)</f>
        <v>0</v>
      </c>
      <c r="Q385" s="91">
        <f>IFERROR(__xludf.DUMMYFUNCTION("IFERROR(sum(filter('Генеральный баннер'!$Q:$Q, 'Генеральный баннер'!$B:$B=$A385,'Генеральный баннер'!$C:$C=$B385,'Генеральный баннер'!$I:$I=$C385)), 0) "),0.0)</f>
        <v>0</v>
      </c>
      <c r="R385" s="91">
        <f>IFERROR(__xludf.DUMMYFUNCTION("IFERROR(AVERAGE(filter('Генеральный баннер'!$AA:$AA, 'Генеральный баннер'!$B:$B=$A385,'Генеральный баннер'!$C:$C=$B385,'Генеральный баннер'!$I:$I=$C385)), 0) "),0.0)</f>
        <v>0</v>
      </c>
      <c r="S385" s="91">
        <f>IFERROR(__xludf.DUMMYFUNCTION("IFERROR(SUM(filter('Генеральный баннер'!$AH:$AH, 'Генеральный баннер'!$B:$B=$A385,'Генеральный баннер'!$C:$C=$B385,'Генеральный баннер'!$I:$I=$C385)), 0) "),0.0)</f>
        <v>0</v>
      </c>
      <c r="T385" s="91" t="str">
        <f>IFERROR(__xludf.DUMMYFUNCTION("IFERROR(REGEXREPLACE(unique(filter('Генеральный баннер'!$A:$A, 'Генеральный баннер'!$B:$B=$A385,'Генеральный баннер'!$C:$C=$B385,'Генеральный баннер'!$I:$I=$C385)), ""\d+"", """"),"""")"),"")</f>
        <v/>
      </c>
      <c r="U385" s="91" t="str">
        <f>IFERROR(__xludf.DUMMYFUNCTION("IFERROR(unique(filter('Генеральный баннер'!$F:$F, 'Генеральный баннер'!$B:$B=$A385,'Генеральный баннер'!$C:$C=$B385,'Генеральный баннер'!$I:$I=$C385)),"""")"),"")</f>
        <v/>
      </c>
      <c r="V385" s="92" t="str">
        <f t="shared" si="3"/>
        <v/>
      </c>
      <c r="W385" s="93">
        <f>IFERROR(__xludf.DUMMYFUNCTION("IFERROR(SWITCH(lower(join("" "",U385:V385)),""а миллионник"", 62.5,""б миллионник"", 75,""а мск"", 50, ""б мск"", 62.5, ""a остальное"", 70, ""б остальное"", 80)/100,0)"),0.0)</f>
        <v>0</v>
      </c>
      <c r="X385" s="91">
        <f t="shared" si="4"/>
        <v>0</v>
      </c>
    </row>
    <row r="386">
      <c r="A386" s="12"/>
      <c r="B386" s="12"/>
      <c r="C386" s="12"/>
      <c r="D386" s="91">
        <f>IFERROR(__xludf.DUMMYFUNCTION("IFERROR(sum(filter('Основной эфир'!$AA:$AA, 'Основной эфир'!$B:$B=$A386,'Основной эфир'!$C:$C=$B386,'Основной эфир'!$I:$I=$C386)), 0) "),0.0)</f>
        <v>0</v>
      </c>
      <c r="E386" s="91">
        <f>IFERROR(__xludf.DUMMYFUNCTION("IFERROR(sum(filter('Основной эфир'!$AC:$AC, 'Основной эфир'!$B:$B=$A386,'Основной эфир'!$C:$C=$B386,'Основной эфир'!$I:$I=$C386)), 0) "),0.0)</f>
        <v>0</v>
      </c>
      <c r="F386" s="91">
        <f>IFERROR(__xludf.DUMMYFUNCTION("IFERROR(sum(filter('Основной эфир'!$O:$O, 'Основной эфир'!$B:$B=$A386,'Основной эфир'!$C:$C=$B386,'Основной эфир'!$I:$I=$C386)), 0) "),0.0)</f>
        <v>0</v>
      </c>
      <c r="G386" s="91">
        <f>IFERROR(__xludf.DUMMYFUNCTION("IFERROR(sum(filter('Основной эфир'!$Q:$Q, 'Основной эфир'!$B:$B=$A386,'Основной эфир'!$C:$C=$B386,'Основной эфир'!$I:$I=$C386)), 0) "),0.0)</f>
        <v>0</v>
      </c>
      <c r="H386" s="91">
        <f>IFERROR(__xludf.DUMMYFUNCTION("IFERROR(AVERAGE(filter('Основной эфир'!$Y:$Y, 'Основной эфир'!$B:$B=$A386,'Основной эфир'!$C:$C=$B386,'Основной эфир'!$I:$I=$C386)), 0) "),0.0)</f>
        <v>0</v>
      </c>
      <c r="I386" s="91">
        <f>IFERROR(__xludf.DUMMYFUNCTION("IFERROR(AVERAGE(filter('Основной эфир'!$AE:$AE, 'Основной эфир'!$B:$B=$A386,'Основной эфир'!$C:$C=$B386,'Основной эфир'!$I:$I=$C386)), 0) "),0.0)</f>
        <v>0</v>
      </c>
      <c r="J386" s="91">
        <f>IFERROR(__xludf.DUMMYFUNCTION("IFERROR(SUM(filter('Основной эфир'!$AL:$AL, 'Основной эфир'!$B:$B=$A386,'Основной эфир'!$C:$C=$B386,'Основной эфир'!$I:$I=$C386)), 0) "),0.0)</f>
        <v>0</v>
      </c>
      <c r="K386" s="91" t="str">
        <f>IFERROR(__xludf.DUMMYFUNCTION("IFERROR(REGEXREPLACE(unique(filter('Основной эфир'!$A:$A, 'Основной эфир'!$B:$B=$A386,'Основной эфир'!$C:$C=$B386,'Основной эфир'!$I:$I=$C386)), ""\d+"", """"),"""")"),"")</f>
        <v/>
      </c>
      <c r="L386" s="91" t="str">
        <f>IFERROR(__xludf.DUMMYFUNCTION("IFERROR(unique(filter('Основной эфир'!$F:$F, 'Основной эфир'!$B:$B=$A386,'Основной эфир'!$C:$C=$B386,'Основной эфир'!$I:$I=$C386)),"""")"),"")</f>
        <v/>
      </c>
      <c r="M386" s="92" t="str">
        <f t="shared" si="1"/>
        <v/>
      </c>
      <c r="N386" s="93">
        <f>IFERROR(__xludf.DUMMYFUNCTION("IFERROR(SWITCH(lower(join("" "",L386:M386)),""а миллионник"", 62.5,""б миллионник"", 75,""а мск"", 50, ""б мск"", 62.5, ""a остальное"", 70, ""б остальное"", 80)/100,0)"),0.0)</f>
        <v>0</v>
      </c>
      <c r="O386" s="91">
        <f t="shared" si="2"/>
        <v>0</v>
      </c>
      <c r="P386" s="91">
        <f>IFERROR(__xludf.DUMMYFUNCTION("IFERROR(sum(filter('Генеральный баннер'!$O:$O, 'Генеральный баннер'!$B:$B=$A386,'Генеральный баннер'!$C:$C=$B386,'Генеральный баннер'!$I:$I=$C386)), 0) "),0.0)</f>
        <v>0</v>
      </c>
      <c r="Q386" s="91">
        <f>IFERROR(__xludf.DUMMYFUNCTION("IFERROR(sum(filter('Генеральный баннер'!$Q:$Q, 'Генеральный баннер'!$B:$B=$A386,'Генеральный баннер'!$C:$C=$B386,'Генеральный баннер'!$I:$I=$C386)), 0) "),0.0)</f>
        <v>0</v>
      </c>
      <c r="R386" s="91">
        <f>IFERROR(__xludf.DUMMYFUNCTION("IFERROR(AVERAGE(filter('Генеральный баннер'!$AA:$AA, 'Генеральный баннер'!$B:$B=$A386,'Генеральный баннер'!$C:$C=$B386,'Генеральный баннер'!$I:$I=$C386)), 0) "),0.0)</f>
        <v>0</v>
      </c>
      <c r="S386" s="91">
        <f>IFERROR(__xludf.DUMMYFUNCTION("IFERROR(SUM(filter('Генеральный баннер'!$AH:$AH, 'Генеральный баннер'!$B:$B=$A386,'Генеральный баннер'!$C:$C=$B386,'Генеральный баннер'!$I:$I=$C386)), 0) "),0.0)</f>
        <v>0</v>
      </c>
      <c r="T386" s="91" t="str">
        <f>IFERROR(__xludf.DUMMYFUNCTION("IFERROR(REGEXREPLACE(unique(filter('Генеральный баннер'!$A:$A, 'Генеральный баннер'!$B:$B=$A386,'Генеральный баннер'!$C:$C=$B386,'Генеральный баннер'!$I:$I=$C386)), ""\d+"", """"),"""")"),"")</f>
        <v/>
      </c>
      <c r="U386" s="91" t="str">
        <f>IFERROR(__xludf.DUMMYFUNCTION("IFERROR(unique(filter('Генеральный баннер'!$F:$F, 'Генеральный баннер'!$B:$B=$A386,'Генеральный баннер'!$C:$C=$B386,'Генеральный баннер'!$I:$I=$C386)),"""")"),"")</f>
        <v/>
      </c>
      <c r="V386" s="92" t="str">
        <f t="shared" si="3"/>
        <v/>
      </c>
      <c r="W386" s="93">
        <f>IFERROR(__xludf.DUMMYFUNCTION("IFERROR(SWITCH(lower(join("" "",U386:V386)),""а миллионник"", 62.5,""б миллионник"", 75,""а мск"", 50, ""б мск"", 62.5, ""a остальное"", 70, ""б остальное"", 80)/100,0)"),0.0)</f>
        <v>0</v>
      </c>
      <c r="X386" s="91">
        <f t="shared" si="4"/>
        <v>0</v>
      </c>
    </row>
    <row r="387">
      <c r="A387" s="12"/>
      <c r="B387" s="12"/>
      <c r="C387" s="12"/>
      <c r="D387" s="91">
        <f>IFERROR(__xludf.DUMMYFUNCTION("IFERROR(sum(filter('Основной эфир'!$AA:$AA, 'Основной эфир'!$B:$B=$A387,'Основной эфир'!$C:$C=$B387,'Основной эфир'!$I:$I=$C387)), 0) "),0.0)</f>
        <v>0</v>
      </c>
      <c r="E387" s="91">
        <f>IFERROR(__xludf.DUMMYFUNCTION("IFERROR(sum(filter('Основной эфир'!$AC:$AC, 'Основной эфир'!$B:$B=$A387,'Основной эфир'!$C:$C=$B387,'Основной эфир'!$I:$I=$C387)), 0) "),0.0)</f>
        <v>0</v>
      </c>
      <c r="F387" s="91">
        <f>IFERROR(__xludf.DUMMYFUNCTION("IFERROR(sum(filter('Основной эфир'!$O:$O, 'Основной эфир'!$B:$B=$A387,'Основной эфир'!$C:$C=$B387,'Основной эфир'!$I:$I=$C387)), 0) "),0.0)</f>
        <v>0</v>
      </c>
      <c r="G387" s="91">
        <f>IFERROR(__xludf.DUMMYFUNCTION("IFERROR(sum(filter('Основной эфир'!$Q:$Q, 'Основной эфир'!$B:$B=$A387,'Основной эфир'!$C:$C=$B387,'Основной эфир'!$I:$I=$C387)), 0) "),0.0)</f>
        <v>0</v>
      </c>
      <c r="H387" s="91">
        <f>IFERROR(__xludf.DUMMYFUNCTION("IFERROR(AVERAGE(filter('Основной эфир'!$Y:$Y, 'Основной эфир'!$B:$B=$A387,'Основной эфир'!$C:$C=$B387,'Основной эфир'!$I:$I=$C387)), 0) "),0.0)</f>
        <v>0</v>
      </c>
      <c r="I387" s="91">
        <f>IFERROR(__xludf.DUMMYFUNCTION("IFERROR(AVERAGE(filter('Основной эфир'!$AE:$AE, 'Основной эфир'!$B:$B=$A387,'Основной эфир'!$C:$C=$B387,'Основной эфир'!$I:$I=$C387)), 0) "),0.0)</f>
        <v>0</v>
      </c>
      <c r="J387" s="91">
        <f>IFERROR(__xludf.DUMMYFUNCTION("IFERROR(SUM(filter('Основной эфир'!$AL:$AL, 'Основной эфир'!$B:$B=$A387,'Основной эфир'!$C:$C=$B387,'Основной эфир'!$I:$I=$C387)), 0) "),0.0)</f>
        <v>0</v>
      </c>
      <c r="K387" s="91" t="str">
        <f>IFERROR(__xludf.DUMMYFUNCTION("IFERROR(REGEXREPLACE(unique(filter('Основной эфир'!$A:$A, 'Основной эфир'!$B:$B=$A387,'Основной эфир'!$C:$C=$B387,'Основной эфир'!$I:$I=$C387)), ""\d+"", """"),"""")"),"")</f>
        <v/>
      </c>
      <c r="L387" s="91" t="str">
        <f>IFERROR(__xludf.DUMMYFUNCTION("IFERROR(unique(filter('Основной эфир'!$F:$F, 'Основной эфир'!$B:$B=$A387,'Основной эфир'!$C:$C=$B387,'Основной эфир'!$I:$I=$C387)),"""")"),"")</f>
        <v/>
      </c>
      <c r="M387" s="92" t="str">
        <f t="shared" si="1"/>
        <v/>
      </c>
      <c r="N387" s="93">
        <f>IFERROR(__xludf.DUMMYFUNCTION("IFERROR(SWITCH(lower(join("" "",L387:M387)),""а миллионник"", 62.5,""б миллионник"", 75,""а мск"", 50, ""б мск"", 62.5, ""a остальное"", 70, ""б остальное"", 80)/100,0)"),0.0)</f>
        <v>0</v>
      </c>
      <c r="O387" s="91">
        <f t="shared" si="2"/>
        <v>0</v>
      </c>
      <c r="P387" s="91">
        <f>IFERROR(__xludf.DUMMYFUNCTION("IFERROR(sum(filter('Генеральный баннер'!$O:$O, 'Генеральный баннер'!$B:$B=$A387,'Генеральный баннер'!$C:$C=$B387,'Генеральный баннер'!$I:$I=$C387)), 0) "),0.0)</f>
        <v>0</v>
      </c>
      <c r="Q387" s="91">
        <f>IFERROR(__xludf.DUMMYFUNCTION("IFERROR(sum(filter('Генеральный баннер'!$Q:$Q, 'Генеральный баннер'!$B:$B=$A387,'Генеральный баннер'!$C:$C=$B387,'Генеральный баннер'!$I:$I=$C387)), 0) "),0.0)</f>
        <v>0</v>
      </c>
      <c r="R387" s="91">
        <f>IFERROR(__xludf.DUMMYFUNCTION("IFERROR(AVERAGE(filter('Генеральный баннер'!$AA:$AA, 'Генеральный баннер'!$B:$B=$A387,'Генеральный баннер'!$C:$C=$B387,'Генеральный баннер'!$I:$I=$C387)), 0) "),0.0)</f>
        <v>0</v>
      </c>
      <c r="S387" s="91">
        <f>IFERROR(__xludf.DUMMYFUNCTION("IFERROR(SUM(filter('Генеральный баннер'!$AH:$AH, 'Генеральный баннер'!$B:$B=$A387,'Генеральный баннер'!$C:$C=$B387,'Генеральный баннер'!$I:$I=$C387)), 0) "),0.0)</f>
        <v>0</v>
      </c>
      <c r="T387" s="91" t="str">
        <f>IFERROR(__xludf.DUMMYFUNCTION("IFERROR(REGEXREPLACE(unique(filter('Генеральный баннер'!$A:$A, 'Генеральный баннер'!$B:$B=$A387,'Генеральный баннер'!$C:$C=$B387,'Генеральный баннер'!$I:$I=$C387)), ""\d+"", """"),"""")"),"")</f>
        <v/>
      </c>
      <c r="U387" s="91" t="str">
        <f>IFERROR(__xludf.DUMMYFUNCTION("IFERROR(unique(filter('Генеральный баннер'!$F:$F, 'Генеральный баннер'!$B:$B=$A387,'Генеральный баннер'!$C:$C=$B387,'Генеральный баннер'!$I:$I=$C387)),"""")"),"")</f>
        <v/>
      </c>
      <c r="V387" s="92" t="str">
        <f t="shared" si="3"/>
        <v/>
      </c>
      <c r="W387" s="93">
        <f>IFERROR(__xludf.DUMMYFUNCTION("IFERROR(SWITCH(lower(join("" "",U387:V387)),""а миллионник"", 62.5,""б миллионник"", 75,""а мск"", 50, ""б мск"", 62.5, ""a остальное"", 70, ""б остальное"", 80)/100,0)"),0.0)</f>
        <v>0</v>
      </c>
      <c r="X387" s="91">
        <f t="shared" si="4"/>
        <v>0</v>
      </c>
    </row>
    <row r="388">
      <c r="A388" s="12"/>
      <c r="B388" s="12"/>
      <c r="C388" s="12"/>
      <c r="D388" s="91">
        <f>IFERROR(__xludf.DUMMYFUNCTION("IFERROR(sum(filter('Основной эфир'!$AA:$AA, 'Основной эфир'!$B:$B=$A388,'Основной эфир'!$C:$C=$B388,'Основной эфир'!$I:$I=$C388)), 0) "),0.0)</f>
        <v>0</v>
      </c>
      <c r="E388" s="91">
        <f>IFERROR(__xludf.DUMMYFUNCTION("IFERROR(sum(filter('Основной эфир'!$AC:$AC, 'Основной эфир'!$B:$B=$A388,'Основной эфир'!$C:$C=$B388,'Основной эфир'!$I:$I=$C388)), 0) "),0.0)</f>
        <v>0</v>
      </c>
      <c r="F388" s="91">
        <f>IFERROR(__xludf.DUMMYFUNCTION("IFERROR(sum(filter('Основной эфир'!$O:$O, 'Основной эфир'!$B:$B=$A388,'Основной эфир'!$C:$C=$B388,'Основной эфир'!$I:$I=$C388)), 0) "),0.0)</f>
        <v>0</v>
      </c>
      <c r="G388" s="91">
        <f>IFERROR(__xludf.DUMMYFUNCTION("IFERROR(sum(filter('Основной эфир'!$Q:$Q, 'Основной эфир'!$B:$B=$A388,'Основной эфир'!$C:$C=$B388,'Основной эфир'!$I:$I=$C388)), 0) "),0.0)</f>
        <v>0</v>
      </c>
      <c r="H388" s="91">
        <f>IFERROR(__xludf.DUMMYFUNCTION("IFERROR(AVERAGE(filter('Основной эфир'!$Y:$Y, 'Основной эфир'!$B:$B=$A388,'Основной эфир'!$C:$C=$B388,'Основной эфир'!$I:$I=$C388)), 0) "),0.0)</f>
        <v>0</v>
      </c>
      <c r="I388" s="91">
        <f>IFERROR(__xludf.DUMMYFUNCTION("IFERROR(AVERAGE(filter('Основной эфир'!$AE:$AE, 'Основной эфир'!$B:$B=$A388,'Основной эфир'!$C:$C=$B388,'Основной эфир'!$I:$I=$C388)), 0) "),0.0)</f>
        <v>0</v>
      </c>
      <c r="J388" s="91">
        <f>IFERROR(__xludf.DUMMYFUNCTION("IFERROR(SUM(filter('Основной эфир'!$AL:$AL, 'Основной эфир'!$B:$B=$A388,'Основной эфир'!$C:$C=$B388,'Основной эфир'!$I:$I=$C388)), 0) "),0.0)</f>
        <v>0</v>
      </c>
      <c r="K388" s="91" t="str">
        <f>IFERROR(__xludf.DUMMYFUNCTION("IFERROR(REGEXREPLACE(unique(filter('Основной эфир'!$A:$A, 'Основной эфир'!$B:$B=$A388,'Основной эфир'!$C:$C=$B388,'Основной эфир'!$I:$I=$C388)), ""\d+"", """"),"""")"),"")</f>
        <v/>
      </c>
      <c r="L388" s="91" t="str">
        <f>IFERROR(__xludf.DUMMYFUNCTION("IFERROR(unique(filter('Основной эфир'!$F:$F, 'Основной эфир'!$B:$B=$A388,'Основной эфир'!$C:$C=$B388,'Основной эфир'!$I:$I=$C388)),"""")"),"")</f>
        <v/>
      </c>
      <c r="M388" s="92" t="str">
        <f t="shared" si="1"/>
        <v/>
      </c>
      <c r="N388" s="93">
        <f>IFERROR(__xludf.DUMMYFUNCTION("IFERROR(SWITCH(lower(join("" "",L388:M388)),""а миллионник"", 62.5,""б миллионник"", 75,""а мск"", 50, ""б мск"", 62.5, ""a остальное"", 70, ""б остальное"", 80)/100,0)"),0.0)</f>
        <v>0</v>
      </c>
      <c r="O388" s="91">
        <f t="shared" si="2"/>
        <v>0</v>
      </c>
      <c r="P388" s="91">
        <f>IFERROR(__xludf.DUMMYFUNCTION("IFERROR(sum(filter('Генеральный баннер'!$O:$O, 'Генеральный баннер'!$B:$B=$A388,'Генеральный баннер'!$C:$C=$B388,'Генеральный баннер'!$I:$I=$C388)), 0) "),0.0)</f>
        <v>0</v>
      </c>
      <c r="Q388" s="91">
        <f>IFERROR(__xludf.DUMMYFUNCTION("IFERROR(sum(filter('Генеральный баннер'!$Q:$Q, 'Генеральный баннер'!$B:$B=$A388,'Генеральный баннер'!$C:$C=$B388,'Генеральный баннер'!$I:$I=$C388)), 0) "),0.0)</f>
        <v>0</v>
      </c>
      <c r="R388" s="91">
        <f>IFERROR(__xludf.DUMMYFUNCTION("IFERROR(AVERAGE(filter('Генеральный баннер'!$AA:$AA, 'Генеральный баннер'!$B:$B=$A388,'Генеральный баннер'!$C:$C=$B388,'Генеральный баннер'!$I:$I=$C388)), 0) "),0.0)</f>
        <v>0</v>
      </c>
      <c r="S388" s="91">
        <f>IFERROR(__xludf.DUMMYFUNCTION("IFERROR(SUM(filter('Генеральный баннер'!$AH:$AH, 'Генеральный баннер'!$B:$B=$A388,'Генеральный баннер'!$C:$C=$B388,'Генеральный баннер'!$I:$I=$C388)), 0) "),0.0)</f>
        <v>0</v>
      </c>
      <c r="T388" s="91" t="str">
        <f>IFERROR(__xludf.DUMMYFUNCTION("IFERROR(REGEXREPLACE(unique(filter('Генеральный баннер'!$A:$A, 'Генеральный баннер'!$B:$B=$A388,'Генеральный баннер'!$C:$C=$B388,'Генеральный баннер'!$I:$I=$C388)), ""\d+"", """"),"""")"),"")</f>
        <v/>
      </c>
      <c r="U388" s="91" t="str">
        <f>IFERROR(__xludf.DUMMYFUNCTION("IFERROR(unique(filter('Генеральный баннер'!$F:$F, 'Генеральный баннер'!$B:$B=$A388,'Генеральный баннер'!$C:$C=$B388,'Генеральный баннер'!$I:$I=$C388)),"""")"),"")</f>
        <v/>
      </c>
      <c r="V388" s="92" t="str">
        <f t="shared" si="3"/>
        <v/>
      </c>
      <c r="W388" s="93">
        <f>IFERROR(__xludf.DUMMYFUNCTION("IFERROR(SWITCH(lower(join("" "",U388:V388)),""а миллионник"", 62.5,""б миллионник"", 75,""а мск"", 50, ""б мск"", 62.5, ""a остальное"", 70, ""б остальное"", 80)/100,0)"),0.0)</f>
        <v>0</v>
      </c>
      <c r="X388" s="91">
        <f t="shared" si="4"/>
        <v>0</v>
      </c>
    </row>
    <row r="389">
      <c r="A389" s="12"/>
      <c r="B389" s="12"/>
      <c r="C389" s="12"/>
      <c r="D389" s="91">
        <f>IFERROR(__xludf.DUMMYFUNCTION("IFERROR(sum(filter('Основной эфир'!$AA:$AA, 'Основной эфир'!$B:$B=$A389,'Основной эфир'!$C:$C=$B389,'Основной эфир'!$I:$I=$C389)), 0) "),0.0)</f>
        <v>0</v>
      </c>
      <c r="E389" s="91">
        <f>IFERROR(__xludf.DUMMYFUNCTION("IFERROR(sum(filter('Основной эфир'!$AC:$AC, 'Основной эфир'!$B:$B=$A389,'Основной эфир'!$C:$C=$B389,'Основной эфир'!$I:$I=$C389)), 0) "),0.0)</f>
        <v>0</v>
      </c>
      <c r="F389" s="91">
        <f>IFERROR(__xludf.DUMMYFUNCTION("IFERROR(sum(filter('Основной эфир'!$O:$O, 'Основной эфир'!$B:$B=$A389,'Основной эфир'!$C:$C=$B389,'Основной эфир'!$I:$I=$C389)), 0) "),0.0)</f>
        <v>0</v>
      </c>
      <c r="G389" s="91">
        <f>IFERROR(__xludf.DUMMYFUNCTION("IFERROR(sum(filter('Основной эфир'!$Q:$Q, 'Основной эфир'!$B:$B=$A389,'Основной эфир'!$C:$C=$B389,'Основной эфир'!$I:$I=$C389)), 0) "),0.0)</f>
        <v>0</v>
      </c>
      <c r="H389" s="91">
        <f>IFERROR(__xludf.DUMMYFUNCTION("IFERROR(AVERAGE(filter('Основной эфир'!$Y:$Y, 'Основной эфир'!$B:$B=$A389,'Основной эфир'!$C:$C=$B389,'Основной эфир'!$I:$I=$C389)), 0) "),0.0)</f>
        <v>0</v>
      </c>
      <c r="I389" s="91">
        <f>IFERROR(__xludf.DUMMYFUNCTION("IFERROR(AVERAGE(filter('Основной эфир'!$AE:$AE, 'Основной эфир'!$B:$B=$A389,'Основной эфир'!$C:$C=$B389,'Основной эфир'!$I:$I=$C389)), 0) "),0.0)</f>
        <v>0</v>
      </c>
      <c r="J389" s="91">
        <f>IFERROR(__xludf.DUMMYFUNCTION("IFERROR(SUM(filter('Основной эфир'!$AL:$AL, 'Основной эфир'!$B:$B=$A389,'Основной эфир'!$C:$C=$B389,'Основной эфир'!$I:$I=$C389)), 0) "),0.0)</f>
        <v>0</v>
      </c>
      <c r="K389" s="91" t="str">
        <f>IFERROR(__xludf.DUMMYFUNCTION("IFERROR(REGEXREPLACE(unique(filter('Основной эфир'!$A:$A, 'Основной эфир'!$B:$B=$A389,'Основной эфир'!$C:$C=$B389,'Основной эфир'!$I:$I=$C389)), ""\d+"", """"),"""")"),"")</f>
        <v/>
      </c>
      <c r="L389" s="91" t="str">
        <f>IFERROR(__xludf.DUMMYFUNCTION("IFERROR(unique(filter('Основной эфир'!$F:$F, 'Основной эфир'!$B:$B=$A389,'Основной эфир'!$C:$C=$B389,'Основной эфир'!$I:$I=$C389)),"""")"),"")</f>
        <v/>
      </c>
      <c r="M389" s="92" t="str">
        <f t="shared" si="1"/>
        <v/>
      </c>
      <c r="N389" s="93">
        <f>IFERROR(__xludf.DUMMYFUNCTION("IFERROR(SWITCH(lower(join("" "",L389:M389)),""а миллионник"", 62.5,""б миллионник"", 75,""а мск"", 50, ""б мск"", 62.5, ""a остальное"", 70, ""б остальное"", 80)/100,0)"),0.0)</f>
        <v>0</v>
      </c>
      <c r="O389" s="91">
        <f t="shared" si="2"/>
        <v>0</v>
      </c>
      <c r="P389" s="91">
        <f>IFERROR(__xludf.DUMMYFUNCTION("IFERROR(sum(filter('Генеральный баннер'!$O:$O, 'Генеральный баннер'!$B:$B=$A389,'Генеральный баннер'!$C:$C=$B389,'Генеральный баннер'!$I:$I=$C389)), 0) "),0.0)</f>
        <v>0</v>
      </c>
      <c r="Q389" s="91">
        <f>IFERROR(__xludf.DUMMYFUNCTION("IFERROR(sum(filter('Генеральный баннер'!$Q:$Q, 'Генеральный баннер'!$B:$B=$A389,'Генеральный баннер'!$C:$C=$B389,'Генеральный баннер'!$I:$I=$C389)), 0) "),0.0)</f>
        <v>0</v>
      </c>
      <c r="R389" s="91">
        <f>IFERROR(__xludf.DUMMYFUNCTION("IFERROR(AVERAGE(filter('Генеральный баннер'!$AA:$AA, 'Генеральный баннер'!$B:$B=$A389,'Генеральный баннер'!$C:$C=$B389,'Генеральный баннер'!$I:$I=$C389)), 0) "),0.0)</f>
        <v>0</v>
      </c>
      <c r="S389" s="91">
        <f>IFERROR(__xludf.DUMMYFUNCTION("IFERROR(SUM(filter('Генеральный баннер'!$AH:$AH, 'Генеральный баннер'!$B:$B=$A389,'Генеральный баннер'!$C:$C=$B389,'Генеральный баннер'!$I:$I=$C389)), 0) "),0.0)</f>
        <v>0</v>
      </c>
      <c r="T389" s="91" t="str">
        <f>IFERROR(__xludf.DUMMYFUNCTION("IFERROR(REGEXREPLACE(unique(filter('Генеральный баннер'!$A:$A, 'Генеральный баннер'!$B:$B=$A389,'Генеральный баннер'!$C:$C=$B389,'Генеральный баннер'!$I:$I=$C389)), ""\d+"", """"),"""")"),"")</f>
        <v/>
      </c>
      <c r="U389" s="91" t="str">
        <f>IFERROR(__xludf.DUMMYFUNCTION("IFERROR(unique(filter('Генеральный баннер'!$F:$F, 'Генеральный баннер'!$B:$B=$A389,'Генеральный баннер'!$C:$C=$B389,'Генеральный баннер'!$I:$I=$C389)),"""")"),"")</f>
        <v/>
      </c>
      <c r="V389" s="92" t="str">
        <f t="shared" si="3"/>
        <v/>
      </c>
      <c r="W389" s="93">
        <f>IFERROR(__xludf.DUMMYFUNCTION("IFERROR(SWITCH(lower(join("" "",U389:V389)),""а миллионник"", 62.5,""б миллионник"", 75,""а мск"", 50, ""б мск"", 62.5, ""a остальное"", 70, ""б остальное"", 80)/100,0)"),0.0)</f>
        <v>0</v>
      </c>
      <c r="X389" s="91">
        <f t="shared" si="4"/>
        <v>0</v>
      </c>
    </row>
    <row r="390">
      <c r="A390" s="12"/>
      <c r="B390" s="12"/>
      <c r="C390" s="12"/>
      <c r="D390" s="91">
        <f>IFERROR(__xludf.DUMMYFUNCTION("IFERROR(sum(filter('Основной эфир'!$AA:$AA, 'Основной эфир'!$B:$B=$A390,'Основной эфир'!$C:$C=$B390,'Основной эфир'!$I:$I=$C390)), 0) "),0.0)</f>
        <v>0</v>
      </c>
      <c r="E390" s="91">
        <f>IFERROR(__xludf.DUMMYFUNCTION("IFERROR(sum(filter('Основной эфир'!$AC:$AC, 'Основной эфир'!$B:$B=$A390,'Основной эфир'!$C:$C=$B390,'Основной эфир'!$I:$I=$C390)), 0) "),0.0)</f>
        <v>0</v>
      </c>
      <c r="F390" s="91">
        <f>IFERROR(__xludf.DUMMYFUNCTION("IFERROR(sum(filter('Основной эфир'!$O:$O, 'Основной эфир'!$B:$B=$A390,'Основной эфир'!$C:$C=$B390,'Основной эфир'!$I:$I=$C390)), 0) "),0.0)</f>
        <v>0</v>
      </c>
      <c r="G390" s="91">
        <f>IFERROR(__xludf.DUMMYFUNCTION("IFERROR(sum(filter('Основной эфир'!$Q:$Q, 'Основной эфир'!$B:$B=$A390,'Основной эфир'!$C:$C=$B390,'Основной эфир'!$I:$I=$C390)), 0) "),0.0)</f>
        <v>0</v>
      </c>
      <c r="H390" s="91">
        <f>IFERROR(__xludf.DUMMYFUNCTION("IFERROR(AVERAGE(filter('Основной эфир'!$Y:$Y, 'Основной эфир'!$B:$B=$A390,'Основной эфир'!$C:$C=$B390,'Основной эфир'!$I:$I=$C390)), 0) "),0.0)</f>
        <v>0</v>
      </c>
      <c r="I390" s="91">
        <f>IFERROR(__xludf.DUMMYFUNCTION("IFERROR(AVERAGE(filter('Основной эфир'!$AE:$AE, 'Основной эфир'!$B:$B=$A390,'Основной эфир'!$C:$C=$B390,'Основной эфир'!$I:$I=$C390)), 0) "),0.0)</f>
        <v>0</v>
      </c>
      <c r="J390" s="91">
        <f>IFERROR(__xludf.DUMMYFUNCTION("IFERROR(SUM(filter('Основной эфир'!$AL:$AL, 'Основной эфир'!$B:$B=$A390,'Основной эфир'!$C:$C=$B390,'Основной эфир'!$I:$I=$C390)), 0) "),0.0)</f>
        <v>0</v>
      </c>
      <c r="K390" s="91" t="str">
        <f>IFERROR(__xludf.DUMMYFUNCTION("IFERROR(REGEXREPLACE(unique(filter('Основной эфир'!$A:$A, 'Основной эфир'!$B:$B=$A390,'Основной эфир'!$C:$C=$B390,'Основной эфир'!$I:$I=$C390)), ""\d+"", """"),"""")"),"")</f>
        <v/>
      </c>
      <c r="L390" s="91" t="str">
        <f>IFERROR(__xludf.DUMMYFUNCTION("IFERROR(unique(filter('Основной эфир'!$F:$F, 'Основной эфир'!$B:$B=$A390,'Основной эфир'!$C:$C=$B390,'Основной эфир'!$I:$I=$C390)),"""")"),"")</f>
        <v/>
      </c>
      <c r="M390" s="92" t="str">
        <f t="shared" si="1"/>
        <v/>
      </c>
      <c r="N390" s="93">
        <f>IFERROR(__xludf.DUMMYFUNCTION("IFERROR(SWITCH(lower(join("" "",L390:M390)),""а миллионник"", 62.5,""б миллионник"", 75,""а мск"", 50, ""б мск"", 62.5, ""a остальное"", 70, ""б остальное"", 80)/100,0)"),0.0)</f>
        <v>0</v>
      </c>
      <c r="O390" s="91">
        <f t="shared" si="2"/>
        <v>0</v>
      </c>
      <c r="P390" s="91">
        <f>IFERROR(__xludf.DUMMYFUNCTION("IFERROR(sum(filter('Генеральный баннер'!$O:$O, 'Генеральный баннер'!$B:$B=$A390,'Генеральный баннер'!$C:$C=$B390,'Генеральный баннер'!$I:$I=$C390)), 0) "),0.0)</f>
        <v>0</v>
      </c>
      <c r="Q390" s="91">
        <f>IFERROR(__xludf.DUMMYFUNCTION("IFERROR(sum(filter('Генеральный баннер'!$Q:$Q, 'Генеральный баннер'!$B:$B=$A390,'Генеральный баннер'!$C:$C=$B390,'Генеральный баннер'!$I:$I=$C390)), 0) "),0.0)</f>
        <v>0</v>
      </c>
      <c r="R390" s="91">
        <f>IFERROR(__xludf.DUMMYFUNCTION("IFERROR(AVERAGE(filter('Генеральный баннер'!$AA:$AA, 'Генеральный баннер'!$B:$B=$A390,'Генеральный баннер'!$C:$C=$B390,'Генеральный баннер'!$I:$I=$C390)), 0) "),0.0)</f>
        <v>0</v>
      </c>
      <c r="S390" s="91">
        <f>IFERROR(__xludf.DUMMYFUNCTION("IFERROR(SUM(filter('Генеральный баннер'!$AH:$AH, 'Генеральный баннер'!$B:$B=$A390,'Генеральный баннер'!$C:$C=$B390,'Генеральный баннер'!$I:$I=$C390)), 0) "),0.0)</f>
        <v>0</v>
      </c>
      <c r="T390" s="91" t="str">
        <f>IFERROR(__xludf.DUMMYFUNCTION("IFERROR(REGEXREPLACE(unique(filter('Генеральный баннер'!$A:$A, 'Генеральный баннер'!$B:$B=$A390,'Генеральный баннер'!$C:$C=$B390,'Генеральный баннер'!$I:$I=$C390)), ""\d+"", """"),"""")"),"")</f>
        <v/>
      </c>
      <c r="U390" s="91" t="str">
        <f>IFERROR(__xludf.DUMMYFUNCTION("IFERROR(unique(filter('Генеральный баннер'!$F:$F, 'Генеральный баннер'!$B:$B=$A390,'Генеральный баннер'!$C:$C=$B390,'Генеральный баннер'!$I:$I=$C390)),"""")"),"")</f>
        <v/>
      </c>
      <c r="V390" s="92" t="str">
        <f t="shared" si="3"/>
        <v/>
      </c>
      <c r="W390" s="93">
        <f>IFERROR(__xludf.DUMMYFUNCTION("IFERROR(SWITCH(lower(join("" "",U390:V390)),""а миллионник"", 62.5,""б миллионник"", 75,""а мск"", 50, ""б мск"", 62.5, ""a остальное"", 70, ""б остальное"", 80)/100,0)"),0.0)</f>
        <v>0</v>
      </c>
      <c r="X390" s="91">
        <f t="shared" si="4"/>
        <v>0</v>
      </c>
    </row>
    <row r="391">
      <c r="A391" s="12"/>
      <c r="B391" s="12"/>
      <c r="C391" s="12"/>
      <c r="D391" s="91">
        <f>IFERROR(__xludf.DUMMYFUNCTION("IFERROR(sum(filter('Основной эфир'!$AA:$AA, 'Основной эфир'!$B:$B=$A391,'Основной эфир'!$C:$C=$B391,'Основной эфир'!$I:$I=$C391)), 0) "),0.0)</f>
        <v>0</v>
      </c>
      <c r="E391" s="91">
        <f>IFERROR(__xludf.DUMMYFUNCTION("IFERROR(sum(filter('Основной эфир'!$AC:$AC, 'Основной эфир'!$B:$B=$A391,'Основной эфир'!$C:$C=$B391,'Основной эфир'!$I:$I=$C391)), 0) "),0.0)</f>
        <v>0</v>
      </c>
      <c r="F391" s="91">
        <f>IFERROR(__xludf.DUMMYFUNCTION("IFERROR(sum(filter('Основной эфир'!$O:$O, 'Основной эфир'!$B:$B=$A391,'Основной эфир'!$C:$C=$B391,'Основной эфир'!$I:$I=$C391)), 0) "),0.0)</f>
        <v>0</v>
      </c>
      <c r="G391" s="91">
        <f>IFERROR(__xludf.DUMMYFUNCTION("IFERROR(sum(filter('Основной эфир'!$Q:$Q, 'Основной эфир'!$B:$B=$A391,'Основной эфир'!$C:$C=$B391,'Основной эфир'!$I:$I=$C391)), 0) "),0.0)</f>
        <v>0</v>
      </c>
      <c r="H391" s="91">
        <f>IFERROR(__xludf.DUMMYFUNCTION("IFERROR(AVERAGE(filter('Основной эфир'!$Y:$Y, 'Основной эфир'!$B:$B=$A391,'Основной эфир'!$C:$C=$B391,'Основной эфир'!$I:$I=$C391)), 0) "),0.0)</f>
        <v>0</v>
      </c>
      <c r="I391" s="91">
        <f>IFERROR(__xludf.DUMMYFUNCTION("IFERROR(AVERAGE(filter('Основной эфир'!$AE:$AE, 'Основной эфир'!$B:$B=$A391,'Основной эфир'!$C:$C=$B391,'Основной эфир'!$I:$I=$C391)), 0) "),0.0)</f>
        <v>0</v>
      </c>
      <c r="J391" s="91">
        <f>IFERROR(__xludf.DUMMYFUNCTION("IFERROR(SUM(filter('Основной эфир'!$AL:$AL, 'Основной эфир'!$B:$B=$A391,'Основной эфир'!$C:$C=$B391,'Основной эфир'!$I:$I=$C391)), 0) "),0.0)</f>
        <v>0</v>
      </c>
      <c r="K391" s="91" t="str">
        <f>IFERROR(__xludf.DUMMYFUNCTION("IFERROR(REGEXREPLACE(unique(filter('Основной эфир'!$A:$A, 'Основной эфир'!$B:$B=$A391,'Основной эфир'!$C:$C=$B391,'Основной эфир'!$I:$I=$C391)), ""\d+"", """"),"""")"),"")</f>
        <v/>
      </c>
      <c r="L391" s="91" t="str">
        <f>IFERROR(__xludf.DUMMYFUNCTION("IFERROR(unique(filter('Основной эфир'!$F:$F, 'Основной эфир'!$B:$B=$A391,'Основной эфир'!$C:$C=$B391,'Основной эфир'!$I:$I=$C391)),"""")"),"")</f>
        <v/>
      </c>
      <c r="M391" s="92" t="str">
        <f t="shared" si="1"/>
        <v/>
      </c>
      <c r="N391" s="93">
        <f>IFERROR(__xludf.DUMMYFUNCTION("IFERROR(SWITCH(lower(join("" "",L391:M391)),""а миллионник"", 62.5,""б миллионник"", 75,""а мск"", 50, ""б мск"", 62.5, ""a остальное"", 70, ""б остальное"", 80)/100,0)"),0.0)</f>
        <v>0</v>
      </c>
      <c r="O391" s="91">
        <f t="shared" si="2"/>
        <v>0</v>
      </c>
      <c r="P391" s="91">
        <f>IFERROR(__xludf.DUMMYFUNCTION("IFERROR(sum(filter('Генеральный баннер'!$O:$O, 'Генеральный баннер'!$B:$B=$A391,'Генеральный баннер'!$C:$C=$B391,'Генеральный баннер'!$I:$I=$C391)), 0) "),0.0)</f>
        <v>0</v>
      </c>
      <c r="Q391" s="91">
        <f>IFERROR(__xludf.DUMMYFUNCTION("IFERROR(sum(filter('Генеральный баннер'!$Q:$Q, 'Генеральный баннер'!$B:$B=$A391,'Генеральный баннер'!$C:$C=$B391,'Генеральный баннер'!$I:$I=$C391)), 0) "),0.0)</f>
        <v>0</v>
      </c>
      <c r="R391" s="91">
        <f>IFERROR(__xludf.DUMMYFUNCTION("IFERROR(AVERAGE(filter('Генеральный баннер'!$AA:$AA, 'Генеральный баннер'!$B:$B=$A391,'Генеральный баннер'!$C:$C=$B391,'Генеральный баннер'!$I:$I=$C391)), 0) "),0.0)</f>
        <v>0</v>
      </c>
      <c r="S391" s="91">
        <f>IFERROR(__xludf.DUMMYFUNCTION("IFERROR(SUM(filter('Генеральный баннер'!$AH:$AH, 'Генеральный баннер'!$B:$B=$A391,'Генеральный баннер'!$C:$C=$B391,'Генеральный баннер'!$I:$I=$C391)), 0) "),0.0)</f>
        <v>0</v>
      </c>
      <c r="T391" s="91" t="str">
        <f>IFERROR(__xludf.DUMMYFUNCTION("IFERROR(REGEXREPLACE(unique(filter('Генеральный баннер'!$A:$A, 'Генеральный баннер'!$B:$B=$A391,'Генеральный баннер'!$C:$C=$B391,'Генеральный баннер'!$I:$I=$C391)), ""\d+"", """"),"""")"),"")</f>
        <v/>
      </c>
      <c r="U391" s="91" t="str">
        <f>IFERROR(__xludf.DUMMYFUNCTION("IFERROR(unique(filter('Генеральный баннер'!$F:$F, 'Генеральный баннер'!$B:$B=$A391,'Генеральный баннер'!$C:$C=$B391,'Генеральный баннер'!$I:$I=$C391)),"""")"),"")</f>
        <v/>
      </c>
      <c r="V391" s="92" t="str">
        <f t="shared" si="3"/>
        <v/>
      </c>
      <c r="W391" s="93">
        <f>IFERROR(__xludf.DUMMYFUNCTION("IFERROR(SWITCH(lower(join("" "",U391:V391)),""а миллионник"", 62.5,""б миллионник"", 75,""а мск"", 50, ""б мск"", 62.5, ""a остальное"", 70, ""б остальное"", 80)/100,0)"),0.0)</f>
        <v>0</v>
      </c>
      <c r="X391" s="91">
        <f t="shared" si="4"/>
        <v>0</v>
      </c>
    </row>
    <row r="392">
      <c r="A392" s="12"/>
      <c r="B392" s="12"/>
      <c r="C392" s="12"/>
      <c r="D392" s="91">
        <f>IFERROR(__xludf.DUMMYFUNCTION("IFERROR(sum(filter('Основной эфир'!$AA:$AA, 'Основной эфир'!$B:$B=$A392,'Основной эфир'!$C:$C=$B392,'Основной эфир'!$I:$I=$C392)), 0) "),0.0)</f>
        <v>0</v>
      </c>
      <c r="E392" s="91">
        <f>IFERROR(__xludf.DUMMYFUNCTION("IFERROR(sum(filter('Основной эфир'!$AC:$AC, 'Основной эфир'!$B:$B=$A392,'Основной эфир'!$C:$C=$B392,'Основной эфир'!$I:$I=$C392)), 0) "),0.0)</f>
        <v>0</v>
      </c>
      <c r="F392" s="91">
        <f>IFERROR(__xludf.DUMMYFUNCTION("IFERROR(sum(filter('Основной эфир'!$O:$O, 'Основной эфир'!$B:$B=$A392,'Основной эфир'!$C:$C=$B392,'Основной эфир'!$I:$I=$C392)), 0) "),0.0)</f>
        <v>0</v>
      </c>
      <c r="G392" s="91">
        <f>IFERROR(__xludf.DUMMYFUNCTION("IFERROR(sum(filter('Основной эфир'!$Q:$Q, 'Основной эфир'!$B:$B=$A392,'Основной эфир'!$C:$C=$B392,'Основной эфир'!$I:$I=$C392)), 0) "),0.0)</f>
        <v>0</v>
      </c>
      <c r="H392" s="91">
        <f>IFERROR(__xludf.DUMMYFUNCTION("IFERROR(AVERAGE(filter('Основной эфир'!$Y:$Y, 'Основной эфир'!$B:$B=$A392,'Основной эфир'!$C:$C=$B392,'Основной эфир'!$I:$I=$C392)), 0) "),0.0)</f>
        <v>0</v>
      </c>
      <c r="I392" s="91">
        <f>IFERROR(__xludf.DUMMYFUNCTION("IFERROR(AVERAGE(filter('Основной эфир'!$AE:$AE, 'Основной эфир'!$B:$B=$A392,'Основной эфир'!$C:$C=$B392,'Основной эфир'!$I:$I=$C392)), 0) "),0.0)</f>
        <v>0</v>
      </c>
      <c r="J392" s="91">
        <f>IFERROR(__xludf.DUMMYFUNCTION("IFERROR(SUM(filter('Основной эфир'!$AL:$AL, 'Основной эфир'!$B:$B=$A392,'Основной эфир'!$C:$C=$B392,'Основной эфир'!$I:$I=$C392)), 0) "),0.0)</f>
        <v>0</v>
      </c>
      <c r="K392" s="91" t="str">
        <f>IFERROR(__xludf.DUMMYFUNCTION("IFERROR(REGEXREPLACE(unique(filter('Основной эфир'!$A:$A, 'Основной эфир'!$B:$B=$A392,'Основной эфир'!$C:$C=$B392,'Основной эфир'!$I:$I=$C392)), ""\d+"", """"),"""")"),"")</f>
        <v/>
      </c>
      <c r="L392" s="91" t="str">
        <f>IFERROR(__xludf.DUMMYFUNCTION("IFERROR(unique(filter('Основной эфир'!$F:$F, 'Основной эфир'!$B:$B=$A392,'Основной эфир'!$C:$C=$B392,'Основной эфир'!$I:$I=$C392)),"""")"),"")</f>
        <v/>
      </c>
      <c r="M392" s="92" t="str">
        <f t="shared" si="1"/>
        <v/>
      </c>
      <c r="N392" s="93">
        <f>IFERROR(__xludf.DUMMYFUNCTION("IFERROR(SWITCH(lower(join("" "",L392:M392)),""а миллионник"", 62.5,""б миллионник"", 75,""а мск"", 50, ""б мск"", 62.5, ""a остальное"", 70, ""б остальное"", 80)/100,0)"),0.0)</f>
        <v>0</v>
      </c>
      <c r="O392" s="91">
        <f t="shared" si="2"/>
        <v>0</v>
      </c>
      <c r="P392" s="91">
        <f>IFERROR(__xludf.DUMMYFUNCTION("IFERROR(sum(filter('Генеральный баннер'!$O:$O, 'Генеральный баннер'!$B:$B=$A392,'Генеральный баннер'!$C:$C=$B392,'Генеральный баннер'!$I:$I=$C392)), 0) "),0.0)</f>
        <v>0</v>
      </c>
      <c r="Q392" s="91">
        <f>IFERROR(__xludf.DUMMYFUNCTION("IFERROR(sum(filter('Генеральный баннер'!$Q:$Q, 'Генеральный баннер'!$B:$B=$A392,'Генеральный баннер'!$C:$C=$B392,'Генеральный баннер'!$I:$I=$C392)), 0) "),0.0)</f>
        <v>0</v>
      </c>
      <c r="R392" s="91">
        <f>IFERROR(__xludf.DUMMYFUNCTION("IFERROR(AVERAGE(filter('Генеральный баннер'!$AA:$AA, 'Генеральный баннер'!$B:$B=$A392,'Генеральный баннер'!$C:$C=$B392,'Генеральный баннер'!$I:$I=$C392)), 0) "),0.0)</f>
        <v>0</v>
      </c>
      <c r="S392" s="91">
        <f>IFERROR(__xludf.DUMMYFUNCTION("IFERROR(SUM(filter('Генеральный баннер'!$AH:$AH, 'Генеральный баннер'!$B:$B=$A392,'Генеральный баннер'!$C:$C=$B392,'Генеральный баннер'!$I:$I=$C392)), 0) "),0.0)</f>
        <v>0</v>
      </c>
      <c r="T392" s="91" t="str">
        <f>IFERROR(__xludf.DUMMYFUNCTION("IFERROR(REGEXREPLACE(unique(filter('Генеральный баннер'!$A:$A, 'Генеральный баннер'!$B:$B=$A392,'Генеральный баннер'!$C:$C=$B392,'Генеральный баннер'!$I:$I=$C392)), ""\d+"", """"),"""")"),"")</f>
        <v/>
      </c>
      <c r="U392" s="91" t="str">
        <f>IFERROR(__xludf.DUMMYFUNCTION("IFERROR(unique(filter('Генеральный баннер'!$F:$F, 'Генеральный баннер'!$B:$B=$A392,'Генеральный баннер'!$C:$C=$B392,'Генеральный баннер'!$I:$I=$C392)),"""")"),"")</f>
        <v/>
      </c>
      <c r="V392" s="92" t="str">
        <f t="shared" si="3"/>
        <v/>
      </c>
      <c r="W392" s="93">
        <f>IFERROR(__xludf.DUMMYFUNCTION("IFERROR(SWITCH(lower(join("" "",U392:V392)),""а миллионник"", 62.5,""б миллионник"", 75,""а мск"", 50, ""б мск"", 62.5, ""a остальное"", 70, ""б остальное"", 80)/100,0)"),0.0)</f>
        <v>0</v>
      </c>
      <c r="X392" s="91">
        <f t="shared" si="4"/>
        <v>0</v>
      </c>
    </row>
    <row r="393">
      <c r="A393" s="12"/>
      <c r="B393" s="12"/>
      <c r="C393" s="12"/>
      <c r="D393" s="91">
        <f>IFERROR(__xludf.DUMMYFUNCTION("IFERROR(sum(filter('Основной эфир'!$AA:$AA, 'Основной эфир'!$B:$B=$A393,'Основной эфир'!$C:$C=$B393,'Основной эфир'!$I:$I=$C393)), 0) "),0.0)</f>
        <v>0</v>
      </c>
      <c r="E393" s="91">
        <f>IFERROR(__xludf.DUMMYFUNCTION("IFERROR(sum(filter('Основной эфир'!$AC:$AC, 'Основной эфир'!$B:$B=$A393,'Основной эфир'!$C:$C=$B393,'Основной эфир'!$I:$I=$C393)), 0) "),0.0)</f>
        <v>0</v>
      </c>
      <c r="F393" s="91">
        <f>IFERROR(__xludf.DUMMYFUNCTION("IFERROR(sum(filter('Основной эфир'!$O:$O, 'Основной эфир'!$B:$B=$A393,'Основной эфир'!$C:$C=$B393,'Основной эфир'!$I:$I=$C393)), 0) "),0.0)</f>
        <v>0</v>
      </c>
      <c r="G393" s="91">
        <f>IFERROR(__xludf.DUMMYFUNCTION("IFERROR(sum(filter('Основной эфир'!$Q:$Q, 'Основной эфир'!$B:$B=$A393,'Основной эфир'!$C:$C=$B393,'Основной эфир'!$I:$I=$C393)), 0) "),0.0)</f>
        <v>0</v>
      </c>
      <c r="H393" s="91">
        <f>IFERROR(__xludf.DUMMYFUNCTION("IFERROR(AVERAGE(filter('Основной эфир'!$Y:$Y, 'Основной эфир'!$B:$B=$A393,'Основной эфир'!$C:$C=$B393,'Основной эфир'!$I:$I=$C393)), 0) "),0.0)</f>
        <v>0</v>
      </c>
      <c r="I393" s="91">
        <f>IFERROR(__xludf.DUMMYFUNCTION("IFERROR(AVERAGE(filter('Основной эфир'!$AE:$AE, 'Основной эфир'!$B:$B=$A393,'Основной эфир'!$C:$C=$B393,'Основной эфир'!$I:$I=$C393)), 0) "),0.0)</f>
        <v>0</v>
      </c>
      <c r="J393" s="91">
        <f>IFERROR(__xludf.DUMMYFUNCTION("IFERROR(SUM(filter('Основной эфир'!$AL:$AL, 'Основной эфир'!$B:$B=$A393,'Основной эфир'!$C:$C=$B393,'Основной эфир'!$I:$I=$C393)), 0) "),0.0)</f>
        <v>0</v>
      </c>
      <c r="K393" s="91" t="str">
        <f>IFERROR(__xludf.DUMMYFUNCTION("IFERROR(REGEXREPLACE(unique(filter('Основной эфир'!$A:$A, 'Основной эфир'!$B:$B=$A393,'Основной эфир'!$C:$C=$B393,'Основной эфир'!$I:$I=$C393)), ""\d+"", """"),"""")"),"")</f>
        <v/>
      </c>
      <c r="L393" s="91" t="str">
        <f>IFERROR(__xludf.DUMMYFUNCTION("IFERROR(unique(filter('Основной эфир'!$F:$F, 'Основной эфир'!$B:$B=$A393,'Основной эфир'!$C:$C=$B393,'Основной эфир'!$I:$I=$C393)),"""")"),"")</f>
        <v/>
      </c>
      <c r="M393" s="92" t="str">
        <f t="shared" si="1"/>
        <v/>
      </c>
      <c r="N393" s="93">
        <f>IFERROR(__xludf.DUMMYFUNCTION("IFERROR(SWITCH(lower(join("" "",L393:M393)),""а миллионник"", 62.5,""б миллионник"", 75,""а мск"", 50, ""б мск"", 62.5, ""a остальное"", 70, ""б остальное"", 80)/100,0)"),0.0)</f>
        <v>0</v>
      </c>
      <c r="O393" s="91">
        <f t="shared" si="2"/>
        <v>0</v>
      </c>
      <c r="P393" s="91">
        <f>IFERROR(__xludf.DUMMYFUNCTION("IFERROR(sum(filter('Генеральный баннер'!$O:$O, 'Генеральный баннер'!$B:$B=$A393,'Генеральный баннер'!$C:$C=$B393,'Генеральный баннер'!$I:$I=$C393)), 0) "),0.0)</f>
        <v>0</v>
      </c>
      <c r="Q393" s="91">
        <f>IFERROR(__xludf.DUMMYFUNCTION("IFERROR(sum(filter('Генеральный баннер'!$Q:$Q, 'Генеральный баннер'!$B:$B=$A393,'Генеральный баннер'!$C:$C=$B393,'Генеральный баннер'!$I:$I=$C393)), 0) "),0.0)</f>
        <v>0</v>
      </c>
      <c r="R393" s="91">
        <f>IFERROR(__xludf.DUMMYFUNCTION("IFERROR(AVERAGE(filter('Генеральный баннер'!$AA:$AA, 'Генеральный баннер'!$B:$B=$A393,'Генеральный баннер'!$C:$C=$B393,'Генеральный баннер'!$I:$I=$C393)), 0) "),0.0)</f>
        <v>0</v>
      </c>
      <c r="S393" s="91">
        <f>IFERROR(__xludf.DUMMYFUNCTION("IFERROR(SUM(filter('Генеральный баннер'!$AH:$AH, 'Генеральный баннер'!$B:$B=$A393,'Генеральный баннер'!$C:$C=$B393,'Генеральный баннер'!$I:$I=$C393)), 0) "),0.0)</f>
        <v>0</v>
      </c>
      <c r="T393" s="91" t="str">
        <f>IFERROR(__xludf.DUMMYFUNCTION("IFERROR(REGEXREPLACE(unique(filter('Генеральный баннер'!$A:$A, 'Генеральный баннер'!$B:$B=$A393,'Генеральный баннер'!$C:$C=$B393,'Генеральный баннер'!$I:$I=$C393)), ""\d+"", """"),"""")"),"")</f>
        <v/>
      </c>
      <c r="U393" s="91" t="str">
        <f>IFERROR(__xludf.DUMMYFUNCTION("IFERROR(unique(filter('Генеральный баннер'!$F:$F, 'Генеральный баннер'!$B:$B=$A393,'Генеральный баннер'!$C:$C=$B393,'Генеральный баннер'!$I:$I=$C393)),"""")"),"")</f>
        <v/>
      </c>
      <c r="V393" s="92" t="str">
        <f t="shared" si="3"/>
        <v/>
      </c>
      <c r="W393" s="93">
        <f>IFERROR(__xludf.DUMMYFUNCTION("IFERROR(SWITCH(lower(join("" "",U393:V393)),""а миллионник"", 62.5,""б миллионник"", 75,""а мск"", 50, ""б мск"", 62.5, ""a остальное"", 70, ""б остальное"", 80)/100,0)"),0.0)</f>
        <v>0</v>
      </c>
      <c r="X393" s="91">
        <f t="shared" si="4"/>
        <v>0</v>
      </c>
    </row>
    <row r="394">
      <c r="A394" s="12"/>
      <c r="B394" s="12"/>
      <c r="C394" s="12"/>
      <c r="D394" s="91">
        <f>IFERROR(__xludf.DUMMYFUNCTION("IFERROR(sum(filter('Основной эфир'!$AA:$AA, 'Основной эфир'!$B:$B=$A394,'Основной эфир'!$C:$C=$B394,'Основной эфир'!$I:$I=$C394)), 0) "),0.0)</f>
        <v>0</v>
      </c>
      <c r="E394" s="91">
        <f>IFERROR(__xludf.DUMMYFUNCTION("IFERROR(sum(filter('Основной эфир'!$AC:$AC, 'Основной эфир'!$B:$B=$A394,'Основной эфир'!$C:$C=$B394,'Основной эфир'!$I:$I=$C394)), 0) "),0.0)</f>
        <v>0</v>
      </c>
      <c r="F394" s="91">
        <f>IFERROR(__xludf.DUMMYFUNCTION("IFERROR(sum(filter('Основной эфир'!$O:$O, 'Основной эфир'!$B:$B=$A394,'Основной эфир'!$C:$C=$B394,'Основной эфир'!$I:$I=$C394)), 0) "),0.0)</f>
        <v>0</v>
      </c>
      <c r="G394" s="91">
        <f>IFERROR(__xludf.DUMMYFUNCTION("IFERROR(sum(filter('Основной эфир'!$Q:$Q, 'Основной эфир'!$B:$B=$A394,'Основной эфир'!$C:$C=$B394,'Основной эфир'!$I:$I=$C394)), 0) "),0.0)</f>
        <v>0</v>
      </c>
      <c r="H394" s="91">
        <f>IFERROR(__xludf.DUMMYFUNCTION("IFERROR(AVERAGE(filter('Основной эфир'!$Y:$Y, 'Основной эфир'!$B:$B=$A394,'Основной эфир'!$C:$C=$B394,'Основной эфир'!$I:$I=$C394)), 0) "),0.0)</f>
        <v>0</v>
      </c>
      <c r="I394" s="91">
        <f>IFERROR(__xludf.DUMMYFUNCTION("IFERROR(AVERAGE(filter('Основной эфир'!$AE:$AE, 'Основной эфир'!$B:$B=$A394,'Основной эфир'!$C:$C=$B394,'Основной эфир'!$I:$I=$C394)), 0) "),0.0)</f>
        <v>0</v>
      </c>
      <c r="J394" s="91">
        <f>IFERROR(__xludf.DUMMYFUNCTION("IFERROR(SUM(filter('Основной эфир'!$AL:$AL, 'Основной эфир'!$B:$B=$A394,'Основной эфир'!$C:$C=$B394,'Основной эфир'!$I:$I=$C394)), 0) "),0.0)</f>
        <v>0</v>
      </c>
      <c r="K394" s="91" t="str">
        <f>IFERROR(__xludf.DUMMYFUNCTION("IFERROR(REGEXREPLACE(unique(filter('Основной эфир'!$A:$A, 'Основной эфир'!$B:$B=$A394,'Основной эфир'!$C:$C=$B394,'Основной эфир'!$I:$I=$C394)), ""\d+"", """"),"""")"),"")</f>
        <v/>
      </c>
      <c r="L394" s="91" t="str">
        <f>IFERROR(__xludf.DUMMYFUNCTION("IFERROR(unique(filter('Основной эфир'!$F:$F, 'Основной эфир'!$B:$B=$A394,'Основной эфир'!$C:$C=$B394,'Основной эфир'!$I:$I=$C394)),"""")"),"")</f>
        <v/>
      </c>
      <c r="M394" s="92" t="str">
        <f t="shared" si="1"/>
        <v/>
      </c>
      <c r="N394" s="93">
        <f>IFERROR(__xludf.DUMMYFUNCTION("IFERROR(SWITCH(lower(join("" "",L394:M394)),""а миллионник"", 62.5,""б миллионник"", 75,""а мск"", 50, ""б мск"", 62.5, ""a остальное"", 70, ""б остальное"", 80)/100,0)"),0.0)</f>
        <v>0</v>
      </c>
      <c r="O394" s="91">
        <f t="shared" si="2"/>
        <v>0</v>
      </c>
      <c r="P394" s="91">
        <f>IFERROR(__xludf.DUMMYFUNCTION("IFERROR(sum(filter('Генеральный баннер'!$O:$O, 'Генеральный баннер'!$B:$B=$A394,'Генеральный баннер'!$C:$C=$B394,'Генеральный баннер'!$I:$I=$C394)), 0) "),0.0)</f>
        <v>0</v>
      </c>
      <c r="Q394" s="91">
        <f>IFERROR(__xludf.DUMMYFUNCTION("IFERROR(sum(filter('Генеральный баннер'!$Q:$Q, 'Генеральный баннер'!$B:$B=$A394,'Генеральный баннер'!$C:$C=$B394,'Генеральный баннер'!$I:$I=$C394)), 0) "),0.0)</f>
        <v>0</v>
      </c>
      <c r="R394" s="91">
        <f>IFERROR(__xludf.DUMMYFUNCTION("IFERROR(AVERAGE(filter('Генеральный баннер'!$AA:$AA, 'Генеральный баннер'!$B:$B=$A394,'Генеральный баннер'!$C:$C=$B394,'Генеральный баннер'!$I:$I=$C394)), 0) "),0.0)</f>
        <v>0</v>
      </c>
      <c r="S394" s="91">
        <f>IFERROR(__xludf.DUMMYFUNCTION("IFERROR(SUM(filter('Генеральный баннер'!$AH:$AH, 'Генеральный баннер'!$B:$B=$A394,'Генеральный баннер'!$C:$C=$B394,'Генеральный баннер'!$I:$I=$C394)), 0) "),0.0)</f>
        <v>0</v>
      </c>
      <c r="T394" s="91" t="str">
        <f>IFERROR(__xludf.DUMMYFUNCTION("IFERROR(REGEXREPLACE(unique(filter('Генеральный баннер'!$A:$A, 'Генеральный баннер'!$B:$B=$A394,'Генеральный баннер'!$C:$C=$B394,'Генеральный баннер'!$I:$I=$C394)), ""\d+"", """"),"""")"),"")</f>
        <v/>
      </c>
      <c r="U394" s="91" t="str">
        <f>IFERROR(__xludf.DUMMYFUNCTION("IFERROR(unique(filter('Генеральный баннер'!$F:$F, 'Генеральный баннер'!$B:$B=$A394,'Генеральный баннер'!$C:$C=$B394,'Генеральный баннер'!$I:$I=$C394)),"""")"),"")</f>
        <v/>
      </c>
      <c r="V394" s="92" t="str">
        <f t="shared" si="3"/>
        <v/>
      </c>
      <c r="W394" s="93">
        <f>IFERROR(__xludf.DUMMYFUNCTION("IFERROR(SWITCH(lower(join("" "",U394:V394)),""а миллионник"", 62.5,""б миллионник"", 75,""а мск"", 50, ""б мск"", 62.5, ""a остальное"", 70, ""б остальное"", 80)/100,0)"),0.0)</f>
        <v>0</v>
      </c>
      <c r="X394" s="91">
        <f t="shared" si="4"/>
        <v>0</v>
      </c>
    </row>
    <row r="395">
      <c r="A395" s="12"/>
      <c r="B395" s="12"/>
      <c r="C395" s="12"/>
      <c r="D395" s="91">
        <f>IFERROR(__xludf.DUMMYFUNCTION("IFERROR(sum(filter('Основной эфир'!$AA:$AA, 'Основной эфир'!$B:$B=$A395,'Основной эфир'!$C:$C=$B395,'Основной эфир'!$I:$I=$C395)), 0) "),0.0)</f>
        <v>0</v>
      </c>
      <c r="E395" s="91">
        <f>IFERROR(__xludf.DUMMYFUNCTION("IFERROR(sum(filter('Основной эфир'!$AC:$AC, 'Основной эфир'!$B:$B=$A395,'Основной эфир'!$C:$C=$B395,'Основной эфир'!$I:$I=$C395)), 0) "),0.0)</f>
        <v>0</v>
      </c>
      <c r="F395" s="91">
        <f>IFERROR(__xludf.DUMMYFUNCTION("IFERROR(sum(filter('Основной эфир'!$O:$O, 'Основной эфир'!$B:$B=$A395,'Основной эфир'!$C:$C=$B395,'Основной эфир'!$I:$I=$C395)), 0) "),0.0)</f>
        <v>0</v>
      </c>
      <c r="G395" s="91">
        <f>IFERROR(__xludf.DUMMYFUNCTION("IFERROR(sum(filter('Основной эфир'!$Q:$Q, 'Основной эфир'!$B:$B=$A395,'Основной эфир'!$C:$C=$B395,'Основной эфир'!$I:$I=$C395)), 0) "),0.0)</f>
        <v>0</v>
      </c>
      <c r="H395" s="91">
        <f>IFERROR(__xludf.DUMMYFUNCTION("IFERROR(AVERAGE(filter('Основной эфир'!$Y:$Y, 'Основной эфир'!$B:$B=$A395,'Основной эфир'!$C:$C=$B395,'Основной эфир'!$I:$I=$C395)), 0) "),0.0)</f>
        <v>0</v>
      </c>
      <c r="I395" s="91">
        <f>IFERROR(__xludf.DUMMYFUNCTION("IFERROR(AVERAGE(filter('Основной эфир'!$AE:$AE, 'Основной эфир'!$B:$B=$A395,'Основной эфир'!$C:$C=$B395,'Основной эфир'!$I:$I=$C395)), 0) "),0.0)</f>
        <v>0</v>
      </c>
      <c r="J395" s="91">
        <f>IFERROR(__xludf.DUMMYFUNCTION("IFERROR(SUM(filter('Основной эфир'!$AL:$AL, 'Основной эфир'!$B:$B=$A395,'Основной эфир'!$C:$C=$B395,'Основной эфир'!$I:$I=$C395)), 0) "),0.0)</f>
        <v>0</v>
      </c>
      <c r="K395" s="91" t="str">
        <f>IFERROR(__xludf.DUMMYFUNCTION("IFERROR(REGEXREPLACE(unique(filter('Основной эфир'!$A:$A, 'Основной эфир'!$B:$B=$A395,'Основной эфир'!$C:$C=$B395,'Основной эфир'!$I:$I=$C395)), ""\d+"", """"),"""")"),"")</f>
        <v/>
      </c>
      <c r="L395" s="91" t="str">
        <f>IFERROR(__xludf.DUMMYFUNCTION("IFERROR(unique(filter('Основной эфир'!$F:$F, 'Основной эфир'!$B:$B=$A395,'Основной эфир'!$C:$C=$B395,'Основной эфир'!$I:$I=$C395)),"""")"),"")</f>
        <v/>
      </c>
      <c r="M395" s="92" t="str">
        <f t="shared" si="1"/>
        <v/>
      </c>
      <c r="N395" s="93">
        <f>IFERROR(__xludf.DUMMYFUNCTION("IFERROR(SWITCH(lower(join("" "",L395:M395)),""а миллионник"", 62.5,""б миллионник"", 75,""а мск"", 50, ""б мск"", 62.5, ""a остальное"", 70, ""б остальное"", 80)/100,0)"),0.0)</f>
        <v>0</v>
      </c>
      <c r="O395" s="91">
        <f t="shared" si="2"/>
        <v>0</v>
      </c>
      <c r="P395" s="91">
        <f>IFERROR(__xludf.DUMMYFUNCTION("IFERROR(sum(filter('Генеральный баннер'!$O:$O, 'Генеральный баннер'!$B:$B=$A395,'Генеральный баннер'!$C:$C=$B395,'Генеральный баннер'!$I:$I=$C395)), 0) "),0.0)</f>
        <v>0</v>
      </c>
      <c r="Q395" s="91">
        <f>IFERROR(__xludf.DUMMYFUNCTION("IFERROR(sum(filter('Генеральный баннер'!$Q:$Q, 'Генеральный баннер'!$B:$B=$A395,'Генеральный баннер'!$C:$C=$B395,'Генеральный баннер'!$I:$I=$C395)), 0) "),0.0)</f>
        <v>0</v>
      </c>
      <c r="R395" s="91">
        <f>IFERROR(__xludf.DUMMYFUNCTION("IFERROR(AVERAGE(filter('Генеральный баннер'!$AA:$AA, 'Генеральный баннер'!$B:$B=$A395,'Генеральный баннер'!$C:$C=$B395,'Генеральный баннер'!$I:$I=$C395)), 0) "),0.0)</f>
        <v>0</v>
      </c>
      <c r="S395" s="91">
        <f>IFERROR(__xludf.DUMMYFUNCTION("IFERROR(SUM(filter('Генеральный баннер'!$AH:$AH, 'Генеральный баннер'!$B:$B=$A395,'Генеральный баннер'!$C:$C=$B395,'Генеральный баннер'!$I:$I=$C395)), 0) "),0.0)</f>
        <v>0</v>
      </c>
      <c r="T395" s="91" t="str">
        <f>IFERROR(__xludf.DUMMYFUNCTION("IFERROR(REGEXREPLACE(unique(filter('Генеральный баннер'!$A:$A, 'Генеральный баннер'!$B:$B=$A395,'Генеральный баннер'!$C:$C=$B395,'Генеральный баннер'!$I:$I=$C395)), ""\d+"", """"),"""")"),"")</f>
        <v/>
      </c>
      <c r="U395" s="91" t="str">
        <f>IFERROR(__xludf.DUMMYFUNCTION("IFERROR(unique(filter('Генеральный баннер'!$F:$F, 'Генеральный баннер'!$B:$B=$A395,'Генеральный баннер'!$C:$C=$B395,'Генеральный баннер'!$I:$I=$C395)),"""")"),"")</f>
        <v/>
      </c>
      <c r="V395" s="92" t="str">
        <f t="shared" si="3"/>
        <v/>
      </c>
      <c r="W395" s="93">
        <f>IFERROR(__xludf.DUMMYFUNCTION("IFERROR(SWITCH(lower(join("" "",U395:V395)),""а миллионник"", 62.5,""б миллионник"", 75,""а мск"", 50, ""б мск"", 62.5, ""a остальное"", 70, ""б остальное"", 80)/100,0)"),0.0)</f>
        <v>0</v>
      </c>
      <c r="X395" s="91">
        <f t="shared" si="4"/>
        <v>0</v>
      </c>
    </row>
    <row r="396">
      <c r="A396" s="12"/>
      <c r="B396" s="12"/>
      <c r="C396" s="12"/>
      <c r="D396" s="91">
        <f>IFERROR(__xludf.DUMMYFUNCTION("IFERROR(sum(filter('Основной эфир'!$AA:$AA, 'Основной эфир'!$B:$B=$A396,'Основной эфир'!$C:$C=$B396,'Основной эфир'!$I:$I=$C396)), 0) "),0.0)</f>
        <v>0</v>
      </c>
      <c r="E396" s="91">
        <f>IFERROR(__xludf.DUMMYFUNCTION("IFERROR(sum(filter('Основной эфир'!$AC:$AC, 'Основной эфир'!$B:$B=$A396,'Основной эфир'!$C:$C=$B396,'Основной эфир'!$I:$I=$C396)), 0) "),0.0)</f>
        <v>0</v>
      </c>
      <c r="F396" s="91">
        <f>IFERROR(__xludf.DUMMYFUNCTION("IFERROR(sum(filter('Основной эфир'!$O:$O, 'Основной эфир'!$B:$B=$A396,'Основной эфир'!$C:$C=$B396,'Основной эфир'!$I:$I=$C396)), 0) "),0.0)</f>
        <v>0</v>
      </c>
      <c r="G396" s="91">
        <f>IFERROR(__xludf.DUMMYFUNCTION("IFERROR(sum(filter('Основной эфир'!$Q:$Q, 'Основной эфир'!$B:$B=$A396,'Основной эфир'!$C:$C=$B396,'Основной эфир'!$I:$I=$C396)), 0) "),0.0)</f>
        <v>0</v>
      </c>
      <c r="H396" s="91">
        <f>IFERROR(__xludf.DUMMYFUNCTION("IFERROR(AVERAGE(filter('Основной эфир'!$Y:$Y, 'Основной эфир'!$B:$B=$A396,'Основной эфир'!$C:$C=$B396,'Основной эфир'!$I:$I=$C396)), 0) "),0.0)</f>
        <v>0</v>
      </c>
      <c r="I396" s="91">
        <f>IFERROR(__xludf.DUMMYFUNCTION("IFERROR(AVERAGE(filter('Основной эфир'!$AE:$AE, 'Основной эфир'!$B:$B=$A396,'Основной эфир'!$C:$C=$B396,'Основной эфир'!$I:$I=$C396)), 0) "),0.0)</f>
        <v>0</v>
      </c>
      <c r="J396" s="91">
        <f>IFERROR(__xludf.DUMMYFUNCTION("IFERROR(SUM(filter('Основной эфир'!$AL:$AL, 'Основной эфир'!$B:$B=$A396,'Основной эфир'!$C:$C=$B396,'Основной эфир'!$I:$I=$C396)), 0) "),0.0)</f>
        <v>0</v>
      </c>
      <c r="K396" s="91" t="str">
        <f>IFERROR(__xludf.DUMMYFUNCTION("IFERROR(REGEXREPLACE(unique(filter('Основной эфир'!$A:$A, 'Основной эфир'!$B:$B=$A396,'Основной эфир'!$C:$C=$B396,'Основной эфир'!$I:$I=$C396)), ""\d+"", """"),"""")"),"")</f>
        <v/>
      </c>
      <c r="L396" s="91" t="str">
        <f>IFERROR(__xludf.DUMMYFUNCTION("IFERROR(unique(filter('Основной эфир'!$F:$F, 'Основной эфир'!$B:$B=$A396,'Основной эфир'!$C:$C=$B396,'Основной эфир'!$I:$I=$C396)),"""")"),"")</f>
        <v/>
      </c>
      <c r="M396" s="92" t="str">
        <f t="shared" si="1"/>
        <v/>
      </c>
      <c r="N396" s="93">
        <f>IFERROR(__xludf.DUMMYFUNCTION("IFERROR(SWITCH(lower(join("" "",L396:M396)),""а миллионник"", 62.5,""б миллионник"", 75,""а мск"", 50, ""б мск"", 62.5, ""a остальное"", 70, ""б остальное"", 80)/100,0)"),0.0)</f>
        <v>0</v>
      </c>
      <c r="O396" s="91">
        <f t="shared" si="2"/>
        <v>0</v>
      </c>
      <c r="P396" s="91">
        <f>IFERROR(__xludf.DUMMYFUNCTION("IFERROR(sum(filter('Генеральный баннер'!$O:$O, 'Генеральный баннер'!$B:$B=$A396,'Генеральный баннер'!$C:$C=$B396,'Генеральный баннер'!$I:$I=$C396)), 0) "),0.0)</f>
        <v>0</v>
      </c>
      <c r="Q396" s="91">
        <f>IFERROR(__xludf.DUMMYFUNCTION("IFERROR(sum(filter('Генеральный баннер'!$Q:$Q, 'Генеральный баннер'!$B:$B=$A396,'Генеральный баннер'!$C:$C=$B396,'Генеральный баннер'!$I:$I=$C396)), 0) "),0.0)</f>
        <v>0</v>
      </c>
      <c r="R396" s="91">
        <f>IFERROR(__xludf.DUMMYFUNCTION("IFERROR(AVERAGE(filter('Генеральный баннер'!$AA:$AA, 'Генеральный баннер'!$B:$B=$A396,'Генеральный баннер'!$C:$C=$B396,'Генеральный баннер'!$I:$I=$C396)), 0) "),0.0)</f>
        <v>0</v>
      </c>
      <c r="S396" s="91">
        <f>IFERROR(__xludf.DUMMYFUNCTION("IFERROR(SUM(filter('Генеральный баннер'!$AH:$AH, 'Генеральный баннер'!$B:$B=$A396,'Генеральный баннер'!$C:$C=$B396,'Генеральный баннер'!$I:$I=$C396)), 0) "),0.0)</f>
        <v>0</v>
      </c>
      <c r="T396" s="91" t="str">
        <f>IFERROR(__xludf.DUMMYFUNCTION("IFERROR(REGEXREPLACE(unique(filter('Генеральный баннер'!$A:$A, 'Генеральный баннер'!$B:$B=$A396,'Генеральный баннер'!$C:$C=$B396,'Генеральный баннер'!$I:$I=$C396)), ""\d+"", """"),"""")"),"")</f>
        <v/>
      </c>
      <c r="U396" s="91" t="str">
        <f>IFERROR(__xludf.DUMMYFUNCTION("IFERROR(unique(filter('Генеральный баннер'!$F:$F, 'Генеральный баннер'!$B:$B=$A396,'Генеральный баннер'!$C:$C=$B396,'Генеральный баннер'!$I:$I=$C396)),"""")"),"")</f>
        <v/>
      </c>
      <c r="V396" s="92" t="str">
        <f t="shared" si="3"/>
        <v/>
      </c>
      <c r="W396" s="93">
        <f>IFERROR(__xludf.DUMMYFUNCTION("IFERROR(SWITCH(lower(join("" "",U396:V396)),""а миллионник"", 62.5,""б миллионник"", 75,""а мск"", 50, ""б мск"", 62.5, ""a остальное"", 70, ""б остальное"", 80)/100,0)"),0.0)</f>
        <v>0</v>
      </c>
      <c r="X396" s="91">
        <f t="shared" si="4"/>
        <v>0</v>
      </c>
    </row>
    <row r="397">
      <c r="A397" s="12"/>
      <c r="B397" s="12"/>
      <c r="C397" s="12"/>
      <c r="D397" s="91">
        <f>IFERROR(__xludf.DUMMYFUNCTION("IFERROR(sum(filter('Основной эфир'!$AA:$AA, 'Основной эфир'!$B:$B=$A397,'Основной эфир'!$C:$C=$B397,'Основной эфир'!$I:$I=$C397)), 0) "),0.0)</f>
        <v>0</v>
      </c>
      <c r="E397" s="91">
        <f>IFERROR(__xludf.DUMMYFUNCTION("IFERROR(sum(filter('Основной эфир'!$AC:$AC, 'Основной эфир'!$B:$B=$A397,'Основной эфир'!$C:$C=$B397,'Основной эфир'!$I:$I=$C397)), 0) "),0.0)</f>
        <v>0</v>
      </c>
      <c r="F397" s="91">
        <f>IFERROR(__xludf.DUMMYFUNCTION("IFERROR(sum(filter('Основной эфир'!$O:$O, 'Основной эфир'!$B:$B=$A397,'Основной эфир'!$C:$C=$B397,'Основной эфир'!$I:$I=$C397)), 0) "),0.0)</f>
        <v>0</v>
      </c>
      <c r="G397" s="91">
        <f>IFERROR(__xludf.DUMMYFUNCTION("IFERROR(sum(filter('Основной эфир'!$Q:$Q, 'Основной эфир'!$B:$B=$A397,'Основной эфир'!$C:$C=$B397,'Основной эфир'!$I:$I=$C397)), 0) "),0.0)</f>
        <v>0</v>
      </c>
      <c r="H397" s="91">
        <f>IFERROR(__xludf.DUMMYFUNCTION("IFERROR(AVERAGE(filter('Основной эфир'!$Y:$Y, 'Основной эфир'!$B:$B=$A397,'Основной эфир'!$C:$C=$B397,'Основной эфир'!$I:$I=$C397)), 0) "),0.0)</f>
        <v>0</v>
      </c>
      <c r="I397" s="91">
        <f>IFERROR(__xludf.DUMMYFUNCTION("IFERROR(AVERAGE(filter('Основной эфир'!$AE:$AE, 'Основной эфир'!$B:$B=$A397,'Основной эфир'!$C:$C=$B397,'Основной эфир'!$I:$I=$C397)), 0) "),0.0)</f>
        <v>0</v>
      </c>
      <c r="J397" s="91">
        <f>IFERROR(__xludf.DUMMYFUNCTION("IFERROR(SUM(filter('Основной эфир'!$AL:$AL, 'Основной эфир'!$B:$B=$A397,'Основной эфир'!$C:$C=$B397,'Основной эфир'!$I:$I=$C397)), 0) "),0.0)</f>
        <v>0</v>
      </c>
      <c r="K397" s="91" t="str">
        <f>IFERROR(__xludf.DUMMYFUNCTION("IFERROR(REGEXREPLACE(unique(filter('Основной эфир'!$A:$A, 'Основной эфир'!$B:$B=$A397,'Основной эфир'!$C:$C=$B397,'Основной эфир'!$I:$I=$C397)), ""\d+"", """"),"""")"),"")</f>
        <v/>
      </c>
      <c r="L397" s="91" t="str">
        <f>IFERROR(__xludf.DUMMYFUNCTION("IFERROR(unique(filter('Основной эфир'!$F:$F, 'Основной эфир'!$B:$B=$A397,'Основной эфир'!$C:$C=$B397,'Основной эфир'!$I:$I=$C397)),"""")"),"")</f>
        <v/>
      </c>
      <c r="M397" s="92" t="str">
        <f t="shared" si="1"/>
        <v/>
      </c>
      <c r="N397" s="93">
        <f>IFERROR(__xludf.DUMMYFUNCTION("IFERROR(SWITCH(lower(join("" "",L397:M397)),""а миллионник"", 62.5,""б миллионник"", 75,""а мск"", 50, ""б мск"", 62.5, ""a остальное"", 70, ""б остальное"", 80)/100,0)"),0.0)</f>
        <v>0</v>
      </c>
      <c r="O397" s="91">
        <f t="shared" si="2"/>
        <v>0</v>
      </c>
      <c r="P397" s="91">
        <f>IFERROR(__xludf.DUMMYFUNCTION("IFERROR(sum(filter('Генеральный баннер'!$O:$O, 'Генеральный баннер'!$B:$B=$A397,'Генеральный баннер'!$C:$C=$B397,'Генеральный баннер'!$I:$I=$C397)), 0) "),0.0)</f>
        <v>0</v>
      </c>
      <c r="Q397" s="91">
        <f>IFERROR(__xludf.DUMMYFUNCTION("IFERROR(sum(filter('Генеральный баннер'!$Q:$Q, 'Генеральный баннер'!$B:$B=$A397,'Генеральный баннер'!$C:$C=$B397,'Генеральный баннер'!$I:$I=$C397)), 0) "),0.0)</f>
        <v>0</v>
      </c>
      <c r="R397" s="91">
        <f>IFERROR(__xludf.DUMMYFUNCTION("IFERROR(AVERAGE(filter('Генеральный баннер'!$AA:$AA, 'Генеральный баннер'!$B:$B=$A397,'Генеральный баннер'!$C:$C=$B397,'Генеральный баннер'!$I:$I=$C397)), 0) "),0.0)</f>
        <v>0</v>
      </c>
      <c r="S397" s="91">
        <f>IFERROR(__xludf.DUMMYFUNCTION("IFERROR(SUM(filter('Генеральный баннер'!$AH:$AH, 'Генеральный баннер'!$B:$B=$A397,'Генеральный баннер'!$C:$C=$B397,'Генеральный баннер'!$I:$I=$C397)), 0) "),0.0)</f>
        <v>0</v>
      </c>
      <c r="T397" s="91" t="str">
        <f>IFERROR(__xludf.DUMMYFUNCTION("IFERROR(REGEXREPLACE(unique(filter('Генеральный баннер'!$A:$A, 'Генеральный баннер'!$B:$B=$A397,'Генеральный баннер'!$C:$C=$B397,'Генеральный баннер'!$I:$I=$C397)), ""\d+"", """"),"""")"),"")</f>
        <v/>
      </c>
      <c r="U397" s="91" t="str">
        <f>IFERROR(__xludf.DUMMYFUNCTION("IFERROR(unique(filter('Генеральный баннер'!$F:$F, 'Генеральный баннер'!$B:$B=$A397,'Генеральный баннер'!$C:$C=$B397,'Генеральный баннер'!$I:$I=$C397)),"""")"),"")</f>
        <v/>
      </c>
      <c r="V397" s="92" t="str">
        <f t="shared" si="3"/>
        <v/>
      </c>
      <c r="W397" s="93">
        <f>IFERROR(__xludf.DUMMYFUNCTION("IFERROR(SWITCH(lower(join("" "",U397:V397)),""а миллионник"", 62.5,""б миллионник"", 75,""а мск"", 50, ""б мск"", 62.5, ""a остальное"", 70, ""б остальное"", 80)/100,0)"),0.0)</f>
        <v>0</v>
      </c>
      <c r="X397" s="91">
        <f t="shared" si="4"/>
        <v>0</v>
      </c>
    </row>
    <row r="398">
      <c r="A398" s="12"/>
      <c r="B398" s="12"/>
      <c r="C398" s="12"/>
      <c r="D398" s="91">
        <f>IFERROR(__xludf.DUMMYFUNCTION("IFERROR(sum(filter('Основной эфир'!$AA:$AA, 'Основной эфир'!$B:$B=$A398,'Основной эфир'!$C:$C=$B398,'Основной эфир'!$I:$I=$C398)), 0) "),0.0)</f>
        <v>0</v>
      </c>
      <c r="E398" s="91">
        <f>IFERROR(__xludf.DUMMYFUNCTION("IFERROR(sum(filter('Основной эфир'!$AC:$AC, 'Основной эфир'!$B:$B=$A398,'Основной эфир'!$C:$C=$B398,'Основной эфир'!$I:$I=$C398)), 0) "),0.0)</f>
        <v>0</v>
      </c>
      <c r="F398" s="91">
        <f>IFERROR(__xludf.DUMMYFUNCTION("IFERROR(sum(filter('Основной эфир'!$O:$O, 'Основной эфир'!$B:$B=$A398,'Основной эфир'!$C:$C=$B398,'Основной эфир'!$I:$I=$C398)), 0) "),0.0)</f>
        <v>0</v>
      </c>
      <c r="G398" s="91">
        <f>IFERROR(__xludf.DUMMYFUNCTION("IFERROR(sum(filter('Основной эфир'!$Q:$Q, 'Основной эфир'!$B:$B=$A398,'Основной эфир'!$C:$C=$B398,'Основной эфир'!$I:$I=$C398)), 0) "),0.0)</f>
        <v>0</v>
      </c>
      <c r="H398" s="91">
        <f>IFERROR(__xludf.DUMMYFUNCTION("IFERROR(AVERAGE(filter('Основной эфир'!$Y:$Y, 'Основной эфир'!$B:$B=$A398,'Основной эфир'!$C:$C=$B398,'Основной эфир'!$I:$I=$C398)), 0) "),0.0)</f>
        <v>0</v>
      </c>
      <c r="I398" s="91">
        <f>IFERROR(__xludf.DUMMYFUNCTION("IFERROR(AVERAGE(filter('Основной эфир'!$AE:$AE, 'Основной эфир'!$B:$B=$A398,'Основной эфир'!$C:$C=$B398,'Основной эфир'!$I:$I=$C398)), 0) "),0.0)</f>
        <v>0</v>
      </c>
      <c r="J398" s="91">
        <f>IFERROR(__xludf.DUMMYFUNCTION("IFERROR(SUM(filter('Основной эфир'!$AL:$AL, 'Основной эфир'!$B:$B=$A398,'Основной эфир'!$C:$C=$B398,'Основной эфир'!$I:$I=$C398)), 0) "),0.0)</f>
        <v>0</v>
      </c>
      <c r="K398" s="91" t="str">
        <f>IFERROR(__xludf.DUMMYFUNCTION("IFERROR(REGEXREPLACE(unique(filter('Основной эфир'!$A:$A, 'Основной эфир'!$B:$B=$A398,'Основной эфир'!$C:$C=$B398,'Основной эфир'!$I:$I=$C398)), ""\d+"", """"),"""")"),"")</f>
        <v/>
      </c>
      <c r="L398" s="91" t="str">
        <f>IFERROR(__xludf.DUMMYFUNCTION("IFERROR(unique(filter('Основной эфир'!$F:$F, 'Основной эфир'!$B:$B=$A398,'Основной эфир'!$C:$C=$B398,'Основной эфир'!$I:$I=$C398)),"""")"),"")</f>
        <v/>
      </c>
      <c r="M398" s="92" t="str">
        <f t="shared" si="1"/>
        <v/>
      </c>
      <c r="N398" s="93">
        <f>IFERROR(__xludf.DUMMYFUNCTION("IFERROR(SWITCH(lower(join("" "",L398:M398)),""а миллионник"", 62.5,""б миллионник"", 75,""а мск"", 50, ""б мск"", 62.5, ""a остальное"", 70, ""б остальное"", 80)/100,0)"),0.0)</f>
        <v>0</v>
      </c>
      <c r="O398" s="91">
        <f t="shared" si="2"/>
        <v>0</v>
      </c>
      <c r="P398" s="91">
        <f>IFERROR(__xludf.DUMMYFUNCTION("IFERROR(sum(filter('Генеральный баннер'!$O:$O, 'Генеральный баннер'!$B:$B=$A398,'Генеральный баннер'!$C:$C=$B398,'Генеральный баннер'!$I:$I=$C398)), 0) "),0.0)</f>
        <v>0</v>
      </c>
      <c r="Q398" s="91">
        <f>IFERROR(__xludf.DUMMYFUNCTION("IFERROR(sum(filter('Генеральный баннер'!$Q:$Q, 'Генеральный баннер'!$B:$B=$A398,'Генеральный баннер'!$C:$C=$B398,'Генеральный баннер'!$I:$I=$C398)), 0) "),0.0)</f>
        <v>0</v>
      </c>
      <c r="R398" s="91">
        <f>IFERROR(__xludf.DUMMYFUNCTION("IFERROR(AVERAGE(filter('Генеральный баннер'!$AA:$AA, 'Генеральный баннер'!$B:$B=$A398,'Генеральный баннер'!$C:$C=$B398,'Генеральный баннер'!$I:$I=$C398)), 0) "),0.0)</f>
        <v>0</v>
      </c>
      <c r="S398" s="91">
        <f>IFERROR(__xludf.DUMMYFUNCTION("IFERROR(SUM(filter('Генеральный баннер'!$AH:$AH, 'Генеральный баннер'!$B:$B=$A398,'Генеральный баннер'!$C:$C=$B398,'Генеральный баннер'!$I:$I=$C398)), 0) "),0.0)</f>
        <v>0</v>
      </c>
      <c r="T398" s="91" t="str">
        <f>IFERROR(__xludf.DUMMYFUNCTION("IFERROR(REGEXREPLACE(unique(filter('Генеральный баннер'!$A:$A, 'Генеральный баннер'!$B:$B=$A398,'Генеральный баннер'!$C:$C=$B398,'Генеральный баннер'!$I:$I=$C398)), ""\d+"", """"),"""")"),"")</f>
        <v/>
      </c>
      <c r="U398" s="91" t="str">
        <f>IFERROR(__xludf.DUMMYFUNCTION("IFERROR(unique(filter('Генеральный баннер'!$F:$F, 'Генеральный баннер'!$B:$B=$A398,'Генеральный баннер'!$C:$C=$B398,'Генеральный баннер'!$I:$I=$C398)),"""")"),"")</f>
        <v/>
      </c>
      <c r="V398" s="92" t="str">
        <f t="shared" si="3"/>
        <v/>
      </c>
      <c r="W398" s="93">
        <f>IFERROR(__xludf.DUMMYFUNCTION("IFERROR(SWITCH(lower(join("" "",U398:V398)),""а миллионник"", 62.5,""б миллионник"", 75,""а мск"", 50, ""б мск"", 62.5, ""a остальное"", 70, ""б остальное"", 80)/100,0)"),0.0)</f>
        <v>0</v>
      </c>
      <c r="X398" s="91">
        <f t="shared" si="4"/>
        <v>0</v>
      </c>
    </row>
    <row r="399">
      <c r="A399" s="12"/>
      <c r="B399" s="12"/>
      <c r="C399" s="12"/>
      <c r="D399" s="91">
        <f>IFERROR(__xludf.DUMMYFUNCTION("IFERROR(sum(filter('Основной эфир'!$AA:$AA, 'Основной эфир'!$B:$B=$A399,'Основной эфир'!$C:$C=$B399,'Основной эфир'!$I:$I=$C399)), 0) "),0.0)</f>
        <v>0</v>
      </c>
      <c r="E399" s="91">
        <f>IFERROR(__xludf.DUMMYFUNCTION("IFERROR(sum(filter('Основной эфир'!$AC:$AC, 'Основной эфир'!$B:$B=$A399,'Основной эфир'!$C:$C=$B399,'Основной эфир'!$I:$I=$C399)), 0) "),0.0)</f>
        <v>0</v>
      </c>
      <c r="F399" s="91">
        <f>IFERROR(__xludf.DUMMYFUNCTION("IFERROR(sum(filter('Основной эфир'!$O:$O, 'Основной эфир'!$B:$B=$A399,'Основной эфир'!$C:$C=$B399,'Основной эфир'!$I:$I=$C399)), 0) "),0.0)</f>
        <v>0</v>
      </c>
      <c r="G399" s="91">
        <f>IFERROR(__xludf.DUMMYFUNCTION("IFERROR(sum(filter('Основной эфир'!$Q:$Q, 'Основной эфир'!$B:$B=$A399,'Основной эфир'!$C:$C=$B399,'Основной эфир'!$I:$I=$C399)), 0) "),0.0)</f>
        <v>0</v>
      </c>
      <c r="H399" s="91">
        <f>IFERROR(__xludf.DUMMYFUNCTION("IFERROR(AVERAGE(filter('Основной эфир'!$Y:$Y, 'Основной эфир'!$B:$B=$A399,'Основной эфир'!$C:$C=$B399,'Основной эфир'!$I:$I=$C399)), 0) "),0.0)</f>
        <v>0</v>
      </c>
      <c r="I399" s="91">
        <f>IFERROR(__xludf.DUMMYFUNCTION("IFERROR(AVERAGE(filter('Основной эфир'!$AE:$AE, 'Основной эфир'!$B:$B=$A399,'Основной эфир'!$C:$C=$B399,'Основной эфир'!$I:$I=$C399)), 0) "),0.0)</f>
        <v>0</v>
      </c>
      <c r="J399" s="91">
        <f>IFERROR(__xludf.DUMMYFUNCTION("IFERROR(SUM(filter('Основной эфир'!$AL:$AL, 'Основной эфир'!$B:$B=$A399,'Основной эфир'!$C:$C=$B399,'Основной эфир'!$I:$I=$C399)), 0) "),0.0)</f>
        <v>0</v>
      </c>
      <c r="K399" s="91" t="str">
        <f>IFERROR(__xludf.DUMMYFUNCTION("IFERROR(REGEXREPLACE(unique(filter('Основной эфир'!$A:$A, 'Основной эфир'!$B:$B=$A399,'Основной эфир'!$C:$C=$B399,'Основной эфир'!$I:$I=$C399)), ""\d+"", """"),"""")"),"")</f>
        <v/>
      </c>
      <c r="L399" s="91" t="str">
        <f>IFERROR(__xludf.DUMMYFUNCTION("IFERROR(unique(filter('Основной эфир'!$F:$F, 'Основной эфир'!$B:$B=$A399,'Основной эфир'!$C:$C=$B399,'Основной эфир'!$I:$I=$C399)),"""")"),"")</f>
        <v/>
      </c>
      <c r="M399" s="92" t="str">
        <f t="shared" si="1"/>
        <v/>
      </c>
      <c r="N399" s="93">
        <f>IFERROR(__xludf.DUMMYFUNCTION("IFERROR(SWITCH(lower(join("" "",L399:M399)),""а миллионник"", 62.5,""б миллионник"", 75,""а мск"", 50, ""б мск"", 62.5, ""a остальное"", 70, ""б остальное"", 80)/100,0)"),0.0)</f>
        <v>0</v>
      </c>
      <c r="O399" s="91">
        <f t="shared" si="2"/>
        <v>0</v>
      </c>
      <c r="P399" s="91">
        <f>IFERROR(__xludf.DUMMYFUNCTION("IFERROR(sum(filter('Генеральный баннер'!$O:$O, 'Генеральный баннер'!$B:$B=$A399,'Генеральный баннер'!$C:$C=$B399,'Генеральный баннер'!$I:$I=$C399)), 0) "),0.0)</f>
        <v>0</v>
      </c>
      <c r="Q399" s="91">
        <f>IFERROR(__xludf.DUMMYFUNCTION("IFERROR(sum(filter('Генеральный баннер'!$Q:$Q, 'Генеральный баннер'!$B:$B=$A399,'Генеральный баннер'!$C:$C=$B399,'Генеральный баннер'!$I:$I=$C399)), 0) "),0.0)</f>
        <v>0</v>
      </c>
      <c r="R399" s="91">
        <f>IFERROR(__xludf.DUMMYFUNCTION("IFERROR(AVERAGE(filter('Генеральный баннер'!$AA:$AA, 'Генеральный баннер'!$B:$B=$A399,'Генеральный баннер'!$C:$C=$B399,'Генеральный баннер'!$I:$I=$C399)), 0) "),0.0)</f>
        <v>0</v>
      </c>
      <c r="S399" s="91">
        <f>IFERROR(__xludf.DUMMYFUNCTION("IFERROR(SUM(filter('Генеральный баннер'!$AH:$AH, 'Генеральный баннер'!$B:$B=$A399,'Генеральный баннер'!$C:$C=$B399,'Генеральный баннер'!$I:$I=$C399)), 0) "),0.0)</f>
        <v>0</v>
      </c>
      <c r="T399" s="91" t="str">
        <f>IFERROR(__xludf.DUMMYFUNCTION("IFERROR(REGEXREPLACE(unique(filter('Генеральный баннер'!$A:$A, 'Генеральный баннер'!$B:$B=$A399,'Генеральный баннер'!$C:$C=$B399,'Генеральный баннер'!$I:$I=$C399)), ""\d+"", """"),"""")"),"")</f>
        <v/>
      </c>
      <c r="U399" s="91" t="str">
        <f>IFERROR(__xludf.DUMMYFUNCTION("IFERROR(unique(filter('Генеральный баннер'!$F:$F, 'Генеральный баннер'!$B:$B=$A399,'Генеральный баннер'!$C:$C=$B399,'Генеральный баннер'!$I:$I=$C399)),"""")"),"")</f>
        <v/>
      </c>
      <c r="V399" s="92" t="str">
        <f t="shared" si="3"/>
        <v/>
      </c>
      <c r="W399" s="93">
        <f>IFERROR(__xludf.DUMMYFUNCTION("IFERROR(SWITCH(lower(join("" "",U399:V399)),""а миллионник"", 62.5,""б миллионник"", 75,""а мск"", 50, ""б мск"", 62.5, ""a остальное"", 70, ""б остальное"", 80)/100,0)"),0.0)</f>
        <v>0</v>
      </c>
      <c r="X399" s="91">
        <f t="shared" si="4"/>
        <v>0</v>
      </c>
    </row>
    <row r="400">
      <c r="A400" s="12"/>
      <c r="B400" s="12"/>
      <c r="C400" s="12"/>
      <c r="D400" s="91">
        <f>IFERROR(__xludf.DUMMYFUNCTION("IFERROR(sum(filter('Основной эфир'!$AA:$AA, 'Основной эфир'!$B:$B=$A400,'Основной эфир'!$C:$C=$B400,'Основной эфир'!$I:$I=$C400)), 0) "),0.0)</f>
        <v>0</v>
      </c>
      <c r="E400" s="91">
        <f>IFERROR(__xludf.DUMMYFUNCTION("IFERROR(sum(filter('Основной эфир'!$AC:$AC, 'Основной эфир'!$B:$B=$A400,'Основной эфир'!$C:$C=$B400,'Основной эфир'!$I:$I=$C400)), 0) "),0.0)</f>
        <v>0</v>
      </c>
      <c r="F400" s="91">
        <f>IFERROR(__xludf.DUMMYFUNCTION("IFERROR(sum(filter('Основной эфир'!$O:$O, 'Основной эфир'!$B:$B=$A400,'Основной эфир'!$C:$C=$B400,'Основной эфир'!$I:$I=$C400)), 0) "),0.0)</f>
        <v>0</v>
      </c>
      <c r="G400" s="91">
        <f>IFERROR(__xludf.DUMMYFUNCTION("IFERROR(sum(filter('Основной эфир'!$Q:$Q, 'Основной эфир'!$B:$B=$A400,'Основной эфир'!$C:$C=$B400,'Основной эфир'!$I:$I=$C400)), 0) "),0.0)</f>
        <v>0</v>
      </c>
      <c r="H400" s="91">
        <f>IFERROR(__xludf.DUMMYFUNCTION("IFERROR(AVERAGE(filter('Основной эфир'!$Y:$Y, 'Основной эфир'!$B:$B=$A400,'Основной эфир'!$C:$C=$B400,'Основной эфир'!$I:$I=$C400)), 0) "),0.0)</f>
        <v>0</v>
      </c>
      <c r="I400" s="91">
        <f>IFERROR(__xludf.DUMMYFUNCTION("IFERROR(AVERAGE(filter('Основной эфир'!$AE:$AE, 'Основной эфир'!$B:$B=$A400,'Основной эфир'!$C:$C=$B400,'Основной эфир'!$I:$I=$C400)), 0) "),0.0)</f>
        <v>0</v>
      </c>
      <c r="J400" s="91">
        <f>IFERROR(__xludf.DUMMYFUNCTION("IFERROR(SUM(filter('Основной эфир'!$AL:$AL, 'Основной эфир'!$B:$B=$A400,'Основной эфир'!$C:$C=$B400,'Основной эфир'!$I:$I=$C400)), 0) "),0.0)</f>
        <v>0</v>
      </c>
      <c r="K400" s="91" t="str">
        <f>IFERROR(__xludf.DUMMYFUNCTION("IFERROR(REGEXREPLACE(unique(filter('Основной эфир'!$A:$A, 'Основной эфир'!$B:$B=$A400,'Основной эфир'!$C:$C=$B400,'Основной эфир'!$I:$I=$C400)), ""\d+"", """"),"""")"),"")</f>
        <v/>
      </c>
      <c r="L400" s="91" t="str">
        <f>IFERROR(__xludf.DUMMYFUNCTION("IFERROR(unique(filter('Основной эфир'!$F:$F, 'Основной эфир'!$B:$B=$A400,'Основной эфир'!$C:$C=$B400,'Основной эфир'!$I:$I=$C400)),"""")"),"")</f>
        <v/>
      </c>
      <c r="M400" s="92" t="str">
        <f t="shared" si="1"/>
        <v/>
      </c>
      <c r="N400" s="93">
        <f>IFERROR(__xludf.DUMMYFUNCTION("IFERROR(SWITCH(lower(join("" "",L400:M400)),""а миллионник"", 62.5,""б миллионник"", 75,""а мск"", 50, ""б мск"", 62.5, ""a остальное"", 70, ""б остальное"", 80)/100,0)"),0.0)</f>
        <v>0</v>
      </c>
      <c r="O400" s="91">
        <f t="shared" si="2"/>
        <v>0</v>
      </c>
      <c r="P400" s="91">
        <f>IFERROR(__xludf.DUMMYFUNCTION("IFERROR(sum(filter('Генеральный баннер'!$O:$O, 'Генеральный баннер'!$B:$B=$A400,'Генеральный баннер'!$C:$C=$B400,'Генеральный баннер'!$I:$I=$C400)), 0) "),0.0)</f>
        <v>0</v>
      </c>
      <c r="Q400" s="91">
        <f>IFERROR(__xludf.DUMMYFUNCTION("IFERROR(sum(filter('Генеральный баннер'!$Q:$Q, 'Генеральный баннер'!$B:$B=$A400,'Генеральный баннер'!$C:$C=$B400,'Генеральный баннер'!$I:$I=$C400)), 0) "),0.0)</f>
        <v>0</v>
      </c>
      <c r="R400" s="91">
        <f>IFERROR(__xludf.DUMMYFUNCTION("IFERROR(AVERAGE(filter('Генеральный баннер'!$AA:$AA, 'Генеральный баннер'!$B:$B=$A400,'Генеральный баннер'!$C:$C=$B400,'Генеральный баннер'!$I:$I=$C400)), 0) "),0.0)</f>
        <v>0</v>
      </c>
      <c r="S400" s="91">
        <f>IFERROR(__xludf.DUMMYFUNCTION("IFERROR(SUM(filter('Генеральный баннер'!$AH:$AH, 'Генеральный баннер'!$B:$B=$A400,'Генеральный баннер'!$C:$C=$B400,'Генеральный баннер'!$I:$I=$C400)), 0) "),0.0)</f>
        <v>0</v>
      </c>
      <c r="T400" s="91" t="str">
        <f>IFERROR(__xludf.DUMMYFUNCTION("IFERROR(REGEXREPLACE(unique(filter('Генеральный баннер'!$A:$A, 'Генеральный баннер'!$B:$B=$A400,'Генеральный баннер'!$C:$C=$B400,'Генеральный баннер'!$I:$I=$C400)), ""\d+"", """"),"""")"),"")</f>
        <v/>
      </c>
      <c r="U400" s="91" t="str">
        <f>IFERROR(__xludf.DUMMYFUNCTION("IFERROR(unique(filter('Генеральный баннер'!$F:$F, 'Генеральный баннер'!$B:$B=$A400,'Генеральный баннер'!$C:$C=$B400,'Генеральный баннер'!$I:$I=$C400)),"""")"),"")</f>
        <v/>
      </c>
      <c r="V400" s="92" t="str">
        <f t="shared" si="3"/>
        <v/>
      </c>
      <c r="W400" s="93">
        <f>IFERROR(__xludf.DUMMYFUNCTION("IFERROR(SWITCH(lower(join("" "",U400:V400)),""а миллионник"", 62.5,""б миллионник"", 75,""а мск"", 50, ""б мск"", 62.5, ""a остальное"", 70, ""б остальное"", 80)/100,0)"),0.0)</f>
        <v>0</v>
      </c>
      <c r="X400" s="91">
        <f t="shared" si="4"/>
        <v>0</v>
      </c>
    </row>
    <row r="401">
      <c r="A401" s="12"/>
      <c r="B401" s="12"/>
      <c r="C401" s="12"/>
      <c r="D401" s="91">
        <f>IFERROR(__xludf.DUMMYFUNCTION("IFERROR(sum(filter('Основной эфир'!$AA:$AA, 'Основной эфир'!$B:$B=$A401,'Основной эфир'!$C:$C=$B401,'Основной эфир'!$I:$I=$C401)), 0) "),0.0)</f>
        <v>0</v>
      </c>
      <c r="E401" s="91">
        <f>IFERROR(__xludf.DUMMYFUNCTION("IFERROR(sum(filter('Основной эфир'!$AC:$AC, 'Основной эфир'!$B:$B=$A401,'Основной эфир'!$C:$C=$B401,'Основной эфир'!$I:$I=$C401)), 0) "),0.0)</f>
        <v>0</v>
      </c>
      <c r="F401" s="91">
        <f>IFERROR(__xludf.DUMMYFUNCTION("IFERROR(sum(filter('Основной эфир'!$O:$O, 'Основной эфир'!$B:$B=$A401,'Основной эфир'!$C:$C=$B401,'Основной эфир'!$I:$I=$C401)), 0) "),0.0)</f>
        <v>0</v>
      </c>
      <c r="G401" s="91">
        <f>IFERROR(__xludf.DUMMYFUNCTION("IFERROR(sum(filter('Основной эфир'!$Q:$Q, 'Основной эфир'!$B:$B=$A401,'Основной эфир'!$C:$C=$B401,'Основной эфир'!$I:$I=$C401)), 0) "),0.0)</f>
        <v>0</v>
      </c>
      <c r="H401" s="91">
        <f>IFERROR(__xludf.DUMMYFUNCTION("IFERROR(AVERAGE(filter('Основной эфир'!$Y:$Y, 'Основной эфир'!$B:$B=$A401,'Основной эфир'!$C:$C=$B401,'Основной эфир'!$I:$I=$C401)), 0) "),0.0)</f>
        <v>0</v>
      </c>
      <c r="I401" s="91">
        <f>IFERROR(__xludf.DUMMYFUNCTION("IFERROR(AVERAGE(filter('Основной эфир'!$AE:$AE, 'Основной эфир'!$B:$B=$A401,'Основной эфир'!$C:$C=$B401,'Основной эфир'!$I:$I=$C401)), 0) "),0.0)</f>
        <v>0</v>
      </c>
      <c r="J401" s="91">
        <f>IFERROR(__xludf.DUMMYFUNCTION("IFERROR(SUM(filter('Основной эфир'!$AL:$AL, 'Основной эфир'!$B:$B=$A401,'Основной эфир'!$C:$C=$B401,'Основной эфир'!$I:$I=$C401)), 0) "),0.0)</f>
        <v>0</v>
      </c>
      <c r="K401" s="91" t="str">
        <f>IFERROR(__xludf.DUMMYFUNCTION("IFERROR(REGEXREPLACE(unique(filter('Основной эфир'!$A:$A, 'Основной эфир'!$B:$B=$A401,'Основной эфир'!$C:$C=$B401,'Основной эфир'!$I:$I=$C401)), ""\d+"", """"),"""")"),"")</f>
        <v/>
      </c>
      <c r="L401" s="91" t="str">
        <f>IFERROR(__xludf.DUMMYFUNCTION("IFERROR(unique(filter('Основной эфир'!$F:$F, 'Основной эфир'!$B:$B=$A401,'Основной эфир'!$C:$C=$B401,'Основной эфир'!$I:$I=$C401)),"""")"),"")</f>
        <v/>
      </c>
      <c r="M401" s="92" t="str">
        <f t="shared" si="1"/>
        <v/>
      </c>
      <c r="N401" s="93">
        <f>IFERROR(__xludf.DUMMYFUNCTION("IFERROR(SWITCH(lower(join("" "",L401:M401)),""а миллионник"", 62.5,""б миллионник"", 75,""а мск"", 50, ""б мск"", 62.5, ""a остальное"", 70, ""б остальное"", 80)/100,0)"),0.0)</f>
        <v>0</v>
      </c>
      <c r="O401" s="91">
        <f t="shared" si="2"/>
        <v>0</v>
      </c>
      <c r="P401" s="91">
        <f>IFERROR(__xludf.DUMMYFUNCTION("IFERROR(sum(filter('Генеральный баннер'!$O:$O, 'Генеральный баннер'!$B:$B=$A401,'Генеральный баннер'!$C:$C=$B401,'Генеральный баннер'!$I:$I=$C401)), 0) "),0.0)</f>
        <v>0</v>
      </c>
      <c r="Q401" s="91">
        <f>IFERROR(__xludf.DUMMYFUNCTION("IFERROR(sum(filter('Генеральный баннер'!$Q:$Q, 'Генеральный баннер'!$B:$B=$A401,'Генеральный баннер'!$C:$C=$B401,'Генеральный баннер'!$I:$I=$C401)), 0) "),0.0)</f>
        <v>0</v>
      </c>
      <c r="R401" s="91">
        <f>IFERROR(__xludf.DUMMYFUNCTION("IFERROR(AVERAGE(filter('Генеральный баннер'!$AA:$AA, 'Генеральный баннер'!$B:$B=$A401,'Генеральный баннер'!$C:$C=$B401,'Генеральный баннер'!$I:$I=$C401)), 0) "),0.0)</f>
        <v>0</v>
      </c>
      <c r="S401" s="91">
        <f>IFERROR(__xludf.DUMMYFUNCTION("IFERROR(SUM(filter('Генеральный баннер'!$AH:$AH, 'Генеральный баннер'!$B:$B=$A401,'Генеральный баннер'!$C:$C=$B401,'Генеральный баннер'!$I:$I=$C401)), 0) "),0.0)</f>
        <v>0</v>
      </c>
      <c r="T401" s="91" t="str">
        <f>IFERROR(__xludf.DUMMYFUNCTION("IFERROR(REGEXREPLACE(unique(filter('Генеральный баннер'!$A:$A, 'Генеральный баннер'!$B:$B=$A401,'Генеральный баннер'!$C:$C=$B401,'Генеральный баннер'!$I:$I=$C401)), ""\d+"", """"),"""")"),"")</f>
        <v/>
      </c>
      <c r="U401" s="91" t="str">
        <f>IFERROR(__xludf.DUMMYFUNCTION("IFERROR(unique(filter('Генеральный баннер'!$F:$F, 'Генеральный баннер'!$B:$B=$A401,'Генеральный баннер'!$C:$C=$B401,'Генеральный баннер'!$I:$I=$C401)),"""")"),"")</f>
        <v/>
      </c>
      <c r="V401" s="92" t="str">
        <f t="shared" si="3"/>
        <v/>
      </c>
      <c r="W401" s="93">
        <f>IFERROR(__xludf.DUMMYFUNCTION("IFERROR(SWITCH(lower(join("" "",U401:V401)),""а миллионник"", 62.5,""б миллионник"", 75,""а мск"", 50, ""б мск"", 62.5, ""a остальное"", 70, ""б остальное"", 80)/100,0)"),0.0)</f>
        <v>0</v>
      </c>
      <c r="X401" s="91">
        <f t="shared" si="4"/>
        <v>0</v>
      </c>
    </row>
    <row r="402">
      <c r="A402" s="12"/>
      <c r="B402" s="12"/>
      <c r="C402" s="12"/>
      <c r="D402" s="91">
        <f>IFERROR(__xludf.DUMMYFUNCTION("IFERROR(sum(filter('Основной эфир'!$AA:$AA, 'Основной эфир'!$B:$B=$A402,'Основной эфир'!$C:$C=$B402,'Основной эфир'!$I:$I=$C402)), 0) "),0.0)</f>
        <v>0</v>
      </c>
      <c r="E402" s="91">
        <f>IFERROR(__xludf.DUMMYFUNCTION("IFERROR(sum(filter('Основной эфир'!$AC:$AC, 'Основной эфир'!$B:$B=$A402,'Основной эфир'!$C:$C=$B402,'Основной эфир'!$I:$I=$C402)), 0) "),0.0)</f>
        <v>0</v>
      </c>
      <c r="F402" s="91">
        <f>IFERROR(__xludf.DUMMYFUNCTION("IFERROR(sum(filter('Основной эфир'!$O:$O, 'Основной эфир'!$B:$B=$A402,'Основной эфир'!$C:$C=$B402,'Основной эфир'!$I:$I=$C402)), 0) "),0.0)</f>
        <v>0</v>
      </c>
      <c r="G402" s="91">
        <f>IFERROR(__xludf.DUMMYFUNCTION("IFERROR(sum(filter('Основной эфир'!$Q:$Q, 'Основной эфир'!$B:$B=$A402,'Основной эфир'!$C:$C=$B402,'Основной эфир'!$I:$I=$C402)), 0) "),0.0)</f>
        <v>0</v>
      </c>
      <c r="H402" s="91">
        <f>IFERROR(__xludf.DUMMYFUNCTION("IFERROR(AVERAGE(filter('Основной эфир'!$Y:$Y, 'Основной эфир'!$B:$B=$A402,'Основной эфир'!$C:$C=$B402,'Основной эфир'!$I:$I=$C402)), 0) "),0.0)</f>
        <v>0</v>
      </c>
      <c r="I402" s="91">
        <f>IFERROR(__xludf.DUMMYFUNCTION("IFERROR(AVERAGE(filter('Основной эфир'!$AE:$AE, 'Основной эфир'!$B:$B=$A402,'Основной эфир'!$C:$C=$B402,'Основной эфир'!$I:$I=$C402)), 0) "),0.0)</f>
        <v>0</v>
      </c>
      <c r="J402" s="91">
        <f>IFERROR(__xludf.DUMMYFUNCTION("IFERROR(SUM(filter('Основной эфир'!$AL:$AL, 'Основной эфир'!$B:$B=$A402,'Основной эфир'!$C:$C=$B402,'Основной эфир'!$I:$I=$C402)), 0) "),0.0)</f>
        <v>0</v>
      </c>
      <c r="K402" s="91" t="str">
        <f>IFERROR(__xludf.DUMMYFUNCTION("IFERROR(REGEXREPLACE(unique(filter('Основной эфир'!$A:$A, 'Основной эфир'!$B:$B=$A402,'Основной эфир'!$C:$C=$B402,'Основной эфир'!$I:$I=$C402)), ""\d+"", """"),"""")"),"")</f>
        <v/>
      </c>
      <c r="L402" s="91" t="str">
        <f>IFERROR(__xludf.DUMMYFUNCTION("IFERROR(unique(filter('Основной эфир'!$F:$F, 'Основной эфир'!$B:$B=$A402,'Основной эфир'!$C:$C=$B402,'Основной эфир'!$I:$I=$C402)),"""")"),"")</f>
        <v/>
      </c>
      <c r="M402" s="92" t="str">
        <f t="shared" si="1"/>
        <v/>
      </c>
      <c r="N402" s="93">
        <f>IFERROR(__xludf.DUMMYFUNCTION("IFERROR(SWITCH(lower(join("" "",L402:M402)),""а миллионник"", 62.5,""б миллионник"", 75,""а мск"", 50, ""б мск"", 62.5, ""a остальное"", 70, ""б остальное"", 80)/100,0)"),0.0)</f>
        <v>0</v>
      </c>
      <c r="O402" s="91">
        <f t="shared" si="2"/>
        <v>0</v>
      </c>
      <c r="P402" s="91">
        <f>IFERROR(__xludf.DUMMYFUNCTION("IFERROR(sum(filter('Генеральный баннер'!$O:$O, 'Генеральный баннер'!$B:$B=$A402,'Генеральный баннер'!$C:$C=$B402,'Генеральный баннер'!$I:$I=$C402)), 0) "),0.0)</f>
        <v>0</v>
      </c>
      <c r="Q402" s="91">
        <f>IFERROR(__xludf.DUMMYFUNCTION("IFERROR(sum(filter('Генеральный баннер'!$Q:$Q, 'Генеральный баннер'!$B:$B=$A402,'Генеральный баннер'!$C:$C=$B402,'Генеральный баннер'!$I:$I=$C402)), 0) "),0.0)</f>
        <v>0</v>
      </c>
      <c r="R402" s="91">
        <f>IFERROR(__xludf.DUMMYFUNCTION("IFERROR(AVERAGE(filter('Генеральный баннер'!$AA:$AA, 'Генеральный баннер'!$B:$B=$A402,'Генеральный баннер'!$C:$C=$B402,'Генеральный баннер'!$I:$I=$C402)), 0) "),0.0)</f>
        <v>0</v>
      </c>
      <c r="S402" s="91">
        <f>IFERROR(__xludf.DUMMYFUNCTION("IFERROR(SUM(filter('Генеральный баннер'!$AH:$AH, 'Генеральный баннер'!$B:$B=$A402,'Генеральный баннер'!$C:$C=$B402,'Генеральный баннер'!$I:$I=$C402)), 0) "),0.0)</f>
        <v>0</v>
      </c>
      <c r="T402" s="91" t="str">
        <f>IFERROR(__xludf.DUMMYFUNCTION("IFERROR(REGEXREPLACE(unique(filter('Генеральный баннер'!$A:$A, 'Генеральный баннер'!$B:$B=$A402,'Генеральный баннер'!$C:$C=$B402,'Генеральный баннер'!$I:$I=$C402)), ""\d+"", """"),"""")"),"")</f>
        <v/>
      </c>
      <c r="U402" s="91" t="str">
        <f>IFERROR(__xludf.DUMMYFUNCTION("IFERROR(unique(filter('Генеральный баннер'!$F:$F, 'Генеральный баннер'!$B:$B=$A402,'Генеральный баннер'!$C:$C=$B402,'Генеральный баннер'!$I:$I=$C402)),"""")"),"")</f>
        <v/>
      </c>
      <c r="V402" s="92" t="str">
        <f t="shared" si="3"/>
        <v/>
      </c>
      <c r="W402" s="93">
        <f>IFERROR(__xludf.DUMMYFUNCTION("IFERROR(SWITCH(lower(join("" "",U402:V402)),""а миллионник"", 62.5,""б миллионник"", 75,""а мск"", 50, ""б мск"", 62.5, ""a остальное"", 70, ""б остальное"", 80)/100,0)"),0.0)</f>
        <v>0</v>
      </c>
      <c r="X402" s="91">
        <f t="shared" si="4"/>
        <v>0</v>
      </c>
    </row>
    <row r="403">
      <c r="A403" s="12"/>
      <c r="B403" s="12"/>
      <c r="C403" s="12"/>
      <c r="D403" s="91">
        <f>IFERROR(__xludf.DUMMYFUNCTION("IFERROR(sum(filter('Основной эфир'!$AA:$AA, 'Основной эфир'!$B:$B=$A403,'Основной эфир'!$C:$C=$B403,'Основной эфир'!$I:$I=$C403)), 0) "),0.0)</f>
        <v>0</v>
      </c>
      <c r="E403" s="91">
        <f>IFERROR(__xludf.DUMMYFUNCTION("IFERROR(sum(filter('Основной эфир'!$AC:$AC, 'Основной эфир'!$B:$B=$A403,'Основной эфир'!$C:$C=$B403,'Основной эфир'!$I:$I=$C403)), 0) "),0.0)</f>
        <v>0</v>
      </c>
      <c r="F403" s="91">
        <f>IFERROR(__xludf.DUMMYFUNCTION("IFERROR(sum(filter('Основной эфир'!$O:$O, 'Основной эфир'!$B:$B=$A403,'Основной эфир'!$C:$C=$B403,'Основной эфир'!$I:$I=$C403)), 0) "),0.0)</f>
        <v>0</v>
      </c>
      <c r="G403" s="91">
        <f>IFERROR(__xludf.DUMMYFUNCTION("IFERROR(sum(filter('Основной эфир'!$Q:$Q, 'Основной эфир'!$B:$B=$A403,'Основной эфир'!$C:$C=$B403,'Основной эфир'!$I:$I=$C403)), 0) "),0.0)</f>
        <v>0</v>
      </c>
      <c r="H403" s="91">
        <f>IFERROR(__xludf.DUMMYFUNCTION("IFERROR(AVERAGE(filter('Основной эфир'!$Y:$Y, 'Основной эфир'!$B:$B=$A403,'Основной эфир'!$C:$C=$B403,'Основной эфир'!$I:$I=$C403)), 0) "),0.0)</f>
        <v>0</v>
      </c>
      <c r="I403" s="91">
        <f>IFERROR(__xludf.DUMMYFUNCTION("IFERROR(AVERAGE(filter('Основной эфир'!$AE:$AE, 'Основной эфир'!$B:$B=$A403,'Основной эфир'!$C:$C=$B403,'Основной эфир'!$I:$I=$C403)), 0) "),0.0)</f>
        <v>0</v>
      </c>
      <c r="J403" s="91">
        <f>IFERROR(__xludf.DUMMYFUNCTION("IFERROR(SUM(filter('Основной эфир'!$AL:$AL, 'Основной эфир'!$B:$B=$A403,'Основной эфир'!$C:$C=$B403,'Основной эфир'!$I:$I=$C403)), 0) "),0.0)</f>
        <v>0</v>
      </c>
      <c r="K403" s="91" t="str">
        <f>IFERROR(__xludf.DUMMYFUNCTION("IFERROR(REGEXREPLACE(unique(filter('Основной эфир'!$A:$A, 'Основной эфир'!$B:$B=$A403,'Основной эфир'!$C:$C=$B403,'Основной эфир'!$I:$I=$C403)), ""\d+"", """"),"""")"),"")</f>
        <v/>
      </c>
      <c r="L403" s="91" t="str">
        <f>IFERROR(__xludf.DUMMYFUNCTION("IFERROR(unique(filter('Основной эфир'!$F:$F, 'Основной эфир'!$B:$B=$A403,'Основной эфир'!$C:$C=$B403,'Основной эфир'!$I:$I=$C403)),"""")"),"")</f>
        <v/>
      </c>
      <c r="M403" s="92" t="str">
        <f t="shared" si="1"/>
        <v/>
      </c>
      <c r="N403" s="93">
        <f>IFERROR(__xludf.DUMMYFUNCTION("IFERROR(SWITCH(lower(join("" "",L403:M403)),""а миллионник"", 62.5,""б миллионник"", 75,""а мск"", 50, ""б мск"", 62.5, ""a остальное"", 70, ""б остальное"", 80)/100,0)"),0.0)</f>
        <v>0</v>
      </c>
      <c r="O403" s="91">
        <f t="shared" si="2"/>
        <v>0</v>
      </c>
      <c r="P403" s="91">
        <f>IFERROR(__xludf.DUMMYFUNCTION("IFERROR(sum(filter('Генеральный баннер'!$O:$O, 'Генеральный баннер'!$B:$B=$A403,'Генеральный баннер'!$C:$C=$B403,'Генеральный баннер'!$I:$I=$C403)), 0) "),0.0)</f>
        <v>0</v>
      </c>
      <c r="Q403" s="91">
        <f>IFERROR(__xludf.DUMMYFUNCTION("IFERROR(sum(filter('Генеральный баннер'!$Q:$Q, 'Генеральный баннер'!$B:$B=$A403,'Генеральный баннер'!$C:$C=$B403,'Генеральный баннер'!$I:$I=$C403)), 0) "),0.0)</f>
        <v>0</v>
      </c>
      <c r="R403" s="91">
        <f>IFERROR(__xludf.DUMMYFUNCTION("IFERROR(AVERAGE(filter('Генеральный баннер'!$AA:$AA, 'Генеральный баннер'!$B:$B=$A403,'Генеральный баннер'!$C:$C=$B403,'Генеральный баннер'!$I:$I=$C403)), 0) "),0.0)</f>
        <v>0</v>
      </c>
      <c r="S403" s="91">
        <f>IFERROR(__xludf.DUMMYFUNCTION("IFERROR(SUM(filter('Генеральный баннер'!$AH:$AH, 'Генеральный баннер'!$B:$B=$A403,'Генеральный баннер'!$C:$C=$B403,'Генеральный баннер'!$I:$I=$C403)), 0) "),0.0)</f>
        <v>0</v>
      </c>
      <c r="T403" s="91" t="str">
        <f>IFERROR(__xludf.DUMMYFUNCTION("IFERROR(REGEXREPLACE(unique(filter('Генеральный баннер'!$A:$A, 'Генеральный баннер'!$B:$B=$A403,'Генеральный баннер'!$C:$C=$B403,'Генеральный баннер'!$I:$I=$C403)), ""\d+"", """"),"""")"),"")</f>
        <v/>
      </c>
      <c r="U403" s="91" t="str">
        <f>IFERROR(__xludf.DUMMYFUNCTION("IFERROR(unique(filter('Генеральный баннер'!$F:$F, 'Генеральный баннер'!$B:$B=$A403,'Генеральный баннер'!$C:$C=$B403,'Генеральный баннер'!$I:$I=$C403)),"""")"),"")</f>
        <v/>
      </c>
      <c r="V403" s="92" t="str">
        <f t="shared" si="3"/>
        <v/>
      </c>
      <c r="W403" s="93">
        <f>IFERROR(__xludf.DUMMYFUNCTION("IFERROR(SWITCH(lower(join("" "",U403:V403)),""а миллионник"", 62.5,""б миллионник"", 75,""а мск"", 50, ""б мск"", 62.5, ""a остальное"", 70, ""б остальное"", 80)/100,0)"),0.0)</f>
        <v>0</v>
      </c>
      <c r="X403" s="91">
        <f t="shared" si="4"/>
        <v>0</v>
      </c>
    </row>
    <row r="404">
      <c r="A404" s="12"/>
      <c r="B404" s="12"/>
      <c r="C404" s="12"/>
      <c r="D404" s="91">
        <f>IFERROR(__xludf.DUMMYFUNCTION("IFERROR(sum(filter('Основной эфир'!$AA:$AA, 'Основной эфир'!$B:$B=$A404,'Основной эфир'!$C:$C=$B404,'Основной эфир'!$I:$I=$C404)), 0) "),0.0)</f>
        <v>0</v>
      </c>
      <c r="E404" s="91">
        <f>IFERROR(__xludf.DUMMYFUNCTION("IFERROR(sum(filter('Основной эфир'!$AC:$AC, 'Основной эфир'!$B:$B=$A404,'Основной эфир'!$C:$C=$B404,'Основной эфир'!$I:$I=$C404)), 0) "),0.0)</f>
        <v>0</v>
      </c>
      <c r="F404" s="91">
        <f>IFERROR(__xludf.DUMMYFUNCTION("IFERROR(sum(filter('Основной эфир'!$O:$O, 'Основной эфир'!$B:$B=$A404,'Основной эфир'!$C:$C=$B404,'Основной эфир'!$I:$I=$C404)), 0) "),0.0)</f>
        <v>0</v>
      </c>
      <c r="G404" s="91">
        <f>IFERROR(__xludf.DUMMYFUNCTION("IFERROR(sum(filter('Основной эфир'!$Q:$Q, 'Основной эфир'!$B:$B=$A404,'Основной эфир'!$C:$C=$B404,'Основной эфир'!$I:$I=$C404)), 0) "),0.0)</f>
        <v>0</v>
      </c>
      <c r="H404" s="91">
        <f>IFERROR(__xludf.DUMMYFUNCTION("IFERROR(AVERAGE(filter('Основной эфир'!$Y:$Y, 'Основной эфир'!$B:$B=$A404,'Основной эфир'!$C:$C=$B404,'Основной эфир'!$I:$I=$C404)), 0) "),0.0)</f>
        <v>0</v>
      </c>
      <c r="I404" s="91">
        <f>IFERROR(__xludf.DUMMYFUNCTION("IFERROR(AVERAGE(filter('Основной эфир'!$AE:$AE, 'Основной эфир'!$B:$B=$A404,'Основной эфир'!$C:$C=$B404,'Основной эфир'!$I:$I=$C404)), 0) "),0.0)</f>
        <v>0</v>
      </c>
      <c r="J404" s="91">
        <f>IFERROR(__xludf.DUMMYFUNCTION("IFERROR(SUM(filter('Основной эфир'!$AL:$AL, 'Основной эфир'!$B:$B=$A404,'Основной эфир'!$C:$C=$B404,'Основной эфир'!$I:$I=$C404)), 0) "),0.0)</f>
        <v>0</v>
      </c>
      <c r="K404" s="91" t="str">
        <f>IFERROR(__xludf.DUMMYFUNCTION("IFERROR(REGEXREPLACE(unique(filter('Основной эфир'!$A:$A, 'Основной эфир'!$B:$B=$A404,'Основной эфир'!$C:$C=$B404,'Основной эфир'!$I:$I=$C404)), ""\d+"", """"),"""")"),"")</f>
        <v/>
      </c>
      <c r="L404" s="91" t="str">
        <f>IFERROR(__xludf.DUMMYFUNCTION("IFERROR(unique(filter('Основной эфир'!$F:$F, 'Основной эфир'!$B:$B=$A404,'Основной эфир'!$C:$C=$B404,'Основной эфир'!$I:$I=$C404)),"""")"),"")</f>
        <v/>
      </c>
      <c r="M404" s="92" t="str">
        <f t="shared" si="1"/>
        <v/>
      </c>
      <c r="N404" s="93">
        <f>IFERROR(__xludf.DUMMYFUNCTION("IFERROR(SWITCH(lower(join("" "",L404:M404)),""а миллионник"", 62.5,""б миллионник"", 75,""а мск"", 50, ""б мск"", 62.5, ""a остальное"", 70, ""б остальное"", 80)/100,0)"),0.0)</f>
        <v>0</v>
      </c>
      <c r="O404" s="91">
        <f t="shared" si="2"/>
        <v>0</v>
      </c>
      <c r="P404" s="91">
        <f>IFERROR(__xludf.DUMMYFUNCTION("IFERROR(sum(filter('Генеральный баннер'!$O:$O, 'Генеральный баннер'!$B:$B=$A404,'Генеральный баннер'!$C:$C=$B404,'Генеральный баннер'!$I:$I=$C404)), 0) "),0.0)</f>
        <v>0</v>
      </c>
      <c r="Q404" s="91">
        <f>IFERROR(__xludf.DUMMYFUNCTION("IFERROR(sum(filter('Генеральный баннер'!$Q:$Q, 'Генеральный баннер'!$B:$B=$A404,'Генеральный баннер'!$C:$C=$B404,'Генеральный баннер'!$I:$I=$C404)), 0) "),0.0)</f>
        <v>0</v>
      </c>
      <c r="R404" s="91">
        <f>IFERROR(__xludf.DUMMYFUNCTION("IFERROR(AVERAGE(filter('Генеральный баннер'!$AA:$AA, 'Генеральный баннер'!$B:$B=$A404,'Генеральный баннер'!$C:$C=$B404,'Генеральный баннер'!$I:$I=$C404)), 0) "),0.0)</f>
        <v>0</v>
      </c>
      <c r="S404" s="91">
        <f>IFERROR(__xludf.DUMMYFUNCTION("IFERROR(SUM(filter('Генеральный баннер'!$AH:$AH, 'Генеральный баннер'!$B:$B=$A404,'Генеральный баннер'!$C:$C=$B404,'Генеральный баннер'!$I:$I=$C404)), 0) "),0.0)</f>
        <v>0</v>
      </c>
      <c r="T404" s="91" t="str">
        <f>IFERROR(__xludf.DUMMYFUNCTION("IFERROR(REGEXREPLACE(unique(filter('Генеральный баннер'!$A:$A, 'Генеральный баннер'!$B:$B=$A404,'Генеральный баннер'!$C:$C=$B404,'Генеральный баннер'!$I:$I=$C404)), ""\d+"", """"),"""")"),"")</f>
        <v/>
      </c>
      <c r="U404" s="91" t="str">
        <f>IFERROR(__xludf.DUMMYFUNCTION("IFERROR(unique(filter('Генеральный баннер'!$F:$F, 'Генеральный баннер'!$B:$B=$A404,'Генеральный баннер'!$C:$C=$B404,'Генеральный баннер'!$I:$I=$C404)),"""")"),"")</f>
        <v/>
      </c>
      <c r="V404" s="92" t="str">
        <f t="shared" si="3"/>
        <v/>
      </c>
      <c r="W404" s="93">
        <f>IFERROR(__xludf.DUMMYFUNCTION("IFERROR(SWITCH(lower(join("" "",U404:V404)),""а миллионник"", 62.5,""б миллионник"", 75,""а мск"", 50, ""б мск"", 62.5, ""a остальное"", 70, ""б остальное"", 80)/100,0)"),0.0)</f>
        <v>0</v>
      </c>
      <c r="X404" s="91">
        <f t="shared" si="4"/>
        <v>0</v>
      </c>
    </row>
    <row r="405">
      <c r="A405" s="12"/>
      <c r="B405" s="12"/>
      <c r="C405" s="12"/>
      <c r="D405" s="91">
        <f>IFERROR(__xludf.DUMMYFUNCTION("IFERROR(sum(filter('Основной эфир'!$AA:$AA, 'Основной эфир'!$B:$B=$A405,'Основной эфир'!$C:$C=$B405,'Основной эфир'!$I:$I=$C405)), 0) "),0.0)</f>
        <v>0</v>
      </c>
      <c r="E405" s="91">
        <f>IFERROR(__xludf.DUMMYFUNCTION("IFERROR(sum(filter('Основной эфир'!$AC:$AC, 'Основной эфир'!$B:$B=$A405,'Основной эфир'!$C:$C=$B405,'Основной эфир'!$I:$I=$C405)), 0) "),0.0)</f>
        <v>0</v>
      </c>
      <c r="F405" s="91">
        <f>IFERROR(__xludf.DUMMYFUNCTION("IFERROR(sum(filter('Основной эфир'!$O:$O, 'Основной эфир'!$B:$B=$A405,'Основной эфир'!$C:$C=$B405,'Основной эфир'!$I:$I=$C405)), 0) "),0.0)</f>
        <v>0</v>
      </c>
      <c r="G405" s="91">
        <f>IFERROR(__xludf.DUMMYFUNCTION("IFERROR(sum(filter('Основной эфир'!$Q:$Q, 'Основной эфир'!$B:$B=$A405,'Основной эфир'!$C:$C=$B405,'Основной эфир'!$I:$I=$C405)), 0) "),0.0)</f>
        <v>0</v>
      </c>
      <c r="H405" s="91">
        <f>IFERROR(__xludf.DUMMYFUNCTION("IFERROR(AVERAGE(filter('Основной эфир'!$Y:$Y, 'Основной эфир'!$B:$B=$A405,'Основной эфир'!$C:$C=$B405,'Основной эфир'!$I:$I=$C405)), 0) "),0.0)</f>
        <v>0</v>
      </c>
      <c r="I405" s="91">
        <f>IFERROR(__xludf.DUMMYFUNCTION("IFERROR(AVERAGE(filter('Основной эфир'!$AE:$AE, 'Основной эфир'!$B:$B=$A405,'Основной эфир'!$C:$C=$B405,'Основной эфир'!$I:$I=$C405)), 0) "),0.0)</f>
        <v>0</v>
      </c>
      <c r="J405" s="91">
        <f>IFERROR(__xludf.DUMMYFUNCTION("IFERROR(SUM(filter('Основной эфир'!$AL:$AL, 'Основной эфир'!$B:$B=$A405,'Основной эфир'!$C:$C=$B405,'Основной эфир'!$I:$I=$C405)), 0) "),0.0)</f>
        <v>0</v>
      </c>
      <c r="K405" s="91" t="str">
        <f>IFERROR(__xludf.DUMMYFUNCTION("IFERROR(REGEXREPLACE(unique(filter('Основной эфир'!$A:$A, 'Основной эфир'!$B:$B=$A405,'Основной эфир'!$C:$C=$B405,'Основной эфир'!$I:$I=$C405)), ""\d+"", """"),"""")"),"")</f>
        <v/>
      </c>
      <c r="L405" s="91" t="str">
        <f>IFERROR(__xludf.DUMMYFUNCTION("IFERROR(unique(filter('Основной эфир'!$F:$F, 'Основной эфир'!$B:$B=$A405,'Основной эфир'!$C:$C=$B405,'Основной эфир'!$I:$I=$C405)),"""")"),"")</f>
        <v/>
      </c>
      <c r="M405" s="92" t="str">
        <f t="shared" si="1"/>
        <v/>
      </c>
      <c r="N405" s="93">
        <f>IFERROR(__xludf.DUMMYFUNCTION("IFERROR(SWITCH(lower(join("" "",L405:M405)),""а миллионник"", 62.5,""б миллионник"", 75,""а мск"", 50, ""б мск"", 62.5, ""a остальное"", 70, ""б остальное"", 80)/100,0)"),0.0)</f>
        <v>0</v>
      </c>
      <c r="O405" s="91">
        <f t="shared" si="2"/>
        <v>0</v>
      </c>
      <c r="P405" s="91">
        <f>IFERROR(__xludf.DUMMYFUNCTION("IFERROR(sum(filter('Генеральный баннер'!$O:$O, 'Генеральный баннер'!$B:$B=$A405,'Генеральный баннер'!$C:$C=$B405,'Генеральный баннер'!$I:$I=$C405)), 0) "),0.0)</f>
        <v>0</v>
      </c>
      <c r="Q405" s="91">
        <f>IFERROR(__xludf.DUMMYFUNCTION("IFERROR(sum(filter('Генеральный баннер'!$Q:$Q, 'Генеральный баннер'!$B:$B=$A405,'Генеральный баннер'!$C:$C=$B405,'Генеральный баннер'!$I:$I=$C405)), 0) "),0.0)</f>
        <v>0</v>
      </c>
      <c r="R405" s="91">
        <f>IFERROR(__xludf.DUMMYFUNCTION("IFERROR(AVERAGE(filter('Генеральный баннер'!$AA:$AA, 'Генеральный баннер'!$B:$B=$A405,'Генеральный баннер'!$C:$C=$B405,'Генеральный баннер'!$I:$I=$C405)), 0) "),0.0)</f>
        <v>0</v>
      </c>
      <c r="S405" s="91">
        <f>IFERROR(__xludf.DUMMYFUNCTION("IFERROR(SUM(filter('Генеральный баннер'!$AH:$AH, 'Генеральный баннер'!$B:$B=$A405,'Генеральный баннер'!$C:$C=$B405,'Генеральный баннер'!$I:$I=$C405)), 0) "),0.0)</f>
        <v>0</v>
      </c>
      <c r="T405" s="91" t="str">
        <f>IFERROR(__xludf.DUMMYFUNCTION("IFERROR(REGEXREPLACE(unique(filter('Генеральный баннер'!$A:$A, 'Генеральный баннер'!$B:$B=$A405,'Генеральный баннер'!$C:$C=$B405,'Генеральный баннер'!$I:$I=$C405)), ""\d+"", """"),"""")"),"")</f>
        <v/>
      </c>
      <c r="U405" s="91" t="str">
        <f>IFERROR(__xludf.DUMMYFUNCTION("IFERROR(unique(filter('Генеральный баннер'!$F:$F, 'Генеральный баннер'!$B:$B=$A405,'Генеральный баннер'!$C:$C=$B405,'Генеральный баннер'!$I:$I=$C405)),"""")"),"")</f>
        <v/>
      </c>
      <c r="V405" s="92" t="str">
        <f t="shared" si="3"/>
        <v/>
      </c>
      <c r="W405" s="93">
        <f>IFERROR(__xludf.DUMMYFUNCTION("IFERROR(SWITCH(lower(join("" "",U405:V405)),""а миллионник"", 62.5,""б миллионник"", 75,""а мск"", 50, ""б мск"", 62.5, ""a остальное"", 70, ""б остальное"", 80)/100,0)"),0.0)</f>
        <v>0</v>
      </c>
      <c r="X405" s="91">
        <f t="shared" si="4"/>
        <v>0</v>
      </c>
    </row>
    <row r="406">
      <c r="A406" s="12"/>
      <c r="B406" s="12"/>
      <c r="C406" s="12"/>
      <c r="D406" s="91">
        <f>IFERROR(__xludf.DUMMYFUNCTION("IFERROR(sum(filter('Основной эфир'!$AA:$AA, 'Основной эфир'!$B:$B=$A406,'Основной эфир'!$C:$C=$B406,'Основной эфир'!$I:$I=$C406)), 0) "),0.0)</f>
        <v>0</v>
      </c>
      <c r="E406" s="91">
        <f>IFERROR(__xludf.DUMMYFUNCTION("IFERROR(sum(filter('Основной эфир'!$AC:$AC, 'Основной эфир'!$B:$B=$A406,'Основной эфир'!$C:$C=$B406,'Основной эфир'!$I:$I=$C406)), 0) "),0.0)</f>
        <v>0</v>
      </c>
      <c r="F406" s="91">
        <f>IFERROR(__xludf.DUMMYFUNCTION("IFERROR(sum(filter('Основной эфир'!$O:$O, 'Основной эфир'!$B:$B=$A406,'Основной эфир'!$C:$C=$B406,'Основной эфир'!$I:$I=$C406)), 0) "),0.0)</f>
        <v>0</v>
      </c>
      <c r="G406" s="91">
        <f>IFERROR(__xludf.DUMMYFUNCTION("IFERROR(sum(filter('Основной эфир'!$Q:$Q, 'Основной эфир'!$B:$B=$A406,'Основной эфир'!$C:$C=$B406,'Основной эфир'!$I:$I=$C406)), 0) "),0.0)</f>
        <v>0</v>
      </c>
      <c r="H406" s="91">
        <f>IFERROR(__xludf.DUMMYFUNCTION("IFERROR(AVERAGE(filter('Основной эфир'!$Y:$Y, 'Основной эфир'!$B:$B=$A406,'Основной эфир'!$C:$C=$B406,'Основной эфир'!$I:$I=$C406)), 0) "),0.0)</f>
        <v>0</v>
      </c>
      <c r="I406" s="91">
        <f>IFERROR(__xludf.DUMMYFUNCTION("IFERROR(AVERAGE(filter('Основной эфир'!$AE:$AE, 'Основной эфир'!$B:$B=$A406,'Основной эфир'!$C:$C=$B406,'Основной эфир'!$I:$I=$C406)), 0) "),0.0)</f>
        <v>0</v>
      </c>
      <c r="J406" s="91">
        <f>IFERROR(__xludf.DUMMYFUNCTION("IFERROR(SUM(filter('Основной эфир'!$AL:$AL, 'Основной эфир'!$B:$B=$A406,'Основной эфир'!$C:$C=$B406,'Основной эфир'!$I:$I=$C406)), 0) "),0.0)</f>
        <v>0</v>
      </c>
      <c r="K406" s="91" t="str">
        <f>IFERROR(__xludf.DUMMYFUNCTION("IFERROR(REGEXREPLACE(unique(filter('Основной эфир'!$A:$A, 'Основной эфир'!$B:$B=$A406,'Основной эфир'!$C:$C=$B406,'Основной эфир'!$I:$I=$C406)), ""\d+"", """"),"""")"),"")</f>
        <v/>
      </c>
      <c r="L406" s="91" t="str">
        <f>IFERROR(__xludf.DUMMYFUNCTION("IFERROR(unique(filter('Основной эфир'!$F:$F, 'Основной эфир'!$B:$B=$A406,'Основной эфир'!$C:$C=$B406,'Основной эфир'!$I:$I=$C406)),"""")"),"")</f>
        <v/>
      </c>
      <c r="M406" s="92" t="str">
        <f t="shared" si="1"/>
        <v/>
      </c>
      <c r="N406" s="93">
        <f>IFERROR(__xludf.DUMMYFUNCTION("IFERROR(SWITCH(lower(join("" "",L406:M406)),""а миллионник"", 62.5,""б миллионник"", 75,""а мск"", 50, ""б мск"", 62.5, ""a остальное"", 70, ""б остальное"", 80)/100,0)"),0.0)</f>
        <v>0</v>
      </c>
      <c r="O406" s="91">
        <f t="shared" si="2"/>
        <v>0</v>
      </c>
      <c r="P406" s="91">
        <f>IFERROR(__xludf.DUMMYFUNCTION("IFERROR(sum(filter('Генеральный баннер'!$O:$O, 'Генеральный баннер'!$B:$B=$A406,'Генеральный баннер'!$C:$C=$B406,'Генеральный баннер'!$I:$I=$C406)), 0) "),0.0)</f>
        <v>0</v>
      </c>
      <c r="Q406" s="91">
        <f>IFERROR(__xludf.DUMMYFUNCTION("IFERROR(sum(filter('Генеральный баннер'!$Q:$Q, 'Генеральный баннер'!$B:$B=$A406,'Генеральный баннер'!$C:$C=$B406,'Генеральный баннер'!$I:$I=$C406)), 0) "),0.0)</f>
        <v>0</v>
      </c>
      <c r="R406" s="91">
        <f>IFERROR(__xludf.DUMMYFUNCTION("IFERROR(AVERAGE(filter('Генеральный баннер'!$AA:$AA, 'Генеральный баннер'!$B:$B=$A406,'Генеральный баннер'!$C:$C=$B406,'Генеральный баннер'!$I:$I=$C406)), 0) "),0.0)</f>
        <v>0</v>
      </c>
      <c r="S406" s="91">
        <f>IFERROR(__xludf.DUMMYFUNCTION("IFERROR(SUM(filter('Генеральный баннер'!$AH:$AH, 'Генеральный баннер'!$B:$B=$A406,'Генеральный баннер'!$C:$C=$B406,'Генеральный баннер'!$I:$I=$C406)), 0) "),0.0)</f>
        <v>0</v>
      </c>
      <c r="T406" s="91" t="str">
        <f>IFERROR(__xludf.DUMMYFUNCTION("IFERROR(REGEXREPLACE(unique(filter('Генеральный баннер'!$A:$A, 'Генеральный баннер'!$B:$B=$A406,'Генеральный баннер'!$C:$C=$B406,'Генеральный баннер'!$I:$I=$C406)), ""\d+"", """"),"""")"),"")</f>
        <v/>
      </c>
      <c r="U406" s="91" t="str">
        <f>IFERROR(__xludf.DUMMYFUNCTION("IFERROR(unique(filter('Генеральный баннер'!$F:$F, 'Генеральный баннер'!$B:$B=$A406,'Генеральный баннер'!$C:$C=$B406,'Генеральный баннер'!$I:$I=$C406)),"""")"),"")</f>
        <v/>
      </c>
      <c r="V406" s="92" t="str">
        <f t="shared" si="3"/>
        <v/>
      </c>
      <c r="W406" s="93">
        <f>IFERROR(__xludf.DUMMYFUNCTION("IFERROR(SWITCH(lower(join("" "",U406:V406)),""а миллионник"", 62.5,""б миллионник"", 75,""а мск"", 50, ""б мск"", 62.5, ""a остальное"", 70, ""б остальное"", 80)/100,0)"),0.0)</f>
        <v>0</v>
      </c>
      <c r="X406" s="91">
        <f t="shared" si="4"/>
        <v>0</v>
      </c>
    </row>
    <row r="407">
      <c r="A407" s="12"/>
      <c r="B407" s="12"/>
      <c r="C407" s="12"/>
      <c r="D407" s="91">
        <f>IFERROR(__xludf.DUMMYFUNCTION("IFERROR(sum(filter('Основной эфир'!$AA:$AA, 'Основной эфир'!$B:$B=$A407,'Основной эфир'!$C:$C=$B407,'Основной эфир'!$I:$I=$C407)), 0) "),0.0)</f>
        <v>0</v>
      </c>
      <c r="E407" s="91">
        <f>IFERROR(__xludf.DUMMYFUNCTION("IFERROR(sum(filter('Основной эфир'!$AC:$AC, 'Основной эфир'!$B:$B=$A407,'Основной эфир'!$C:$C=$B407,'Основной эфир'!$I:$I=$C407)), 0) "),0.0)</f>
        <v>0</v>
      </c>
      <c r="F407" s="91">
        <f>IFERROR(__xludf.DUMMYFUNCTION("IFERROR(sum(filter('Основной эфир'!$O:$O, 'Основной эфир'!$B:$B=$A407,'Основной эфир'!$C:$C=$B407,'Основной эфир'!$I:$I=$C407)), 0) "),0.0)</f>
        <v>0</v>
      </c>
      <c r="G407" s="91">
        <f>IFERROR(__xludf.DUMMYFUNCTION("IFERROR(sum(filter('Основной эфир'!$Q:$Q, 'Основной эфир'!$B:$B=$A407,'Основной эфир'!$C:$C=$B407,'Основной эфир'!$I:$I=$C407)), 0) "),0.0)</f>
        <v>0</v>
      </c>
      <c r="H407" s="91">
        <f>IFERROR(__xludf.DUMMYFUNCTION("IFERROR(AVERAGE(filter('Основной эфир'!$Y:$Y, 'Основной эфир'!$B:$B=$A407,'Основной эфир'!$C:$C=$B407,'Основной эфир'!$I:$I=$C407)), 0) "),0.0)</f>
        <v>0</v>
      </c>
      <c r="I407" s="91">
        <f>IFERROR(__xludf.DUMMYFUNCTION("IFERROR(AVERAGE(filter('Основной эфир'!$AE:$AE, 'Основной эфир'!$B:$B=$A407,'Основной эфир'!$C:$C=$B407,'Основной эфир'!$I:$I=$C407)), 0) "),0.0)</f>
        <v>0</v>
      </c>
      <c r="J407" s="91">
        <f>IFERROR(__xludf.DUMMYFUNCTION("IFERROR(SUM(filter('Основной эфир'!$AL:$AL, 'Основной эфир'!$B:$B=$A407,'Основной эфир'!$C:$C=$B407,'Основной эфир'!$I:$I=$C407)), 0) "),0.0)</f>
        <v>0</v>
      </c>
      <c r="K407" s="91" t="str">
        <f>IFERROR(__xludf.DUMMYFUNCTION("IFERROR(REGEXREPLACE(unique(filter('Основной эфир'!$A:$A, 'Основной эфир'!$B:$B=$A407,'Основной эфир'!$C:$C=$B407,'Основной эфир'!$I:$I=$C407)), ""\d+"", """"),"""")"),"")</f>
        <v/>
      </c>
      <c r="L407" s="91" t="str">
        <f>IFERROR(__xludf.DUMMYFUNCTION("IFERROR(unique(filter('Основной эфир'!$F:$F, 'Основной эфир'!$B:$B=$A407,'Основной эфир'!$C:$C=$B407,'Основной эфир'!$I:$I=$C407)),"""")"),"")</f>
        <v/>
      </c>
      <c r="M407" s="92" t="str">
        <f t="shared" si="1"/>
        <v/>
      </c>
      <c r="N407" s="93">
        <f>IFERROR(__xludf.DUMMYFUNCTION("IFERROR(SWITCH(lower(join("" "",L407:M407)),""а миллионник"", 62.5,""б миллионник"", 75,""а мск"", 50, ""б мск"", 62.5, ""a остальное"", 70, ""б остальное"", 80)/100,0)"),0.0)</f>
        <v>0</v>
      </c>
      <c r="O407" s="91">
        <f t="shared" si="2"/>
        <v>0</v>
      </c>
      <c r="P407" s="91">
        <f>IFERROR(__xludf.DUMMYFUNCTION("IFERROR(sum(filter('Генеральный баннер'!$O:$O, 'Генеральный баннер'!$B:$B=$A407,'Генеральный баннер'!$C:$C=$B407,'Генеральный баннер'!$I:$I=$C407)), 0) "),0.0)</f>
        <v>0</v>
      </c>
      <c r="Q407" s="91">
        <f>IFERROR(__xludf.DUMMYFUNCTION("IFERROR(sum(filter('Генеральный баннер'!$Q:$Q, 'Генеральный баннер'!$B:$B=$A407,'Генеральный баннер'!$C:$C=$B407,'Генеральный баннер'!$I:$I=$C407)), 0) "),0.0)</f>
        <v>0</v>
      </c>
      <c r="R407" s="91">
        <f>IFERROR(__xludf.DUMMYFUNCTION("IFERROR(AVERAGE(filter('Генеральный баннер'!$AA:$AA, 'Генеральный баннер'!$B:$B=$A407,'Генеральный баннер'!$C:$C=$B407,'Генеральный баннер'!$I:$I=$C407)), 0) "),0.0)</f>
        <v>0</v>
      </c>
      <c r="S407" s="91">
        <f>IFERROR(__xludf.DUMMYFUNCTION("IFERROR(SUM(filter('Генеральный баннер'!$AH:$AH, 'Генеральный баннер'!$B:$B=$A407,'Генеральный баннер'!$C:$C=$B407,'Генеральный баннер'!$I:$I=$C407)), 0) "),0.0)</f>
        <v>0</v>
      </c>
      <c r="T407" s="91" t="str">
        <f>IFERROR(__xludf.DUMMYFUNCTION("IFERROR(REGEXREPLACE(unique(filter('Генеральный баннер'!$A:$A, 'Генеральный баннер'!$B:$B=$A407,'Генеральный баннер'!$C:$C=$B407,'Генеральный баннер'!$I:$I=$C407)), ""\d+"", """"),"""")"),"")</f>
        <v/>
      </c>
      <c r="U407" s="91" t="str">
        <f>IFERROR(__xludf.DUMMYFUNCTION("IFERROR(unique(filter('Генеральный баннер'!$F:$F, 'Генеральный баннер'!$B:$B=$A407,'Генеральный баннер'!$C:$C=$B407,'Генеральный баннер'!$I:$I=$C407)),"""")"),"")</f>
        <v/>
      </c>
      <c r="V407" s="92" t="str">
        <f t="shared" si="3"/>
        <v/>
      </c>
      <c r="W407" s="93">
        <f>IFERROR(__xludf.DUMMYFUNCTION("IFERROR(SWITCH(lower(join("" "",U407:V407)),""а миллионник"", 62.5,""б миллионник"", 75,""а мск"", 50, ""б мск"", 62.5, ""a остальное"", 70, ""б остальное"", 80)/100,0)"),0.0)</f>
        <v>0</v>
      </c>
      <c r="X407" s="91">
        <f t="shared" si="4"/>
        <v>0</v>
      </c>
    </row>
    <row r="408">
      <c r="A408" s="12"/>
      <c r="B408" s="12"/>
      <c r="C408" s="12"/>
      <c r="D408" s="91">
        <f>IFERROR(__xludf.DUMMYFUNCTION("IFERROR(sum(filter('Основной эфир'!$AA:$AA, 'Основной эфир'!$B:$B=$A408,'Основной эфир'!$C:$C=$B408,'Основной эфир'!$I:$I=$C408)), 0) "),0.0)</f>
        <v>0</v>
      </c>
      <c r="E408" s="91">
        <f>IFERROR(__xludf.DUMMYFUNCTION("IFERROR(sum(filter('Основной эфир'!$AC:$AC, 'Основной эфир'!$B:$B=$A408,'Основной эфир'!$C:$C=$B408,'Основной эфир'!$I:$I=$C408)), 0) "),0.0)</f>
        <v>0</v>
      </c>
      <c r="F408" s="91">
        <f>IFERROR(__xludf.DUMMYFUNCTION("IFERROR(sum(filter('Основной эфир'!$O:$O, 'Основной эфир'!$B:$B=$A408,'Основной эфир'!$C:$C=$B408,'Основной эфир'!$I:$I=$C408)), 0) "),0.0)</f>
        <v>0</v>
      </c>
      <c r="G408" s="91">
        <f>IFERROR(__xludf.DUMMYFUNCTION("IFERROR(sum(filter('Основной эфир'!$Q:$Q, 'Основной эфир'!$B:$B=$A408,'Основной эфир'!$C:$C=$B408,'Основной эфир'!$I:$I=$C408)), 0) "),0.0)</f>
        <v>0</v>
      </c>
      <c r="H408" s="91">
        <f>IFERROR(__xludf.DUMMYFUNCTION("IFERROR(AVERAGE(filter('Основной эфир'!$Y:$Y, 'Основной эфир'!$B:$B=$A408,'Основной эфир'!$C:$C=$B408,'Основной эфир'!$I:$I=$C408)), 0) "),0.0)</f>
        <v>0</v>
      </c>
      <c r="I408" s="91">
        <f>IFERROR(__xludf.DUMMYFUNCTION("IFERROR(AVERAGE(filter('Основной эфир'!$AE:$AE, 'Основной эфир'!$B:$B=$A408,'Основной эфир'!$C:$C=$B408,'Основной эфир'!$I:$I=$C408)), 0) "),0.0)</f>
        <v>0</v>
      </c>
      <c r="J408" s="91">
        <f>IFERROR(__xludf.DUMMYFUNCTION("IFERROR(SUM(filter('Основной эфир'!$AL:$AL, 'Основной эфир'!$B:$B=$A408,'Основной эфир'!$C:$C=$B408,'Основной эфир'!$I:$I=$C408)), 0) "),0.0)</f>
        <v>0</v>
      </c>
      <c r="K408" s="91" t="str">
        <f>IFERROR(__xludf.DUMMYFUNCTION("IFERROR(REGEXREPLACE(unique(filter('Основной эфир'!$A:$A, 'Основной эфир'!$B:$B=$A408,'Основной эфир'!$C:$C=$B408,'Основной эфир'!$I:$I=$C408)), ""\d+"", """"),"""")"),"")</f>
        <v/>
      </c>
      <c r="L408" s="91" t="str">
        <f>IFERROR(__xludf.DUMMYFUNCTION("IFERROR(unique(filter('Основной эфир'!$F:$F, 'Основной эфир'!$B:$B=$A408,'Основной эфир'!$C:$C=$B408,'Основной эфир'!$I:$I=$C408)),"""")"),"")</f>
        <v/>
      </c>
      <c r="M408" s="92" t="str">
        <f t="shared" si="1"/>
        <v/>
      </c>
      <c r="N408" s="93">
        <f>IFERROR(__xludf.DUMMYFUNCTION("IFERROR(SWITCH(lower(join("" "",L408:M408)),""а миллионник"", 62.5,""б миллионник"", 75,""а мск"", 50, ""б мск"", 62.5, ""a остальное"", 70, ""б остальное"", 80)/100,0)"),0.0)</f>
        <v>0</v>
      </c>
      <c r="O408" s="91">
        <f t="shared" si="2"/>
        <v>0</v>
      </c>
      <c r="P408" s="91">
        <f>IFERROR(__xludf.DUMMYFUNCTION("IFERROR(sum(filter('Генеральный баннер'!$O:$O, 'Генеральный баннер'!$B:$B=$A408,'Генеральный баннер'!$C:$C=$B408,'Генеральный баннер'!$I:$I=$C408)), 0) "),0.0)</f>
        <v>0</v>
      </c>
      <c r="Q408" s="91">
        <f>IFERROR(__xludf.DUMMYFUNCTION("IFERROR(sum(filter('Генеральный баннер'!$Q:$Q, 'Генеральный баннер'!$B:$B=$A408,'Генеральный баннер'!$C:$C=$B408,'Генеральный баннер'!$I:$I=$C408)), 0) "),0.0)</f>
        <v>0</v>
      </c>
      <c r="R408" s="91">
        <f>IFERROR(__xludf.DUMMYFUNCTION("IFERROR(AVERAGE(filter('Генеральный баннер'!$AA:$AA, 'Генеральный баннер'!$B:$B=$A408,'Генеральный баннер'!$C:$C=$B408,'Генеральный баннер'!$I:$I=$C408)), 0) "),0.0)</f>
        <v>0</v>
      </c>
      <c r="S408" s="91">
        <f>IFERROR(__xludf.DUMMYFUNCTION("IFERROR(SUM(filter('Генеральный баннер'!$AH:$AH, 'Генеральный баннер'!$B:$B=$A408,'Генеральный баннер'!$C:$C=$B408,'Генеральный баннер'!$I:$I=$C408)), 0) "),0.0)</f>
        <v>0</v>
      </c>
      <c r="T408" s="91" t="str">
        <f>IFERROR(__xludf.DUMMYFUNCTION("IFERROR(REGEXREPLACE(unique(filter('Генеральный баннер'!$A:$A, 'Генеральный баннер'!$B:$B=$A408,'Генеральный баннер'!$C:$C=$B408,'Генеральный баннер'!$I:$I=$C408)), ""\d+"", """"),"""")"),"")</f>
        <v/>
      </c>
      <c r="U408" s="91" t="str">
        <f>IFERROR(__xludf.DUMMYFUNCTION("IFERROR(unique(filter('Генеральный баннер'!$F:$F, 'Генеральный баннер'!$B:$B=$A408,'Генеральный баннер'!$C:$C=$B408,'Генеральный баннер'!$I:$I=$C408)),"""")"),"")</f>
        <v/>
      </c>
      <c r="V408" s="92" t="str">
        <f t="shared" si="3"/>
        <v/>
      </c>
      <c r="W408" s="93">
        <f>IFERROR(__xludf.DUMMYFUNCTION("IFERROR(SWITCH(lower(join("" "",U408:V408)),""а миллионник"", 62.5,""б миллионник"", 75,""а мск"", 50, ""б мск"", 62.5, ""a остальное"", 70, ""б остальное"", 80)/100,0)"),0.0)</f>
        <v>0</v>
      </c>
      <c r="X408" s="91">
        <f t="shared" si="4"/>
        <v>0</v>
      </c>
    </row>
    <row r="409">
      <c r="A409" s="12"/>
      <c r="B409" s="12"/>
      <c r="C409" s="12"/>
      <c r="D409" s="91">
        <f>IFERROR(__xludf.DUMMYFUNCTION("IFERROR(sum(filter('Основной эфир'!$AA:$AA, 'Основной эфир'!$B:$B=$A409,'Основной эфир'!$C:$C=$B409,'Основной эфир'!$I:$I=$C409)), 0) "),0.0)</f>
        <v>0</v>
      </c>
      <c r="E409" s="91">
        <f>IFERROR(__xludf.DUMMYFUNCTION("IFERROR(sum(filter('Основной эфир'!$AC:$AC, 'Основной эфир'!$B:$B=$A409,'Основной эфир'!$C:$C=$B409,'Основной эфир'!$I:$I=$C409)), 0) "),0.0)</f>
        <v>0</v>
      </c>
      <c r="F409" s="91">
        <f>IFERROR(__xludf.DUMMYFUNCTION("IFERROR(sum(filter('Основной эфир'!$O:$O, 'Основной эфир'!$B:$B=$A409,'Основной эфир'!$C:$C=$B409,'Основной эфир'!$I:$I=$C409)), 0) "),0.0)</f>
        <v>0</v>
      </c>
      <c r="G409" s="91">
        <f>IFERROR(__xludf.DUMMYFUNCTION("IFERROR(sum(filter('Основной эфир'!$Q:$Q, 'Основной эфир'!$B:$B=$A409,'Основной эфир'!$C:$C=$B409,'Основной эфир'!$I:$I=$C409)), 0) "),0.0)</f>
        <v>0</v>
      </c>
      <c r="H409" s="91">
        <f>IFERROR(__xludf.DUMMYFUNCTION("IFERROR(AVERAGE(filter('Основной эфир'!$Y:$Y, 'Основной эфир'!$B:$B=$A409,'Основной эфир'!$C:$C=$B409,'Основной эфир'!$I:$I=$C409)), 0) "),0.0)</f>
        <v>0</v>
      </c>
      <c r="I409" s="91">
        <f>IFERROR(__xludf.DUMMYFUNCTION("IFERROR(AVERAGE(filter('Основной эфир'!$AE:$AE, 'Основной эфир'!$B:$B=$A409,'Основной эфир'!$C:$C=$B409,'Основной эфир'!$I:$I=$C409)), 0) "),0.0)</f>
        <v>0</v>
      </c>
      <c r="J409" s="91">
        <f>IFERROR(__xludf.DUMMYFUNCTION("IFERROR(SUM(filter('Основной эфир'!$AL:$AL, 'Основной эфир'!$B:$B=$A409,'Основной эфир'!$C:$C=$B409,'Основной эфир'!$I:$I=$C409)), 0) "),0.0)</f>
        <v>0</v>
      </c>
      <c r="K409" s="91" t="str">
        <f>IFERROR(__xludf.DUMMYFUNCTION("IFERROR(REGEXREPLACE(unique(filter('Основной эфир'!$A:$A, 'Основной эфир'!$B:$B=$A409,'Основной эфир'!$C:$C=$B409,'Основной эфир'!$I:$I=$C409)), ""\d+"", """"),"""")"),"")</f>
        <v/>
      </c>
      <c r="L409" s="91" t="str">
        <f>IFERROR(__xludf.DUMMYFUNCTION("IFERROR(unique(filter('Основной эфир'!$F:$F, 'Основной эфир'!$B:$B=$A409,'Основной эфир'!$C:$C=$B409,'Основной эфир'!$I:$I=$C409)),"""")"),"")</f>
        <v/>
      </c>
      <c r="M409" s="92" t="str">
        <f t="shared" si="1"/>
        <v/>
      </c>
      <c r="N409" s="93">
        <f>IFERROR(__xludf.DUMMYFUNCTION("IFERROR(SWITCH(lower(join("" "",L409:M409)),""а миллионник"", 62.5,""б миллионник"", 75,""а мск"", 50, ""б мск"", 62.5, ""a остальное"", 70, ""б остальное"", 80)/100,0)"),0.0)</f>
        <v>0</v>
      </c>
      <c r="O409" s="91">
        <f t="shared" si="2"/>
        <v>0</v>
      </c>
      <c r="P409" s="91">
        <f>IFERROR(__xludf.DUMMYFUNCTION("IFERROR(sum(filter('Генеральный баннер'!$O:$O, 'Генеральный баннер'!$B:$B=$A409,'Генеральный баннер'!$C:$C=$B409,'Генеральный баннер'!$I:$I=$C409)), 0) "),0.0)</f>
        <v>0</v>
      </c>
      <c r="Q409" s="91">
        <f>IFERROR(__xludf.DUMMYFUNCTION("IFERROR(sum(filter('Генеральный баннер'!$Q:$Q, 'Генеральный баннер'!$B:$B=$A409,'Генеральный баннер'!$C:$C=$B409,'Генеральный баннер'!$I:$I=$C409)), 0) "),0.0)</f>
        <v>0</v>
      </c>
      <c r="R409" s="91">
        <f>IFERROR(__xludf.DUMMYFUNCTION("IFERROR(AVERAGE(filter('Генеральный баннер'!$AA:$AA, 'Генеральный баннер'!$B:$B=$A409,'Генеральный баннер'!$C:$C=$B409,'Генеральный баннер'!$I:$I=$C409)), 0) "),0.0)</f>
        <v>0</v>
      </c>
      <c r="S409" s="91">
        <f>IFERROR(__xludf.DUMMYFUNCTION("IFERROR(SUM(filter('Генеральный баннер'!$AH:$AH, 'Генеральный баннер'!$B:$B=$A409,'Генеральный баннер'!$C:$C=$B409,'Генеральный баннер'!$I:$I=$C409)), 0) "),0.0)</f>
        <v>0</v>
      </c>
      <c r="T409" s="91" t="str">
        <f>IFERROR(__xludf.DUMMYFUNCTION("IFERROR(REGEXREPLACE(unique(filter('Генеральный баннер'!$A:$A, 'Генеральный баннер'!$B:$B=$A409,'Генеральный баннер'!$C:$C=$B409,'Генеральный баннер'!$I:$I=$C409)), ""\d+"", """"),"""")"),"")</f>
        <v/>
      </c>
      <c r="U409" s="91" t="str">
        <f>IFERROR(__xludf.DUMMYFUNCTION("IFERROR(unique(filter('Генеральный баннер'!$F:$F, 'Генеральный баннер'!$B:$B=$A409,'Генеральный баннер'!$C:$C=$B409,'Генеральный баннер'!$I:$I=$C409)),"""")"),"")</f>
        <v/>
      </c>
      <c r="V409" s="92" t="str">
        <f t="shared" si="3"/>
        <v/>
      </c>
      <c r="W409" s="93">
        <f>IFERROR(__xludf.DUMMYFUNCTION("IFERROR(SWITCH(lower(join("" "",U409:V409)),""а миллионник"", 62.5,""б миллионник"", 75,""а мск"", 50, ""б мск"", 62.5, ""a остальное"", 70, ""б остальное"", 80)/100,0)"),0.0)</f>
        <v>0</v>
      </c>
      <c r="X409" s="91">
        <f t="shared" si="4"/>
        <v>0</v>
      </c>
    </row>
    <row r="410">
      <c r="A410" s="12"/>
      <c r="B410" s="12"/>
      <c r="C410" s="12"/>
      <c r="D410" s="91">
        <f>IFERROR(__xludf.DUMMYFUNCTION("IFERROR(sum(filter('Основной эфир'!$AA:$AA, 'Основной эфир'!$B:$B=$A410,'Основной эфир'!$C:$C=$B410,'Основной эфир'!$I:$I=$C410)), 0) "),0.0)</f>
        <v>0</v>
      </c>
      <c r="E410" s="91">
        <f>IFERROR(__xludf.DUMMYFUNCTION("IFERROR(sum(filter('Основной эфир'!$AC:$AC, 'Основной эфир'!$B:$B=$A410,'Основной эфир'!$C:$C=$B410,'Основной эфир'!$I:$I=$C410)), 0) "),0.0)</f>
        <v>0</v>
      </c>
      <c r="F410" s="91">
        <f>IFERROR(__xludf.DUMMYFUNCTION("IFERROR(sum(filter('Основной эфир'!$O:$O, 'Основной эфир'!$B:$B=$A410,'Основной эфир'!$C:$C=$B410,'Основной эфир'!$I:$I=$C410)), 0) "),0.0)</f>
        <v>0</v>
      </c>
      <c r="G410" s="91">
        <f>IFERROR(__xludf.DUMMYFUNCTION("IFERROR(sum(filter('Основной эфир'!$Q:$Q, 'Основной эфир'!$B:$B=$A410,'Основной эфир'!$C:$C=$B410,'Основной эфир'!$I:$I=$C410)), 0) "),0.0)</f>
        <v>0</v>
      </c>
      <c r="H410" s="91">
        <f>IFERROR(__xludf.DUMMYFUNCTION("IFERROR(AVERAGE(filter('Основной эфир'!$Y:$Y, 'Основной эфир'!$B:$B=$A410,'Основной эфир'!$C:$C=$B410,'Основной эфир'!$I:$I=$C410)), 0) "),0.0)</f>
        <v>0</v>
      </c>
      <c r="I410" s="91">
        <f>IFERROR(__xludf.DUMMYFUNCTION("IFERROR(AVERAGE(filter('Основной эфир'!$AE:$AE, 'Основной эфир'!$B:$B=$A410,'Основной эфир'!$C:$C=$B410,'Основной эфир'!$I:$I=$C410)), 0) "),0.0)</f>
        <v>0</v>
      </c>
      <c r="J410" s="91">
        <f>IFERROR(__xludf.DUMMYFUNCTION("IFERROR(SUM(filter('Основной эфир'!$AL:$AL, 'Основной эфир'!$B:$B=$A410,'Основной эфир'!$C:$C=$B410,'Основной эфир'!$I:$I=$C410)), 0) "),0.0)</f>
        <v>0</v>
      </c>
      <c r="K410" s="91" t="str">
        <f>IFERROR(__xludf.DUMMYFUNCTION("IFERROR(REGEXREPLACE(unique(filter('Основной эфир'!$A:$A, 'Основной эфир'!$B:$B=$A410,'Основной эфир'!$C:$C=$B410,'Основной эфир'!$I:$I=$C410)), ""\d+"", """"),"""")"),"")</f>
        <v/>
      </c>
      <c r="L410" s="91" t="str">
        <f>IFERROR(__xludf.DUMMYFUNCTION("IFERROR(unique(filter('Основной эфир'!$F:$F, 'Основной эфир'!$B:$B=$A410,'Основной эфир'!$C:$C=$B410,'Основной эфир'!$I:$I=$C410)),"""")"),"")</f>
        <v/>
      </c>
      <c r="M410" s="92" t="str">
        <f t="shared" si="1"/>
        <v/>
      </c>
      <c r="N410" s="93">
        <f>IFERROR(__xludf.DUMMYFUNCTION("IFERROR(SWITCH(lower(join("" "",L410:M410)),""а миллионник"", 62.5,""б миллионник"", 75,""а мск"", 50, ""б мск"", 62.5, ""a остальное"", 70, ""б остальное"", 80)/100,0)"),0.0)</f>
        <v>0</v>
      </c>
      <c r="O410" s="91">
        <f t="shared" si="2"/>
        <v>0</v>
      </c>
      <c r="P410" s="91">
        <f>IFERROR(__xludf.DUMMYFUNCTION("IFERROR(sum(filter('Генеральный баннер'!$O:$O, 'Генеральный баннер'!$B:$B=$A410,'Генеральный баннер'!$C:$C=$B410,'Генеральный баннер'!$I:$I=$C410)), 0) "),0.0)</f>
        <v>0</v>
      </c>
      <c r="Q410" s="91">
        <f>IFERROR(__xludf.DUMMYFUNCTION("IFERROR(sum(filter('Генеральный баннер'!$Q:$Q, 'Генеральный баннер'!$B:$B=$A410,'Генеральный баннер'!$C:$C=$B410,'Генеральный баннер'!$I:$I=$C410)), 0) "),0.0)</f>
        <v>0</v>
      </c>
      <c r="R410" s="91">
        <f>IFERROR(__xludf.DUMMYFUNCTION("IFERROR(AVERAGE(filter('Генеральный баннер'!$AA:$AA, 'Генеральный баннер'!$B:$B=$A410,'Генеральный баннер'!$C:$C=$B410,'Генеральный баннер'!$I:$I=$C410)), 0) "),0.0)</f>
        <v>0</v>
      </c>
      <c r="S410" s="91">
        <f>IFERROR(__xludf.DUMMYFUNCTION("IFERROR(SUM(filter('Генеральный баннер'!$AH:$AH, 'Генеральный баннер'!$B:$B=$A410,'Генеральный баннер'!$C:$C=$B410,'Генеральный баннер'!$I:$I=$C410)), 0) "),0.0)</f>
        <v>0</v>
      </c>
      <c r="T410" s="91" t="str">
        <f>IFERROR(__xludf.DUMMYFUNCTION("IFERROR(REGEXREPLACE(unique(filter('Генеральный баннер'!$A:$A, 'Генеральный баннер'!$B:$B=$A410,'Генеральный баннер'!$C:$C=$B410,'Генеральный баннер'!$I:$I=$C410)), ""\d+"", """"),"""")"),"")</f>
        <v/>
      </c>
      <c r="U410" s="91" t="str">
        <f>IFERROR(__xludf.DUMMYFUNCTION("IFERROR(unique(filter('Генеральный баннер'!$F:$F, 'Генеральный баннер'!$B:$B=$A410,'Генеральный баннер'!$C:$C=$B410,'Генеральный баннер'!$I:$I=$C410)),"""")"),"")</f>
        <v/>
      </c>
      <c r="V410" s="92" t="str">
        <f t="shared" si="3"/>
        <v/>
      </c>
      <c r="W410" s="93">
        <f>IFERROR(__xludf.DUMMYFUNCTION("IFERROR(SWITCH(lower(join("" "",U410:V410)),""а миллионник"", 62.5,""б миллионник"", 75,""а мск"", 50, ""б мск"", 62.5, ""a остальное"", 70, ""б остальное"", 80)/100,0)"),0.0)</f>
        <v>0</v>
      </c>
      <c r="X410" s="91">
        <f t="shared" si="4"/>
        <v>0</v>
      </c>
    </row>
    <row r="411">
      <c r="A411" s="12"/>
      <c r="B411" s="12"/>
      <c r="C411" s="12"/>
      <c r="D411" s="91">
        <f>IFERROR(__xludf.DUMMYFUNCTION("IFERROR(sum(filter('Основной эфир'!$AA:$AA, 'Основной эфир'!$B:$B=$A411,'Основной эфир'!$C:$C=$B411,'Основной эфир'!$I:$I=$C411)), 0) "),0.0)</f>
        <v>0</v>
      </c>
      <c r="E411" s="91">
        <f>IFERROR(__xludf.DUMMYFUNCTION("IFERROR(sum(filter('Основной эфир'!$AC:$AC, 'Основной эфир'!$B:$B=$A411,'Основной эфир'!$C:$C=$B411,'Основной эфир'!$I:$I=$C411)), 0) "),0.0)</f>
        <v>0</v>
      </c>
      <c r="F411" s="91">
        <f>IFERROR(__xludf.DUMMYFUNCTION("IFERROR(sum(filter('Основной эфир'!$O:$O, 'Основной эфир'!$B:$B=$A411,'Основной эфир'!$C:$C=$B411,'Основной эфир'!$I:$I=$C411)), 0) "),0.0)</f>
        <v>0</v>
      </c>
      <c r="G411" s="91">
        <f>IFERROR(__xludf.DUMMYFUNCTION("IFERROR(sum(filter('Основной эфир'!$Q:$Q, 'Основной эфир'!$B:$B=$A411,'Основной эфир'!$C:$C=$B411,'Основной эфир'!$I:$I=$C411)), 0) "),0.0)</f>
        <v>0</v>
      </c>
      <c r="H411" s="91">
        <f>IFERROR(__xludf.DUMMYFUNCTION("IFERROR(AVERAGE(filter('Основной эфир'!$Y:$Y, 'Основной эфир'!$B:$B=$A411,'Основной эфир'!$C:$C=$B411,'Основной эфир'!$I:$I=$C411)), 0) "),0.0)</f>
        <v>0</v>
      </c>
      <c r="I411" s="91">
        <f>IFERROR(__xludf.DUMMYFUNCTION("IFERROR(AVERAGE(filter('Основной эфир'!$AE:$AE, 'Основной эфир'!$B:$B=$A411,'Основной эфир'!$C:$C=$B411,'Основной эфир'!$I:$I=$C411)), 0) "),0.0)</f>
        <v>0</v>
      </c>
      <c r="J411" s="91">
        <f>IFERROR(__xludf.DUMMYFUNCTION("IFERROR(SUM(filter('Основной эфир'!$AL:$AL, 'Основной эфир'!$B:$B=$A411,'Основной эфир'!$C:$C=$B411,'Основной эфир'!$I:$I=$C411)), 0) "),0.0)</f>
        <v>0</v>
      </c>
      <c r="K411" s="91" t="str">
        <f>IFERROR(__xludf.DUMMYFUNCTION("IFERROR(REGEXREPLACE(unique(filter('Основной эфир'!$A:$A, 'Основной эфир'!$B:$B=$A411,'Основной эфир'!$C:$C=$B411,'Основной эфир'!$I:$I=$C411)), ""\d+"", """"),"""")"),"")</f>
        <v/>
      </c>
      <c r="L411" s="91" t="str">
        <f>IFERROR(__xludf.DUMMYFUNCTION("IFERROR(unique(filter('Основной эфир'!$F:$F, 'Основной эфир'!$B:$B=$A411,'Основной эфир'!$C:$C=$B411,'Основной эфир'!$I:$I=$C411)),"""")"),"")</f>
        <v/>
      </c>
      <c r="M411" s="92" t="str">
        <f t="shared" si="1"/>
        <v/>
      </c>
      <c r="N411" s="93">
        <f>IFERROR(__xludf.DUMMYFUNCTION("IFERROR(SWITCH(lower(join("" "",L411:M411)),""а миллионник"", 62.5,""б миллионник"", 75,""а мск"", 50, ""б мск"", 62.5, ""a остальное"", 70, ""б остальное"", 80)/100,0)"),0.0)</f>
        <v>0</v>
      </c>
      <c r="O411" s="91">
        <f t="shared" si="2"/>
        <v>0</v>
      </c>
      <c r="P411" s="91">
        <f>IFERROR(__xludf.DUMMYFUNCTION("IFERROR(sum(filter('Генеральный баннер'!$O:$O, 'Генеральный баннер'!$B:$B=$A411,'Генеральный баннер'!$C:$C=$B411,'Генеральный баннер'!$I:$I=$C411)), 0) "),0.0)</f>
        <v>0</v>
      </c>
      <c r="Q411" s="91">
        <f>IFERROR(__xludf.DUMMYFUNCTION("IFERROR(sum(filter('Генеральный баннер'!$Q:$Q, 'Генеральный баннер'!$B:$B=$A411,'Генеральный баннер'!$C:$C=$B411,'Генеральный баннер'!$I:$I=$C411)), 0) "),0.0)</f>
        <v>0</v>
      </c>
      <c r="R411" s="91">
        <f>IFERROR(__xludf.DUMMYFUNCTION("IFERROR(AVERAGE(filter('Генеральный баннер'!$AA:$AA, 'Генеральный баннер'!$B:$B=$A411,'Генеральный баннер'!$C:$C=$B411,'Генеральный баннер'!$I:$I=$C411)), 0) "),0.0)</f>
        <v>0</v>
      </c>
      <c r="S411" s="91">
        <f>IFERROR(__xludf.DUMMYFUNCTION("IFERROR(SUM(filter('Генеральный баннер'!$AH:$AH, 'Генеральный баннер'!$B:$B=$A411,'Генеральный баннер'!$C:$C=$B411,'Генеральный баннер'!$I:$I=$C411)), 0) "),0.0)</f>
        <v>0</v>
      </c>
      <c r="T411" s="91" t="str">
        <f>IFERROR(__xludf.DUMMYFUNCTION("IFERROR(REGEXREPLACE(unique(filter('Генеральный баннер'!$A:$A, 'Генеральный баннер'!$B:$B=$A411,'Генеральный баннер'!$C:$C=$B411,'Генеральный баннер'!$I:$I=$C411)), ""\d+"", """"),"""")"),"")</f>
        <v/>
      </c>
      <c r="U411" s="91" t="str">
        <f>IFERROR(__xludf.DUMMYFUNCTION("IFERROR(unique(filter('Генеральный баннер'!$F:$F, 'Генеральный баннер'!$B:$B=$A411,'Генеральный баннер'!$C:$C=$B411,'Генеральный баннер'!$I:$I=$C411)),"""")"),"")</f>
        <v/>
      </c>
      <c r="V411" s="92" t="str">
        <f t="shared" si="3"/>
        <v/>
      </c>
      <c r="W411" s="93">
        <f>IFERROR(__xludf.DUMMYFUNCTION("IFERROR(SWITCH(lower(join("" "",U411:V411)),""а миллионник"", 62.5,""б миллионник"", 75,""а мск"", 50, ""б мск"", 62.5, ""a остальное"", 70, ""б остальное"", 80)/100,0)"),0.0)</f>
        <v>0</v>
      </c>
      <c r="X411" s="91">
        <f t="shared" si="4"/>
        <v>0</v>
      </c>
    </row>
    <row r="412">
      <c r="A412" s="12"/>
      <c r="B412" s="12"/>
      <c r="C412" s="12"/>
      <c r="D412" s="91">
        <f>IFERROR(__xludf.DUMMYFUNCTION("IFERROR(sum(filter('Основной эфир'!$AA:$AA, 'Основной эфир'!$B:$B=$A412,'Основной эфир'!$C:$C=$B412,'Основной эфир'!$I:$I=$C412)), 0) "),0.0)</f>
        <v>0</v>
      </c>
      <c r="E412" s="91">
        <f>IFERROR(__xludf.DUMMYFUNCTION("IFERROR(sum(filter('Основной эфир'!$AC:$AC, 'Основной эфир'!$B:$B=$A412,'Основной эфир'!$C:$C=$B412,'Основной эфир'!$I:$I=$C412)), 0) "),0.0)</f>
        <v>0</v>
      </c>
      <c r="F412" s="91">
        <f>IFERROR(__xludf.DUMMYFUNCTION("IFERROR(sum(filter('Основной эфир'!$O:$O, 'Основной эфир'!$B:$B=$A412,'Основной эфир'!$C:$C=$B412,'Основной эфир'!$I:$I=$C412)), 0) "),0.0)</f>
        <v>0</v>
      </c>
      <c r="G412" s="91">
        <f>IFERROR(__xludf.DUMMYFUNCTION("IFERROR(sum(filter('Основной эфир'!$Q:$Q, 'Основной эфир'!$B:$B=$A412,'Основной эфир'!$C:$C=$B412,'Основной эфир'!$I:$I=$C412)), 0) "),0.0)</f>
        <v>0</v>
      </c>
      <c r="H412" s="91">
        <f>IFERROR(__xludf.DUMMYFUNCTION("IFERROR(AVERAGE(filter('Основной эфир'!$Y:$Y, 'Основной эфир'!$B:$B=$A412,'Основной эфир'!$C:$C=$B412,'Основной эфир'!$I:$I=$C412)), 0) "),0.0)</f>
        <v>0</v>
      </c>
      <c r="I412" s="91">
        <f>IFERROR(__xludf.DUMMYFUNCTION("IFERROR(AVERAGE(filter('Основной эфир'!$AE:$AE, 'Основной эфир'!$B:$B=$A412,'Основной эфир'!$C:$C=$B412,'Основной эфир'!$I:$I=$C412)), 0) "),0.0)</f>
        <v>0</v>
      </c>
      <c r="J412" s="91">
        <f>IFERROR(__xludf.DUMMYFUNCTION("IFERROR(SUM(filter('Основной эфир'!$AL:$AL, 'Основной эфир'!$B:$B=$A412,'Основной эфир'!$C:$C=$B412,'Основной эфир'!$I:$I=$C412)), 0) "),0.0)</f>
        <v>0</v>
      </c>
      <c r="K412" s="91" t="str">
        <f>IFERROR(__xludf.DUMMYFUNCTION("IFERROR(REGEXREPLACE(unique(filter('Основной эфир'!$A:$A, 'Основной эфир'!$B:$B=$A412,'Основной эфир'!$C:$C=$B412,'Основной эфир'!$I:$I=$C412)), ""\d+"", """"),"""")"),"")</f>
        <v/>
      </c>
      <c r="L412" s="91" t="str">
        <f>IFERROR(__xludf.DUMMYFUNCTION("IFERROR(unique(filter('Основной эфир'!$F:$F, 'Основной эфир'!$B:$B=$A412,'Основной эфир'!$C:$C=$B412,'Основной эфир'!$I:$I=$C412)),"""")"),"")</f>
        <v/>
      </c>
      <c r="M412" s="92" t="str">
        <f t="shared" si="1"/>
        <v/>
      </c>
      <c r="N412" s="93">
        <f>IFERROR(__xludf.DUMMYFUNCTION("IFERROR(SWITCH(lower(join("" "",L412:M412)),""а миллионник"", 62.5,""б миллионник"", 75,""а мск"", 50, ""б мск"", 62.5, ""a остальное"", 70, ""б остальное"", 80)/100,0)"),0.0)</f>
        <v>0</v>
      </c>
      <c r="O412" s="91">
        <f t="shared" si="2"/>
        <v>0</v>
      </c>
      <c r="P412" s="91">
        <f>IFERROR(__xludf.DUMMYFUNCTION("IFERROR(sum(filter('Генеральный баннер'!$O:$O, 'Генеральный баннер'!$B:$B=$A412,'Генеральный баннер'!$C:$C=$B412,'Генеральный баннер'!$I:$I=$C412)), 0) "),0.0)</f>
        <v>0</v>
      </c>
      <c r="Q412" s="91">
        <f>IFERROR(__xludf.DUMMYFUNCTION("IFERROR(sum(filter('Генеральный баннер'!$Q:$Q, 'Генеральный баннер'!$B:$B=$A412,'Генеральный баннер'!$C:$C=$B412,'Генеральный баннер'!$I:$I=$C412)), 0) "),0.0)</f>
        <v>0</v>
      </c>
      <c r="R412" s="91">
        <f>IFERROR(__xludf.DUMMYFUNCTION("IFERROR(AVERAGE(filter('Генеральный баннер'!$AA:$AA, 'Генеральный баннер'!$B:$B=$A412,'Генеральный баннер'!$C:$C=$B412,'Генеральный баннер'!$I:$I=$C412)), 0) "),0.0)</f>
        <v>0</v>
      </c>
      <c r="S412" s="91">
        <f>IFERROR(__xludf.DUMMYFUNCTION("IFERROR(SUM(filter('Генеральный баннер'!$AH:$AH, 'Генеральный баннер'!$B:$B=$A412,'Генеральный баннер'!$C:$C=$B412,'Генеральный баннер'!$I:$I=$C412)), 0) "),0.0)</f>
        <v>0</v>
      </c>
      <c r="T412" s="91" t="str">
        <f>IFERROR(__xludf.DUMMYFUNCTION("IFERROR(REGEXREPLACE(unique(filter('Генеральный баннер'!$A:$A, 'Генеральный баннер'!$B:$B=$A412,'Генеральный баннер'!$C:$C=$B412,'Генеральный баннер'!$I:$I=$C412)), ""\d+"", """"),"""")"),"")</f>
        <v/>
      </c>
      <c r="U412" s="91" t="str">
        <f>IFERROR(__xludf.DUMMYFUNCTION("IFERROR(unique(filter('Генеральный баннер'!$F:$F, 'Генеральный баннер'!$B:$B=$A412,'Генеральный баннер'!$C:$C=$B412,'Генеральный баннер'!$I:$I=$C412)),"""")"),"")</f>
        <v/>
      </c>
      <c r="V412" s="92" t="str">
        <f t="shared" si="3"/>
        <v/>
      </c>
      <c r="W412" s="93">
        <f>IFERROR(__xludf.DUMMYFUNCTION("IFERROR(SWITCH(lower(join("" "",U412:V412)),""а миллионник"", 62.5,""б миллионник"", 75,""а мск"", 50, ""б мск"", 62.5, ""a остальное"", 70, ""б остальное"", 80)/100,0)"),0.0)</f>
        <v>0</v>
      </c>
      <c r="X412" s="91">
        <f t="shared" si="4"/>
        <v>0</v>
      </c>
    </row>
    <row r="413">
      <c r="A413" s="12"/>
      <c r="B413" s="12"/>
      <c r="C413" s="12"/>
      <c r="D413" s="91">
        <f>IFERROR(__xludf.DUMMYFUNCTION("IFERROR(sum(filter('Основной эфир'!$AA:$AA, 'Основной эфир'!$B:$B=$A413,'Основной эфир'!$C:$C=$B413,'Основной эфир'!$I:$I=$C413)), 0) "),0.0)</f>
        <v>0</v>
      </c>
      <c r="E413" s="91">
        <f>IFERROR(__xludf.DUMMYFUNCTION("IFERROR(sum(filter('Основной эфир'!$AC:$AC, 'Основной эфир'!$B:$B=$A413,'Основной эфир'!$C:$C=$B413,'Основной эфир'!$I:$I=$C413)), 0) "),0.0)</f>
        <v>0</v>
      </c>
      <c r="F413" s="91">
        <f>IFERROR(__xludf.DUMMYFUNCTION("IFERROR(sum(filter('Основной эфир'!$O:$O, 'Основной эфир'!$B:$B=$A413,'Основной эфир'!$C:$C=$B413,'Основной эфир'!$I:$I=$C413)), 0) "),0.0)</f>
        <v>0</v>
      </c>
      <c r="G413" s="91">
        <f>IFERROR(__xludf.DUMMYFUNCTION("IFERROR(sum(filter('Основной эфир'!$Q:$Q, 'Основной эфир'!$B:$B=$A413,'Основной эфир'!$C:$C=$B413,'Основной эфир'!$I:$I=$C413)), 0) "),0.0)</f>
        <v>0</v>
      </c>
      <c r="H413" s="91">
        <f>IFERROR(__xludf.DUMMYFUNCTION("IFERROR(AVERAGE(filter('Основной эфир'!$Y:$Y, 'Основной эфир'!$B:$B=$A413,'Основной эфир'!$C:$C=$B413,'Основной эфир'!$I:$I=$C413)), 0) "),0.0)</f>
        <v>0</v>
      </c>
      <c r="I413" s="91">
        <f>IFERROR(__xludf.DUMMYFUNCTION("IFERROR(AVERAGE(filter('Основной эфир'!$AE:$AE, 'Основной эфир'!$B:$B=$A413,'Основной эфир'!$C:$C=$B413,'Основной эфир'!$I:$I=$C413)), 0) "),0.0)</f>
        <v>0</v>
      </c>
      <c r="J413" s="91">
        <f>IFERROR(__xludf.DUMMYFUNCTION("IFERROR(SUM(filter('Основной эфир'!$AL:$AL, 'Основной эфир'!$B:$B=$A413,'Основной эфир'!$C:$C=$B413,'Основной эфир'!$I:$I=$C413)), 0) "),0.0)</f>
        <v>0</v>
      </c>
      <c r="K413" s="91" t="str">
        <f>IFERROR(__xludf.DUMMYFUNCTION("IFERROR(REGEXREPLACE(unique(filter('Основной эфир'!$A:$A, 'Основной эфир'!$B:$B=$A413,'Основной эфир'!$C:$C=$B413,'Основной эфир'!$I:$I=$C413)), ""\d+"", """"),"""")"),"")</f>
        <v/>
      </c>
      <c r="L413" s="91" t="str">
        <f>IFERROR(__xludf.DUMMYFUNCTION("IFERROR(unique(filter('Основной эфир'!$F:$F, 'Основной эфир'!$B:$B=$A413,'Основной эфир'!$C:$C=$B413,'Основной эфир'!$I:$I=$C413)),"""")"),"")</f>
        <v/>
      </c>
      <c r="M413" s="92" t="str">
        <f t="shared" si="1"/>
        <v/>
      </c>
      <c r="N413" s="93">
        <f>IFERROR(__xludf.DUMMYFUNCTION("IFERROR(SWITCH(lower(join("" "",L413:M413)),""а миллионник"", 62.5,""б миллионник"", 75,""а мск"", 50, ""б мск"", 62.5, ""a остальное"", 70, ""б остальное"", 80)/100,0)"),0.0)</f>
        <v>0</v>
      </c>
      <c r="O413" s="91">
        <f t="shared" si="2"/>
        <v>0</v>
      </c>
      <c r="P413" s="91">
        <f>IFERROR(__xludf.DUMMYFUNCTION("IFERROR(sum(filter('Генеральный баннер'!$O:$O, 'Генеральный баннер'!$B:$B=$A413,'Генеральный баннер'!$C:$C=$B413,'Генеральный баннер'!$I:$I=$C413)), 0) "),0.0)</f>
        <v>0</v>
      </c>
      <c r="Q413" s="91">
        <f>IFERROR(__xludf.DUMMYFUNCTION("IFERROR(sum(filter('Генеральный баннер'!$Q:$Q, 'Генеральный баннер'!$B:$B=$A413,'Генеральный баннер'!$C:$C=$B413,'Генеральный баннер'!$I:$I=$C413)), 0) "),0.0)</f>
        <v>0</v>
      </c>
      <c r="R413" s="91">
        <f>IFERROR(__xludf.DUMMYFUNCTION("IFERROR(AVERAGE(filter('Генеральный баннер'!$AA:$AA, 'Генеральный баннер'!$B:$B=$A413,'Генеральный баннер'!$C:$C=$B413,'Генеральный баннер'!$I:$I=$C413)), 0) "),0.0)</f>
        <v>0</v>
      </c>
      <c r="S413" s="91">
        <f>IFERROR(__xludf.DUMMYFUNCTION("IFERROR(SUM(filter('Генеральный баннер'!$AH:$AH, 'Генеральный баннер'!$B:$B=$A413,'Генеральный баннер'!$C:$C=$B413,'Генеральный баннер'!$I:$I=$C413)), 0) "),0.0)</f>
        <v>0</v>
      </c>
      <c r="T413" s="91" t="str">
        <f>IFERROR(__xludf.DUMMYFUNCTION("IFERROR(REGEXREPLACE(unique(filter('Генеральный баннер'!$A:$A, 'Генеральный баннер'!$B:$B=$A413,'Генеральный баннер'!$C:$C=$B413,'Генеральный баннер'!$I:$I=$C413)), ""\d+"", """"),"""")"),"")</f>
        <v/>
      </c>
      <c r="U413" s="91" t="str">
        <f>IFERROR(__xludf.DUMMYFUNCTION("IFERROR(unique(filter('Генеральный баннер'!$F:$F, 'Генеральный баннер'!$B:$B=$A413,'Генеральный баннер'!$C:$C=$B413,'Генеральный баннер'!$I:$I=$C413)),"""")"),"")</f>
        <v/>
      </c>
      <c r="V413" s="92" t="str">
        <f t="shared" si="3"/>
        <v/>
      </c>
      <c r="W413" s="93">
        <f>IFERROR(__xludf.DUMMYFUNCTION("IFERROR(SWITCH(lower(join("" "",U413:V413)),""а миллионник"", 62.5,""б миллионник"", 75,""а мск"", 50, ""б мск"", 62.5, ""a остальное"", 70, ""б остальное"", 80)/100,0)"),0.0)</f>
        <v>0</v>
      </c>
      <c r="X413" s="91">
        <f t="shared" si="4"/>
        <v>0</v>
      </c>
    </row>
    <row r="414">
      <c r="A414" s="12"/>
      <c r="B414" s="12"/>
      <c r="C414" s="12"/>
      <c r="D414" s="91">
        <f>IFERROR(__xludf.DUMMYFUNCTION("IFERROR(sum(filter('Основной эфир'!$AA:$AA, 'Основной эфир'!$B:$B=$A414,'Основной эфир'!$C:$C=$B414,'Основной эфир'!$I:$I=$C414)), 0) "),0.0)</f>
        <v>0</v>
      </c>
      <c r="E414" s="91">
        <f>IFERROR(__xludf.DUMMYFUNCTION("IFERROR(sum(filter('Основной эфир'!$AC:$AC, 'Основной эфир'!$B:$B=$A414,'Основной эфир'!$C:$C=$B414,'Основной эфир'!$I:$I=$C414)), 0) "),0.0)</f>
        <v>0</v>
      </c>
      <c r="F414" s="91">
        <f>IFERROR(__xludf.DUMMYFUNCTION("IFERROR(sum(filter('Основной эфир'!$O:$O, 'Основной эфир'!$B:$B=$A414,'Основной эфир'!$C:$C=$B414,'Основной эфир'!$I:$I=$C414)), 0) "),0.0)</f>
        <v>0</v>
      </c>
      <c r="G414" s="91">
        <f>IFERROR(__xludf.DUMMYFUNCTION("IFERROR(sum(filter('Основной эфир'!$Q:$Q, 'Основной эфир'!$B:$B=$A414,'Основной эфир'!$C:$C=$B414,'Основной эфир'!$I:$I=$C414)), 0) "),0.0)</f>
        <v>0</v>
      </c>
      <c r="H414" s="91">
        <f>IFERROR(__xludf.DUMMYFUNCTION("IFERROR(AVERAGE(filter('Основной эфир'!$Y:$Y, 'Основной эфир'!$B:$B=$A414,'Основной эфир'!$C:$C=$B414,'Основной эфир'!$I:$I=$C414)), 0) "),0.0)</f>
        <v>0</v>
      </c>
      <c r="I414" s="91">
        <f>IFERROR(__xludf.DUMMYFUNCTION("IFERROR(AVERAGE(filter('Основной эфир'!$AE:$AE, 'Основной эфир'!$B:$B=$A414,'Основной эфир'!$C:$C=$B414,'Основной эфир'!$I:$I=$C414)), 0) "),0.0)</f>
        <v>0</v>
      </c>
      <c r="J414" s="91">
        <f>IFERROR(__xludf.DUMMYFUNCTION("IFERROR(SUM(filter('Основной эфир'!$AL:$AL, 'Основной эфир'!$B:$B=$A414,'Основной эфир'!$C:$C=$B414,'Основной эфир'!$I:$I=$C414)), 0) "),0.0)</f>
        <v>0</v>
      </c>
      <c r="K414" s="91" t="str">
        <f>IFERROR(__xludf.DUMMYFUNCTION("IFERROR(REGEXREPLACE(unique(filter('Основной эфир'!$A:$A, 'Основной эфир'!$B:$B=$A414,'Основной эфир'!$C:$C=$B414,'Основной эфир'!$I:$I=$C414)), ""\d+"", """"),"""")"),"")</f>
        <v/>
      </c>
      <c r="L414" s="91" t="str">
        <f>IFERROR(__xludf.DUMMYFUNCTION("IFERROR(unique(filter('Основной эфир'!$F:$F, 'Основной эфир'!$B:$B=$A414,'Основной эфир'!$C:$C=$B414,'Основной эфир'!$I:$I=$C414)),"""")"),"")</f>
        <v/>
      </c>
      <c r="M414" s="92" t="str">
        <f t="shared" si="1"/>
        <v/>
      </c>
      <c r="N414" s="93">
        <f>IFERROR(__xludf.DUMMYFUNCTION("IFERROR(SWITCH(lower(join("" "",L414:M414)),""а миллионник"", 62.5,""б миллионник"", 75,""а мск"", 50, ""б мск"", 62.5, ""a остальное"", 70, ""б остальное"", 80)/100,0)"),0.0)</f>
        <v>0</v>
      </c>
      <c r="O414" s="91">
        <f t="shared" si="2"/>
        <v>0</v>
      </c>
      <c r="P414" s="91">
        <f>IFERROR(__xludf.DUMMYFUNCTION("IFERROR(sum(filter('Генеральный баннер'!$O:$O, 'Генеральный баннер'!$B:$B=$A414,'Генеральный баннер'!$C:$C=$B414,'Генеральный баннер'!$I:$I=$C414)), 0) "),0.0)</f>
        <v>0</v>
      </c>
      <c r="Q414" s="91">
        <f>IFERROR(__xludf.DUMMYFUNCTION("IFERROR(sum(filter('Генеральный баннер'!$Q:$Q, 'Генеральный баннер'!$B:$B=$A414,'Генеральный баннер'!$C:$C=$B414,'Генеральный баннер'!$I:$I=$C414)), 0) "),0.0)</f>
        <v>0</v>
      </c>
      <c r="R414" s="91">
        <f>IFERROR(__xludf.DUMMYFUNCTION("IFERROR(AVERAGE(filter('Генеральный баннер'!$AA:$AA, 'Генеральный баннер'!$B:$B=$A414,'Генеральный баннер'!$C:$C=$B414,'Генеральный баннер'!$I:$I=$C414)), 0) "),0.0)</f>
        <v>0</v>
      </c>
      <c r="S414" s="91">
        <f>IFERROR(__xludf.DUMMYFUNCTION("IFERROR(SUM(filter('Генеральный баннер'!$AH:$AH, 'Генеральный баннер'!$B:$B=$A414,'Генеральный баннер'!$C:$C=$B414,'Генеральный баннер'!$I:$I=$C414)), 0) "),0.0)</f>
        <v>0</v>
      </c>
      <c r="T414" s="91" t="str">
        <f>IFERROR(__xludf.DUMMYFUNCTION("IFERROR(REGEXREPLACE(unique(filter('Генеральный баннер'!$A:$A, 'Генеральный баннер'!$B:$B=$A414,'Генеральный баннер'!$C:$C=$B414,'Генеральный баннер'!$I:$I=$C414)), ""\d+"", """"),"""")"),"")</f>
        <v/>
      </c>
      <c r="U414" s="91" t="str">
        <f>IFERROR(__xludf.DUMMYFUNCTION("IFERROR(unique(filter('Генеральный баннер'!$F:$F, 'Генеральный баннер'!$B:$B=$A414,'Генеральный баннер'!$C:$C=$B414,'Генеральный баннер'!$I:$I=$C414)),"""")"),"")</f>
        <v/>
      </c>
      <c r="V414" s="92" t="str">
        <f t="shared" si="3"/>
        <v/>
      </c>
      <c r="W414" s="93">
        <f>IFERROR(__xludf.DUMMYFUNCTION("IFERROR(SWITCH(lower(join("" "",U414:V414)),""а миллионник"", 62.5,""б миллионник"", 75,""а мск"", 50, ""б мск"", 62.5, ""a остальное"", 70, ""б остальное"", 80)/100,0)"),0.0)</f>
        <v>0</v>
      </c>
      <c r="X414" s="91">
        <f t="shared" si="4"/>
        <v>0</v>
      </c>
    </row>
    <row r="415">
      <c r="A415" s="12"/>
      <c r="B415" s="12"/>
      <c r="C415" s="12"/>
      <c r="D415" s="91">
        <f>IFERROR(__xludf.DUMMYFUNCTION("IFERROR(sum(filter('Основной эфир'!$AA:$AA, 'Основной эфир'!$B:$B=$A415,'Основной эфир'!$C:$C=$B415,'Основной эфир'!$I:$I=$C415)), 0) "),0.0)</f>
        <v>0</v>
      </c>
      <c r="E415" s="91">
        <f>IFERROR(__xludf.DUMMYFUNCTION("IFERROR(sum(filter('Основной эфир'!$AC:$AC, 'Основной эфир'!$B:$B=$A415,'Основной эфир'!$C:$C=$B415,'Основной эфир'!$I:$I=$C415)), 0) "),0.0)</f>
        <v>0</v>
      </c>
      <c r="F415" s="91">
        <f>IFERROR(__xludf.DUMMYFUNCTION("IFERROR(sum(filter('Основной эфир'!$O:$O, 'Основной эфир'!$B:$B=$A415,'Основной эфир'!$C:$C=$B415,'Основной эфир'!$I:$I=$C415)), 0) "),0.0)</f>
        <v>0</v>
      </c>
      <c r="G415" s="91">
        <f>IFERROR(__xludf.DUMMYFUNCTION("IFERROR(sum(filter('Основной эфир'!$Q:$Q, 'Основной эфир'!$B:$B=$A415,'Основной эфир'!$C:$C=$B415,'Основной эфир'!$I:$I=$C415)), 0) "),0.0)</f>
        <v>0</v>
      </c>
      <c r="H415" s="91">
        <f>IFERROR(__xludf.DUMMYFUNCTION("IFERROR(AVERAGE(filter('Основной эфир'!$Y:$Y, 'Основной эфир'!$B:$B=$A415,'Основной эфир'!$C:$C=$B415,'Основной эфир'!$I:$I=$C415)), 0) "),0.0)</f>
        <v>0</v>
      </c>
      <c r="I415" s="91">
        <f>IFERROR(__xludf.DUMMYFUNCTION("IFERROR(AVERAGE(filter('Основной эфир'!$AE:$AE, 'Основной эфир'!$B:$B=$A415,'Основной эфир'!$C:$C=$B415,'Основной эфир'!$I:$I=$C415)), 0) "),0.0)</f>
        <v>0</v>
      </c>
      <c r="J415" s="91">
        <f>IFERROR(__xludf.DUMMYFUNCTION("IFERROR(SUM(filter('Основной эфир'!$AL:$AL, 'Основной эфир'!$B:$B=$A415,'Основной эфир'!$C:$C=$B415,'Основной эфир'!$I:$I=$C415)), 0) "),0.0)</f>
        <v>0</v>
      </c>
      <c r="K415" s="91" t="str">
        <f>IFERROR(__xludf.DUMMYFUNCTION("IFERROR(REGEXREPLACE(unique(filter('Основной эфир'!$A:$A, 'Основной эфир'!$B:$B=$A415,'Основной эфир'!$C:$C=$B415,'Основной эфир'!$I:$I=$C415)), ""\d+"", """"),"""")"),"")</f>
        <v/>
      </c>
      <c r="L415" s="91" t="str">
        <f>IFERROR(__xludf.DUMMYFUNCTION("IFERROR(unique(filter('Основной эфир'!$F:$F, 'Основной эфир'!$B:$B=$A415,'Основной эфир'!$C:$C=$B415,'Основной эфир'!$I:$I=$C415)),"""")"),"")</f>
        <v/>
      </c>
      <c r="M415" s="92" t="str">
        <f t="shared" si="1"/>
        <v/>
      </c>
      <c r="N415" s="93">
        <f>IFERROR(__xludf.DUMMYFUNCTION("IFERROR(SWITCH(lower(join("" "",L415:M415)),""а миллионник"", 62.5,""б миллионник"", 75,""а мск"", 50, ""б мск"", 62.5, ""a остальное"", 70, ""б остальное"", 80)/100,0)"),0.0)</f>
        <v>0</v>
      </c>
      <c r="O415" s="91">
        <f t="shared" si="2"/>
        <v>0</v>
      </c>
      <c r="P415" s="91">
        <f>IFERROR(__xludf.DUMMYFUNCTION("IFERROR(sum(filter('Генеральный баннер'!$O:$O, 'Генеральный баннер'!$B:$B=$A415,'Генеральный баннер'!$C:$C=$B415,'Генеральный баннер'!$I:$I=$C415)), 0) "),0.0)</f>
        <v>0</v>
      </c>
      <c r="Q415" s="91">
        <f>IFERROR(__xludf.DUMMYFUNCTION("IFERROR(sum(filter('Генеральный баннер'!$Q:$Q, 'Генеральный баннер'!$B:$B=$A415,'Генеральный баннер'!$C:$C=$B415,'Генеральный баннер'!$I:$I=$C415)), 0) "),0.0)</f>
        <v>0</v>
      </c>
      <c r="R415" s="91">
        <f>IFERROR(__xludf.DUMMYFUNCTION("IFERROR(AVERAGE(filter('Генеральный баннер'!$AA:$AA, 'Генеральный баннер'!$B:$B=$A415,'Генеральный баннер'!$C:$C=$B415,'Генеральный баннер'!$I:$I=$C415)), 0) "),0.0)</f>
        <v>0</v>
      </c>
      <c r="S415" s="91">
        <f>IFERROR(__xludf.DUMMYFUNCTION("IFERROR(SUM(filter('Генеральный баннер'!$AH:$AH, 'Генеральный баннер'!$B:$B=$A415,'Генеральный баннер'!$C:$C=$B415,'Генеральный баннер'!$I:$I=$C415)), 0) "),0.0)</f>
        <v>0</v>
      </c>
      <c r="T415" s="91" t="str">
        <f>IFERROR(__xludf.DUMMYFUNCTION("IFERROR(REGEXREPLACE(unique(filter('Генеральный баннер'!$A:$A, 'Генеральный баннер'!$B:$B=$A415,'Генеральный баннер'!$C:$C=$B415,'Генеральный баннер'!$I:$I=$C415)), ""\d+"", """"),"""")"),"")</f>
        <v/>
      </c>
      <c r="U415" s="91" t="str">
        <f>IFERROR(__xludf.DUMMYFUNCTION("IFERROR(unique(filter('Генеральный баннер'!$F:$F, 'Генеральный баннер'!$B:$B=$A415,'Генеральный баннер'!$C:$C=$B415,'Генеральный баннер'!$I:$I=$C415)),"""")"),"")</f>
        <v/>
      </c>
      <c r="V415" s="92" t="str">
        <f t="shared" si="3"/>
        <v/>
      </c>
      <c r="W415" s="93">
        <f>IFERROR(__xludf.DUMMYFUNCTION("IFERROR(SWITCH(lower(join("" "",U415:V415)),""а миллионник"", 62.5,""б миллионник"", 75,""а мск"", 50, ""б мск"", 62.5, ""a остальное"", 70, ""б остальное"", 80)/100,0)"),0.0)</f>
        <v>0</v>
      </c>
      <c r="X415" s="91">
        <f t="shared" si="4"/>
        <v>0</v>
      </c>
    </row>
    <row r="416">
      <c r="A416" s="12"/>
      <c r="B416" s="12"/>
      <c r="C416" s="12"/>
      <c r="D416" s="91">
        <f>IFERROR(__xludf.DUMMYFUNCTION("IFERROR(sum(filter('Основной эфир'!$AA:$AA, 'Основной эфир'!$B:$B=$A416,'Основной эфир'!$C:$C=$B416,'Основной эфир'!$I:$I=$C416)), 0) "),0.0)</f>
        <v>0</v>
      </c>
      <c r="E416" s="91">
        <f>IFERROR(__xludf.DUMMYFUNCTION("IFERROR(sum(filter('Основной эфир'!$AC:$AC, 'Основной эфир'!$B:$B=$A416,'Основной эфир'!$C:$C=$B416,'Основной эфир'!$I:$I=$C416)), 0) "),0.0)</f>
        <v>0</v>
      </c>
      <c r="F416" s="91">
        <f>IFERROR(__xludf.DUMMYFUNCTION("IFERROR(sum(filter('Основной эфир'!$O:$O, 'Основной эфир'!$B:$B=$A416,'Основной эфир'!$C:$C=$B416,'Основной эфир'!$I:$I=$C416)), 0) "),0.0)</f>
        <v>0</v>
      </c>
      <c r="G416" s="91">
        <f>IFERROR(__xludf.DUMMYFUNCTION("IFERROR(sum(filter('Основной эфир'!$Q:$Q, 'Основной эфир'!$B:$B=$A416,'Основной эфир'!$C:$C=$B416,'Основной эфир'!$I:$I=$C416)), 0) "),0.0)</f>
        <v>0</v>
      </c>
      <c r="H416" s="91">
        <f>IFERROR(__xludf.DUMMYFUNCTION("IFERROR(AVERAGE(filter('Основной эфир'!$Y:$Y, 'Основной эфир'!$B:$B=$A416,'Основной эфир'!$C:$C=$B416,'Основной эфир'!$I:$I=$C416)), 0) "),0.0)</f>
        <v>0</v>
      </c>
      <c r="I416" s="91">
        <f>IFERROR(__xludf.DUMMYFUNCTION("IFERROR(AVERAGE(filter('Основной эфир'!$AE:$AE, 'Основной эфир'!$B:$B=$A416,'Основной эфир'!$C:$C=$B416,'Основной эфир'!$I:$I=$C416)), 0) "),0.0)</f>
        <v>0</v>
      </c>
      <c r="J416" s="91">
        <f>IFERROR(__xludf.DUMMYFUNCTION("IFERROR(SUM(filter('Основной эфир'!$AL:$AL, 'Основной эфир'!$B:$B=$A416,'Основной эфир'!$C:$C=$B416,'Основной эфир'!$I:$I=$C416)), 0) "),0.0)</f>
        <v>0</v>
      </c>
      <c r="K416" s="91" t="str">
        <f>IFERROR(__xludf.DUMMYFUNCTION("IFERROR(REGEXREPLACE(unique(filter('Основной эфир'!$A:$A, 'Основной эфир'!$B:$B=$A416,'Основной эфир'!$C:$C=$B416,'Основной эфир'!$I:$I=$C416)), ""\d+"", """"),"""")"),"")</f>
        <v/>
      </c>
      <c r="L416" s="91" t="str">
        <f>IFERROR(__xludf.DUMMYFUNCTION("IFERROR(unique(filter('Основной эфир'!$F:$F, 'Основной эфир'!$B:$B=$A416,'Основной эфир'!$C:$C=$B416,'Основной эфир'!$I:$I=$C416)),"""")"),"")</f>
        <v/>
      </c>
      <c r="M416" s="92" t="str">
        <f t="shared" si="1"/>
        <v/>
      </c>
      <c r="N416" s="93">
        <f>IFERROR(__xludf.DUMMYFUNCTION("IFERROR(SWITCH(lower(join("" "",L416:M416)),""а миллионник"", 62.5,""б миллионник"", 75,""а мск"", 50, ""б мск"", 62.5, ""a остальное"", 70, ""б остальное"", 80)/100,0)"),0.0)</f>
        <v>0</v>
      </c>
      <c r="O416" s="91">
        <f t="shared" si="2"/>
        <v>0</v>
      </c>
      <c r="P416" s="91">
        <f>IFERROR(__xludf.DUMMYFUNCTION("IFERROR(sum(filter('Генеральный баннер'!$O:$O, 'Генеральный баннер'!$B:$B=$A416,'Генеральный баннер'!$C:$C=$B416,'Генеральный баннер'!$I:$I=$C416)), 0) "),0.0)</f>
        <v>0</v>
      </c>
      <c r="Q416" s="91">
        <f>IFERROR(__xludf.DUMMYFUNCTION("IFERROR(sum(filter('Генеральный баннер'!$Q:$Q, 'Генеральный баннер'!$B:$B=$A416,'Генеральный баннер'!$C:$C=$B416,'Генеральный баннер'!$I:$I=$C416)), 0) "),0.0)</f>
        <v>0</v>
      </c>
      <c r="R416" s="91">
        <f>IFERROR(__xludf.DUMMYFUNCTION("IFERROR(AVERAGE(filter('Генеральный баннер'!$AA:$AA, 'Генеральный баннер'!$B:$B=$A416,'Генеральный баннер'!$C:$C=$B416,'Генеральный баннер'!$I:$I=$C416)), 0) "),0.0)</f>
        <v>0</v>
      </c>
      <c r="S416" s="91">
        <f>IFERROR(__xludf.DUMMYFUNCTION("IFERROR(SUM(filter('Генеральный баннер'!$AH:$AH, 'Генеральный баннер'!$B:$B=$A416,'Генеральный баннер'!$C:$C=$B416,'Генеральный баннер'!$I:$I=$C416)), 0) "),0.0)</f>
        <v>0</v>
      </c>
      <c r="T416" s="91" t="str">
        <f>IFERROR(__xludf.DUMMYFUNCTION("IFERROR(REGEXREPLACE(unique(filter('Генеральный баннер'!$A:$A, 'Генеральный баннер'!$B:$B=$A416,'Генеральный баннер'!$C:$C=$B416,'Генеральный баннер'!$I:$I=$C416)), ""\d+"", """"),"""")"),"")</f>
        <v/>
      </c>
      <c r="U416" s="91" t="str">
        <f>IFERROR(__xludf.DUMMYFUNCTION("IFERROR(unique(filter('Генеральный баннер'!$F:$F, 'Генеральный баннер'!$B:$B=$A416,'Генеральный баннер'!$C:$C=$B416,'Генеральный баннер'!$I:$I=$C416)),"""")"),"")</f>
        <v/>
      </c>
      <c r="V416" s="92" t="str">
        <f t="shared" si="3"/>
        <v/>
      </c>
      <c r="W416" s="93">
        <f>IFERROR(__xludf.DUMMYFUNCTION("IFERROR(SWITCH(lower(join("" "",U416:V416)),""а миллионник"", 62.5,""б миллионник"", 75,""а мск"", 50, ""б мск"", 62.5, ""a остальное"", 70, ""б остальное"", 80)/100,0)"),0.0)</f>
        <v>0</v>
      </c>
      <c r="X416" s="91">
        <f t="shared" si="4"/>
        <v>0</v>
      </c>
    </row>
    <row r="417">
      <c r="A417" s="12"/>
      <c r="B417" s="12"/>
      <c r="C417" s="12"/>
      <c r="D417" s="91">
        <f>IFERROR(__xludf.DUMMYFUNCTION("IFERROR(sum(filter('Основной эфир'!$AA:$AA, 'Основной эфир'!$B:$B=$A417,'Основной эфир'!$C:$C=$B417,'Основной эфир'!$I:$I=$C417)), 0) "),0.0)</f>
        <v>0</v>
      </c>
      <c r="E417" s="91">
        <f>IFERROR(__xludf.DUMMYFUNCTION("IFERROR(sum(filter('Основной эфир'!$AC:$AC, 'Основной эфир'!$B:$B=$A417,'Основной эфир'!$C:$C=$B417,'Основной эфир'!$I:$I=$C417)), 0) "),0.0)</f>
        <v>0</v>
      </c>
      <c r="F417" s="91">
        <f>IFERROR(__xludf.DUMMYFUNCTION("IFERROR(sum(filter('Основной эфир'!$O:$O, 'Основной эфир'!$B:$B=$A417,'Основной эфир'!$C:$C=$B417,'Основной эфир'!$I:$I=$C417)), 0) "),0.0)</f>
        <v>0</v>
      </c>
      <c r="G417" s="91">
        <f>IFERROR(__xludf.DUMMYFUNCTION("IFERROR(sum(filter('Основной эфир'!$Q:$Q, 'Основной эфир'!$B:$B=$A417,'Основной эфир'!$C:$C=$B417,'Основной эфир'!$I:$I=$C417)), 0) "),0.0)</f>
        <v>0</v>
      </c>
      <c r="H417" s="91">
        <f>IFERROR(__xludf.DUMMYFUNCTION("IFERROR(AVERAGE(filter('Основной эфир'!$Y:$Y, 'Основной эфир'!$B:$B=$A417,'Основной эфир'!$C:$C=$B417,'Основной эфир'!$I:$I=$C417)), 0) "),0.0)</f>
        <v>0</v>
      </c>
      <c r="I417" s="91">
        <f>IFERROR(__xludf.DUMMYFUNCTION("IFERROR(AVERAGE(filter('Основной эфир'!$AE:$AE, 'Основной эфир'!$B:$B=$A417,'Основной эфир'!$C:$C=$B417,'Основной эфир'!$I:$I=$C417)), 0) "),0.0)</f>
        <v>0</v>
      </c>
      <c r="J417" s="91">
        <f>IFERROR(__xludf.DUMMYFUNCTION("IFERROR(SUM(filter('Основной эфир'!$AL:$AL, 'Основной эфир'!$B:$B=$A417,'Основной эфир'!$C:$C=$B417,'Основной эфир'!$I:$I=$C417)), 0) "),0.0)</f>
        <v>0</v>
      </c>
      <c r="K417" s="91" t="str">
        <f>IFERROR(__xludf.DUMMYFUNCTION("IFERROR(REGEXREPLACE(unique(filter('Основной эфир'!$A:$A, 'Основной эфир'!$B:$B=$A417,'Основной эфир'!$C:$C=$B417,'Основной эфир'!$I:$I=$C417)), ""\d+"", """"),"""")"),"")</f>
        <v/>
      </c>
      <c r="L417" s="91" t="str">
        <f>IFERROR(__xludf.DUMMYFUNCTION("IFERROR(unique(filter('Основной эфир'!$F:$F, 'Основной эфир'!$B:$B=$A417,'Основной эфир'!$C:$C=$B417,'Основной эфир'!$I:$I=$C417)),"""")"),"")</f>
        <v/>
      </c>
      <c r="M417" s="92" t="str">
        <f t="shared" si="1"/>
        <v/>
      </c>
      <c r="N417" s="93">
        <f>IFERROR(__xludf.DUMMYFUNCTION("IFERROR(SWITCH(lower(join("" "",L417:M417)),""а миллионник"", 62.5,""б миллионник"", 75,""а мск"", 50, ""б мск"", 62.5, ""a остальное"", 70, ""б остальное"", 80)/100,0)"),0.0)</f>
        <v>0</v>
      </c>
      <c r="O417" s="91">
        <f t="shared" si="2"/>
        <v>0</v>
      </c>
      <c r="P417" s="91">
        <f>IFERROR(__xludf.DUMMYFUNCTION("IFERROR(sum(filter('Генеральный баннер'!$O:$O, 'Генеральный баннер'!$B:$B=$A417,'Генеральный баннер'!$C:$C=$B417,'Генеральный баннер'!$I:$I=$C417)), 0) "),0.0)</f>
        <v>0</v>
      </c>
      <c r="Q417" s="91">
        <f>IFERROR(__xludf.DUMMYFUNCTION("IFERROR(sum(filter('Генеральный баннер'!$Q:$Q, 'Генеральный баннер'!$B:$B=$A417,'Генеральный баннер'!$C:$C=$B417,'Генеральный баннер'!$I:$I=$C417)), 0) "),0.0)</f>
        <v>0</v>
      </c>
      <c r="R417" s="91">
        <f>IFERROR(__xludf.DUMMYFUNCTION("IFERROR(AVERAGE(filter('Генеральный баннер'!$AA:$AA, 'Генеральный баннер'!$B:$B=$A417,'Генеральный баннер'!$C:$C=$B417,'Генеральный баннер'!$I:$I=$C417)), 0) "),0.0)</f>
        <v>0</v>
      </c>
      <c r="S417" s="91">
        <f>IFERROR(__xludf.DUMMYFUNCTION("IFERROR(SUM(filter('Генеральный баннер'!$AH:$AH, 'Генеральный баннер'!$B:$B=$A417,'Генеральный баннер'!$C:$C=$B417,'Генеральный баннер'!$I:$I=$C417)), 0) "),0.0)</f>
        <v>0</v>
      </c>
      <c r="T417" s="91" t="str">
        <f>IFERROR(__xludf.DUMMYFUNCTION("IFERROR(REGEXREPLACE(unique(filter('Генеральный баннер'!$A:$A, 'Генеральный баннер'!$B:$B=$A417,'Генеральный баннер'!$C:$C=$B417,'Генеральный баннер'!$I:$I=$C417)), ""\d+"", """"),"""")"),"")</f>
        <v/>
      </c>
      <c r="U417" s="91" t="str">
        <f>IFERROR(__xludf.DUMMYFUNCTION("IFERROR(unique(filter('Генеральный баннер'!$F:$F, 'Генеральный баннер'!$B:$B=$A417,'Генеральный баннер'!$C:$C=$B417,'Генеральный баннер'!$I:$I=$C417)),"""")"),"")</f>
        <v/>
      </c>
      <c r="V417" s="92" t="str">
        <f t="shared" si="3"/>
        <v/>
      </c>
      <c r="W417" s="93">
        <f>IFERROR(__xludf.DUMMYFUNCTION("IFERROR(SWITCH(lower(join("" "",U417:V417)),""а миллионник"", 62.5,""б миллионник"", 75,""а мск"", 50, ""б мск"", 62.5, ""a остальное"", 70, ""б остальное"", 80)/100,0)"),0.0)</f>
        <v>0</v>
      </c>
      <c r="X417" s="91">
        <f t="shared" si="4"/>
        <v>0</v>
      </c>
    </row>
    <row r="418">
      <c r="A418" s="12"/>
      <c r="B418" s="12"/>
      <c r="C418" s="12"/>
      <c r="D418" s="91">
        <f>IFERROR(__xludf.DUMMYFUNCTION("IFERROR(sum(filter('Основной эфир'!$AA:$AA, 'Основной эфир'!$B:$B=$A418,'Основной эфир'!$C:$C=$B418,'Основной эфир'!$I:$I=$C418)), 0) "),0.0)</f>
        <v>0</v>
      </c>
      <c r="E418" s="91">
        <f>IFERROR(__xludf.DUMMYFUNCTION("IFERROR(sum(filter('Основной эфир'!$AC:$AC, 'Основной эфир'!$B:$B=$A418,'Основной эфир'!$C:$C=$B418,'Основной эфир'!$I:$I=$C418)), 0) "),0.0)</f>
        <v>0</v>
      </c>
      <c r="F418" s="91">
        <f>IFERROR(__xludf.DUMMYFUNCTION("IFERROR(sum(filter('Основной эфир'!$O:$O, 'Основной эфир'!$B:$B=$A418,'Основной эфир'!$C:$C=$B418,'Основной эфир'!$I:$I=$C418)), 0) "),0.0)</f>
        <v>0</v>
      </c>
      <c r="G418" s="91">
        <f>IFERROR(__xludf.DUMMYFUNCTION("IFERROR(sum(filter('Основной эфир'!$Q:$Q, 'Основной эфир'!$B:$B=$A418,'Основной эфир'!$C:$C=$B418,'Основной эфир'!$I:$I=$C418)), 0) "),0.0)</f>
        <v>0</v>
      </c>
      <c r="H418" s="91">
        <f>IFERROR(__xludf.DUMMYFUNCTION("IFERROR(AVERAGE(filter('Основной эфир'!$Y:$Y, 'Основной эфир'!$B:$B=$A418,'Основной эфир'!$C:$C=$B418,'Основной эфир'!$I:$I=$C418)), 0) "),0.0)</f>
        <v>0</v>
      </c>
      <c r="I418" s="91">
        <f>IFERROR(__xludf.DUMMYFUNCTION("IFERROR(AVERAGE(filter('Основной эфир'!$AE:$AE, 'Основной эфир'!$B:$B=$A418,'Основной эфир'!$C:$C=$B418,'Основной эфир'!$I:$I=$C418)), 0) "),0.0)</f>
        <v>0</v>
      </c>
      <c r="J418" s="91">
        <f>IFERROR(__xludf.DUMMYFUNCTION("IFERROR(SUM(filter('Основной эфир'!$AL:$AL, 'Основной эфир'!$B:$B=$A418,'Основной эфир'!$C:$C=$B418,'Основной эфир'!$I:$I=$C418)), 0) "),0.0)</f>
        <v>0</v>
      </c>
      <c r="K418" s="91" t="str">
        <f>IFERROR(__xludf.DUMMYFUNCTION("IFERROR(REGEXREPLACE(unique(filter('Основной эфир'!$A:$A, 'Основной эфир'!$B:$B=$A418,'Основной эфир'!$C:$C=$B418,'Основной эфир'!$I:$I=$C418)), ""\d+"", """"),"""")"),"")</f>
        <v/>
      </c>
      <c r="L418" s="91" t="str">
        <f>IFERROR(__xludf.DUMMYFUNCTION("IFERROR(unique(filter('Основной эфир'!$F:$F, 'Основной эфир'!$B:$B=$A418,'Основной эфир'!$C:$C=$B418,'Основной эфир'!$I:$I=$C418)),"""")"),"")</f>
        <v/>
      </c>
      <c r="M418" s="92" t="str">
        <f t="shared" si="1"/>
        <v/>
      </c>
      <c r="N418" s="93">
        <f>IFERROR(__xludf.DUMMYFUNCTION("IFERROR(SWITCH(lower(join("" "",L418:M418)),""а миллионник"", 62.5,""б миллионник"", 75,""а мск"", 50, ""б мск"", 62.5, ""a остальное"", 70, ""б остальное"", 80)/100,0)"),0.0)</f>
        <v>0</v>
      </c>
      <c r="O418" s="91">
        <f t="shared" si="2"/>
        <v>0</v>
      </c>
      <c r="P418" s="91">
        <f>IFERROR(__xludf.DUMMYFUNCTION("IFERROR(sum(filter('Генеральный баннер'!$O:$O, 'Генеральный баннер'!$B:$B=$A418,'Генеральный баннер'!$C:$C=$B418,'Генеральный баннер'!$I:$I=$C418)), 0) "),0.0)</f>
        <v>0</v>
      </c>
      <c r="Q418" s="91">
        <f>IFERROR(__xludf.DUMMYFUNCTION("IFERROR(sum(filter('Генеральный баннер'!$Q:$Q, 'Генеральный баннер'!$B:$B=$A418,'Генеральный баннер'!$C:$C=$B418,'Генеральный баннер'!$I:$I=$C418)), 0) "),0.0)</f>
        <v>0</v>
      </c>
      <c r="R418" s="91">
        <f>IFERROR(__xludf.DUMMYFUNCTION("IFERROR(AVERAGE(filter('Генеральный баннер'!$AA:$AA, 'Генеральный баннер'!$B:$B=$A418,'Генеральный баннер'!$C:$C=$B418,'Генеральный баннер'!$I:$I=$C418)), 0) "),0.0)</f>
        <v>0</v>
      </c>
      <c r="S418" s="91">
        <f>IFERROR(__xludf.DUMMYFUNCTION("IFERROR(SUM(filter('Генеральный баннер'!$AH:$AH, 'Генеральный баннер'!$B:$B=$A418,'Генеральный баннер'!$C:$C=$B418,'Генеральный баннер'!$I:$I=$C418)), 0) "),0.0)</f>
        <v>0</v>
      </c>
      <c r="T418" s="91" t="str">
        <f>IFERROR(__xludf.DUMMYFUNCTION("IFERROR(REGEXREPLACE(unique(filter('Генеральный баннер'!$A:$A, 'Генеральный баннер'!$B:$B=$A418,'Генеральный баннер'!$C:$C=$B418,'Генеральный баннер'!$I:$I=$C418)), ""\d+"", """"),"""")"),"")</f>
        <v/>
      </c>
      <c r="U418" s="91" t="str">
        <f>IFERROR(__xludf.DUMMYFUNCTION("IFERROR(unique(filter('Генеральный баннер'!$F:$F, 'Генеральный баннер'!$B:$B=$A418,'Генеральный баннер'!$C:$C=$B418,'Генеральный баннер'!$I:$I=$C418)),"""")"),"")</f>
        <v/>
      </c>
      <c r="V418" s="92" t="str">
        <f t="shared" si="3"/>
        <v/>
      </c>
      <c r="W418" s="93">
        <f>IFERROR(__xludf.DUMMYFUNCTION("IFERROR(SWITCH(lower(join("" "",U418:V418)),""а миллионник"", 62.5,""б миллионник"", 75,""а мск"", 50, ""б мск"", 62.5, ""a остальное"", 70, ""б остальное"", 80)/100,0)"),0.0)</f>
        <v>0</v>
      </c>
      <c r="X418" s="91">
        <f t="shared" si="4"/>
        <v>0</v>
      </c>
    </row>
    <row r="419">
      <c r="A419" s="12"/>
      <c r="B419" s="12"/>
      <c r="C419" s="12"/>
      <c r="D419" s="91">
        <f>IFERROR(__xludf.DUMMYFUNCTION("IFERROR(sum(filter('Основной эфир'!$AA:$AA, 'Основной эфир'!$B:$B=$A419,'Основной эфир'!$C:$C=$B419,'Основной эфир'!$I:$I=$C419)), 0) "),0.0)</f>
        <v>0</v>
      </c>
      <c r="E419" s="91">
        <f>IFERROR(__xludf.DUMMYFUNCTION("IFERROR(sum(filter('Основной эфир'!$AC:$AC, 'Основной эфир'!$B:$B=$A419,'Основной эфир'!$C:$C=$B419,'Основной эфир'!$I:$I=$C419)), 0) "),0.0)</f>
        <v>0</v>
      </c>
      <c r="F419" s="91">
        <f>IFERROR(__xludf.DUMMYFUNCTION("IFERROR(sum(filter('Основной эфир'!$O:$O, 'Основной эфир'!$B:$B=$A419,'Основной эфир'!$C:$C=$B419,'Основной эфир'!$I:$I=$C419)), 0) "),0.0)</f>
        <v>0</v>
      </c>
      <c r="G419" s="91">
        <f>IFERROR(__xludf.DUMMYFUNCTION("IFERROR(sum(filter('Основной эфир'!$Q:$Q, 'Основной эфир'!$B:$B=$A419,'Основной эфир'!$C:$C=$B419,'Основной эфир'!$I:$I=$C419)), 0) "),0.0)</f>
        <v>0</v>
      </c>
      <c r="H419" s="91">
        <f>IFERROR(__xludf.DUMMYFUNCTION("IFERROR(AVERAGE(filter('Основной эфир'!$Y:$Y, 'Основной эфир'!$B:$B=$A419,'Основной эфир'!$C:$C=$B419,'Основной эфир'!$I:$I=$C419)), 0) "),0.0)</f>
        <v>0</v>
      </c>
      <c r="I419" s="91">
        <f>IFERROR(__xludf.DUMMYFUNCTION("IFERROR(AVERAGE(filter('Основной эфир'!$AE:$AE, 'Основной эфир'!$B:$B=$A419,'Основной эфир'!$C:$C=$B419,'Основной эфир'!$I:$I=$C419)), 0) "),0.0)</f>
        <v>0</v>
      </c>
      <c r="J419" s="91">
        <f>IFERROR(__xludf.DUMMYFUNCTION("IFERROR(SUM(filter('Основной эфир'!$AL:$AL, 'Основной эфир'!$B:$B=$A419,'Основной эфир'!$C:$C=$B419,'Основной эфир'!$I:$I=$C419)), 0) "),0.0)</f>
        <v>0</v>
      </c>
      <c r="K419" s="91" t="str">
        <f>IFERROR(__xludf.DUMMYFUNCTION("IFERROR(REGEXREPLACE(unique(filter('Основной эфир'!$A:$A, 'Основной эфир'!$B:$B=$A419,'Основной эфир'!$C:$C=$B419,'Основной эфир'!$I:$I=$C419)), ""\d+"", """"),"""")"),"")</f>
        <v/>
      </c>
      <c r="L419" s="91" t="str">
        <f>IFERROR(__xludf.DUMMYFUNCTION("IFERROR(unique(filter('Основной эфир'!$F:$F, 'Основной эфир'!$B:$B=$A419,'Основной эфир'!$C:$C=$B419,'Основной эфир'!$I:$I=$C419)),"""")"),"")</f>
        <v/>
      </c>
      <c r="M419" s="92" t="str">
        <f t="shared" si="1"/>
        <v/>
      </c>
      <c r="N419" s="93">
        <f>IFERROR(__xludf.DUMMYFUNCTION("IFERROR(SWITCH(lower(join("" "",L419:M419)),""а миллионник"", 62.5,""б миллионник"", 75,""а мск"", 50, ""б мск"", 62.5, ""a остальное"", 70, ""б остальное"", 80)/100,0)"),0.0)</f>
        <v>0</v>
      </c>
      <c r="O419" s="91">
        <f t="shared" si="2"/>
        <v>0</v>
      </c>
      <c r="P419" s="91">
        <f>IFERROR(__xludf.DUMMYFUNCTION("IFERROR(sum(filter('Генеральный баннер'!$O:$O, 'Генеральный баннер'!$B:$B=$A419,'Генеральный баннер'!$C:$C=$B419,'Генеральный баннер'!$I:$I=$C419)), 0) "),0.0)</f>
        <v>0</v>
      </c>
      <c r="Q419" s="91">
        <f>IFERROR(__xludf.DUMMYFUNCTION("IFERROR(sum(filter('Генеральный баннер'!$Q:$Q, 'Генеральный баннер'!$B:$B=$A419,'Генеральный баннер'!$C:$C=$B419,'Генеральный баннер'!$I:$I=$C419)), 0) "),0.0)</f>
        <v>0</v>
      </c>
      <c r="R419" s="91">
        <f>IFERROR(__xludf.DUMMYFUNCTION("IFERROR(AVERAGE(filter('Генеральный баннер'!$AA:$AA, 'Генеральный баннер'!$B:$B=$A419,'Генеральный баннер'!$C:$C=$B419,'Генеральный баннер'!$I:$I=$C419)), 0) "),0.0)</f>
        <v>0</v>
      </c>
      <c r="S419" s="91">
        <f>IFERROR(__xludf.DUMMYFUNCTION("IFERROR(SUM(filter('Генеральный баннер'!$AH:$AH, 'Генеральный баннер'!$B:$B=$A419,'Генеральный баннер'!$C:$C=$B419,'Генеральный баннер'!$I:$I=$C419)), 0) "),0.0)</f>
        <v>0</v>
      </c>
      <c r="T419" s="91" t="str">
        <f>IFERROR(__xludf.DUMMYFUNCTION("IFERROR(REGEXREPLACE(unique(filter('Генеральный баннер'!$A:$A, 'Генеральный баннер'!$B:$B=$A419,'Генеральный баннер'!$C:$C=$B419,'Генеральный баннер'!$I:$I=$C419)), ""\d+"", """"),"""")"),"")</f>
        <v/>
      </c>
      <c r="U419" s="91" t="str">
        <f>IFERROR(__xludf.DUMMYFUNCTION("IFERROR(unique(filter('Генеральный баннер'!$F:$F, 'Генеральный баннер'!$B:$B=$A419,'Генеральный баннер'!$C:$C=$B419,'Генеральный баннер'!$I:$I=$C419)),"""")"),"")</f>
        <v/>
      </c>
      <c r="V419" s="92" t="str">
        <f t="shared" si="3"/>
        <v/>
      </c>
      <c r="W419" s="93">
        <f>IFERROR(__xludf.DUMMYFUNCTION("IFERROR(SWITCH(lower(join("" "",U419:V419)),""а миллионник"", 62.5,""б миллионник"", 75,""а мск"", 50, ""б мск"", 62.5, ""a остальное"", 70, ""б остальное"", 80)/100,0)"),0.0)</f>
        <v>0</v>
      </c>
      <c r="X419" s="91">
        <f t="shared" si="4"/>
        <v>0</v>
      </c>
    </row>
    <row r="420">
      <c r="A420" s="12"/>
      <c r="B420" s="12"/>
      <c r="C420" s="12"/>
      <c r="D420" s="91">
        <f>IFERROR(__xludf.DUMMYFUNCTION("IFERROR(sum(filter('Основной эфир'!$AA:$AA, 'Основной эфир'!$B:$B=$A420,'Основной эфир'!$C:$C=$B420,'Основной эфир'!$I:$I=$C420)), 0) "),0.0)</f>
        <v>0</v>
      </c>
      <c r="E420" s="91">
        <f>IFERROR(__xludf.DUMMYFUNCTION("IFERROR(sum(filter('Основной эфир'!$AC:$AC, 'Основной эфир'!$B:$B=$A420,'Основной эфир'!$C:$C=$B420,'Основной эфир'!$I:$I=$C420)), 0) "),0.0)</f>
        <v>0</v>
      </c>
      <c r="F420" s="91">
        <f>IFERROR(__xludf.DUMMYFUNCTION("IFERROR(sum(filter('Основной эфир'!$O:$O, 'Основной эфир'!$B:$B=$A420,'Основной эфир'!$C:$C=$B420,'Основной эфир'!$I:$I=$C420)), 0) "),0.0)</f>
        <v>0</v>
      </c>
      <c r="G420" s="91">
        <f>IFERROR(__xludf.DUMMYFUNCTION("IFERROR(sum(filter('Основной эфир'!$Q:$Q, 'Основной эфир'!$B:$B=$A420,'Основной эфир'!$C:$C=$B420,'Основной эфир'!$I:$I=$C420)), 0) "),0.0)</f>
        <v>0</v>
      </c>
      <c r="H420" s="91">
        <f>IFERROR(__xludf.DUMMYFUNCTION("IFERROR(AVERAGE(filter('Основной эфир'!$Y:$Y, 'Основной эфир'!$B:$B=$A420,'Основной эфир'!$C:$C=$B420,'Основной эфир'!$I:$I=$C420)), 0) "),0.0)</f>
        <v>0</v>
      </c>
      <c r="I420" s="91">
        <f>IFERROR(__xludf.DUMMYFUNCTION("IFERROR(AVERAGE(filter('Основной эфир'!$AE:$AE, 'Основной эфир'!$B:$B=$A420,'Основной эфир'!$C:$C=$B420,'Основной эфир'!$I:$I=$C420)), 0) "),0.0)</f>
        <v>0</v>
      </c>
      <c r="J420" s="91">
        <f>IFERROR(__xludf.DUMMYFUNCTION("IFERROR(SUM(filter('Основной эфир'!$AL:$AL, 'Основной эфир'!$B:$B=$A420,'Основной эфир'!$C:$C=$B420,'Основной эфир'!$I:$I=$C420)), 0) "),0.0)</f>
        <v>0</v>
      </c>
      <c r="K420" s="91" t="str">
        <f>IFERROR(__xludf.DUMMYFUNCTION("IFERROR(REGEXREPLACE(unique(filter('Основной эфир'!$A:$A, 'Основной эфир'!$B:$B=$A420,'Основной эфир'!$C:$C=$B420,'Основной эфир'!$I:$I=$C420)), ""\d+"", """"),"""")"),"")</f>
        <v/>
      </c>
      <c r="L420" s="91" t="str">
        <f>IFERROR(__xludf.DUMMYFUNCTION("IFERROR(unique(filter('Основной эфир'!$F:$F, 'Основной эфир'!$B:$B=$A420,'Основной эфир'!$C:$C=$B420,'Основной эфир'!$I:$I=$C420)),"""")"),"")</f>
        <v/>
      </c>
      <c r="M420" s="92" t="str">
        <f t="shared" si="1"/>
        <v/>
      </c>
      <c r="N420" s="93">
        <f>IFERROR(__xludf.DUMMYFUNCTION("IFERROR(SWITCH(lower(join("" "",L420:M420)),""а миллионник"", 62.5,""б миллионник"", 75,""а мск"", 50, ""б мск"", 62.5, ""a остальное"", 70, ""б остальное"", 80)/100,0)"),0.0)</f>
        <v>0</v>
      </c>
      <c r="O420" s="91">
        <f t="shared" si="2"/>
        <v>0</v>
      </c>
      <c r="P420" s="91">
        <f>IFERROR(__xludf.DUMMYFUNCTION("IFERROR(sum(filter('Генеральный баннер'!$O:$O, 'Генеральный баннер'!$B:$B=$A420,'Генеральный баннер'!$C:$C=$B420,'Генеральный баннер'!$I:$I=$C420)), 0) "),0.0)</f>
        <v>0</v>
      </c>
      <c r="Q420" s="91">
        <f>IFERROR(__xludf.DUMMYFUNCTION("IFERROR(sum(filter('Генеральный баннер'!$Q:$Q, 'Генеральный баннер'!$B:$B=$A420,'Генеральный баннер'!$C:$C=$B420,'Генеральный баннер'!$I:$I=$C420)), 0) "),0.0)</f>
        <v>0</v>
      </c>
      <c r="R420" s="91">
        <f>IFERROR(__xludf.DUMMYFUNCTION("IFERROR(AVERAGE(filter('Генеральный баннер'!$AA:$AA, 'Генеральный баннер'!$B:$B=$A420,'Генеральный баннер'!$C:$C=$B420,'Генеральный баннер'!$I:$I=$C420)), 0) "),0.0)</f>
        <v>0</v>
      </c>
      <c r="S420" s="91">
        <f>IFERROR(__xludf.DUMMYFUNCTION("IFERROR(SUM(filter('Генеральный баннер'!$AH:$AH, 'Генеральный баннер'!$B:$B=$A420,'Генеральный баннер'!$C:$C=$B420,'Генеральный баннер'!$I:$I=$C420)), 0) "),0.0)</f>
        <v>0</v>
      </c>
      <c r="T420" s="91" t="str">
        <f>IFERROR(__xludf.DUMMYFUNCTION("IFERROR(REGEXREPLACE(unique(filter('Генеральный баннер'!$A:$A, 'Генеральный баннер'!$B:$B=$A420,'Генеральный баннер'!$C:$C=$B420,'Генеральный баннер'!$I:$I=$C420)), ""\d+"", """"),"""")"),"")</f>
        <v/>
      </c>
      <c r="U420" s="91" t="str">
        <f>IFERROR(__xludf.DUMMYFUNCTION("IFERROR(unique(filter('Генеральный баннер'!$F:$F, 'Генеральный баннер'!$B:$B=$A420,'Генеральный баннер'!$C:$C=$B420,'Генеральный баннер'!$I:$I=$C420)),"""")"),"")</f>
        <v/>
      </c>
      <c r="V420" s="92" t="str">
        <f t="shared" si="3"/>
        <v/>
      </c>
      <c r="W420" s="93">
        <f>IFERROR(__xludf.DUMMYFUNCTION("IFERROR(SWITCH(lower(join("" "",U420:V420)),""а миллионник"", 62.5,""б миллионник"", 75,""а мск"", 50, ""б мск"", 62.5, ""a остальное"", 70, ""б остальное"", 80)/100,0)"),0.0)</f>
        <v>0</v>
      </c>
      <c r="X420" s="91">
        <f t="shared" si="4"/>
        <v>0</v>
      </c>
    </row>
    <row r="421">
      <c r="A421" s="12"/>
      <c r="B421" s="12"/>
      <c r="C421" s="12"/>
      <c r="D421" s="91">
        <f>IFERROR(__xludf.DUMMYFUNCTION("IFERROR(sum(filter('Основной эфир'!$AA:$AA, 'Основной эфир'!$B:$B=$A421,'Основной эфир'!$C:$C=$B421,'Основной эфир'!$I:$I=$C421)), 0) "),0.0)</f>
        <v>0</v>
      </c>
      <c r="E421" s="91">
        <f>IFERROR(__xludf.DUMMYFUNCTION("IFERROR(sum(filter('Основной эфир'!$AC:$AC, 'Основной эфир'!$B:$B=$A421,'Основной эфир'!$C:$C=$B421,'Основной эфир'!$I:$I=$C421)), 0) "),0.0)</f>
        <v>0</v>
      </c>
      <c r="F421" s="91">
        <f>IFERROR(__xludf.DUMMYFUNCTION("IFERROR(sum(filter('Основной эфир'!$O:$O, 'Основной эфир'!$B:$B=$A421,'Основной эфир'!$C:$C=$B421,'Основной эфир'!$I:$I=$C421)), 0) "),0.0)</f>
        <v>0</v>
      </c>
      <c r="G421" s="91">
        <f>IFERROR(__xludf.DUMMYFUNCTION("IFERROR(sum(filter('Основной эфир'!$Q:$Q, 'Основной эфир'!$B:$B=$A421,'Основной эфир'!$C:$C=$B421,'Основной эфир'!$I:$I=$C421)), 0) "),0.0)</f>
        <v>0</v>
      </c>
      <c r="H421" s="91">
        <f>IFERROR(__xludf.DUMMYFUNCTION("IFERROR(AVERAGE(filter('Основной эфир'!$Y:$Y, 'Основной эфир'!$B:$B=$A421,'Основной эфир'!$C:$C=$B421,'Основной эфир'!$I:$I=$C421)), 0) "),0.0)</f>
        <v>0</v>
      </c>
      <c r="I421" s="91">
        <f>IFERROR(__xludf.DUMMYFUNCTION("IFERROR(AVERAGE(filter('Основной эфир'!$AE:$AE, 'Основной эфир'!$B:$B=$A421,'Основной эфир'!$C:$C=$B421,'Основной эфир'!$I:$I=$C421)), 0) "),0.0)</f>
        <v>0</v>
      </c>
      <c r="J421" s="91">
        <f>IFERROR(__xludf.DUMMYFUNCTION("IFERROR(SUM(filter('Основной эфир'!$AL:$AL, 'Основной эфир'!$B:$B=$A421,'Основной эфир'!$C:$C=$B421,'Основной эфир'!$I:$I=$C421)), 0) "),0.0)</f>
        <v>0</v>
      </c>
      <c r="K421" s="91" t="str">
        <f>IFERROR(__xludf.DUMMYFUNCTION("IFERROR(REGEXREPLACE(unique(filter('Основной эфир'!$A:$A, 'Основной эфир'!$B:$B=$A421,'Основной эфир'!$C:$C=$B421,'Основной эфир'!$I:$I=$C421)), ""\d+"", """"),"""")"),"")</f>
        <v/>
      </c>
      <c r="L421" s="91" t="str">
        <f>IFERROR(__xludf.DUMMYFUNCTION("IFERROR(unique(filter('Основной эфир'!$F:$F, 'Основной эфир'!$B:$B=$A421,'Основной эфир'!$C:$C=$B421,'Основной эфир'!$I:$I=$C421)),"""")"),"")</f>
        <v/>
      </c>
      <c r="M421" s="92" t="str">
        <f t="shared" si="1"/>
        <v/>
      </c>
      <c r="N421" s="93">
        <f>IFERROR(__xludf.DUMMYFUNCTION("IFERROR(SWITCH(lower(join("" "",L421:M421)),""а миллионник"", 62.5,""б миллионник"", 75,""а мск"", 50, ""б мск"", 62.5, ""a остальное"", 70, ""б остальное"", 80)/100,0)"),0.0)</f>
        <v>0</v>
      </c>
      <c r="O421" s="91">
        <f t="shared" si="2"/>
        <v>0</v>
      </c>
      <c r="P421" s="91">
        <f>IFERROR(__xludf.DUMMYFUNCTION("IFERROR(sum(filter('Генеральный баннер'!$O:$O, 'Генеральный баннер'!$B:$B=$A421,'Генеральный баннер'!$C:$C=$B421,'Генеральный баннер'!$I:$I=$C421)), 0) "),0.0)</f>
        <v>0</v>
      </c>
      <c r="Q421" s="91">
        <f>IFERROR(__xludf.DUMMYFUNCTION("IFERROR(sum(filter('Генеральный баннер'!$Q:$Q, 'Генеральный баннер'!$B:$B=$A421,'Генеральный баннер'!$C:$C=$B421,'Генеральный баннер'!$I:$I=$C421)), 0) "),0.0)</f>
        <v>0</v>
      </c>
      <c r="R421" s="91">
        <f>IFERROR(__xludf.DUMMYFUNCTION("IFERROR(AVERAGE(filter('Генеральный баннер'!$AA:$AA, 'Генеральный баннер'!$B:$B=$A421,'Генеральный баннер'!$C:$C=$B421,'Генеральный баннер'!$I:$I=$C421)), 0) "),0.0)</f>
        <v>0</v>
      </c>
      <c r="S421" s="91">
        <f>IFERROR(__xludf.DUMMYFUNCTION("IFERROR(SUM(filter('Генеральный баннер'!$AH:$AH, 'Генеральный баннер'!$B:$B=$A421,'Генеральный баннер'!$C:$C=$B421,'Генеральный баннер'!$I:$I=$C421)), 0) "),0.0)</f>
        <v>0</v>
      </c>
      <c r="T421" s="91" t="str">
        <f>IFERROR(__xludf.DUMMYFUNCTION("IFERROR(REGEXREPLACE(unique(filter('Генеральный баннер'!$A:$A, 'Генеральный баннер'!$B:$B=$A421,'Генеральный баннер'!$C:$C=$B421,'Генеральный баннер'!$I:$I=$C421)), ""\d+"", """"),"""")"),"")</f>
        <v/>
      </c>
      <c r="U421" s="91" t="str">
        <f>IFERROR(__xludf.DUMMYFUNCTION("IFERROR(unique(filter('Генеральный баннер'!$F:$F, 'Генеральный баннер'!$B:$B=$A421,'Генеральный баннер'!$C:$C=$B421,'Генеральный баннер'!$I:$I=$C421)),"""")"),"")</f>
        <v/>
      </c>
      <c r="V421" s="92" t="str">
        <f t="shared" si="3"/>
        <v/>
      </c>
      <c r="W421" s="93">
        <f>IFERROR(__xludf.DUMMYFUNCTION("IFERROR(SWITCH(lower(join("" "",U421:V421)),""а миллионник"", 62.5,""б миллионник"", 75,""а мск"", 50, ""б мск"", 62.5, ""a остальное"", 70, ""б остальное"", 80)/100,0)"),0.0)</f>
        <v>0</v>
      </c>
      <c r="X421" s="91">
        <f t="shared" si="4"/>
        <v>0</v>
      </c>
    </row>
    <row r="422">
      <c r="A422" s="12"/>
      <c r="B422" s="12"/>
      <c r="C422" s="12"/>
      <c r="D422" s="91">
        <f>IFERROR(__xludf.DUMMYFUNCTION("IFERROR(sum(filter('Основной эфир'!$AA:$AA, 'Основной эфир'!$B:$B=$A422,'Основной эфир'!$C:$C=$B422,'Основной эфир'!$I:$I=$C422)), 0) "),0.0)</f>
        <v>0</v>
      </c>
      <c r="E422" s="91">
        <f>IFERROR(__xludf.DUMMYFUNCTION("IFERROR(sum(filter('Основной эфир'!$AC:$AC, 'Основной эфир'!$B:$B=$A422,'Основной эфир'!$C:$C=$B422,'Основной эфир'!$I:$I=$C422)), 0) "),0.0)</f>
        <v>0</v>
      </c>
      <c r="F422" s="91">
        <f>IFERROR(__xludf.DUMMYFUNCTION("IFERROR(sum(filter('Основной эфир'!$O:$O, 'Основной эфир'!$B:$B=$A422,'Основной эфир'!$C:$C=$B422,'Основной эфир'!$I:$I=$C422)), 0) "),0.0)</f>
        <v>0</v>
      </c>
      <c r="G422" s="91">
        <f>IFERROR(__xludf.DUMMYFUNCTION("IFERROR(sum(filter('Основной эфир'!$Q:$Q, 'Основной эфир'!$B:$B=$A422,'Основной эфир'!$C:$C=$B422,'Основной эфир'!$I:$I=$C422)), 0) "),0.0)</f>
        <v>0</v>
      </c>
      <c r="H422" s="91">
        <f>IFERROR(__xludf.DUMMYFUNCTION("IFERROR(AVERAGE(filter('Основной эфир'!$Y:$Y, 'Основной эфир'!$B:$B=$A422,'Основной эфир'!$C:$C=$B422,'Основной эфир'!$I:$I=$C422)), 0) "),0.0)</f>
        <v>0</v>
      </c>
      <c r="I422" s="91">
        <f>IFERROR(__xludf.DUMMYFUNCTION("IFERROR(AVERAGE(filter('Основной эфир'!$AE:$AE, 'Основной эфир'!$B:$B=$A422,'Основной эфир'!$C:$C=$B422,'Основной эфир'!$I:$I=$C422)), 0) "),0.0)</f>
        <v>0</v>
      </c>
      <c r="J422" s="91">
        <f>IFERROR(__xludf.DUMMYFUNCTION("IFERROR(SUM(filter('Основной эфир'!$AL:$AL, 'Основной эфир'!$B:$B=$A422,'Основной эфир'!$C:$C=$B422,'Основной эфир'!$I:$I=$C422)), 0) "),0.0)</f>
        <v>0</v>
      </c>
      <c r="K422" s="91" t="str">
        <f>IFERROR(__xludf.DUMMYFUNCTION("IFERROR(REGEXREPLACE(unique(filter('Основной эфир'!$A:$A, 'Основной эфир'!$B:$B=$A422,'Основной эфир'!$C:$C=$B422,'Основной эфир'!$I:$I=$C422)), ""\d+"", """"),"""")"),"")</f>
        <v/>
      </c>
      <c r="L422" s="91" t="str">
        <f>IFERROR(__xludf.DUMMYFUNCTION("IFERROR(unique(filter('Основной эфир'!$F:$F, 'Основной эфир'!$B:$B=$A422,'Основной эфир'!$C:$C=$B422,'Основной эфир'!$I:$I=$C422)),"""")"),"")</f>
        <v/>
      </c>
      <c r="M422" s="92" t="str">
        <f t="shared" si="1"/>
        <v/>
      </c>
      <c r="N422" s="93">
        <f>IFERROR(__xludf.DUMMYFUNCTION("IFERROR(SWITCH(lower(join("" "",L422:M422)),""а миллионник"", 62.5,""б миллионник"", 75,""а мск"", 50, ""б мск"", 62.5, ""a остальное"", 70, ""б остальное"", 80)/100,0)"),0.0)</f>
        <v>0</v>
      </c>
      <c r="O422" s="91">
        <f t="shared" si="2"/>
        <v>0</v>
      </c>
      <c r="P422" s="91">
        <f>IFERROR(__xludf.DUMMYFUNCTION("IFERROR(sum(filter('Генеральный баннер'!$O:$O, 'Генеральный баннер'!$B:$B=$A422,'Генеральный баннер'!$C:$C=$B422,'Генеральный баннер'!$I:$I=$C422)), 0) "),0.0)</f>
        <v>0</v>
      </c>
      <c r="Q422" s="91">
        <f>IFERROR(__xludf.DUMMYFUNCTION("IFERROR(sum(filter('Генеральный баннер'!$Q:$Q, 'Генеральный баннер'!$B:$B=$A422,'Генеральный баннер'!$C:$C=$B422,'Генеральный баннер'!$I:$I=$C422)), 0) "),0.0)</f>
        <v>0</v>
      </c>
      <c r="R422" s="91">
        <f>IFERROR(__xludf.DUMMYFUNCTION("IFERROR(AVERAGE(filter('Генеральный баннер'!$AA:$AA, 'Генеральный баннер'!$B:$B=$A422,'Генеральный баннер'!$C:$C=$B422,'Генеральный баннер'!$I:$I=$C422)), 0) "),0.0)</f>
        <v>0</v>
      </c>
      <c r="S422" s="91">
        <f>IFERROR(__xludf.DUMMYFUNCTION("IFERROR(SUM(filter('Генеральный баннер'!$AH:$AH, 'Генеральный баннер'!$B:$B=$A422,'Генеральный баннер'!$C:$C=$B422,'Генеральный баннер'!$I:$I=$C422)), 0) "),0.0)</f>
        <v>0</v>
      </c>
      <c r="T422" s="91" t="str">
        <f>IFERROR(__xludf.DUMMYFUNCTION("IFERROR(REGEXREPLACE(unique(filter('Генеральный баннер'!$A:$A, 'Генеральный баннер'!$B:$B=$A422,'Генеральный баннер'!$C:$C=$B422,'Генеральный баннер'!$I:$I=$C422)), ""\d+"", """"),"""")"),"")</f>
        <v/>
      </c>
      <c r="U422" s="91" t="str">
        <f>IFERROR(__xludf.DUMMYFUNCTION("IFERROR(unique(filter('Генеральный баннер'!$F:$F, 'Генеральный баннер'!$B:$B=$A422,'Генеральный баннер'!$C:$C=$B422,'Генеральный баннер'!$I:$I=$C422)),"""")"),"")</f>
        <v/>
      </c>
      <c r="V422" s="92" t="str">
        <f t="shared" si="3"/>
        <v/>
      </c>
      <c r="W422" s="93">
        <f>IFERROR(__xludf.DUMMYFUNCTION("IFERROR(SWITCH(lower(join("" "",U422:V422)),""а миллионник"", 62.5,""б миллионник"", 75,""а мск"", 50, ""б мск"", 62.5, ""a остальное"", 70, ""б остальное"", 80)/100,0)"),0.0)</f>
        <v>0</v>
      </c>
      <c r="X422" s="91">
        <f t="shared" si="4"/>
        <v>0</v>
      </c>
    </row>
    <row r="423">
      <c r="A423" s="12"/>
      <c r="B423" s="12"/>
      <c r="C423" s="12"/>
      <c r="D423" s="91">
        <f>IFERROR(__xludf.DUMMYFUNCTION("IFERROR(sum(filter('Основной эфир'!$AA:$AA, 'Основной эфир'!$B:$B=$A423,'Основной эфир'!$C:$C=$B423,'Основной эфир'!$I:$I=$C423)), 0) "),0.0)</f>
        <v>0</v>
      </c>
      <c r="E423" s="91">
        <f>IFERROR(__xludf.DUMMYFUNCTION("IFERROR(sum(filter('Основной эфир'!$AC:$AC, 'Основной эфир'!$B:$B=$A423,'Основной эфир'!$C:$C=$B423,'Основной эфир'!$I:$I=$C423)), 0) "),0.0)</f>
        <v>0</v>
      </c>
      <c r="F423" s="91">
        <f>IFERROR(__xludf.DUMMYFUNCTION("IFERROR(sum(filter('Основной эфир'!$O:$O, 'Основной эфир'!$B:$B=$A423,'Основной эфир'!$C:$C=$B423,'Основной эфир'!$I:$I=$C423)), 0) "),0.0)</f>
        <v>0</v>
      </c>
      <c r="G423" s="91">
        <f>IFERROR(__xludf.DUMMYFUNCTION("IFERROR(sum(filter('Основной эфир'!$Q:$Q, 'Основной эфир'!$B:$B=$A423,'Основной эфир'!$C:$C=$B423,'Основной эфир'!$I:$I=$C423)), 0) "),0.0)</f>
        <v>0</v>
      </c>
      <c r="H423" s="91">
        <f>IFERROR(__xludf.DUMMYFUNCTION("IFERROR(AVERAGE(filter('Основной эфир'!$Y:$Y, 'Основной эфир'!$B:$B=$A423,'Основной эфир'!$C:$C=$B423,'Основной эфир'!$I:$I=$C423)), 0) "),0.0)</f>
        <v>0</v>
      </c>
      <c r="I423" s="91">
        <f>IFERROR(__xludf.DUMMYFUNCTION("IFERROR(AVERAGE(filter('Основной эфир'!$AE:$AE, 'Основной эфир'!$B:$B=$A423,'Основной эфир'!$C:$C=$B423,'Основной эфир'!$I:$I=$C423)), 0) "),0.0)</f>
        <v>0</v>
      </c>
      <c r="J423" s="91">
        <f>IFERROR(__xludf.DUMMYFUNCTION("IFERROR(SUM(filter('Основной эфир'!$AL:$AL, 'Основной эфир'!$B:$B=$A423,'Основной эфир'!$C:$C=$B423,'Основной эфир'!$I:$I=$C423)), 0) "),0.0)</f>
        <v>0</v>
      </c>
      <c r="K423" s="91" t="str">
        <f>IFERROR(__xludf.DUMMYFUNCTION("IFERROR(REGEXREPLACE(unique(filter('Основной эфир'!$A:$A, 'Основной эфир'!$B:$B=$A423,'Основной эфир'!$C:$C=$B423,'Основной эфир'!$I:$I=$C423)), ""\d+"", """"),"""")"),"")</f>
        <v/>
      </c>
      <c r="L423" s="91" t="str">
        <f>IFERROR(__xludf.DUMMYFUNCTION("IFERROR(unique(filter('Основной эфир'!$F:$F, 'Основной эфир'!$B:$B=$A423,'Основной эфир'!$C:$C=$B423,'Основной эфир'!$I:$I=$C423)),"""")"),"")</f>
        <v/>
      </c>
      <c r="M423" s="92" t="str">
        <f t="shared" si="1"/>
        <v/>
      </c>
      <c r="N423" s="93">
        <f>IFERROR(__xludf.DUMMYFUNCTION("IFERROR(SWITCH(lower(join("" "",L423:M423)),""а миллионник"", 62.5,""б миллионник"", 75,""а мск"", 50, ""б мск"", 62.5, ""a остальное"", 70, ""б остальное"", 80)/100,0)"),0.0)</f>
        <v>0</v>
      </c>
      <c r="O423" s="91">
        <f t="shared" si="2"/>
        <v>0</v>
      </c>
      <c r="P423" s="91">
        <f>IFERROR(__xludf.DUMMYFUNCTION("IFERROR(sum(filter('Генеральный баннер'!$O:$O, 'Генеральный баннер'!$B:$B=$A423,'Генеральный баннер'!$C:$C=$B423,'Генеральный баннер'!$I:$I=$C423)), 0) "),0.0)</f>
        <v>0</v>
      </c>
      <c r="Q423" s="91">
        <f>IFERROR(__xludf.DUMMYFUNCTION("IFERROR(sum(filter('Генеральный баннер'!$Q:$Q, 'Генеральный баннер'!$B:$B=$A423,'Генеральный баннер'!$C:$C=$B423,'Генеральный баннер'!$I:$I=$C423)), 0) "),0.0)</f>
        <v>0</v>
      </c>
      <c r="R423" s="91">
        <f>IFERROR(__xludf.DUMMYFUNCTION("IFERROR(AVERAGE(filter('Генеральный баннер'!$AA:$AA, 'Генеральный баннер'!$B:$B=$A423,'Генеральный баннер'!$C:$C=$B423,'Генеральный баннер'!$I:$I=$C423)), 0) "),0.0)</f>
        <v>0</v>
      </c>
      <c r="S423" s="91">
        <f>IFERROR(__xludf.DUMMYFUNCTION("IFERROR(SUM(filter('Генеральный баннер'!$AH:$AH, 'Генеральный баннер'!$B:$B=$A423,'Генеральный баннер'!$C:$C=$B423,'Генеральный баннер'!$I:$I=$C423)), 0) "),0.0)</f>
        <v>0</v>
      </c>
      <c r="T423" s="91" t="str">
        <f>IFERROR(__xludf.DUMMYFUNCTION("IFERROR(REGEXREPLACE(unique(filter('Генеральный баннер'!$A:$A, 'Генеральный баннер'!$B:$B=$A423,'Генеральный баннер'!$C:$C=$B423,'Генеральный баннер'!$I:$I=$C423)), ""\d+"", """"),"""")"),"")</f>
        <v/>
      </c>
      <c r="U423" s="91" t="str">
        <f>IFERROR(__xludf.DUMMYFUNCTION("IFERROR(unique(filter('Генеральный баннер'!$F:$F, 'Генеральный баннер'!$B:$B=$A423,'Генеральный баннер'!$C:$C=$B423,'Генеральный баннер'!$I:$I=$C423)),"""")"),"")</f>
        <v/>
      </c>
      <c r="V423" s="92" t="str">
        <f t="shared" si="3"/>
        <v/>
      </c>
      <c r="W423" s="93">
        <f>IFERROR(__xludf.DUMMYFUNCTION("IFERROR(SWITCH(lower(join("" "",U423:V423)),""а миллионник"", 62.5,""б миллионник"", 75,""а мск"", 50, ""б мск"", 62.5, ""a остальное"", 70, ""б остальное"", 80)/100,0)"),0.0)</f>
        <v>0</v>
      </c>
      <c r="X423" s="91">
        <f t="shared" si="4"/>
        <v>0</v>
      </c>
    </row>
    <row r="424">
      <c r="A424" s="12"/>
      <c r="B424" s="12"/>
      <c r="C424" s="12"/>
      <c r="D424" s="91">
        <f>IFERROR(__xludf.DUMMYFUNCTION("IFERROR(sum(filter('Основной эфир'!$AA:$AA, 'Основной эфир'!$B:$B=$A424,'Основной эфир'!$C:$C=$B424,'Основной эфир'!$I:$I=$C424)), 0) "),0.0)</f>
        <v>0</v>
      </c>
      <c r="E424" s="91">
        <f>IFERROR(__xludf.DUMMYFUNCTION("IFERROR(sum(filter('Основной эфир'!$AC:$AC, 'Основной эфир'!$B:$B=$A424,'Основной эфир'!$C:$C=$B424,'Основной эфир'!$I:$I=$C424)), 0) "),0.0)</f>
        <v>0</v>
      </c>
      <c r="F424" s="91">
        <f>IFERROR(__xludf.DUMMYFUNCTION("IFERROR(sum(filter('Основной эфир'!$O:$O, 'Основной эфир'!$B:$B=$A424,'Основной эфир'!$C:$C=$B424,'Основной эфир'!$I:$I=$C424)), 0) "),0.0)</f>
        <v>0</v>
      </c>
      <c r="G424" s="91">
        <f>IFERROR(__xludf.DUMMYFUNCTION("IFERROR(sum(filter('Основной эфир'!$Q:$Q, 'Основной эфир'!$B:$B=$A424,'Основной эфир'!$C:$C=$B424,'Основной эфир'!$I:$I=$C424)), 0) "),0.0)</f>
        <v>0</v>
      </c>
      <c r="H424" s="91">
        <f>IFERROR(__xludf.DUMMYFUNCTION("IFERROR(AVERAGE(filter('Основной эфир'!$Y:$Y, 'Основной эфир'!$B:$B=$A424,'Основной эфир'!$C:$C=$B424,'Основной эфир'!$I:$I=$C424)), 0) "),0.0)</f>
        <v>0</v>
      </c>
      <c r="I424" s="91">
        <f>IFERROR(__xludf.DUMMYFUNCTION("IFERROR(AVERAGE(filter('Основной эфир'!$AE:$AE, 'Основной эфир'!$B:$B=$A424,'Основной эфир'!$C:$C=$B424,'Основной эфир'!$I:$I=$C424)), 0) "),0.0)</f>
        <v>0</v>
      </c>
      <c r="J424" s="91">
        <f>IFERROR(__xludf.DUMMYFUNCTION("IFERROR(SUM(filter('Основной эфир'!$AL:$AL, 'Основной эфир'!$B:$B=$A424,'Основной эфир'!$C:$C=$B424,'Основной эфир'!$I:$I=$C424)), 0) "),0.0)</f>
        <v>0</v>
      </c>
      <c r="K424" s="91" t="str">
        <f>IFERROR(__xludf.DUMMYFUNCTION("IFERROR(REGEXREPLACE(unique(filter('Основной эфир'!$A:$A, 'Основной эфир'!$B:$B=$A424,'Основной эфир'!$C:$C=$B424,'Основной эфир'!$I:$I=$C424)), ""\d+"", """"),"""")"),"")</f>
        <v/>
      </c>
      <c r="L424" s="91" t="str">
        <f>IFERROR(__xludf.DUMMYFUNCTION("IFERROR(unique(filter('Основной эфир'!$F:$F, 'Основной эфир'!$B:$B=$A424,'Основной эфир'!$C:$C=$B424,'Основной эфир'!$I:$I=$C424)),"""")"),"")</f>
        <v/>
      </c>
      <c r="M424" s="92" t="str">
        <f t="shared" si="1"/>
        <v/>
      </c>
      <c r="N424" s="93">
        <f>IFERROR(__xludf.DUMMYFUNCTION("IFERROR(SWITCH(lower(join("" "",L424:M424)),""а миллионник"", 62.5,""б миллионник"", 75,""а мск"", 50, ""б мск"", 62.5, ""a остальное"", 70, ""б остальное"", 80)/100,0)"),0.0)</f>
        <v>0</v>
      </c>
      <c r="O424" s="91">
        <f t="shared" si="2"/>
        <v>0</v>
      </c>
      <c r="P424" s="91">
        <f>IFERROR(__xludf.DUMMYFUNCTION("IFERROR(sum(filter('Генеральный баннер'!$O:$O, 'Генеральный баннер'!$B:$B=$A424,'Генеральный баннер'!$C:$C=$B424,'Генеральный баннер'!$I:$I=$C424)), 0) "),0.0)</f>
        <v>0</v>
      </c>
      <c r="Q424" s="91">
        <f>IFERROR(__xludf.DUMMYFUNCTION("IFERROR(sum(filter('Генеральный баннер'!$Q:$Q, 'Генеральный баннер'!$B:$B=$A424,'Генеральный баннер'!$C:$C=$B424,'Генеральный баннер'!$I:$I=$C424)), 0) "),0.0)</f>
        <v>0</v>
      </c>
      <c r="R424" s="91">
        <f>IFERROR(__xludf.DUMMYFUNCTION("IFERROR(AVERAGE(filter('Генеральный баннер'!$AA:$AA, 'Генеральный баннер'!$B:$B=$A424,'Генеральный баннер'!$C:$C=$B424,'Генеральный баннер'!$I:$I=$C424)), 0) "),0.0)</f>
        <v>0</v>
      </c>
      <c r="S424" s="91">
        <f>IFERROR(__xludf.DUMMYFUNCTION("IFERROR(SUM(filter('Генеральный баннер'!$AH:$AH, 'Генеральный баннер'!$B:$B=$A424,'Генеральный баннер'!$C:$C=$B424,'Генеральный баннер'!$I:$I=$C424)), 0) "),0.0)</f>
        <v>0</v>
      </c>
      <c r="T424" s="91" t="str">
        <f>IFERROR(__xludf.DUMMYFUNCTION("IFERROR(REGEXREPLACE(unique(filter('Генеральный баннер'!$A:$A, 'Генеральный баннер'!$B:$B=$A424,'Генеральный баннер'!$C:$C=$B424,'Генеральный баннер'!$I:$I=$C424)), ""\d+"", """"),"""")"),"")</f>
        <v/>
      </c>
      <c r="U424" s="91" t="str">
        <f>IFERROR(__xludf.DUMMYFUNCTION("IFERROR(unique(filter('Генеральный баннер'!$F:$F, 'Генеральный баннер'!$B:$B=$A424,'Генеральный баннер'!$C:$C=$B424,'Генеральный баннер'!$I:$I=$C424)),"""")"),"")</f>
        <v/>
      </c>
      <c r="V424" s="92" t="str">
        <f t="shared" si="3"/>
        <v/>
      </c>
      <c r="W424" s="93">
        <f>IFERROR(__xludf.DUMMYFUNCTION("IFERROR(SWITCH(lower(join("" "",U424:V424)),""а миллионник"", 62.5,""б миллионник"", 75,""а мск"", 50, ""б мск"", 62.5, ""a остальное"", 70, ""б остальное"", 80)/100,0)"),0.0)</f>
        <v>0</v>
      </c>
      <c r="X424" s="91">
        <f t="shared" si="4"/>
        <v>0</v>
      </c>
    </row>
    <row r="425">
      <c r="A425" s="12"/>
      <c r="B425" s="12"/>
      <c r="C425" s="12"/>
      <c r="D425" s="91">
        <f>IFERROR(__xludf.DUMMYFUNCTION("IFERROR(sum(filter('Основной эфир'!$AA:$AA, 'Основной эфир'!$B:$B=$A425,'Основной эфир'!$C:$C=$B425,'Основной эфир'!$I:$I=$C425)), 0) "),0.0)</f>
        <v>0</v>
      </c>
      <c r="E425" s="91">
        <f>IFERROR(__xludf.DUMMYFUNCTION("IFERROR(sum(filter('Основной эфир'!$AC:$AC, 'Основной эфир'!$B:$B=$A425,'Основной эфир'!$C:$C=$B425,'Основной эфир'!$I:$I=$C425)), 0) "),0.0)</f>
        <v>0</v>
      </c>
      <c r="F425" s="91">
        <f>IFERROR(__xludf.DUMMYFUNCTION("IFERROR(sum(filter('Основной эфир'!$O:$O, 'Основной эфир'!$B:$B=$A425,'Основной эфир'!$C:$C=$B425,'Основной эфир'!$I:$I=$C425)), 0) "),0.0)</f>
        <v>0</v>
      </c>
      <c r="G425" s="91">
        <f>IFERROR(__xludf.DUMMYFUNCTION("IFERROR(sum(filter('Основной эфир'!$Q:$Q, 'Основной эфир'!$B:$B=$A425,'Основной эфир'!$C:$C=$B425,'Основной эфир'!$I:$I=$C425)), 0) "),0.0)</f>
        <v>0</v>
      </c>
      <c r="H425" s="91">
        <f>IFERROR(__xludf.DUMMYFUNCTION("IFERROR(AVERAGE(filter('Основной эфир'!$Y:$Y, 'Основной эфир'!$B:$B=$A425,'Основной эфир'!$C:$C=$B425,'Основной эфир'!$I:$I=$C425)), 0) "),0.0)</f>
        <v>0</v>
      </c>
      <c r="I425" s="91">
        <f>IFERROR(__xludf.DUMMYFUNCTION("IFERROR(AVERAGE(filter('Основной эфир'!$AE:$AE, 'Основной эфир'!$B:$B=$A425,'Основной эфир'!$C:$C=$B425,'Основной эфир'!$I:$I=$C425)), 0) "),0.0)</f>
        <v>0</v>
      </c>
      <c r="J425" s="91">
        <f>IFERROR(__xludf.DUMMYFUNCTION("IFERROR(SUM(filter('Основной эфир'!$AL:$AL, 'Основной эфир'!$B:$B=$A425,'Основной эфир'!$C:$C=$B425,'Основной эфир'!$I:$I=$C425)), 0) "),0.0)</f>
        <v>0</v>
      </c>
      <c r="K425" s="91" t="str">
        <f>IFERROR(__xludf.DUMMYFUNCTION("IFERROR(REGEXREPLACE(unique(filter('Основной эфир'!$A:$A, 'Основной эфир'!$B:$B=$A425,'Основной эфир'!$C:$C=$B425,'Основной эфир'!$I:$I=$C425)), ""\d+"", """"),"""")"),"")</f>
        <v/>
      </c>
      <c r="L425" s="91" t="str">
        <f>IFERROR(__xludf.DUMMYFUNCTION("IFERROR(unique(filter('Основной эфир'!$F:$F, 'Основной эфир'!$B:$B=$A425,'Основной эфир'!$C:$C=$B425,'Основной эфир'!$I:$I=$C425)),"""")"),"")</f>
        <v/>
      </c>
      <c r="M425" s="92" t="str">
        <f t="shared" si="1"/>
        <v/>
      </c>
      <c r="N425" s="93">
        <f>IFERROR(__xludf.DUMMYFUNCTION("IFERROR(SWITCH(lower(join("" "",L425:M425)),""а миллионник"", 62.5,""б миллионник"", 75,""а мск"", 50, ""б мск"", 62.5, ""a остальное"", 70, ""б остальное"", 80)/100,0)"),0.0)</f>
        <v>0</v>
      </c>
      <c r="O425" s="91">
        <f t="shared" si="2"/>
        <v>0</v>
      </c>
      <c r="P425" s="91">
        <f>IFERROR(__xludf.DUMMYFUNCTION("IFERROR(sum(filter('Генеральный баннер'!$O:$O, 'Генеральный баннер'!$B:$B=$A425,'Генеральный баннер'!$C:$C=$B425,'Генеральный баннер'!$I:$I=$C425)), 0) "),0.0)</f>
        <v>0</v>
      </c>
      <c r="Q425" s="91">
        <f>IFERROR(__xludf.DUMMYFUNCTION("IFERROR(sum(filter('Генеральный баннер'!$Q:$Q, 'Генеральный баннер'!$B:$B=$A425,'Генеральный баннер'!$C:$C=$B425,'Генеральный баннер'!$I:$I=$C425)), 0) "),0.0)</f>
        <v>0</v>
      </c>
      <c r="R425" s="91">
        <f>IFERROR(__xludf.DUMMYFUNCTION("IFERROR(AVERAGE(filter('Генеральный баннер'!$AA:$AA, 'Генеральный баннер'!$B:$B=$A425,'Генеральный баннер'!$C:$C=$B425,'Генеральный баннер'!$I:$I=$C425)), 0) "),0.0)</f>
        <v>0</v>
      </c>
      <c r="S425" s="91">
        <f>IFERROR(__xludf.DUMMYFUNCTION("IFERROR(SUM(filter('Генеральный баннер'!$AH:$AH, 'Генеральный баннер'!$B:$B=$A425,'Генеральный баннер'!$C:$C=$B425,'Генеральный баннер'!$I:$I=$C425)), 0) "),0.0)</f>
        <v>0</v>
      </c>
      <c r="T425" s="91" t="str">
        <f>IFERROR(__xludf.DUMMYFUNCTION("IFERROR(REGEXREPLACE(unique(filter('Генеральный баннер'!$A:$A, 'Генеральный баннер'!$B:$B=$A425,'Генеральный баннер'!$C:$C=$B425,'Генеральный баннер'!$I:$I=$C425)), ""\d+"", """"),"""")"),"")</f>
        <v/>
      </c>
      <c r="U425" s="91" t="str">
        <f>IFERROR(__xludf.DUMMYFUNCTION("IFERROR(unique(filter('Генеральный баннер'!$F:$F, 'Генеральный баннер'!$B:$B=$A425,'Генеральный баннер'!$C:$C=$B425,'Генеральный баннер'!$I:$I=$C425)),"""")"),"")</f>
        <v/>
      </c>
      <c r="V425" s="92" t="str">
        <f t="shared" si="3"/>
        <v/>
      </c>
      <c r="W425" s="93">
        <f>IFERROR(__xludf.DUMMYFUNCTION("IFERROR(SWITCH(lower(join("" "",U425:V425)),""а миллионник"", 62.5,""б миллионник"", 75,""а мск"", 50, ""б мск"", 62.5, ""a остальное"", 70, ""б остальное"", 80)/100,0)"),0.0)</f>
        <v>0</v>
      </c>
      <c r="X425" s="91">
        <f t="shared" si="4"/>
        <v>0</v>
      </c>
    </row>
    <row r="426">
      <c r="A426" s="12"/>
      <c r="B426" s="12"/>
      <c r="C426" s="12"/>
      <c r="D426" s="91">
        <f>IFERROR(__xludf.DUMMYFUNCTION("IFERROR(sum(filter('Основной эфир'!$AA:$AA, 'Основной эфир'!$B:$B=$A426,'Основной эфир'!$C:$C=$B426,'Основной эфир'!$I:$I=$C426)), 0) "),0.0)</f>
        <v>0</v>
      </c>
      <c r="E426" s="91">
        <f>IFERROR(__xludf.DUMMYFUNCTION("IFERROR(sum(filter('Основной эфир'!$AC:$AC, 'Основной эфир'!$B:$B=$A426,'Основной эфир'!$C:$C=$B426,'Основной эфир'!$I:$I=$C426)), 0) "),0.0)</f>
        <v>0</v>
      </c>
      <c r="F426" s="91">
        <f>IFERROR(__xludf.DUMMYFUNCTION("IFERROR(sum(filter('Основной эфир'!$O:$O, 'Основной эфир'!$B:$B=$A426,'Основной эфир'!$C:$C=$B426,'Основной эфир'!$I:$I=$C426)), 0) "),0.0)</f>
        <v>0</v>
      </c>
      <c r="G426" s="91">
        <f>IFERROR(__xludf.DUMMYFUNCTION("IFERROR(sum(filter('Основной эфир'!$Q:$Q, 'Основной эфир'!$B:$B=$A426,'Основной эфир'!$C:$C=$B426,'Основной эфир'!$I:$I=$C426)), 0) "),0.0)</f>
        <v>0</v>
      </c>
      <c r="H426" s="91">
        <f>IFERROR(__xludf.DUMMYFUNCTION("IFERROR(AVERAGE(filter('Основной эфир'!$Y:$Y, 'Основной эфир'!$B:$B=$A426,'Основной эфир'!$C:$C=$B426,'Основной эфир'!$I:$I=$C426)), 0) "),0.0)</f>
        <v>0</v>
      </c>
      <c r="I426" s="91">
        <f>IFERROR(__xludf.DUMMYFUNCTION("IFERROR(AVERAGE(filter('Основной эфир'!$AE:$AE, 'Основной эфир'!$B:$B=$A426,'Основной эфир'!$C:$C=$B426,'Основной эфир'!$I:$I=$C426)), 0) "),0.0)</f>
        <v>0</v>
      </c>
      <c r="J426" s="91">
        <f>IFERROR(__xludf.DUMMYFUNCTION("IFERROR(SUM(filter('Основной эфир'!$AL:$AL, 'Основной эфир'!$B:$B=$A426,'Основной эфир'!$C:$C=$B426,'Основной эфир'!$I:$I=$C426)), 0) "),0.0)</f>
        <v>0</v>
      </c>
      <c r="K426" s="91" t="str">
        <f>IFERROR(__xludf.DUMMYFUNCTION("IFERROR(REGEXREPLACE(unique(filter('Основной эфир'!$A:$A, 'Основной эфир'!$B:$B=$A426,'Основной эфир'!$C:$C=$B426,'Основной эфир'!$I:$I=$C426)), ""\d+"", """"),"""")"),"")</f>
        <v/>
      </c>
      <c r="L426" s="91" t="str">
        <f>IFERROR(__xludf.DUMMYFUNCTION("IFERROR(unique(filter('Основной эфир'!$F:$F, 'Основной эфир'!$B:$B=$A426,'Основной эфир'!$C:$C=$B426,'Основной эфир'!$I:$I=$C426)),"""")"),"")</f>
        <v/>
      </c>
      <c r="M426" s="92" t="str">
        <f t="shared" si="1"/>
        <v/>
      </c>
      <c r="N426" s="93">
        <f>IFERROR(__xludf.DUMMYFUNCTION("IFERROR(SWITCH(lower(join("" "",L426:M426)),""а миллионник"", 62.5,""б миллионник"", 75,""а мск"", 50, ""б мск"", 62.5, ""a остальное"", 70, ""б остальное"", 80)/100,0)"),0.0)</f>
        <v>0</v>
      </c>
      <c r="O426" s="91">
        <f t="shared" si="2"/>
        <v>0</v>
      </c>
      <c r="P426" s="91">
        <f>IFERROR(__xludf.DUMMYFUNCTION("IFERROR(sum(filter('Генеральный баннер'!$O:$O, 'Генеральный баннер'!$B:$B=$A426,'Генеральный баннер'!$C:$C=$B426,'Генеральный баннер'!$I:$I=$C426)), 0) "),0.0)</f>
        <v>0</v>
      </c>
      <c r="Q426" s="91">
        <f>IFERROR(__xludf.DUMMYFUNCTION("IFERROR(sum(filter('Генеральный баннер'!$Q:$Q, 'Генеральный баннер'!$B:$B=$A426,'Генеральный баннер'!$C:$C=$B426,'Генеральный баннер'!$I:$I=$C426)), 0) "),0.0)</f>
        <v>0</v>
      </c>
      <c r="R426" s="91">
        <f>IFERROR(__xludf.DUMMYFUNCTION("IFERROR(AVERAGE(filter('Генеральный баннер'!$AA:$AA, 'Генеральный баннер'!$B:$B=$A426,'Генеральный баннер'!$C:$C=$B426,'Генеральный баннер'!$I:$I=$C426)), 0) "),0.0)</f>
        <v>0</v>
      </c>
      <c r="S426" s="91">
        <f>IFERROR(__xludf.DUMMYFUNCTION("IFERROR(SUM(filter('Генеральный баннер'!$AH:$AH, 'Генеральный баннер'!$B:$B=$A426,'Генеральный баннер'!$C:$C=$B426,'Генеральный баннер'!$I:$I=$C426)), 0) "),0.0)</f>
        <v>0</v>
      </c>
      <c r="T426" s="91" t="str">
        <f>IFERROR(__xludf.DUMMYFUNCTION("IFERROR(REGEXREPLACE(unique(filter('Генеральный баннер'!$A:$A, 'Генеральный баннер'!$B:$B=$A426,'Генеральный баннер'!$C:$C=$B426,'Генеральный баннер'!$I:$I=$C426)), ""\d+"", """"),"""")"),"")</f>
        <v/>
      </c>
      <c r="U426" s="91" t="str">
        <f>IFERROR(__xludf.DUMMYFUNCTION("IFERROR(unique(filter('Генеральный баннер'!$F:$F, 'Генеральный баннер'!$B:$B=$A426,'Генеральный баннер'!$C:$C=$B426,'Генеральный баннер'!$I:$I=$C426)),"""")"),"")</f>
        <v/>
      </c>
      <c r="V426" s="92" t="str">
        <f t="shared" si="3"/>
        <v/>
      </c>
      <c r="W426" s="93">
        <f>IFERROR(__xludf.DUMMYFUNCTION("IFERROR(SWITCH(lower(join("" "",U426:V426)),""а миллионник"", 62.5,""б миллионник"", 75,""а мск"", 50, ""б мск"", 62.5, ""a остальное"", 70, ""б остальное"", 80)/100,0)"),0.0)</f>
        <v>0</v>
      </c>
      <c r="X426" s="91">
        <f t="shared" si="4"/>
        <v>0</v>
      </c>
    </row>
    <row r="427">
      <c r="A427" s="12"/>
      <c r="B427" s="12"/>
      <c r="C427" s="12"/>
      <c r="D427" s="91">
        <f>IFERROR(__xludf.DUMMYFUNCTION("IFERROR(sum(filter('Основной эфир'!$AA:$AA, 'Основной эфир'!$B:$B=$A427,'Основной эфир'!$C:$C=$B427,'Основной эфир'!$I:$I=$C427)), 0) "),0.0)</f>
        <v>0</v>
      </c>
      <c r="E427" s="91">
        <f>IFERROR(__xludf.DUMMYFUNCTION("IFERROR(sum(filter('Основной эфир'!$AC:$AC, 'Основной эфир'!$B:$B=$A427,'Основной эфир'!$C:$C=$B427,'Основной эфир'!$I:$I=$C427)), 0) "),0.0)</f>
        <v>0</v>
      </c>
      <c r="F427" s="91">
        <f>IFERROR(__xludf.DUMMYFUNCTION("IFERROR(sum(filter('Основной эфир'!$O:$O, 'Основной эфир'!$B:$B=$A427,'Основной эфир'!$C:$C=$B427,'Основной эфир'!$I:$I=$C427)), 0) "),0.0)</f>
        <v>0</v>
      </c>
      <c r="G427" s="91">
        <f>IFERROR(__xludf.DUMMYFUNCTION("IFERROR(sum(filter('Основной эфир'!$Q:$Q, 'Основной эфир'!$B:$B=$A427,'Основной эфир'!$C:$C=$B427,'Основной эфир'!$I:$I=$C427)), 0) "),0.0)</f>
        <v>0</v>
      </c>
      <c r="H427" s="91">
        <f>IFERROR(__xludf.DUMMYFUNCTION("IFERROR(AVERAGE(filter('Основной эфир'!$Y:$Y, 'Основной эфир'!$B:$B=$A427,'Основной эфир'!$C:$C=$B427,'Основной эфир'!$I:$I=$C427)), 0) "),0.0)</f>
        <v>0</v>
      </c>
      <c r="I427" s="91">
        <f>IFERROR(__xludf.DUMMYFUNCTION("IFERROR(AVERAGE(filter('Основной эфир'!$AE:$AE, 'Основной эфир'!$B:$B=$A427,'Основной эфир'!$C:$C=$B427,'Основной эфир'!$I:$I=$C427)), 0) "),0.0)</f>
        <v>0</v>
      </c>
      <c r="J427" s="91">
        <f>IFERROR(__xludf.DUMMYFUNCTION("IFERROR(SUM(filter('Основной эфир'!$AL:$AL, 'Основной эфир'!$B:$B=$A427,'Основной эфир'!$C:$C=$B427,'Основной эфир'!$I:$I=$C427)), 0) "),0.0)</f>
        <v>0</v>
      </c>
      <c r="K427" s="91" t="str">
        <f>IFERROR(__xludf.DUMMYFUNCTION("IFERROR(REGEXREPLACE(unique(filter('Основной эфир'!$A:$A, 'Основной эфир'!$B:$B=$A427,'Основной эфир'!$C:$C=$B427,'Основной эфир'!$I:$I=$C427)), ""\d+"", """"),"""")"),"")</f>
        <v/>
      </c>
      <c r="L427" s="91" t="str">
        <f>IFERROR(__xludf.DUMMYFUNCTION("IFERROR(unique(filter('Основной эфир'!$F:$F, 'Основной эфир'!$B:$B=$A427,'Основной эфир'!$C:$C=$B427,'Основной эфир'!$I:$I=$C427)),"""")"),"")</f>
        <v/>
      </c>
      <c r="M427" s="92" t="str">
        <f t="shared" si="1"/>
        <v/>
      </c>
      <c r="N427" s="93">
        <f>IFERROR(__xludf.DUMMYFUNCTION("IFERROR(SWITCH(lower(join("" "",L427:M427)),""а миллионник"", 62.5,""б миллионник"", 75,""а мск"", 50, ""б мск"", 62.5, ""a остальное"", 70, ""б остальное"", 80)/100,0)"),0.0)</f>
        <v>0</v>
      </c>
      <c r="O427" s="91">
        <f t="shared" si="2"/>
        <v>0</v>
      </c>
      <c r="P427" s="91">
        <f>IFERROR(__xludf.DUMMYFUNCTION("IFERROR(sum(filter('Генеральный баннер'!$O:$O, 'Генеральный баннер'!$B:$B=$A427,'Генеральный баннер'!$C:$C=$B427,'Генеральный баннер'!$I:$I=$C427)), 0) "),0.0)</f>
        <v>0</v>
      </c>
      <c r="Q427" s="91">
        <f>IFERROR(__xludf.DUMMYFUNCTION("IFERROR(sum(filter('Генеральный баннер'!$Q:$Q, 'Генеральный баннер'!$B:$B=$A427,'Генеральный баннер'!$C:$C=$B427,'Генеральный баннер'!$I:$I=$C427)), 0) "),0.0)</f>
        <v>0</v>
      </c>
      <c r="R427" s="91">
        <f>IFERROR(__xludf.DUMMYFUNCTION("IFERROR(AVERAGE(filter('Генеральный баннер'!$AA:$AA, 'Генеральный баннер'!$B:$B=$A427,'Генеральный баннер'!$C:$C=$B427,'Генеральный баннер'!$I:$I=$C427)), 0) "),0.0)</f>
        <v>0</v>
      </c>
      <c r="S427" s="91">
        <f>IFERROR(__xludf.DUMMYFUNCTION("IFERROR(SUM(filter('Генеральный баннер'!$AH:$AH, 'Генеральный баннер'!$B:$B=$A427,'Генеральный баннер'!$C:$C=$B427,'Генеральный баннер'!$I:$I=$C427)), 0) "),0.0)</f>
        <v>0</v>
      </c>
      <c r="T427" s="91" t="str">
        <f>IFERROR(__xludf.DUMMYFUNCTION("IFERROR(REGEXREPLACE(unique(filter('Генеральный баннер'!$A:$A, 'Генеральный баннер'!$B:$B=$A427,'Генеральный баннер'!$C:$C=$B427,'Генеральный баннер'!$I:$I=$C427)), ""\d+"", """"),"""")"),"")</f>
        <v/>
      </c>
      <c r="U427" s="91" t="str">
        <f>IFERROR(__xludf.DUMMYFUNCTION("IFERROR(unique(filter('Генеральный баннер'!$F:$F, 'Генеральный баннер'!$B:$B=$A427,'Генеральный баннер'!$C:$C=$B427,'Генеральный баннер'!$I:$I=$C427)),"""")"),"")</f>
        <v/>
      </c>
      <c r="V427" s="92" t="str">
        <f t="shared" si="3"/>
        <v/>
      </c>
      <c r="W427" s="93">
        <f>IFERROR(__xludf.DUMMYFUNCTION("IFERROR(SWITCH(lower(join("" "",U427:V427)),""а миллионник"", 62.5,""б миллионник"", 75,""а мск"", 50, ""б мск"", 62.5, ""a остальное"", 70, ""б остальное"", 80)/100,0)"),0.0)</f>
        <v>0</v>
      </c>
      <c r="X427" s="91">
        <f t="shared" si="4"/>
        <v>0</v>
      </c>
    </row>
    <row r="428">
      <c r="A428" s="12"/>
      <c r="B428" s="12"/>
      <c r="C428" s="12"/>
      <c r="D428" s="91">
        <f>IFERROR(__xludf.DUMMYFUNCTION("IFERROR(sum(filter('Основной эфир'!$AA:$AA, 'Основной эфир'!$B:$B=$A428,'Основной эфир'!$C:$C=$B428,'Основной эфир'!$I:$I=$C428)), 0) "),0.0)</f>
        <v>0</v>
      </c>
      <c r="E428" s="91">
        <f>IFERROR(__xludf.DUMMYFUNCTION("IFERROR(sum(filter('Основной эфир'!$AC:$AC, 'Основной эфир'!$B:$B=$A428,'Основной эфир'!$C:$C=$B428,'Основной эфир'!$I:$I=$C428)), 0) "),0.0)</f>
        <v>0</v>
      </c>
      <c r="F428" s="91">
        <f>IFERROR(__xludf.DUMMYFUNCTION("IFERROR(sum(filter('Основной эфир'!$O:$O, 'Основной эфир'!$B:$B=$A428,'Основной эфир'!$C:$C=$B428,'Основной эфир'!$I:$I=$C428)), 0) "),0.0)</f>
        <v>0</v>
      </c>
      <c r="G428" s="91">
        <f>IFERROR(__xludf.DUMMYFUNCTION("IFERROR(sum(filter('Основной эфир'!$Q:$Q, 'Основной эфир'!$B:$B=$A428,'Основной эфир'!$C:$C=$B428,'Основной эфир'!$I:$I=$C428)), 0) "),0.0)</f>
        <v>0</v>
      </c>
      <c r="H428" s="91">
        <f>IFERROR(__xludf.DUMMYFUNCTION("IFERROR(AVERAGE(filter('Основной эфир'!$Y:$Y, 'Основной эфир'!$B:$B=$A428,'Основной эфир'!$C:$C=$B428,'Основной эфир'!$I:$I=$C428)), 0) "),0.0)</f>
        <v>0</v>
      </c>
      <c r="I428" s="91">
        <f>IFERROR(__xludf.DUMMYFUNCTION("IFERROR(AVERAGE(filter('Основной эфир'!$AE:$AE, 'Основной эфир'!$B:$B=$A428,'Основной эфир'!$C:$C=$B428,'Основной эфир'!$I:$I=$C428)), 0) "),0.0)</f>
        <v>0</v>
      </c>
      <c r="J428" s="91">
        <f>IFERROR(__xludf.DUMMYFUNCTION("IFERROR(SUM(filter('Основной эфир'!$AL:$AL, 'Основной эфир'!$B:$B=$A428,'Основной эфир'!$C:$C=$B428,'Основной эфир'!$I:$I=$C428)), 0) "),0.0)</f>
        <v>0</v>
      </c>
      <c r="K428" s="91" t="str">
        <f>IFERROR(__xludf.DUMMYFUNCTION("IFERROR(REGEXREPLACE(unique(filter('Основной эфир'!$A:$A, 'Основной эфир'!$B:$B=$A428,'Основной эфир'!$C:$C=$B428,'Основной эфир'!$I:$I=$C428)), ""\d+"", """"),"""")"),"")</f>
        <v/>
      </c>
      <c r="L428" s="91" t="str">
        <f>IFERROR(__xludf.DUMMYFUNCTION("IFERROR(unique(filter('Основной эфир'!$F:$F, 'Основной эфир'!$B:$B=$A428,'Основной эфир'!$C:$C=$B428,'Основной эфир'!$I:$I=$C428)),"""")"),"")</f>
        <v/>
      </c>
      <c r="M428" s="92" t="str">
        <f t="shared" si="1"/>
        <v/>
      </c>
      <c r="N428" s="93">
        <f>IFERROR(__xludf.DUMMYFUNCTION("IFERROR(SWITCH(lower(join("" "",L428:M428)),""а миллионник"", 62.5,""б миллионник"", 75,""а мск"", 50, ""б мск"", 62.5, ""a остальное"", 70, ""б остальное"", 80)/100,0)"),0.0)</f>
        <v>0</v>
      </c>
      <c r="O428" s="91">
        <f t="shared" si="2"/>
        <v>0</v>
      </c>
      <c r="P428" s="91">
        <f>IFERROR(__xludf.DUMMYFUNCTION("IFERROR(sum(filter('Генеральный баннер'!$O:$O, 'Генеральный баннер'!$B:$B=$A428,'Генеральный баннер'!$C:$C=$B428,'Генеральный баннер'!$I:$I=$C428)), 0) "),0.0)</f>
        <v>0</v>
      </c>
      <c r="Q428" s="91">
        <f>IFERROR(__xludf.DUMMYFUNCTION("IFERROR(sum(filter('Генеральный баннер'!$Q:$Q, 'Генеральный баннер'!$B:$B=$A428,'Генеральный баннер'!$C:$C=$B428,'Генеральный баннер'!$I:$I=$C428)), 0) "),0.0)</f>
        <v>0</v>
      </c>
      <c r="R428" s="91">
        <f>IFERROR(__xludf.DUMMYFUNCTION("IFERROR(AVERAGE(filter('Генеральный баннер'!$AA:$AA, 'Генеральный баннер'!$B:$B=$A428,'Генеральный баннер'!$C:$C=$B428,'Генеральный баннер'!$I:$I=$C428)), 0) "),0.0)</f>
        <v>0</v>
      </c>
      <c r="S428" s="91">
        <f>IFERROR(__xludf.DUMMYFUNCTION("IFERROR(SUM(filter('Генеральный баннер'!$AH:$AH, 'Генеральный баннер'!$B:$B=$A428,'Генеральный баннер'!$C:$C=$B428,'Генеральный баннер'!$I:$I=$C428)), 0) "),0.0)</f>
        <v>0</v>
      </c>
      <c r="T428" s="91" t="str">
        <f>IFERROR(__xludf.DUMMYFUNCTION("IFERROR(REGEXREPLACE(unique(filter('Генеральный баннер'!$A:$A, 'Генеральный баннер'!$B:$B=$A428,'Генеральный баннер'!$C:$C=$B428,'Генеральный баннер'!$I:$I=$C428)), ""\d+"", """"),"""")"),"")</f>
        <v/>
      </c>
      <c r="U428" s="91" t="str">
        <f>IFERROR(__xludf.DUMMYFUNCTION("IFERROR(unique(filter('Генеральный баннер'!$F:$F, 'Генеральный баннер'!$B:$B=$A428,'Генеральный баннер'!$C:$C=$B428,'Генеральный баннер'!$I:$I=$C428)),"""")"),"")</f>
        <v/>
      </c>
      <c r="V428" s="92" t="str">
        <f t="shared" si="3"/>
        <v/>
      </c>
      <c r="W428" s="93">
        <f>IFERROR(__xludf.DUMMYFUNCTION("IFERROR(SWITCH(lower(join("" "",U428:V428)),""а миллионник"", 62.5,""б миллионник"", 75,""а мск"", 50, ""б мск"", 62.5, ""a остальное"", 70, ""б остальное"", 80)/100,0)"),0.0)</f>
        <v>0</v>
      </c>
      <c r="X428" s="91">
        <f t="shared" si="4"/>
        <v>0</v>
      </c>
    </row>
    <row r="429">
      <c r="A429" s="12"/>
      <c r="B429" s="12"/>
      <c r="C429" s="12"/>
      <c r="D429" s="91">
        <f>IFERROR(__xludf.DUMMYFUNCTION("IFERROR(sum(filter('Основной эфир'!$AA:$AA, 'Основной эфир'!$B:$B=$A429,'Основной эфир'!$C:$C=$B429,'Основной эфир'!$I:$I=$C429)), 0) "),0.0)</f>
        <v>0</v>
      </c>
      <c r="E429" s="91">
        <f>IFERROR(__xludf.DUMMYFUNCTION("IFERROR(sum(filter('Основной эфир'!$AC:$AC, 'Основной эфир'!$B:$B=$A429,'Основной эфир'!$C:$C=$B429,'Основной эфир'!$I:$I=$C429)), 0) "),0.0)</f>
        <v>0</v>
      </c>
      <c r="F429" s="91">
        <f>IFERROR(__xludf.DUMMYFUNCTION("IFERROR(sum(filter('Основной эфир'!$O:$O, 'Основной эфир'!$B:$B=$A429,'Основной эфир'!$C:$C=$B429,'Основной эфир'!$I:$I=$C429)), 0) "),0.0)</f>
        <v>0</v>
      </c>
      <c r="G429" s="91">
        <f>IFERROR(__xludf.DUMMYFUNCTION("IFERROR(sum(filter('Основной эфир'!$Q:$Q, 'Основной эфир'!$B:$B=$A429,'Основной эфир'!$C:$C=$B429,'Основной эфир'!$I:$I=$C429)), 0) "),0.0)</f>
        <v>0</v>
      </c>
      <c r="H429" s="91">
        <f>IFERROR(__xludf.DUMMYFUNCTION("IFERROR(AVERAGE(filter('Основной эфир'!$Y:$Y, 'Основной эфир'!$B:$B=$A429,'Основной эфир'!$C:$C=$B429,'Основной эфир'!$I:$I=$C429)), 0) "),0.0)</f>
        <v>0</v>
      </c>
      <c r="I429" s="91">
        <f>IFERROR(__xludf.DUMMYFUNCTION("IFERROR(AVERAGE(filter('Основной эфир'!$AE:$AE, 'Основной эфир'!$B:$B=$A429,'Основной эфир'!$C:$C=$B429,'Основной эфир'!$I:$I=$C429)), 0) "),0.0)</f>
        <v>0</v>
      </c>
      <c r="J429" s="91">
        <f>IFERROR(__xludf.DUMMYFUNCTION("IFERROR(SUM(filter('Основной эфир'!$AL:$AL, 'Основной эфир'!$B:$B=$A429,'Основной эфир'!$C:$C=$B429,'Основной эфир'!$I:$I=$C429)), 0) "),0.0)</f>
        <v>0</v>
      </c>
      <c r="K429" s="91" t="str">
        <f>IFERROR(__xludf.DUMMYFUNCTION("IFERROR(REGEXREPLACE(unique(filter('Основной эфир'!$A:$A, 'Основной эфир'!$B:$B=$A429,'Основной эфир'!$C:$C=$B429,'Основной эфир'!$I:$I=$C429)), ""\d+"", """"),"""")"),"")</f>
        <v/>
      </c>
      <c r="L429" s="91" t="str">
        <f>IFERROR(__xludf.DUMMYFUNCTION("IFERROR(unique(filter('Основной эфир'!$F:$F, 'Основной эфир'!$B:$B=$A429,'Основной эфир'!$C:$C=$B429,'Основной эфир'!$I:$I=$C429)),"""")"),"")</f>
        <v/>
      </c>
      <c r="M429" s="92" t="str">
        <f t="shared" si="1"/>
        <v/>
      </c>
      <c r="N429" s="93">
        <f>IFERROR(__xludf.DUMMYFUNCTION("IFERROR(SWITCH(lower(join("" "",L429:M429)),""а миллионник"", 62.5,""б миллионник"", 75,""а мск"", 50, ""б мск"", 62.5, ""a остальное"", 70, ""б остальное"", 80)/100,0)"),0.0)</f>
        <v>0</v>
      </c>
      <c r="O429" s="91">
        <f t="shared" si="2"/>
        <v>0</v>
      </c>
      <c r="P429" s="91">
        <f>IFERROR(__xludf.DUMMYFUNCTION("IFERROR(sum(filter('Генеральный баннер'!$O:$O, 'Генеральный баннер'!$B:$B=$A429,'Генеральный баннер'!$C:$C=$B429,'Генеральный баннер'!$I:$I=$C429)), 0) "),0.0)</f>
        <v>0</v>
      </c>
      <c r="Q429" s="91">
        <f>IFERROR(__xludf.DUMMYFUNCTION("IFERROR(sum(filter('Генеральный баннер'!$Q:$Q, 'Генеральный баннер'!$B:$B=$A429,'Генеральный баннер'!$C:$C=$B429,'Генеральный баннер'!$I:$I=$C429)), 0) "),0.0)</f>
        <v>0</v>
      </c>
      <c r="R429" s="91">
        <f>IFERROR(__xludf.DUMMYFUNCTION("IFERROR(AVERAGE(filter('Генеральный баннер'!$AA:$AA, 'Генеральный баннер'!$B:$B=$A429,'Генеральный баннер'!$C:$C=$B429,'Генеральный баннер'!$I:$I=$C429)), 0) "),0.0)</f>
        <v>0</v>
      </c>
      <c r="S429" s="91">
        <f>IFERROR(__xludf.DUMMYFUNCTION("IFERROR(SUM(filter('Генеральный баннер'!$AH:$AH, 'Генеральный баннер'!$B:$B=$A429,'Генеральный баннер'!$C:$C=$B429,'Генеральный баннер'!$I:$I=$C429)), 0) "),0.0)</f>
        <v>0</v>
      </c>
      <c r="T429" s="91" t="str">
        <f>IFERROR(__xludf.DUMMYFUNCTION("IFERROR(REGEXREPLACE(unique(filter('Генеральный баннер'!$A:$A, 'Генеральный баннер'!$B:$B=$A429,'Генеральный баннер'!$C:$C=$B429,'Генеральный баннер'!$I:$I=$C429)), ""\d+"", """"),"""")"),"")</f>
        <v/>
      </c>
      <c r="U429" s="91" t="str">
        <f>IFERROR(__xludf.DUMMYFUNCTION("IFERROR(unique(filter('Генеральный баннер'!$F:$F, 'Генеральный баннер'!$B:$B=$A429,'Генеральный баннер'!$C:$C=$B429,'Генеральный баннер'!$I:$I=$C429)),"""")"),"")</f>
        <v/>
      </c>
      <c r="V429" s="92" t="str">
        <f t="shared" si="3"/>
        <v/>
      </c>
      <c r="W429" s="93">
        <f>IFERROR(__xludf.DUMMYFUNCTION("IFERROR(SWITCH(lower(join("" "",U429:V429)),""а миллионник"", 62.5,""б миллионник"", 75,""а мск"", 50, ""б мск"", 62.5, ""a остальное"", 70, ""б остальное"", 80)/100,0)"),0.0)</f>
        <v>0</v>
      </c>
      <c r="X429" s="91">
        <f t="shared" si="4"/>
        <v>0</v>
      </c>
    </row>
    <row r="430">
      <c r="A430" s="12"/>
      <c r="B430" s="12"/>
      <c r="C430" s="12"/>
      <c r="D430" s="91">
        <f>IFERROR(__xludf.DUMMYFUNCTION("IFERROR(sum(filter('Основной эфир'!$AA:$AA, 'Основной эфир'!$B:$B=$A430,'Основной эфир'!$C:$C=$B430,'Основной эфир'!$I:$I=$C430)), 0) "),0.0)</f>
        <v>0</v>
      </c>
      <c r="E430" s="91">
        <f>IFERROR(__xludf.DUMMYFUNCTION("IFERROR(sum(filter('Основной эфир'!$AC:$AC, 'Основной эфир'!$B:$B=$A430,'Основной эфир'!$C:$C=$B430,'Основной эфир'!$I:$I=$C430)), 0) "),0.0)</f>
        <v>0</v>
      </c>
      <c r="F430" s="91">
        <f>IFERROR(__xludf.DUMMYFUNCTION("IFERROR(sum(filter('Основной эфир'!$O:$O, 'Основной эфир'!$B:$B=$A430,'Основной эфир'!$C:$C=$B430,'Основной эфир'!$I:$I=$C430)), 0) "),0.0)</f>
        <v>0</v>
      </c>
      <c r="G430" s="91">
        <f>IFERROR(__xludf.DUMMYFUNCTION("IFERROR(sum(filter('Основной эфир'!$Q:$Q, 'Основной эфир'!$B:$B=$A430,'Основной эфир'!$C:$C=$B430,'Основной эфир'!$I:$I=$C430)), 0) "),0.0)</f>
        <v>0</v>
      </c>
      <c r="H430" s="91">
        <f>IFERROR(__xludf.DUMMYFUNCTION("IFERROR(AVERAGE(filter('Основной эфир'!$Y:$Y, 'Основной эфир'!$B:$B=$A430,'Основной эфир'!$C:$C=$B430,'Основной эфир'!$I:$I=$C430)), 0) "),0.0)</f>
        <v>0</v>
      </c>
      <c r="I430" s="91">
        <f>IFERROR(__xludf.DUMMYFUNCTION("IFERROR(AVERAGE(filter('Основной эфир'!$AE:$AE, 'Основной эфир'!$B:$B=$A430,'Основной эфир'!$C:$C=$B430,'Основной эфир'!$I:$I=$C430)), 0) "),0.0)</f>
        <v>0</v>
      </c>
      <c r="J430" s="91">
        <f>IFERROR(__xludf.DUMMYFUNCTION("IFERROR(SUM(filter('Основной эфир'!$AL:$AL, 'Основной эфир'!$B:$B=$A430,'Основной эфир'!$C:$C=$B430,'Основной эфир'!$I:$I=$C430)), 0) "),0.0)</f>
        <v>0</v>
      </c>
      <c r="K430" s="91" t="str">
        <f>IFERROR(__xludf.DUMMYFUNCTION("IFERROR(REGEXREPLACE(unique(filter('Основной эфир'!$A:$A, 'Основной эфир'!$B:$B=$A430,'Основной эфир'!$C:$C=$B430,'Основной эфир'!$I:$I=$C430)), ""\d+"", """"),"""")"),"")</f>
        <v/>
      </c>
      <c r="L430" s="91" t="str">
        <f>IFERROR(__xludf.DUMMYFUNCTION("IFERROR(unique(filter('Основной эфир'!$F:$F, 'Основной эфир'!$B:$B=$A430,'Основной эфир'!$C:$C=$B430,'Основной эфир'!$I:$I=$C430)),"""")"),"")</f>
        <v/>
      </c>
      <c r="M430" s="92" t="str">
        <f t="shared" si="1"/>
        <v/>
      </c>
      <c r="N430" s="93">
        <f>IFERROR(__xludf.DUMMYFUNCTION("IFERROR(SWITCH(lower(join("" "",L430:M430)),""а миллионник"", 62.5,""б миллионник"", 75,""а мск"", 50, ""б мск"", 62.5, ""a остальное"", 70, ""б остальное"", 80)/100,0)"),0.0)</f>
        <v>0</v>
      </c>
      <c r="O430" s="91">
        <f t="shared" si="2"/>
        <v>0</v>
      </c>
      <c r="P430" s="91">
        <f>IFERROR(__xludf.DUMMYFUNCTION("IFERROR(sum(filter('Генеральный баннер'!$O:$O, 'Генеральный баннер'!$B:$B=$A430,'Генеральный баннер'!$C:$C=$B430,'Генеральный баннер'!$I:$I=$C430)), 0) "),0.0)</f>
        <v>0</v>
      </c>
      <c r="Q430" s="91">
        <f>IFERROR(__xludf.DUMMYFUNCTION("IFERROR(sum(filter('Генеральный баннер'!$Q:$Q, 'Генеральный баннер'!$B:$B=$A430,'Генеральный баннер'!$C:$C=$B430,'Генеральный баннер'!$I:$I=$C430)), 0) "),0.0)</f>
        <v>0</v>
      </c>
      <c r="R430" s="91">
        <f>IFERROR(__xludf.DUMMYFUNCTION("IFERROR(AVERAGE(filter('Генеральный баннер'!$AA:$AA, 'Генеральный баннер'!$B:$B=$A430,'Генеральный баннер'!$C:$C=$B430,'Генеральный баннер'!$I:$I=$C430)), 0) "),0.0)</f>
        <v>0</v>
      </c>
      <c r="S430" s="91">
        <f>IFERROR(__xludf.DUMMYFUNCTION("IFERROR(SUM(filter('Генеральный баннер'!$AH:$AH, 'Генеральный баннер'!$B:$B=$A430,'Генеральный баннер'!$C:$C=$B430,'Генеральный баннер'!$I:$I=$C430)), 0) "),0.0)</f>
        <v>0</v>
      </c>
      <c r="T430" s="91" t="str">
        <f>IFERROR(__xludf.DUMMYFUNCTION("IFERROR(REGEXREPLACE(unique(filter('Генеральный баннер'!$A:$A, 'Генеральный баннер'!$B:$B=$A430,'Генеральный баннер'!$C:$C=$B430,'Генеральный баннер'!$I:$I=$C430)), ""\d+"", """"),"""")"),"")</f>
        <v/>
      </c>
      <c r="U430" s="91" t="str">
        <f>IFERROR(__xludf.DUMMYFUNCTION("IFERROR(unique(filter('Генеральный баннер'!$F:$F, 'Генеральный баннер'!$B:$B=$A430,'Генеральный баннер'!$C:$C=$B430,'Генеральный баннер'!$I:$I=$C430)),"""")"),"")</f>
        <v/>
      </c>
      <c r="V430" s="92" t="str">
        <f t="shared" si="3"/>
        <v/>
      </c>
      <c r="W430" s="93">
        <f>IFERROR(__xludf.DUMMYFUNCTION("IFERROR(SWITCH(lower(join("" "",U430:V430)),""а миллионник"", 62.5,""б миллионник"", 75,""а мск"", 50, ""б мск"", 62.5, ""a остальное"", 70, ""б остальное"", 80)/100,0)"),0.0)</f>
        <v>0</v>
      </c>
      <c r="X430" s="91">
        <f t="shared" si="4"/>
        <v>0</v>
      </c>
    </row>
    <row r="431">
      <c r="A431" s="12"/>
      <c r="B431" s="12"/>
      <c r="C431" s="12"/>
      <c r="D431" s="91">
        <f>IFERROR(__xludf.DUMMYFUNCTION("IFERROR(sum(filter('Основной эфир'!$AA:$AA, 'Основной эфир'!$B:$B=$A431,'Основной эфир'!$C:$C=$B431,'Основной эфир'!$I:$I=$C431)), 0) "),0.0)</f>
        <v>0</v>
      </c>
      <c r="E431" s="91">
        <f>IFERROR(__xludf.DUMMYFUNCTION("IFERROR(sum(filter('Основной эфир'!$AC:$AC, 'Основной эфир'!$B:$B=$A431,'Основной эфир'!$C:$C=$B431,'Основной эфир'!$I:$I=$C431)), 0) "),0.0)</f>
        <v>0</v>
      </c>
      <c r="F431" s="91">
        <f>IFERROR(__xludf.DUMMYFUNCTION("IFERROR(sum(filter('Основной эфир'!$O:$O, 'Основной эфир'!$B:$B=$A431,'Основной эфир'!$C:$C=$B431,'Основной эфир'!$I:$I=$C431)), 0) "),0.0)</f>
        <v>0</v>
      </c>
      <c r="G431" s="91">
        <f>IFERROR(__xludf.DUMMYFUNCTION("IFERROR(sum(filter('Основной эфир'!$Q:$Q, 'Основной эфир'!$B:$B=$A431,'Основной эфир'!$C:$C=$B431,'Основной эфир'!$I:$I=$C431)), 0) "),0.0)</f>
        <v>0</v>
      </c>
      <c r="H431" s="91">
        <f>IFERROR(__xludf.DUMMYFUNCTION("IFERROR(AVERAGE(filter('Основной эфир'!$Y:$Y, 'Основной эфир'!$B:$B=$A431,'Основной эфир'!$C:$C=$B431,'Основной эфир'!$I:$I=$C431)), 0) "),0.0)</f>
        <v>0</v>
      </c>
      <c r="I431" s="91">
        <f>IFERROR(__xludf.DUMMYFUNCTION("IFERROR(AVERAGE(filter('Основной эфир'!$AE:$AE, 'Основной эфир'!$B:$B=$A431,'Основной эфир'!$C:$C=$B431,'Основной эфир'!$I:$I=$C431)), 0) "),0.0)</f>
        <v>0</v>
      </c>
      <c r="J431" s="91">
        <f>IFERROR(__xludf.DUMMYFUNCTION("IFERROR(SUM(filter('Основной эфир'!$AL:$AL, 'Основной эфир'!$B:$B=$A431,'Основной эфир'!$C:$C=$B431,'Основной эфир'!$I:$I=$C431)), 0) "),0.0)</f>
        <v>0</v>
      </c>
      <c r="K431" s="91" t="str">
        <f>IFERROR(__xludf.DUMMYFUNCTION("IFERROR(REGEXREPLACE(unique(filter('Основной эфир'!$A:$A, 'Основной эфир'!$B:$B=$A431,'Основной эфир'!$C:$C=$B431,'Основной эфир'!$I:$I=$C431)), ""\d+"", """"),"""")"),"")</f>
        <v/>
      </c>
      <c r="L431" s="91" t="str">
        <f>IFERROR(__xludf.DUMMYFUNCTION("IFERROR(unique(filter('Основной эфир'!$F:$F, 'Основной эфир'!$B:$B=$A431,'Основной эфир'!$C:$C=$B431,'Основной эфир'!$I:$I=$C431)),"""")"),"")</f>
        <v/>
      </c>
      <c r="M431" s="92" t="str">
        <f t="shared" si="1"/>
        <v/>
      </c>
      <c r="N431" s="93">
        <f>IFERROR(__xludf.DUMMYFUNCTION("IFERROR(SWITCH(lower(join("" "",L431:M431)),""а миллионник"", 62.5,""б миллионник"", 75,""а мск"", 50, ""б мск"", 62.5, ""a остальное"", 70, ""б остальное"", 80)/100,0)"),0.0)</f>
        <v>0</v>
      </c>
      <c r="O431" s="91">
        <f t="shared" si="2"/>
        <v>0</v>
      </c>
      <c r="P431" s="91">
        <f>IFERROR(__xludf.DUMMYFUNCTION("IFERROR(sum(filter('Генеральный баннер'!$O:$O, 'Генеральный баннер'!$B:$B=$A431,'Генеральный баннер'!$C:$C=$B431,'Генеральный баннер'!$I:$I=$C431)), 0) "),0.0)</f>
        <v>0</v>
      </c>
      <c r="Q431" s="91">
        <f>IFERROR(__xludf.DUMMYFUNCTION("IFERROR(sum(filter('Генеральный баннер'!$Q:$Q, 'Генеральный баннер'!$B:$B=$A431,'Генеральный баннер'!$C:$C=$B431,'Генеральный баннер'!$I:$I=$C431)), 0) "),0.0)</f>
        <v>0</v>
      </c>
      <c r="R431" s="91">
        <f>IFERROR(__xludf.DUMMYFUNCTION("IFERROR(AVERAGE(filter('Генеральный баннер'!$AA:$AA, 'Генеральный баннер'!$B:$B=$A431,'Генеральный баннер'!$C:$C=$B431,'Генеральный баннер'!$I:$I=$C431)), 0) "),0.0)</f>
        <v>0</v>
      </c>
      <c r="S431" s="91">
        <f>IFERROR(__xludf.DUMMYFUNCTION("IFERROR(SUM(filter('Генеральный баннер'!$AH:$AH, 'Генеральный баннер'!$B:$B=$A431,'Генеральный баннер'!$C:$C=$B431,'Генеральный баннер'!$I:$I=$C431)), 0) "),0.0)</f>
        <v>0</v>
      </c>
      <c r="T431" s="91" t="str">
        <f>IFERROR(__xludf.DUMMYFUNCTION("IFERROR(REGEXREPLACE(unique(filter('Генеральный баннер'!$A:$A, 'Генеральный баннер'!$B:$B=$A431,'Генеральный баннер'!$C:$C=$B431,'Генеральный баннер'!$I:$I=$C431)), ""\d+"", """"),"""")"),"")</f>
        <v/>
      </c>
      <c r="U431" s="91" t="str">
        <f>IFERROR(__xludf.DUMMYFUNCTION("IFERROR(unique(filter('Генеральный баннер'!$F:$F, 'Генеральный баннер'!$B:$B=$A431,'Генеральный баннер'!$C:$C=$B431,'Генеральный баннер'!$I:$I=$C431)),"""")"),"")</f>
        <v/>
      </c>
      <c r="V431" s="92" t="str">
        <f t="shared" si="3"/>
        <v/>
      </c>
      <c r="W431" s="93">
        <f>IFERROR(__xludf.DUMMYFUNCTION("IFERROR(SWITCH(lower(join("" "",U431:V431)),""а миллионник"", 62.5,""б миллионник"", 75,""а мск"", 50, ""б мск"", 62.5, ""a остальное"", 70, ""б остальное"", 80)/100,0)"),0.0)</f>
        <v>0</v>
      </c>
      <c r="X431" s="91">
        <f t="shared" si="4"/>
        <v>0</v>
      </c>
    </row>
    <row r="432">
      <c r="A432" s="12"/>
      <c r="B432" s="12"/>
      <c r="C432" s="12"/>
      <c r="D432" s="91">
        <f>IFERROR(__xludf.DUMMYFUNCTION("IFERROR(sum(filter('Основной эфир'!$AA:$AA, 'Основной эфир'!$B:$B=$A432,'Основной эфир'!$C:$C=$B432,'Основной эфир'!$I:$I=$C432)), 0) "),0.0)</f>
        <v>0</v>
      </c>
      <c r="E432" s="91">
        <f>IFERROR(__xludf.DUMMYFUNCTION("IFERROR(sum(filter('Основной эфир'!$AC:$AC, 'Основной эфир'!$B:$B=$A432,'Основной эфир'!$C:$C=$B432,'Основной эфир'!$I:$I=$C432)), 0) "),0.0)</f>
        <v>0</v>
      </c>
      <c r="F432" s="91">
        <f>IFERROR(__xludf.DUMMYFUNCTION("IFERROR(sum(filter('Основной эфир'!$O:$O, 'Основной эфир'!$B:$B=$A432,'Основной эфир'!$C:$C=$B432,'Основной эфир'!$I:$I=$C432)), 0) "),0.0)</f>
        <v>0</v>
      </c>
      <c r="G432" s="91">
        <f>IFERROR(__xludf.DUMMYFUNCTION("IFERROR(sum(filter('Основной эфир'!$Q:$Q, 'Основной эфир'!$B:$B=$A432,'Основной эфир'!$C:$C=$B432,'Основной эфир'!$I:$I=$C432)), 0) "),0.0)</f>
        <v>0</v>
      </c>
      <c r="H432" s="91">
        <f>IFERROR(__xludf.DUMMYFUNCTION("IFERROR(AVERAGE(filter('Основной эфир'!$Y:$Y, 'Основной эфир'!$B:$B=$A432,'Основной эфир'!$C:$C=$B432,'Основной эфир'!$I:$I=$C432)), 0) "),0.0)</f>
        <v>0</v>
      </c>
      <c r="I432" s="91">
        <f>IFERROR(__xludf.DUMMYFUNCTION("IFERROR(AVERAGE(filter('Основной эфир'!$AE:$AE, 'Основной эфир'!$B:$B=$A432,'Основной эфир'!$C:$C=$B432,'Основной эфир'!$I:$I=$C432)), 0) "),0.0)</f>
        <v>0</v>
      </c>
      <c r="J432" s="91">
        <f>IFERROR(__xludf.DUMMYFUNCTION("IFERROR(SUM(filter('Основной эфир'!$AL:$AL, 'Основной эфир'!$B:$B=$A432,'Основной эфир'!$C:$C=$B432,'Основной эфир'!$I:$I=$C432)), 0) "),0.0)</f>
        <v>0</v>
      </c>
      <c r="K432" s="91" t="str">
        <f>IFERROR(__xludf.DUMMYFUNCTION("IFERROR(REGEXREPLACE(unique(filter('Основной эфир'!$A:$A, 'Основной эфир'!$B:$B=$A432,'Основной эфир'!$C:$C=$B432,'Основной эфир'!$I:$I=$C432)), ""\d+"", """"),"""")"),"")</f>
        <v/>
      </c>
      <c r="L432" s="91" t="str">
        <f>IFERROR(__xludf.DUMMYFUNCTION("IFERROR(unique(filter('Основной эфир'!$F:$F, 'Основной эфир'!$B:$B=$A432,'Основной эфир'!$C:$C=$B432,'Основной эфир'!$I:$I=$C432)),"""")"),"")</f>
        <v/>
      </c>
      <c r="M432" s="92" t="str">
        <f t="shared" si="1"/>
        <v/>
      </c>
      <c r="N432" s="93">
        <f>IFERROR(__xludf.DUMMYFUNCTION("IFERROR(SWITCH(lower(join("" "",L432:M432)),""а миллионник"", 62.5,""б миллионник"", 75,""а мск"", 50, ""б мск"", 62.5, ""a остальное"", 70, ""б остальное"", 80)/100,0)"),0.0)</f>
        <v>0</v>
      </c>
      <c r="O432" s="91">
        <f t="shared" si="2"/>
        <v>0</v>
      </c>
      <c r="P432" s="91">
        <f>IFERROR(__xludf.DUMMYFUNCTION("IFERROR(sum(filter('Генеральный баннер'!$O:$O, 'Генеральный баннер'!$B:$B=$A432,'Генеральный баннер'!$C:$C=$B432,'Генеральный баннер'!$I:$I=$C432)), 0) "),0.0)</f>
        <v>0</v>
      </c>
      <c r="Q432" s="91">
        <f>IFERROR(__xludf.DUMMYFUNCTION("IFERROR(sum(filter('Генеральный баннер'!$Q:$Q, 'Генеральный баннер'!$B:$B=$A432,'Генеральный баннер'!$C:$C=$B432,'Генеральный баннер'!$I:$I=$C432)), 0) "),0.0)</f>
        <v>0</v>
      </c>
      <c r="R432" s="91">
        <f>IFERROR(__xludf.DUMMYFUNCTION("IFERROR(AVERAGE(filter('Генеральный баннер'!$AA:$AA, 'Генеральный баннер'!$B:$B=$A432,'Генеральный баннер'!$C:$C=$B432,'Генеральный баннер'!$I:$I=$C432)), 0) "),0.0)</f>
        <v>0</v>
      </c>
      <c r="S432" s="91">
        <f>IFERROR(__xludf.DUMMYFUNCTION("IFERROR(SUM(filter('Генеральный баннер'!$AH:$AH, 'Генеральный баннер'!$B:$B=$A432,'Генеральный баннер'!$C:$C=$B432,'Генеральный баннер'!$I:$I=$C432)), 0) "),0.0)</f>
        <v>0</v>
      </c>
      <c r="T432" s="91" t="str">
        <f>IFERROR(__xludf.DUMMYFUNCTION("IFERROR(REGEXREPLACE(unique(filter('Генеральный баннер'!$A:$A, 'Генеральный баннер'!$B:$B=$A432,'Генеральный баннер'!$C:$C=$B432,'Генеральный баннер'!$I:$I=$C432)), ""\d+"", """"),"""")"),"")</f>
        <v/>
      </c>
      <c r="U432" s="91" t="str">
        <f>IFERROR(__xludf.DUMMYFUNCTION("IFERROR(unique(filter('Генеральный баннер'!$F:$F, 'Генеральный баннер'!$B:$B=$A432,'Генеральный баннер'!$C:$C=$B432,'Генеральный баннер'!$I:$I=$C432)),"""")"),"")</f>
        <v/>
      </c>
      <c r="V432" s="92" t="str">
        <f t="shared" si="3"/>
        <v/>
      </c>
      <c r="W432" s="93">
        <f>IFERROR(__xludf.DUMMYFUNCTION("IFERROR(SWITCH(lower(join("" "",U432:V432)),""а миллионник"", 62.5,""б миллионник"", 75,""а мск"", 50, ""б мск"", 62.5, ""a остальное"", 70, ""б остальное"", 80)/100,0)"),0.0)</f>
        <v>0</v>
      </c>
      <c r="X432" s="91">
        <f t="shared" si="4"/>
        <v>0</v>
      </c>
    </row>
    <row r="433">
      <c r="A433" s="12"/>
      <c r="B433" s="12"/>
      <c r="C433" s="12"/>
      <c r="D433" s="91">
        <f>IFERROR(__xludf.DUMMYFUNCTION("IFERROR(sum(filter('Основной эфир'!$AA:$AA, 'Основной эфир'!$B:$B=$A433,'Основной эфир'!$C:$C=$B433,'Основной эфир'!$I:$I=$C433)), 0) "),0.0)</f>
        <v>0</v>
      </c>
      <c r="E433" s="91">
        <f>IFERROR(__xludf.DUMMYFUNCTION("IFERROR(sum(filter('Основной эфир'!$AC:$AC, 'Основной эфир'!$B:$B=$A433,'Основной эфир'!$C:$C=$B433,'Основной эфир'!$I:$I=$C433)), 0) "),0.0)</f>
        <v>0</v>
      </c>
      <c r="F433" s="91">
        <f>IFERROR(__xludf.DUMMYFUNCTION("IFERROR(sum(filter('Основной эфир'!$O:$O, 'Основной эфир'!$B:$B=$A433,'Основной эфир'!$C:$C=$B433,'Основной эфир'!$I:$I=$C433)), 0) "),0.0)</f>
        <v>0</v>
      </c>
      <c r="G433" s="91">
        <f>IFERROR(__xludf.DUMMYFUNCTION("IFERROR(sum(filter('Основной эфир'!$Q:$Q, 'Основной эфир'!$B:$B=$A433,'Основной эфир'!$C:$C=$B433,'Основной эфир'!$I:$I=$C433)), 0) "),0.0)</f>
        <v>0</v>
      </c>
      <c r="H433" s="91">
        <f>IFERROR(__xludf.DUMMYFUNCTION("IFERROR(AVERAGE(filter('Основной эфир'!$Y:$Y, 'Основной эфир'!$B:$B=$A433,'Основной эфир'!$C:$C=$B433,'Основной эфир'!$I:$I=$C433)), 0) "),0.0)</f>
        <v>0</v>
      </c>
      <c r="I433" s="91">
        <f>IFERROR(__xludf.DUMMYFUNCTION("IFERROR(AVERAGE(filter('Основной эфир'!$AE:$AE, 'Основной эфир'!$B:$B=$A433,'Основной эфир'!$C:$C=$B433,'Основной эфир'!$I:$I=$C433)), 0) "),0.0)</f>
        <v>0</v>
      </c>
      <c r="J433" s="91">
        <f>IFERROR(__xludf.DUMMYFUNCTION("IFERROR(SUM(filter('Основной эфир'!$AL:$AL, 'Основной эфир'!$B:$B=$A433,'Основной эфир'!$C:$C=$B433,'Основной эфир'!$I:$I=$C433)), 0) "),0.0)</f>
        <v>0</v>
      </c>
      <c r="K433" s="91" t="str">
        <f>IFERROR(__xludf.DUMMYFUNCTION("IFERROR(REGEXREPLACE(unique(filter('Основной эфир'!$A:$A, 'Основной эфир'!$B:$B=$A433,'Основной эфир'!$C:$C=$B433,'Основной эфир'!$I:$I=$C433)), ""\d+"", """"),"""")"),"")</f>
        <v/>
      </c>
      <c r="L433" s="91" t="str">
        <f>IFERROR(__xludf.DUMMYFUNCTION("IFERROR(unique(filter('Основной эфир'!$F:$F, 'Основной эфир'!$B:$B=$A433,'Основной эфир'!$C:$C=$B433,'Основной эфир'!$I:$I=$C433)),"""")"),"")</f>
        <v/>
      </c>
      <c r="M433" s="92" t="str">
        <f t="shared" si="1"/>
        <v/>
      </c>
      <c r="N433" s="93">
        <f>IFERROR(__xludf.DUMMYFUNCTION("IFERROR(SWITCH(lower(join("" "",L433:M433)),""а миллионник"", 62.5,""б миллионник"", 75,""а мск"", 50, ""б мск"", 62.5, ""a остальное"", 70, ""б остальное"", 80)/100,0)"),0.0)</f>
        <v>0</v>
      </c>
      <c r="O433" s="91">
        <f t="shared" si="2"/>
        <v>0</v>
      </c>
      <c r="P433" s="91">
        <f>IFERROR(__xludf.DUMMYFUNCTION("IFERROR(sum(filter('Генеральный баннер'!$O:$O, 'Генеральный баннер'!$B:$B=$A433,'Генеральный баннер'!$C:$C=$B433,'Генеральный баннер'!$I:$I=$C433)), 0) "),0.0)</f>
        <v>0</v>
      </c>
      <c r="Q433" s="91">
        <f>IFERROR(__xludf.DUMMYFUNCTION("IFERROR(sum(filter('Генеральный баннер'!$Q:$Q, 'Генеральный баннер'!$B:$B=$A433,'Генеральный баннер'!$C:$C=$B433,'Генеральный баннер'!$I:$I=$C433)), 0) "),0.0)</f>
        <v>0</v>
      </c>
      <c r="R433" s="91">
        <f>IFERROR(__xludf.DUMMYFUNCTION("IFERROR(AVERAGE(filter('Генеральный баннер'!$AA:$AA, 'Генеральный баннер'!$B:$B=$A433,'Генеральный баннер'!$C:$C=$B433,'Генеральный баннер'!$I:$I=$C433)), 0) "),0.0)</f>
        <v>0</v>
      </c>
      <c r="S433" s="91">
        <f>IFERROR(__xludf.DUMMYFUNCTION("IFERROR(SUM(filter('Генеральный баннер'!$AH:$AH, 'Генеральный баннер'!$B:$B=$A433,'Генеральный баннер'!$C:$C=$B433,'Генеральный баннер'!$I:$I=$C433)), 0) "),0.0)</f>
        <v>0</v>
      </c>
      <c r="T433" s="91" t="str">
        <f>IFERROR(__xludf.DUMMYFUNCTION("IFERROR(REGEXREPLACE(unique(filter('Генеральный баннер'!$A:$A, 'Генеральный баннер'!$B:$B=$A433,'Генеральный баннер'!$C:$C=$B433,'Генеральный баннер'!$I:$I=$C433)), ""\d+"", """"),"""")"),"")</f>
        <v/>
      </c>
      <c r="U433" s="91" t="str">
        <f>IFERROR(__xludf.DUMMYFUNCTION("IFERROR(unique(filter('Генеральный баннер'!$F:$F, 'Генеральный баннер'!$B:$B=$A433,'Генеральный баннер'!$C:$C=$B433,'Генеральный баннер'!$I:$I=$C433)),"""")"),"")</f>
        <v/>
      </c>
      <c r="V433" s="92" t="str">
        <f t="shared" si="3"/>
        <v/>
      </c>
      <c r="W433" s="93">
        <f>IFERROR(__xludf.DUMMYFUNCTION("IFERROR(SWITCH(lower(join("" "",U433:V433)),""а миллионник"", 62.5,""б миллионник"", 75,""а мск"", 50, ""б мск"", 62.5, ""a остальное"", 70, ""б остальное"", 80)/100,0)"),0.0)</f>
        <v>0</v>
      </c>
      <c r="X433" s="91">
        <f t="shared" si="4"/>
        <v>0</v>
      </c>
    </row>
    <row r="434">
      <c r="A434" s="12"/>
      <c r="B434" s="12"/>
      <c r="C434" s="12"/>
      <c r="D434" s="91">
        <f>IFERROR(__xludf.DUMMYFUNCTION("IFERROR(sum(filter('Основной эфир'!$AA:$AA, 'Основной эфир'!$B:$B=$A434,'Основной эфир'!$C:$C=$B434,'Основной эфир'!$I:$I=$C434)), 0) "),0.0)</f>
        <v>0</v>
      </c>
      <c r="E434" s="91">
        <f>IFERROR(__xludf.DUMMYFUNCTION("IFERROR(sum(filter('Основной эфир'!$AC:$AC, 'Основной эфир'!$B:$B=$A434,'Основной эфир'!$C:$C=$B434,'Основной эфир'!$I:$I=$C434)), 0) "),0.0)</f>
        <v>0</v>
      </c>
      <c r="F434" s="91">
        <f>IFERROR(__xludf.DUMMYFUNCTION("IFERROR(sum(filter('Основной эфир'!$O:$O, 'Основной эфир'!$B:$B=$A434,'Основной эфир'!$C:$C=$B434,'Основной эфир'!$I:$I=$C434)), 0) "),0.0)</f>
        <v>0</v>
      </c>
      <c r="G434" s="91">
        <f>IFERROR(__xludf.DUMMYFUNCTION("IFERROR(sum(filter('Основной эфир'!$Q:$Q, 'Основной эфир'!$B:$B=$A434,'Основной эфир'!$C:$C=$B434,'Основной эфир'!$I:$I=$C434)), 0) "),0.0)</f>
        <v>0</v>
      </c>
      <c r="H434" s="91">
        <f>IFERROR(__xludf.DUMMYFUNCTION("IFERROR(AVERAGE(filter('Основной эфир'!$Y:$Y, 'Основной эфир'!$B:$B=$A434,'Основной эфир'!$C:$C=$B434,'Основной эфир'!$I:$I=$C434)), 0) "),0.0)</f>
        <v>0</v>
      </c>
      <c r="I434" s="91">
        <f>IFERROR(__xludf.DUMMYFUNCTION("IFERROR(AVERAGE(filter('Основной эфир'!$AE:$AE, 'Основной эфир'!$B:$B=$A434,'Основной эфир'!$C:$C=$B434,'Основной эфир'!$I:$I=$C434)), 0) "),0.0)</f>
        <v>0</v>
      </c>
      <c r="J434" s="91">
        <f>IFERROR(__xludf.DUMMYFUNCTION("IFERROR(SUM(filter('Основной эфир'!$AL:$AL, 'Основной эфир'!$B:$B=$A434,'Основной эфир'!$C:$C=$B434,'Основной эфир'!$I:$I=$C434)), 0) "),0.0)</f>
        <v>0</v>
      </c>
      <c r="K434" s="91" t="str">
        <f>IFERROR(__xludf.DUMMYFUNCTION("IFERROR(REGEXREPLACE(unique(filter('Основной эфир'!$A:$A, 'Основной эфир'!$B:$B=$A434,'Основной эфир'!$C:$C=$B434,'Основной эфир'!$I:$I=$C434)), ""\d+"", """"),"""")"),"")</f>
        <v/>
      </c>
      <c r="L434" s="91" t="str">
        <f>IFERROR(__xludf.DUMMYFUNCTION("IFERROR(unique(filter('Основной эфир'!$F:$F, 'Основной эфир'!$B:$B=$A434,'Основной эфир'!$C:$C=$B434,'Основной эфир'!$I:$I=$C434)),"""")"),"")</f>
        <v/>
      </c>
      <c r="M434" s="92" t="str">
        <f t="shared" si="1"/>
        <v/>
      </c>
      <c r="N434" s="93">
        <f>IFERROR(__xludf.DUMMYFUNCTION("IFERROR(SWITCH(lower(join("" "",L434:M434)),""а миллионник"", 62.5,""б миллионник"", 75,""а мск"", 50, ""б мск"", 62.5, ""a остальное"", 70, ""б остальное"", 80)/100,0)"),0.0)</f>
        <v>0</v>
      </c>
      <c r="O434" s="91">
        <f t="shared" si="2"/>
        <v>0</v>
      </c>
      <c r="P434" s="91">
        <f>IFERROR(__xludf.DUMMYFUNCTION("IFERROR(sum(filter('Генеральный баннер'!$O:$O, 'Генеральный баннер'!$B:$B=$A434,'Генеральный баннер'!$C:$C=$B434,'Генеральный баннер'!$I:$I=$C434)), 0) "),0.0)</f>
        <v>0</v>
      </c>
      <c r="Q434" s="91">
        <f>IFERROR(__xludf.DUMMYFUNCTION("IFERROR(sum(filter('Генеральный баннер'!$Q:$Q, 'Генеральный баннер'!$B:$B=$A434,'Генеральный баннер'!$C:$C=$B434,'Генеральный баннер'!$I:$I=$C434)), 0) "),0.0)</f>
        <v>0</v>
      </c>
      <c r="R434" s="91">
        <f>IFERROR(__xludf.DUMMYFUNCTION("IFERROR(AVERAGE(filter('Генеральный баннер'!$AA:$AA, 'Генеральный баннер'!$B:$B=$A434,'Генеральный баннер'!$C:$C=$B434,'Генеральный баннер'!$I:$I=$C434)), 0) "),0.0)</f>
        <v>0</v>
      </c>
      <c r="S434" s="91">
        <f>IFERROR(__xludf.DUMMYFUNCTION("IFERROR(SUM(filter('Генеральный баннер'!$AH:$AH, 'Генеральный баннер'!$B:$B=$A434,'Генеральный баннер'!$C:$C=$B434,'Генеральный баннер'!$I:$I=$C434)), 0) "),0.0)</f>
        <v>0</v>
      </c>
      <c r="T434" s="91" t="str">
        <f>IFERROR(__xludf.DUMMYFUNCTION("IFERROR(REGEXREPLACE(unique(filter('Генеральный баннер'!$A:$A, 'Генеральный баннер'!$B:$B=$A434,'Генеральный баннер'!$C:$C=$B434,'Генеральный баннер'!$I:$I=$C434)), ""\d+"", """"),"""")"),"")</f>
        <v/>
      </c>
      <c r="U434" s="91" t="str">
        <f>IFERROR(__xludf.DUMMYFUNCTION("IFERROR(unique(filter('Генеральный баннер'!$F:$F, 'Генеральный баннер'!$B:$B=$A434,'Генеральный баннер'!$C:$C=$B434,'Генеральный баннер'!$I:$I=$C434)),"""")"),"")</f>
        <v/>
      </c>
      <c r="V434" s="92" t="str">
        <f t="shared" si="3"/>
        <v/>
      </c>
      <c r="W434" s="93">
        <f>IFERROR(__xludf.DUMMYFUNCTION("IFERROR(SWITCH(lower(join("" "",U434:V434)),""а миллионник"", 62.5,""б миллионник"", 75,""а мск"", 50, ""б мск"", 62.5, ""a остальное"", 70, ""б остальное"", 80)/100,0)"),0.0)</f>
        <v>0</v>
      </c>
      <c r="X434" s="91">
        <f t="shared" si="4"/>
        <v>0</v>
      </c>
    </row>
    <row r="435">
      <c r="A435" s="12"/>
      <c r="B435" s="12"/>
      <c r="C435" s="12"/>
      <c r="D435" s="91">
        <f>IFERROR(__xludf.DUMMYFUNCTION("IFERROR(sum(filter('Основной эфир'!$AA:$AA, 'Основной эфир'!$B:$B=$A435,'Основной эфир'!$C:$C=$B435,'Основной эфир'!$I:$I=$C435)), 0) "),0.0)</f>
        <v>0</v>
      </c>
      <c r="E435" s="91">
        <f>IFERROR(__xludf.DUMMYFUNCTION("IFERROR(sum(filter('Основной эфир'!$AC:$AC, 'Основной эфир'!$B:$B=$A435,'Основной эфир'!$C:$C=$B435,'Основной эфир'!$I:$I=$C435)), 0) "),0.0)</f>
        <v>0</v>
      </c>
      <c r="F435" s="91">
        <f>IFERROR(__xludf.DUMMYFUNCTION("IFERROR(sum(filter('Основной эфир'!$O:$O, 'Основной эфир'!$B:$B=$A435,'Основной эфир'!$C:$C=$B435,'Основной эфир'!$I:$I=$C435)), 0) "),0.0)</f>
        <v>0</v>
      </c>
      <c r="G435" s="91">
        <f>IFERROR(__xludf.DUMMYFUNCTION("IFERROR(sum(filter('Основной эфир'!$Q:$Q, 'Основной эфир'!$B:$B=$A435,'Основной эфир'!$C:$C=$B435,'Основной эфир'!$I:$I=$C435)), 0) "),0.0)</f>
        <v>0</v>
      </c>
      <c r="H435" s="91">
        <f>IFERROR(__xludf.DUMMYFUNCTION("IFERROR(AVERAGE(filter('Основной эфир'!$Y:$Y, 'Основной эфир'!$B:$B=$A435,'Основной эфир'!$C:$C=$B435,'Основной эфир'!$I:$I=$C435)), 0) "),0.0)</f>
        <v>0</v>
      </c>
      <c r="I435" s="91">
        <f>IFERROR(__xludf.DUMMYFUNCTION("IFERROR(AVERAGE(filter('Основной эфир'!$AE:$AE, 'Основной эфир'!$B:$B=$A435,'Основной эфир'!$C:$C=$B435,'Основной эфир'!$I:$I=$C435)), 0) "),0.0)</f>
        <v>0</v>
      </c>
      <c r="J435" s="91">
        <f>IFERROR(__xludf.DUMMYFUNCTION("IFERROR(SUM(filter('Основной эфир'!$AL:$AL, 'Основной эфир'!$B:$B=$A435,'Основной эфир'!$C:$C=$B435,'Основной эфир'!$I:$I=$C435)), 0) "),0.0)</f>
        <v>0</v>
      </c>
      <c r="K435" s="91" t="str">
        <f>IFERROR(__xludf.DUMMYFUNCTION("IFERROR(REGEXREPLACE(unique(filter('Основной эфир'!$A:$A, 'Основной эфир'!$B:$B=$A435,'Основной эфир'!$C:$C=$B435,'Основной эфир'!$I:$I=$C435)), ""\d+"", """"),"""")"),"")</f>
        <v/>
      </c>
      <c r="L435" s="91" t="str">
        <f>IFERROR(__xludf.DUMMYFUNCTION("IFERROR(unique(filter('Основной эфир'!$F:$F, 'Основной эфир'!$B:$B=$A435,'Основной эфир'!$C:$C=$B435,'Основной эфир'!$I:$I=$C435)),"""")"),"")</f>
        <v/>
      </c>
      <c r="M435" s="92" t="str">
        <f t="shared" si="1"/>
        <v/>
      </c>
      <c r="N435" s="93">
        <f>IFERROR(__xludf.DUMMYFUNCTION("IFERROR(SWITCH(lower(join("" "",L435:M435)),""а миллионник"", 62.5,""б миллионник"", 75,""а мск"", 50, ""б мск"", 62.5, ""a остальное"", 70, ""б остальное"", 80)/100,0)"),0.0)</f>
        <v>0</v>
      </c>
      <c r="O435" s="91">
        <f t="shared" si="2"/>
        <v>0</v>
      </c>
      <c r="P435" s="91">
        <f>IFERROR(__xludf.DUMMYFUNCTION("IFERROR(sum(filter('Генеральный баннер'!$O:$O, 'Генеральный баннер'!$B:$B=$A435,'Генеральный баннер'!$C:$C=$B435,'Генеральный баннер'!$I:$I=$C435)), 0) "),0.0)</f>
        <v>0</v>
      </c>
      <c r="Q435" s="91">
        <f>IFERROR(__xludf.DUMMYFUNCTION("IFERROR(sum(filter('Генеральный баннер'!$Q:$Q, 'Генеральный баннер'!$B:$B=$A435,'Генеральный баннер'!$C:$C=$B435,'Генеральный баннер'!$I:$I=$C435)), 0) "),0.0)</f>
        <v>0</v>
      </c>
      <c r="R435" s="91">
        <f>IFERROR(__xludf.DUMMYFUNCTION("IFERROR(AVERAGE(filter('Генеральный баннер'!$AA:$AA, 'Генеральный баннер'!$B:$B=$A435,'Генеральный баннер'!$C:$C=$B435,'Генеральный баннер'!$I:$I=$C435)), 0) "),0.0)</f>
        <v>0</v>
      </c>
      <c r="S435" s="91">
        <f>IFERROR(__xludf.DUMMYFUNCTION("IFERROR(SUM(filter('Генеральный баннер'!$AH:$AH, 'Генеральный баннер'!$B:$B=$A435,'Генеральный баннер'!$C:$C=$B435,'Генеральный баннер'!$I:$I=$C435)), 0) "),0.0)</f>
        <v>0</v>
      </c>
      <c r="T435" s="91" t="str">
        <f>IFERROR(__xludf.DUMMYFUNCTION("IFERROR(REGEXREPLACE(unique(filter('Генеральный баннер'!$A:$A, 'Генеральный баннер'!$B:$B=$A435,'Генеральный баннер'!$C:$C=$B435,'Генеральный баннер'!$I:$I=$C435)), ""\d+"", """"),"""")"),"")</f>
        <v/>
      </c>
      <c r="U435" s="91" t="str">
        <f>IFERROR(__xludf.DUMMYFUNCTION("IFERROR(unique(filter('Генеральный баннер'!$F:$F, 'Генеральный баннер'!$B:$B=$A435,'Генеральный баннер'!$C:$C=$B435,'Генеральный баннер'!$I:$I=$C435)),"""")"),"")</f>
        <v/>
      </c>
      <c r="V435" s="92" t="str">
        <f t="shared" si="3"/>
        <v/>
      </c>
      <c r="W435" s="93">
        <f>IFERROR(__xludf.DUMMYFUNCTION("IFERROR(SWITCH(lower(join("" "",U435:V435)),""а миллионник"", 62.5,""б миллионник"", 75,""а мск"", 50, ""б мск"", 62.5, ""a остальное"", 70, ""б остальное"", 80)/100,0)"),0.0)</f>
        <v>0</v>
      </c>
      <c r="X435" s="91">
        <f t="shared" si="4"/>
        <v>0</v>
      </c>
    </row>
    <row r="436">
      <c r="A436" s="12"/>
      <c r="B436" s="12"/>
      <c r="C436" s="12"/>
      <c r="D436" s="91">
        <f>IFERROR(__xludf.DUMMYFUNCTION("IFERROR(sum(filter('Основной эфир'!$AA:$AA, 'Основной эфир'!$B:$B=$A436,'Основной эфир'!$C:$C=$B436,'Основной эфир'!$I:$I=$C436)), 0) "),0.0)</f>
        <v>0</v>
      </c>
      <c r="E436" s="91">
        <f>IFERROR(__xludf.DUMMYFUNCTION("IFERROR(sum(filter('Основной эфир'!$AC:$AC, 'Основной эфир'!$B:$B=$A436,'Основной эфир'!$C:$C=$B436,'Основной эфир'!$I:$I=$C436)), 0) "),0.0)</f>
        <v>0</v>
      </c>
      <c r="F436" s="91">
        <f>IFERROR(__xludf.DUMMYFUNCTION("IFERROR(sum(filter('Основной эфир'!$O:$O, 'Основной эфир'!$B:$B=$A436,'Основной эфир'!$C:$C=$B436,'Основной эфир'!$I:$I=$C436)), 0) "),0.0)</f>
        <v>0</v>
      </c>
      <c r="G436" s="91">
        <f>IFERROR(__xludf.DUMMYFUNCTION("IFERROR(sum(filter('Основной эфир'!$Q:$Q, 'Основной эфир'!$B:$B=$A436,'Основной эфир'!$C:$C=$B436,'Основной эфир'!$I:$I=$C436)), 0) "),0.0)</f>
        <v>0</v>
      </c>
      <c r="H436" s="91">
        <f>IFERROR(__xludf.DUMMYFUNCTION("IFERROR(AVERAGE(filter('Основной эфир'!$Y:$Y, 'Основной эфир'!$B:$B=$A436,'Основной эфир'!$C:$C=$B436,'Основной эфир'!$I:$I=$C436)), 0) "),0.0)</f>
        <v>0</v>
      </c>
      <c r="I436" s="91">
        <f>IFERROR(__xludf.DUMMYFUNCTION("IFERROR(AVERAGE(filter('Основной эфир'!$AE:$AE, 'Основной эфир'!$B:$B=$A436,'Основной эфир'!$C:$C=$B436,'Основной эфир'!$I:$I=$C436)), 0) "),0.0)</f>
        <v>0</v>
      </c>
      <c r="J436" s="91">
        <f>IFERROR(__xludf.DUMMYFUNCTION("IFERROR(SUM(filter('Основной эфир'!$AL:$AL, 'Основной эфир'!$B:$B=$A436,'Основной эфир'!$C:$C=$B436,'Основной эфир'!$I:$I=$C436)), 0) "),0.0)</f>
        <v>0</v>
      </c>
      <c r="K436" s="91" t="str">
        <f>IFERROR(__xludf.DUMMYFUNCTION("IFERROR(REGEXREPLACE(unique(filter('Основной эфир'!$A:$A, 'Основной эфир'!$B:$B=$A436,'Основной эфир'!$C:$C=$B436,'Основной эфир'!$I:$I=$C436)), ""\d+"", """"),"""")"),"")</f>
        <v/>
      </c>
      <c r="L436" s="91" t="str">
        <f>IFERROR(__xludf.DUMMYFUNCTION("IFERROR(unique(filter('Основной эфир'!$F:$F, 'Основной эфир'!$B:$B=$A436,'Основной эфир'!$C:$C=$B436,'Основной эфир'!$I:$I=$C436)),"""")"),"")</f>
        <v/>
      </c>
      <c r="M436" s="92" t="str">
        <f t="shared" si="1"/>
        <v/>
      </c>
      <c r="N436" s="93">
        <f>IFERROR(__xludf.DUMMYFUNCTION("IFERROR(SWITCH(lower(join("" "",L436:M436)),""а миллионник"", 62.5,""б миллионник"", 75,""а мск"", 50, ""б мск"", 62.5, ""a остальное"", 70, ""б остальное"", 80)/100,0)"),0.0)</f>
        <v>0</v>
      </c>
      <c r="O436" s="91">
        <f t="shared" si="2"/>
        <v>0</v>
      </c>
      <c r="P436" s="91">
        <f>IFERROR(__xludf.DUMMYFUNCTION("IFERROR(sum(filter('Генеральный баннер'!$O:$O, 'Генеральный баннер'!$B:$B=$A436,'Генеральный баннер'!$C:$C=$B436,'Генеральный баннер'!$I:$I=$C436)), 0) "),0.0)</f>
        <v>0</v>
      </c>
      <c r="Q436" s="91">
        <f>IFERROR(__xludf.DUMMYFUNCTION("IFERROR(sum(filter('Генеральный баннер'!$Q:$Q, 'Генеральный баннер'!$B:$B=$A436,'Генеральный баннер'!$C:$C=$B436,'Генеральный баннер'!$I:$I=$C436)), 0) "),0.0)</f>
        <v>0</v>
      </c>
      <c r="R436" s="91">
        <f>IFERROR(__xludf.DUMMYFUNCTION("IFERROR(AVERAGE(filter('Генеральный баннер'!$AA:$AA, 'Генеральный баннер'!$B:$B=$A436,'Генеральный баннер'!$C:$C=$B436,'Генеральный баннер'!$I:$I=$C436)), 0) "),0.0)</f>
        <v>0</v>
      </c>
      <c r="S436" s="91">
        <f>IFERROR(__xludf.DUMMYFUNCTION("IFERROR(SUM(filter('Генеральный баннер'!$AH:$AH, 'Генеральный баннер'!$B:$B=$A436,'Генеральный баннер'!$C:$C=$B436,'Генеральный баннер'!$I:$I=$C436)), 0) "),0.0)</f>
        <v>0</v>
      </c>
      <c r="T436" s="91" t="str">
        <f>IFERROR(__xludf.DUMMYFUNCTION("IFERROR(REGEXREPLACE(unique(filter('Генеральный баннер'!$A:$A, 'Генеральный баннер'!$B:$B=$A436,'Генеральный баннер'!$C:$C=$B436,'Генеральный баннер'!$I:$I=$C436)), ""\d+"", """"),"""")"),"")</f>
        <v/>
      </c>
      <c r="U436" s="91" t="str">
        <f>IFERROR(__xludf.DUMMYFUNCTION("IFERROR(unique(filter('Генеральный баннер'!$F:$F, 'Генеральный баннер'!$B:$B=$A436,'Генеральный баннер'!$C:$C=$B436,'Генеральный баннер'!$I:$I=$C436)),"""")"),"")</f>
        <v/>
      </c>
      <c r="V436" s="92" t="str">
        <f t="shared" si="3"/>
        <v/>
      </c>
      <c r="W436" s="93">
        <f>IFERROR(__xludf.DUMMYFUNCTION("IFERROR(SWITCH(lower(join("" "",U436:V436)),""а миллионник"", 62.5,""б миллионник"", 75,""а мск"", 50, ""б мск"", 62.5, ""a остальное"", 70, ""б остальное"", 80)/100,0)"),0.0)</f>
        <v>0</v>
      </c>
      <c r="X436" s="91">
        <f t="shared" si="4"/>
        <v>0</v>
      </c>
    </row>
    <row r="437">
      <c r="A437" s="12"/>
      <c r="B437" s="12"/>
      <c r="C437" s="12"/>
      <c r="D437" s="91">
        <f>IFERROR(__xludf.DUMMYFUNCTION("IFERROR(sum(filter('Основной эфир'!$AA:$AA, 'Основной эфир'!$B:$B=$A437,'Основной эфир'!$C:$C=$B437,'Основной эфир'!$I:$I=$C437)), 0) "),0.0)</f>
        <v>0</v>
      </c>
      <c r="E437" s="91">
        <f>IFERROR(__xludf.DUMMYFUNCTION("IFERROR(sum(filter('Основной эфир'!$AC:$AC, 'Основной эфир'!$B:$B=$A437,'Основной эфир'!$C:$C=$B437,'Основной эфир'!$I:$I=$C437)), 0) "),0.0)</f>
        <v>0</v>
      </c>
      <c r="F437" s="91">
        <f>IFERROR(__xludf.DUMMYFUNCTION("IFERROR(sum(filter('Основной эфир'!$O:$O, 'Основной эфир'!$B:$B=$A437,'Основной эфир'!$C:$C=$B437,'Основной эфир'!$I:$I=$C437)), 0) "),0.0)</f>
        <v>0</v>
      </c>
      <c r="G437" s="91">
        <f>IFERROR(__xludf.DUMMYFUNCTION("IFERROR(sum(filter('Основной эфир'!$Q:$Q, 'Основной эфир'!$B:$B=$A437,'Основной эфир'!$C:$C=$B437,'Основной эфир'!$I:$I=$C437)), 0) "),0.0)</f>
        <v>0</v>
      </c>
      <c r="H437" s="91">
        <f>IFERROR(__xludf.DUMMYFUNCTION("IFERROR(AVERAGE(filter('Основной эфир'!$Y:$Y, 'Основной эфир'!$B:$B=$A437,'Основной эфир'!$C:$C=$B437,'Основной эфир'!$I:$I=$C437)), 0) "),0.0)</f>
        <v>0</v>
      </c>
      <c r="I437" s="91">
        <f>IFERROR(__xludf.DUMMYFUNCTION("IFERROR(AVERAGE(filter('Основной эфир'!$AE:$AE, 'Основной эфир'!$B:$B=$A437,'Основной эфир'!$C:$C=$B437,'Основной эфир'!$I:$I=$C437)), 0) "),0.0)</f>
        <v>0</v>
      </c>
      <c r="J437" s="91">
        <f>IFERROR(__xludf.DUMMYFUNCTION("IFERROR(SUM(filter('Основной эфир'!$AL:$AL, 'Основной эфир'!$B:$B=$A437,'Основной эфир'!$C:$C=$B437,'Основной эфир'!$I:$I=$C437)), 0) "),0.0)</f>
        <v>0</v>
      </c>
      <c r="K437" s="91" t="str">
        <f>IFERROR(__xludf.DUMMYFUNCTION("IFERROR(REGEXREPLACE(unique(filter('Основной эфир'!$A:$A, 'Основной эфир'!$B:$B=$A437,'Основной эфир'!$C:$C=$B437,'Основной эфир'!$I:$I=$C437)), ""\d+"", """"),"""")"),"")</f>
        <v/>
      </c>
      <c r="L437" s="91" t="str">
        <f>IFERROR(__xludf.DUMMYFUNCTION("IFERROR(unique(filter('Основной эфир'!$F:$F, 'Основной эфир'!$B:$B=$A437,'Основной эфир'!$C:$C=$B437,'Основной эфир'!$I:$I=$C437)),"""")"),"")</f>
        <v/>
      </c>
      <c r="M437" s="92" t="str">
        <f t="shared" si="1"/>
        <v/>
      </c>
      <c r="N437" s="93">
        <f>IFERROR(__xludf.DUMMYFUNCTION("IFERROR(SWITCH(lower(join("" "",L437:M437)),""а миллионник"", 62.5,""б миллионник"", 75,""а мск"", 50, ""б мск"", 62.5, ""a остальное"", 70, ""б остальное"", 80)/100,0)"),0.0)</f>
        <v>0</v>
      </c>
      <c r="O437" s="91">
        <f t="shared" si="2"/>
        <v>0</v>
      </c>
      <c r="P437" s="91">
        <f>IFERROR(__xludf.DUMMYFUNCTION("IFERROR(sum(filter('Генеральный баннер'!$O:$O, 'Генеральный баннер'!$B:$B=$A437,'Генеральный баннер'!$C:$C=$B437,'Генеральный баннер'!$I:$I=$C437)), 0) "),0.0)</f>
        <v>0</v>
      </c>
      <c r="Q437" s="91">
        <f>IFERROR(__xludf.DUMMYFUNCTION("IFERROR(sum(filter('Генеральный баннер'!$Q:$Q, 'Генеральный баннер'!$B:$B=$A437,'Генеральный баннер'!$C:$C=$B437,'Генеральный баннер'!$I:$I=$C437)), 0) "),0.0)</f>
        <v>0</v>
      </c>
      <c r="R437" s="91">
        <f>IFERROR(__xludf.DUMMYFUNCTION("IFERROR(AVERAGE(filter('Генеральный баннер'!$AA:$AA, 'Генеральный баннер'!$B:$B=$A437,'Генеральный баннер'!$C:$C=$B437,'Генеральный баннер'!$I:$I=$C437)), 0) "),0.0)</f>
        <v>0</v>
      </c>
      <c r="S437" s="91">
        <f>IFERROR(__xludf.DUMMYFUNCTION("IFERROR(SUM(filter('Генеральный баннер'!$AH:$AH, 'Генеральный баннер'!$B:$B=$A437,'Генеральный баннер'!$C:$C=$B437,'Генеральный баннер'!$I:$I=$C437)), 0) "),0.0)</f>
        <v>0</v>
      </c>
      <c r="T437" s="91" t="str">
        <f>IFERROR(__xludf.DUMMYFUNCTION("IFERROR(REGEXREPLACE(unique(filter('Генеральный баннер'!$A:$A, 'Генеральный баннер'!$B:$B=$A437,'Генеральный баннер'!$C:$C=$B437,'Генеральный баннер'!$I:$I=$C437)), ""\d+"", """"),"""")"),"")</f>
        <v/>
      </c>
      <c r="U437" s="91" t="str">
        <f>IFERROR(__xludf.DUMMYFUNCTION("IFERROR(unique(filter('Генеральный баннер'!$F:$F, 'Генеральный баннер'!$B:$B=$A437,'Генеральный баннер'!$C:$C=$B437,'Генеральный баннер'!$I:$I=$C437)),"""")"),"")</f>
        <v/>
      </c>
      <c r="V437" s="92" t="str">
        <f t="shared" si="3"/>
        <v/>
      </c>
      <c r="W437" s="93">
        <f>IFERROR(__xludf.DUMMYFUNCTION("IFERROR(SWITCH(lower(join("" "",U437:V437)),""а миллионник"", 62.5,""б миллионник"", 75,""а мск"", 50, ""б мск"", 62.5, ""a остальное"", 70, ""б остальное"", 80)/100,0)"),0.0)</f>
        <v>0</v>
      </c>
      <c r="X437" s="91">
        <f t="shared" si="4"/>
        <v>0</v>
      </c>
    </row>
    <row r="438">
      <c r="A438" s="12"/>
      <c r="B438" s="12"/>
      <c r="C438" s="12"/>
      <c r="D438" s="91">
        <f>IFERROR(__xludf.DUMMYFUNCTION("IFERROR(sum(filter('Основной эфир'!$AA:$AA, 'Основной эфир'!$B:$B=$A438,'Основной эфир'!$C:$C=$B438,'Основной эфир'!$I:$I=$C438)), 0) "),0.0)</f>
        <v>0</v>
      </c>
      <c r="E438" s="91">
        <f>IFERROR(__xludf.DUMMYFUNCTION("IFERROR(sum(filter('Основной эфир'!$AC:$AC, 'Основной эфир'!$B:$B=$A438,'Основной эфир'!$C:$C=$B438,'Основной эфир'!$I:$I=$C438)), 0) "),0.0)</f>
        <v>0</v>
      </c>
      <c r="F438" s="91">
        <f>IFERROR(__xludf.DUMMYFUNCTION("IFERROR(sum(filter('Основной эфир'!$O:$O, 'Основной эфир'!$B:$B=$A438,'Основной эфир'!$C:$C=$B438,'Основной эфир'!$I:$I=$C438)), 0) "),0.0)</f>
        <v>0</v>
      </c>
      <c r="G438" s="91">
        <f>IFERROR(__xludf.DUMMYFUNCTION("IFERROR(sum(filter('Основной эфир'!$Q:$Q, 'Основной эфир'!$B:$B=$A438,'Основной эфир'!$C:$C=$B438,'Основной эфир'!$I:$I=$C438)), 0) "),0.0)</f>
        <v>0</v>
      </c>
      <c r="H438" s="91">
        <f>IFERROR(__xludf.DUMMYFUNCTION("IFERROR(AVERAGE(filter('Основной эфир'!$Y:$Y, 'Основной эфир'!$B:$B=$A438,'Основной эфир'!$C:$C=$B438,'Основной эфир'!$I:$I=$C438)), 0) "),0.0)</f>
        <v>0</v>
      </c>
      <c r="I438" s="91">
        <f>IFERROR(__xludf.DUMMYFUNCTION("IFERROR(AVERAGE(filter('Основной эфир'!$AE:$AE, 'Основной эфир'!$B:$B=$A438,'Основной эфир'!$C:$C=$B438,'Основной эфир'!$I:$I=$C438)), 0) "),0.0)</f>
        <v>0</v>
      </c>
      <c r="J438" s="91">
        <f>IFERROR(__xludf.DUMMYFUNCTION("IFERROR(SUM(filter('Основной эфир'!$AL:$AL, 'Основной эфир'!$B:$B=$A438,'Основной эфир'!$C:$C=$B438,'Основной эфир'!$I:$I=$C438)), 0) "),0.0)</f>
        <v>0</v>
      </c>
      <c r="K438" s="91" t="str">
        <f>IFERROR(__xludf.DUMMYFUNCTION("IFERROR(REGEXREPLACE(unique(filter('Основной эфир'!$A:$A, 'Основной эфир'!$B:$B=$A438,'Основной эфир'!$C:$C=$B438,'Основной эфир'!$I:$I=$C438)), ""\d+"", """"),"""")"),"")</f>
        <v/>
      </c>
      <c r="L438" s="91" t="str">
        <f>IFERROR(__xludf.DUMMYFUNCTION("IFERROR(unique(filter('Основной эфир'!$F:$F, 'Основной эфир'!$B:$B=$A438,'Основной эфир'!$C:$C=$B438,'Основной эфир'!$I:$I=$C438)),"""")"),"")</f>
        <v/>
      </c>
      <c r="M438" s="92" t="str">
        <f t="shared" si="1"/>
        <v/>
      </c>
      <c r="N438" s="93">
        <f>IFERROR(__xludf.DUMMYFUNCTION("IFERROR(SWITCH(lower(join("" "",L438:M438)),""а миллионник"", 62.5,""б миллионник"", 75,""а мск"", 50, ""б мск"", 62.5, ""a остальное"", 70, ""б остальное"", 80)/100,0)"),0.0)</f>
        <v>0</v>
      </c>
      <c r="O438" s="91">
        <f t="shared" si="2"/>
        <v>0</v>
      </c>
      <c r="P438" s="91">
        <f>IFERROR(__xludf.DUMMYFUNCTION("IFERROR(sum(filter('Генеральный баннер'!$O:$O, 'Генеральный баннер'!$B:$B=$A438,'Генеральный баннер'!$C:$C=$B438,'Генеральный баннер'!$I:$I=$C438)), 0) "),0.0)</f>
        <v>0</v>
      </c>
      <c r="Q438" s="91">
        <f>IFERROR(__xludf.DUMMYFUNCTION("IFERROR(sum(filter('Генеральный баннер'!$Q:$Q, 'Генеральный баннер'!$B:$B=$A438,'Генеральный баннер'!$C:$C=$B438,'Генеральный баннер'!$I:$I=$C438)), 0) "),0.0)</f>
        <v>0</v>
      </c>
      <c r="R438" s="91">
        <f>IFERROR(__xludf.DUMMYFUNCTION("IFERROR(AVERAGE(filter('Генеральный баннер'!$AA:$AA, 'Генеральный баннер'!$B:$B=$A438,'Генеральный баннер'!$C:$C=$B438,'Генеральный баннер'!$I:$I=$C438)), 0) "),0.0)</f>
        <v>0</v>
      </c>
      <c r="S438" s="91">
        <f>IFERROR(__xludf.DUMMYFUNCTION("IFERROR(SUM(filter('Генеральный баннер'!$AH:$AH, 'Генеральный баннер'!$B:$B=$A438,'Генеральный баннер'!$C:$C=$B438,'Генеральный баннер'!$I:$I=$C438)), 0) "),0.0)</f>
        <v>0</v>
      </c>
      <c r="T438" s="91" t="str">
        <f>IFERROR(__xludf.DUMMYFUNCTION("IFERROR(REGEXREPLACE(unique(filter('Генеральный баннер'!$A:$A, 'Генеральный баннер'!$B:$B=$A438,'Генеральный баннер'!$C:$C=$B438,'Генеральный баннер'!$I:$I=$C438)), ""\d+"", """"),"""")"),"")</f>
        <v/>
      </c>
      <c r="U438" s="91" t="str">
        <f>IFERROR(__xludf.DUMMYFUNCTION("IFERROR(unique(filter('Генеральный баннер'!$F:$F, 'Генеральный баннер'!$B:$B=$A438,'Генеральный баннер'!$C:$C=$B438,'Генеральный баннер'!$I:$I=$C438)),"""")"),"")</f>
        <v/>
      </c>
      <c r="V438" s="92" t="str">
        <f t="shared" si="3"/>
        <v/>
      </c>
      <c r="W438" s="93">
        <f>IFERROR(__xludf.DUMMYFUNCTION("IFERROR(SWITCH(lower(join("" "",U438:V438)),""а миллионник"", 62.5,""б миллионник"", 75,""а мск"", 50, ""б мск"", 62.5, ""a остальное"", 70, ""б остальное"", 80)/100,0)"),0.0)</f>
        <v>0</v>
      </c>
      <c r="X438" s="91">
        <f t="shared" si="4"/>
        <v>0</v>
      </c>
    </row>
    <row r="439">
      <c r="A439" s="12"/>
      <c r="B439" s="12"/>
      <c r="C439" s="12"/>
      <c r="D439" s="91">
        <f>IFERROR(__xludf.DUMMYFUNCTION("IFERROR(sum(filter('Основной эфир'!$AA:$AA, 'Основной эфир'!$B:$B=$A439,'Основной эфир'!$C:$C=$B439,'Основной эфир'!$I:$I=$C439)), 0) "),0.0)</f>
        <v>0</v>
      </c>
      <c r="E439" s="91">
        <f>IFERROR(__xludf.DUMMYFUNCTION("IFERROR(sum(filter('Основной эфир'!$AC:$AC, 'Основной эфир'!$B:$B=$A439,'Основной эфир'!$C:$C=$B439,'Основной эфир'!$I:$I=$C439)), 0) "),0.0)</f>
        <v>0</v>
      </c>
      <c r="F439" s="91">
        <f>IFERROR(__xludf.DUMMYFUNCTION("IFERROR(sum(filter('Основной эфир'!$O:$O, 'Основной эфир'!$B:$B=$A439,'Основной эфир'!$C:$C=$B439,'Основной эфир'!$I:$I=$C439)), 0) "),0.0)</f>
        <v>0</v>
      </c>
      <c r="G439" s="91">
        <f>IFERROR(__xludf.DUMMYFUNCTION("IFERROR(sum(filter('Основной эфир'!$Q:$Q, 'Основной эфир'!$B:$B=$A439,'Основной эфир'!$C:$C=$B439,'Основной эфир'!$I:$I=$C439)), 0) "),0.0)</f>
        <v>0</v>
      </c>
      <c r="H439" s="91">
        <f>IFERROR(__xludf.DUMMYFUNCTION("IFERROR(AVERAGE(filter('Основной эфир'!$Y:$Y, 'Основной эфир'!$B:$B=$A439,'Основной эфир'!$C:$C=$B439,'Основной эфир'!$I:$I=$C439)), 0) "),0.0)</f>
        <v>0</v>
      </c>
      <c r="I439" s="91">
        <f>IFERROR(__xludf.DUMMYFUNCTION("IFERROR(AVERAGE(filter('Основной эфир'!$AE:$AE, 'Основной эфир'!$B:$B=$A439,'Основной эфир'!$C:$C=$B439,'Основной эфир'!$I:$I=$C439)), 0) "),0.0)</f>
        <v>0</v>
      </c>
      <c r="J439" s="91">
        <f>IFERROR(__xludf.DUMMYFUNCTION("IFERROR(SUM(filter('Основной эфир'!$AL:$AL, 'Основной эфир'!$B:$B=$A439,'Основной эфир'!$C:$C=$B439,'Основной эфир'!$I:$I=$C439)), 0) "),0.0)</f>
        <v>0</v>
      </c>
      <c r="K439" s="91" t="str">
        <f>IFERROR(__xludf.DUMMYFUNCTION("IFERROR(REGEXREPLACE(unique(filter('Основной эфир'!$A:$A, 'Основной эфир'!$B:$B=$A439,'Основной эфир'!$C:$C=$B439,'Основной эфир'!$I:$I=$C439)), ""\d+"", """"),"""")"),"")</f>
        <v/>
      </c>
      <c r="L439" s="91" t="str">
        <f>IFERROR(__xludf.DUMMYFUNCTION("IFERROR(unique(filter('Основной эфир'!$F:$F, 'Основной эфир'!$B:$B=$A439,'Основной эфир'!$C:$C=$B439,'Основной эфир'!$I:$I=$C439)),"""")"),"")</f>
        <v/>
      </c>
      <c r="M439" s="92" t="str">
        <f t="shared" si="1"/>
        <v/>
      </c>
      <c r="N439" s="93">
        <f>IFERROR(__xludf.DUMMYFUNCTION("IFERROR(SWITCH(lower(join("" "",L439:M439)),""а миллионник"", 62.5,""б миллионник"", 75,""а мск"", 50, ""б мск"", 62.5, ""a остальное"", 70, ""б остальное"", 80)/100,0)"),0.0)</f>
        <v>0</v>
      </c>
      <c r="O439" s="91">
        <f t="shared" si="2"/>
        <v>0</v>
      </c>
      <c r="P439" s="91">
        <f>IFERROR(__xludf.DUMMYFUNCTION("IFERROR(sum(filter('Генеральный баннер'!$O:$O, 'Генеральный баннер'!$B:$B=$A439,'Генеральный баннер'!$C:$C=$B439,'Генеральный баннер'!$I:$I=$C439)), 0) "),0.0)</f>
        <v>0</v>
      </c>
      <c r="Q439" s="91">
        <f>IFERROR(__xludf.DUMMYFUNCTION("IFERROR(sum(filter('Генеральный баннер'!$Q:$Q, 'Генеральный баннер'!$B:$B=$A439,'Генеральный баннер'!$C:$C=$B439,'Генеральный баннер'!$I:$I=$C439)), 0) "),0.0)</f>
        <v>0</v>
      </c>
      <c r="R439" s="91">
        <f>IFERROR(__xludf.DUMMYFUNCTION("IFERROR(AVERAGE(filter('Генеральный баннер'!$AA:$AA, 'Генеральный баннер'!$B:$B=$A439,'Генеральный баннер'!$C:$C=$B439,'Генеральный баннер'!$I:$I=$C439)), 0) "),0.0)</f>
        <v>0</v>
      </c>
      <c r="S439" s="91">
        <f>IFERROR(__xludf.DUMMYFUNCTION("IFERROR(SUM(filter('Генеральный баннер'!$AH:$AH, 'Генеральный баннер'!$B:$B=$A439,'Генеральный баннер'!$C:$C=$B439,'Генеральный баннер'!$I:$I=$C439)), 0) "),0.0)</f>
        <v>0</v>
      </c>
      <c r="T439" s="91" t="str">
        <f>IFERROR(__xludf.DUMMYFUNCTION("IFERROR(REGEXREPLACE(unique(filter('Генеральный баннер'!$A:$A, 'Генеральный баннер'!$B:$B=$A439,'Генеральный баннер'!$C:$C=$B439,'Генеральный баннер'!$I:$I=$C439)), ""\d+"", """"),"""")"),"")</f>
        <v/>
      </c>
      <c r="U439" s="91" t="str">
        <f>IFERROR(__xludf.DUMMYFUNCTION("IFERROR(unique(filter('Генеральный баннер'!$F:$F, 'Генеральный баннер'!$B:$B=$A439,'Генеральный баннер'!$C:$C=$B439,'Генеральный баннер'!$I:$I=$C439)),"""")"),"")</f>
        <v/>
      </c>
      <c r="V439" s="92" t="str">
        <f t="shared" si="3"/>
        <v/>
      </c>
      <c r="W439" s="93">
        <f>IFERROR(__xludf.DUMMYFUNCTION("IFERROR(SWITCH(lower(join("" "",U439:V439)),""а миллионник"", 62.5,""б миллионник"", 75,""а мск"", 50, ""б мск"", 62.5, ""a остальное"", 70, ""б остальное"", 80)/100,0)"),0.0)</f>
        <v>0</v>
      </c>
      <c r="X439" s="91">
        <f t="shared" si="4"/>
        <v>0</v>
      </c>
    </row>
    <row r="440">
      <c r="A440" s="12"/>
      <c r="B440" s="12"/>
      <c r="C440" s="12"/>
      <c r="D440" s="91">
        <f>IFERROR(__xludf.DUMMYFUNCTION("IFERROR(sum(filter('Основной эфир'!$AA:$AA, 'Основной эфир'!$B:$B=$A440,'Основной эфир'!$C:$C=$B440,'Основной эфир'!$I:$I=$C440)), 0) "),0.0)</f>
        <v>0</v>
      </c>
      <c r="E440" s="91">
        <f>IFERROR(__xludf.DUMMYFUNCTION("IFERROR(sum(filter('Основной эфир'!$AC:$AC, 'Основной эфир'!$B:$B=$A440,'Основной эфир'!$C:$C=$B440,'Основной эфир'!$I:$I=$C440)), 0) "),0.0)</f>
        <v>0</v>
      </c>
      <c r="F440" s="91">
        <f>IFERROR(__xludf.DUMMYFUNCTION("IFERROR(sum(filter('Основной эфир'!$O:$O, 'Основной эфир'!$B:$B=$A440,'Основной эфир'!$C:$C=$B440,'Основной эфир'!$I:$I=$C440)), 0) "),0.0)</f>
        <v>0</v>
      </c>
      <c r="G440" s="91">
        <f>IFERROR(__xludf.DUMMYFUNCTION("IFERROR(sum(filter('Основной эфир'!$Q:$Q, 'Основной эфир'!$B:$B=$A440,'Основной эфир'!$C:$C=$B440,'Основной эфир'!$I:$I=$C440)), 0) "),0.0)</f>
        <v>0</v>
      </c>
      <c r="H440" s="91">
        <f>IFERROR(__xludf.DUMMYFUNCTION("IFERROR(AVERAGE(filter('Основной эфир'!$Y:$Y, 'Основной эфир'!$B:$B=$A440,'Основной эфир'!$C:$C=$B440,'Основной эфир'!$I:$I=$C440)), 0) "),0.0)</f>
        <v>0</v>
      </c>
      <c r="I440" s="91">
        <f>IFERROR(__xludf.DUMMYFUNCTION("IFERROR(AVERAGE(filter('Основной эфир'!$AE:$AE, 'Основной эфир'!$B:$B=$A440,'Основной эфир'!$C:$C=$B440,'Основной эфир'!$I:$I=$C440)), 0) "),0.0)</f>
        <v>0</v>
      </c>
      <c r="J440" s="91">
        <f>IFERROR(__xludf.DUMMYFUNCTION("IFERROR(SUM(filter('Основной эфир'!$AL:$AL, 'Основной эфир'!$B:$B=$A440,'Основной эфир'!$C:$C=$B440,'Основной эфир'!$I:$I=$C440)), 0) "),0.0)</f>
        <v>0</v>
      </c>
      <c r="K440" s="91" t="str">
        <f>IFERROR(__xludf.DUMMYFUNCTION("IFERROR(REGEXREPLACE(unique(filter('Основной эфир'!$A:$A, 'Основной эфир'!$B:$B=$A440,'Основной эфир'!$C:$C=$B440,'Основной эфир'!$I:$I=$C440)), ""\d+"", """"),"""")"),"")</f>
        <v/>
      </c>
      <c r="L440" s="91" t="str">
        <f>IFERROR(__xludf.DUMMYFUNCTION("IFERROR(unique(filter('Основной эфир'!$F:$F, 'Основной эфир'!$B:$B=$A440,'Основной эфир'!$C:$C=$B440,'Основной эфир'!$I:$I=$C440)),"""")"),"")</f>
        <v/>
      </c>
      <c r="M440" s="92" t="str">
        <f t="shared" si="1"/>
        <v/>
      </c>
      <c r="N440" s="93">
        <f>IFERROR(__xludf.DUMMYFUNCTION("IFERROR(SWITCH(lower(join("" "",L440:M440)),""а миллионник"", 62.5,""б миллионник"", 75,""а мск"", 50, ""б мск"", 62.5, ""a остальное"", 70, ""б остальное"", 80)/100,0)"),0.0)</f>
        <v>0</v>
      </c>
      <c r="O440" s="91">
        <f t="shared" si="2"/>
        <v>0</v>
      </c>
      <c r="P440" s="91">
        <f>IFERROR(__xludf.DUMMYFUNCTION("IFERROR(sum(filter('Генеральный баннер'!$O:$O, 'Генеральный баннер'!$B:$B=$A440,'Генеральный баннер'!$C:$C=$B440,'Генеральный баннер'!$I:$I=$C440)), 0) "),0.0)</f>
        <v>0</v>
      </c>
      <c r="Q440" s="91">
        <f>IFERROR(__xludf.DUMMYFUNCTION("IFERROR(sum(filter('Генеральный баннер'!$Q:$Q, 'Генеральный баннер'!$B:$B=$A440,'Генеральный баннер'!$C:$C=$B440,'Генеральный баннер'!$I:$I=$C440)), 0) "),0.0)</f>
        <v>0</v>
      </c>
      <c r="R440" s="91">
        <f>IFERROR(__xludf.DUMMYFUNCTION("IFERROR(AVERAGE(filter('Генеральный баннер'!$AA:$AA, 'Генеральный баннер'!$B:$B=$A440,'Генеральный баннер'!$C:$C=$B440,'Генеральный баннер'!$I:$I=$C440)), 0) "),0.0)</f>
        <v>0</v>
      </c>
      <c r="S440" s="91">
        <f>IFERROR(__xludf.DUMMYFUNCTION("IFERROR(SUM(filter('Генеральный баннер'!$AH:$AH, 'Генеральный баннер'!$B:$B=$A440,'Генеральный баннер'!$C:$C=$B440,'Генеральный баннер'!$I:$I=$C440)), 0) "),0.0)</f>
        <v>0</v>
      </c>
      <c r="T440" s="91" t="str">
        <f>IFERROR(__xludf.DUMMYFUNCTION("IFERROR(REGEXREPLACE(unique(filter('Генеральный баннер'!$A:$A, 'Генеральный баннер'!$B:$B=$A440,'Генеральный баннер'!$C:$C=$B440,'Генеральный баннер'!$I:$I=$C440)), ""\d+"", """"),"""")"),"")</f>
        <v/>
      </c>
      <c r="U440" s="91" t="str">
        <f>IFERROR(__xludf.DUMMYFUNCTION("IFERROR(unique(filter('Генеральный баннер'!$F:$F, 'Генеральный баннер'!$B:$B=$A440,'Генеральный баннер'!$C:$C=$B440,'Генеральный баннер'!$I:$I=$C440)),"""")"),"")</f>
        <v/>
      </c>
      <c r="V440" s="92" t="str">
        <f t="shared" si="3"/>
        <v/>
      </c>
      <c r="W440" s="93">
        <f>IFERROR(__xludf.DUMMYFUNCTION("IFERROR(SWITCH(lower(join("" "",U440:V440)),""а миллионник"", 62.5,""б миллионник"", 75,""а мск"", 50, ""б мск"", 62.5, ""a остальное"", 70, ""б остальное"", 80)/100,0)"),0.0)</f>
        <v>0</v>
      </c>
      <c r="X440" s="91">
        <f t="shared" si="4"/>
        <v>0</v>
      </c>
    </row>
    <row r="441">
      <c r="A441" s="12"/>
      <c r="B441" s="12"/>
      <c r="C441" s="12"/>
      <c r="D441" s="91">
        <f>IFERROR(__xludf.DUMMYFUNCTION("IFERROR(sum(filter('Основной эфир'!$AA:$AA, 'Основной эфир'!$B:$B=$A441,'Основной эфир'!$C:$C=$B441,'Основной эфир'!$I:$I=$C441)), 0) "),0.0)</f>
        <v>0</v>
      </c>
      <c r="E441" s="91">
        <f>IFERROR(__xludf.DUMMYFUNCTION("IFERROR(sum(filter('Основной эфир'!$AC:$AC, 'Основной эфир'!$B:$B=$A441,'Основной эфир'!$C:$C=$B441,'Основной эфир'!$I:$I=$C441)), 0) "),0.0)</f>
        <v>0</v>
      </c>
      <c r="F441" s="91">
        <f>IFERROR(__xludf.DUMMYFUNCTION("IFERROR(sum(filter('Основной эфир'!$O:$O, 'Основной эфир'!$B:$B=$A441,'Основной эфир'!$C:$C=$B441,'Основной эфир'!$I:$I=$C441)), 0) "),0.0)</f>
        <v>0</v>
      </c>
      <c r="G441" s="91">
        <f>IFERROR(__xludf.DUMMYFUNCTION("IFERROR(sum(filter('Основной эфир'!$Q:$Q, 'Основной эфир'!$B:$B=$A441,'Основной эфир'!$C:$C=$B441,'Основной эфир'!$I:$I=$C441)), 0) "),0.0)</f>
        <v>0</v>
      </c>
      <c r="H441" s="91">
        <f>IFERROR(__xludf.DUMMYFUNCTION("IFERROR(AVERAGE(filter('Основной эфир'!$Y:$Y, 'Основной эфир'!$B:$B=$A441,'Основной эфир'!$C:$C=$B441,'Основной эфир'!$I:$I=$C441)), 0) "),0.0)</f>
        <v>0</v>
      </c>
      <c r="I441" s="91">
        <f>IFERROR(__xludf.DUMMYFUNCTION("IFERROR(AVERAGE(filter('Основной эфир'!$AE:$AE, 'Основной эфир'!$B:$B=$A441,'Основной эфир'!$C:$C=$B441,'Основной эфир'!$I:$I=$C441)), 0) "),0.0)</f>
        <v>0</v>
      </c>
      <c r="J441" s="91">
        <f>IFERROR(__xludf.DUMMYFUNCTION("IFERROR(SUM(filter('Основной эфир'!$AL:$AL, 'Основной эфир'!$B:$B=$A441,'Основной эфир'!$C:$C=$B441,'Основной эфир'!$I:$I=$C441)), 0) "),0.0)</f>
        <v>0</v>
      </c>
      <c r="K441" s="91" t="str">
        <f>IFERROR(__xludf.DUMMYFUNCTION("IFERROR(REGEXREPLACE(unique(filter('Основной эфир'!$A:$A, 'Основной эфир'!$B:$B=$A441,'Основной эфир'!$C:$C=$B441,'Основной эфир'!$I:$I=$C441)), ""\d+"", """"),"""")"),"")</f>
        <v/>
      </c>
      <c r="L441" s="91" t="str">
        <f>IFERROR(__xludf.DUMMYFUNCTION("IFERROR(unique(filter('Основной эфир'!$F:$F, 'Основной эфир'!$B:$B=$A441,'Основной эфир'!$C:$C=$B441,'Основной эфир'!$I:$I=$C441)),"""")"),"")</f>
        <v/>
      </c>
      <c r="M441" s="92" t="str">
        <f t="shared" si="1"/>
        <v/>
      </c>
      <c r="N441" s="93">
        <f>IFERROR(__xludf.DUMMYFUNCTION("IFERROR(SWITCH(lower(join("" "",L441:M441)),""а миллионник"", 62.5,""б миллионник"", 75,""а мск"", 50, ""б мск"", 62.5, ""a остальное"", 70, ""б остальное"", 80)/100,0)"),0.0)</f>
        <v>0</v>
      </c>
      <c r="O441" s="91">
        <f t="shared" si="2"/>
        <v>0</v>
      </c>
      <c r="P441" s="91">
        <f>IFERROR(__xludf.DUMMYFUNCTION("IFERROR(sum(filter('Генеральный баннер'!$O:$O, 'Генеральный баннер'!$B:$B=$A441,'Генеральный баннер'!$C:$C=$B441,'Генеральный баннер'!$I:$I=$C441)), 0) "),0.0)</f>
        <v>0</v>
      </c>
      <c r="Q441" s="91">
        <f>IFERROR(__xludf.DUMMYFUNCTION("IFERROR(sum(filter('Генеральный баннер'!$Q:$Q, 'Генеральный баннер'!$B:$B=$A441,'Генеральный баннер'!$C:$C=$B441,'Генеральный баннер'!$I:$I=$C441)), 0) "),0.0)</f>
        <v>0</v>
      </c>
      <c r="R441" s="91">
        <f>IFERROR(__xludf.DUMMYFUNCTION("IFERROR(AVERAGE(filter('Генеральный баннер'!$AA:$AA, 'Генеральный баннер'!$B:$B=$A441,'Генеральный баннер'!$C:$C=$B441,'Генеральный баннер'!$I:$I=$C441)), 0) "),0.0)</f>
        <v>0</v>
      </c>
      <c r="S441" s="91">
        <f>IFERROR(__xludf.DUMMYFUNCTION("IFERROR(SUM(filter('Генеральный баннер'!$AH:$AH, 'Генеральный баннер'!$B:$B=$A441,'Генеральный баннер'!$C:$C=$B441,'Генеральный баннер'!$I:$I=$C441)), 0) "),0.0)</f>
        <v>0</v>
      </c>
      <c r="T441" s="91" t="str">
        <f>IFERROR(__xludf.DUMMYFUNCTION("IFERROR(REGEXREPLACE(unique(filter('Генеральный баннер'!$A:$A, 'Генеральный баннер'!$B:$B=$A441,'Генеральный баннер'!$C:$C=$B441,'Генеральный баннер'!$I:$I=$C441)), ""\d+"", """"),"""")"),"")</f>
        <v/>
      </c>
      <c r="U441" s="91" t="str">
        <f>IFERROR(__xludf.DUMMYFUNCTION("IFERROR(unique(filter('Генеральный баннер'!$F:$F, 'Генеральный баннер'!$B:$B=$A441,'Генеральный баннер'!$C:$C=$B441,'Генеральный баннер'!$I:$I=$C441)),"""")"),"")</f>
        <v/>
      </c>
      <c r="V441" s="92" t="str">
        <f t="shared" si="3"/>
        <v/>
      </c>
      <c r="W441" s="93">
        <f>IFERROR(__xludf.DUMMYFUNCTION("IFERROR(SWITCH(lower(join("" "",U441:V441)),""а миллионник"", 62.5,""б миллионник"", 75,""а мск"", 50, ""б мск"", 62.5, ""a остальное"", 70, ""б остальное"", 80)/100,0)"),0.0)</f>
        <v>0</v>
      </c>
      <c r="X441" s="91">
        <f t="shared" si="4"/>
        <v>0</v>
      </c>
    </row>
    <row r="442">
      <c r="A442" s="12"/>
      <c r="B442" s="12"/>
      <c r="C442" s="12"/>
      <c r="D442" s="91">
        <f>IFERROR(__xludf.DUMMYFUNCTION("IFERROR(sum(filter('Основной эфир'!$AA:$AA, 'Основной эфир'!$B:$B=$A442,'Основной эфир'!$C:$C=$B442,'Основной эфир'!$I:$I=$C442)), 0) "),0.0)</f>
        <v>0</v>
      </c>
      <c r="E442" s="91">
        <f>IFERROR(__xludf.DUMMYFUNCTION("IFERROR(sum(filter('Основной эфир'!$AC:$AC, 'Основной эфир'!$B:$B=$A442,'Основной эфир'!$C:$C=$B442,'Основной эфир'!$I:$I=$C442)), 0) "),0.0)</f>
        <v>0</v>
      </c>
      <c r="F442" s="91">
        <f>IFERROR(__xludf.DUMMYFUNCTION("IFERROR(sum(filter('Основной эфир'!$O:$O, 'Основной эфир'!$B:$B=$A442,'Основной эфир'!$C:$C=$B442,'Основной эфир'!$I:$I=$C442)), 0) "),0.0)</f>
        <v>0</v>
      </c>
      <c r="G442" s="91">
        <f>IFERROR(__xludf.DUMMYFUNCTION("IFERROR(sum(filter('Основной эфир'!$Q:$Q, 'Основной эфир'!$B:$B=$A442,'Основной эфир'!$C:$C=$B442,'Основной эфир'!$I:$I=$C442)), 0) "),0.0)</f>
        <v>0</v>
      </c>
      <c r="H442" s="91">
        <f>IFERROR(__xludf.DUMMYFUNCTION("IFERROR(AVERAGE(filter('Основной эфир'!$Y:$Y, 'Основной эфир'!$B:$B=$A442,'Основной эфир'!$C:$C=$B442,'Основной эфир'!$I:$I=$C442)), 0) "),0.0)</f>
        <v>0</v>
      </c>
      <c r="I442" s="91">
        <f>IFERROR(__xludf.DUMMYFUNCTION("IFERROR(AVERAGE(filter('Основной эфир'!$AE:$AE, 'Основной эфир'!$B:$B=$A442,'Основной эфир'!$C:$C=$B442,'Основной эфир'!$I:$I=$C442)), 0) "),0.0)</f>
        <v>0</v>
      </c>
      <c r="J442" s="91">
        <f>IFERROR(__xludf.DUMMYFUNCTION("IFERROR(SUM(filter('Основной эфир'!$AL:$AL, 'Основной эфир'!$B:$B=$A442,'Основной эфир'!$C:$C=$B442,'Основной эфир'!$I:$I=$C442)), 0) "),0.0)</f>
        <v>0</v>
      </c>
      <c r="K442" s="91" t="str">
        <f>IFERROR(__xludf.DUMMYFUNCTION("IFERROR(REGEXREPLACE(unique(filter('Основной эфир'!$A:$A, 'Основной эфир'!$B:$B=$A442,'Основной эфир'!$C:$C=$B442,'Основной эфир'!$I:$I=$C442)), ""\d+"", """"),"""")"),"")</f>
        <v/>
      </c>
      <c r="L442" s="91" t="str">
        <f>IFERROR(__xludf.DUMMYFUNCTION("IFERROR(unique(filter('Основной эфир'!$F:$F, 'Основной эфир'!$B:$B=$A442,'Основной эфир'!$C:$C=$B442,'Основной эфир'!$I:$I=$C442)),"""")"),"")</f>
        <v/>
      </c>
      <c r="M442" s="92" t="str">
        <f t="shared" si="1"/>
        <v/>
      </c>
      <c r="N442" s="93">
        <f>IFERROR(__xludf.DUMMYFUNCTION("IFERROR(SWITCH(lower(join("" "",L442:M442)),""а миллионник"", 62.5,""б миллионник"", 75,""а мск"", 50, ""б мск"", 62.5, ""a остальное"", 70, ""б остальное"", 80)/100,0)"),0.0)</f>
        <v>0</v>
      </c>
      <c r="O442" s="91">
        <f t="shared" si="2"/>
        <v>0</v>
      </c>
      <c r="P442" s="91">
        <f>IFERROR(__xludf.DUMMYFUNCTION("IFERROR(sum(filter('Генеральный баннер'!$O:$O, 'Генеральный баннер'!$B:$B=$A442,'Генеральный баннер'!$C:$C=$B442,'Генеральный баннер'!$I:$I=$C442)), 0) "),0.0)</f>
        <v>0</v>
      </c>
      <c r="Q442" s="91">
        <f>IFERROR(__xludf.DUMMYFUNCTION("IFERROR(sum(filter('Генеральный баннер'!$Q:$Q, 'Генеральный баннер'!$B:$B=$A442,'Генеральный баннер'!$C:$C=$B442,'Генеральный баннер'!$I:$I=$C442)), 0) "),0.0)</f>
        <v>0</v>
      </c>
      <c r="R442" s="91">
        <f>IFERROR(__xludf.DUMMYFUNCTION("IFERROR(AVERAGE(filter('Генеральный баннер'!$AA:$AA, 'Генеральный баннер'!$B:$B=$A442,'Генеральный баннер'!$C:$C=$B442,'Генеральный баннер'!$I:$I=$C442)), 0) "),0.0)</f>
        <v>0</v>
      </c>
      <c r="S442" s="91">
        <f>IFERROR(__xludf.DUMMYFUNCTION("IFERROR(SUM(filter('Генеральный баннер'!$AH:$AH, 'Генеральный баннер'!$B:$B=$A442,'Генеральный баннер'!$C:$C=$B442,'Генеральный баннер'!$I:$I=$C442)), 0) "),0.0)</f>
        <v>0</v>
      </c>
      <c r="T442" s="91" t="str">
        <f>IFERROR(__xludf.DUMMYFUNCTION("IFERROR(REGEXREPLACE(unique(filter('Генеральный баннер'!$A:$A, 'Генеральный баннер'!$B:$B=$A442,'Генеральный баннер'!$C:$C=$B442,'Генеральный баннер'!$I:$I=$C442)), ""\d+"", """"),"""")"),"")</f>
        <v/>
      </c>
      <c r="U442" s="91" t="str">
        <f>IFERROR(__xludf.DUMMYFUNCTION("IFERROR(unique(filter('Генеральный баннер'!$F:$F, 'Генеральный баннер'!$B:$B=$A442,'Генеральный баннер'!$C:$C=$B442,'Генеральный баннер'!$I:$I=$C442)),"""")"),"")</f>
        <v/>
      </c>
      <c r="V442" s="92" t="str">
        <f t="shared" si="3"/>
        <v/>
      </c>
      <c r="W442" s="93">
        <f>IFERROR(__xludf.DUMMYFUNCTION("IFERROR(SWITCH(lower(join("" "",U442:V442)),""а миллионник"", 62.5,""б миллионник"", 75,""а мск"", 50, ""б мск"", 62.5, ""a остальное"", 70, ""б остальное"", 80)/100,0)"),0.0)</f>
        <v>0</v>
      </c>
      <c r="X442" s="91">
        <f t="shared" si="4"/>
        <v>0</v>
      </c>
    </row>
    <row r="443">
      <c r="A443" s="12"/>
      <c r="B443" s="12"/>
      <c r="C443" s="12"/>
      <c r="D443" s="91">
        <f>IFERROR(__xludf.DUMMYFUNCTION("IFERROR(sum(filter('Основной эфир'!$AA:$AA, 'Основной эфир'!$B:$B=$A443,'Основной эфир'!$C:$C=$B443,'Основной эфир'!$I:$I=$C443)), 0) "),0.0)</f>
        <v>0</v>
      </c>
      <c r="E443" s="91">
        <f>IFERROR(__xludf.DUMMYFUNCTION("IFERROR(sum(filter('Основной эфир'!$AC:$AC, 'Основной эфир'!$B:$B=$A443,'Основной эфир'!$C:$C=$B443,'Основной эфир'!$I:$I=$C443)), 0) "),0.0)</f>
        <v>0</v>
      </c>
      <c r="F443" s="91">
        <f>IFERROR(__xludf.DUMMYFUNCTION("IFERROR(sum(filter('Основной эфир'!$O:$O, 'Основной эфир'!$B:$B=$A443,'Основной эфир'!$C:$C=$B443,'Основной эфир'!$I:$I=$C443)), 0) "),0.0)</f>
        <v>0</v>
      </c>
      <c r="G443" s="91">
        <f>IFERROR(__xludf.DUMMYFUNCTION("IFERROR(sum(filter('Основной эфир'!$Q:$Q, 'Основной эфир'!$B:$B=$A443,'Основной эфир'!$C:$C=$B443,'Основной эфир'!$I:$I=$C443)), 0) "),0.0)</f>
        <v>0</v>
      </c>
      <c r="H443" s="91">
        <f>IFERROR(__xludf.DUMMYFUNCTION("IFERROR(AVERAGE(filter('Основной эфир'!$Y:$Y, 'Основной эфир'!$B:$B=$A443,'Основной эфир'!$C:$C=$B443,'Основной эфир'!$I:$I=$C443)), 0) "),0.0)</f>
        <v>0</v>
      </c>
      <c r="I443" s="91">
        <f>IFERROR(__xludf.DUMMYFUNCTION("IFERROR(AVERAGE(filter('Основной эфир'!$AE:$AE, 'Основной эфир'!$B:$B=$A443,'Основной эфир'!$C:$C=$B443,'Основной эфир'!$I:$I=$C443)), 0) "),0.0)</f>
        <v>0</v>
      </c>
      <c r="J443" s="91">
        <f>IFERROR(__xludf.DUMMYFUNCTION("IFERROR(SUM(filter('Основной эфир'!$AL:$AL, 'Основной эфир'!$B:$B=$A443,'Основной эфир'!$C:$C=$B443,'Основной эфир'!$I:$I=$C443)), 0) "),0.0)</f>
        <v>0</v>
      </c>
      <c r="K443" s="91" t="str">
        <f>IFERROR(__xludf.DUMMYFUNCTION("IFERROR(REGEXREPLACE(unique(filter('Основной эфир'!$A:$A, 'Основной эфир'!$B:$B=$A443,'Основной эфир'!$C:$C=$B443,'Основной эфир'!$I:$I=$C443)), ""\d+"", """"),"""")"),"")</f>
        <v/>
      </c>
      <c r="L443" s="91" t="str">
        <f>IFERROR(__xludf.DUMMYFUNCTION("IFERROR(unique(filter('Основной эфир'!$F:$F, 'Основной эфир'!$B:$B=$A443,'Основной эфир'!$C:$C=$B443,'Основной эфир'!$I:$I=$C443)),"""")"),"")</f>
        <v/>
      </c>
      <c r="M443" s="92" t="str">
        <f t="shared" si="1"/>
        <v/>
      </c>
      <c r="N443" s="93">
        <f>IFERROR(__xludf.DUMMYFUNCTION("IFERROR(SWITCH(lower(join("" "",L443:M443)),""а миллионник"", 62.5,""б миллионник"", 75,""а мск"", 50, ""б мск"", 62.5, ""a остальное"", 70, ""б остальное"", 80)/100,0)"),0.0)</f>
        <v>0</v>
      </c>
      <c r="O443" s="91">
        <f t="shared" si="2"/>
        <v>0</v>
      </c>
      <c r="P443" s="91">
        <f>IFERROR(__xludf.DUMMYFUNCTION("IFERROR(sum(filter('Генеральный баннер'!$O:$O, 'Генеральный баннер'!$B:$B=$A443,'Генеральный баннер'!$C:$C=$B443,'Генеральный баннер'!$I:$I=$C443)), 0) "),0.0)</f>
        <v>0</v>
      </c>
      <c r="Q443" s="91">
        <f>IFERROR(__xludf.DUMMYFUNCTION("IFERROR(sum(filter('Генеральный баннер'!$Q:$Q, 'Генеральный баннер'!$B:$B=$A443,'Генеральный баннер'!$C:$C=$B443,'Генеральный баннер'!$I:$I=$C443)), 0) "),0.0)</f>
        <v>0</v>
      </c>
      <c r="R443" s="91">
        <f>IFERROR(__xludf.DUMMYFUNCTION("IFERROR(AVERAGE(filter('Генеральный баннер'!$AA:$AA, 'Генеральный баннер'!$B:$B=$A443,'Генеральный баннер'!$C:$C=$B443,'Генеральный баннер'!$I:$I=$C443)), 0) "),0.0)</f>
        <v>0</v>
      </c>
      <c r="S443" s="91">
        <f>IFERROR(__xludf.DUMMYFUNCTION("IFERROR(SUM(filter('Генеральный баннер'!$AH:$AH, 'Генеральный баннер'!$B:$B=$A443,'Генеральный баннер'!$C:$C=$B443,'Генеральный баннер'!$I:$I=$C443)), 0) "),0.0)</f>
        <v>0</v>
      </c>
      <c r="T443" s="91" t="str">
        <f>IFERROR(__xludf.DUMMYFUNCTION("IFERROR(REGEXREPLACE(unique(filter('Генеральный баннер'!$A:$A, 'Генеральный баннер'!$B:$B=$A443,'Генеральный баннер'!$C:$C=$B443,'Генеральный баннер'!$I:$I=$C443)), ""\d+"", """"),"""")"),"")</f>
        <v/>
      </c>
      <c r="U443" s="91" t="str">
        <f>IFERROR(__xludf.DUMMYFUNCTION("IFERROR(unique(filter('Генеральный баннер'!$F:$F, 'Генеральный баннер'!$B:$B=$A443,'Генеральный баннер'!$C:$C=$B443,'Генеральный баннер'!$I:$I=$C443)),"""")"),"")</f>
        <v/>
      </c>
      <c r="V443" s="92" t="str">
        <f t="shared" si="3"/>
        <v/>
      </c>
      <c r="W443" s="93">
        <f>IFERROR(__xludf.DUMMYFUNCTION("IFERROR(SWITCH(lower(join("" "",U443:V443)),""а миллионник"", 62.5,""б миллионник"", 75,""а мск"", 50, ""б мск"", 62.5, ""a остальное"", 70, ""б остальное"", 80)/100,0)"),0.0)</f>
        <v>0</v>
      </c>
      <c r="X443" s="91">
        <f t="shared" si="4"/>
        <v>0</v>
      </c>
    </row>
    <row r="444">
      <c r="A444" s="12"/>
      <c r="B444" s="12"/>
      <c r="C444" s="12"/>
      <c r="D444" s="91">
        <f>IFERROR(__xludf.DUMMYFUNCTION("IFERROR(sum(filter('Основной эфир'!$AA:$AA, 'Основной эфир'!$B:$B=$A444,'Основной эфир'!$C:$C=$B444,'Основной эфир'!$I:$I=$C444)), 0) "),0.0)</f>
        <v>0</v>
      </c>
      <c r="E444" s="91">
        <f>IFERROR(__xludf.DUMMYFUNCTION("IFERROR(sum(filter('Основной эфир'!$AC:$AC, 'Основной эфир'!$B:$B=$A444,'Основной эфир'!$C:$C=$B444,'Основной эфир'!$I:$I=$C444)), 0) "),0.0)</f>
        <v>0</v>
      </c>
      <c r="F444" s="91">
        <f>IFERROR(__xludf.DUMMYFUNCTION("IFERROR(sum(filter('Основной эфир'!$O:$O, 'Основной эфир'!$B:$B=$A444,'Основной эфир'!$C:$C=$B444,'Основной эфир'!$I:$I=$C444)), 0) "),0.0)</f>
        <v>0</v>
      </c>
      <c r="G444" s="91">
        <f>IFERROR(__xludf.DUMMYFUNCTION("IFERROR(sum(filter('Основной эфир'!$Q:$Q, 'Основной эфир'!$B:$B=$A444,'Основной эфир'!$C:$C=$B444,'Основной эфир'!$I:$I=$C444)), 0) "),0.0)</f>
        <v>0</v>
      </c>
      <c r="H444" s="91">
        <f>IFERROR(__xludf.DUMMYFUNCTION("IFERROR(AVERAGE(filter('Основной эфир'!$Y:$Y, 'Основной эфир'!$B:$B=$A444,'Основной эфир'!$C:$C=$B444,'Основной эфир'!$I:$I=$C444)), 0) "),0.0)</f>
        <v>0</v>
      </c>
      <c r="I444" s="91">
        <f>IFERROR(__xludf.DUMMYFUNCTION("IFERROR(AVERAGE(filter('Основной эфир'!$AE:$AE, 'Основной эфир'!$B:$B=$A444,'Основной эфир'!$C:$C=$B444,'Основной эфир'!$I:$I=$C444)), 0) "),0.0)</f>
        <v>0</v>
      </c>
      <c r="J444" s="91">
        <f>IFERROR(__xludf.DUMMYFUNCTION("IFERROR(SUM(filter('Основной эфир'!$AL:$AL, 'Основной эфир'!$B:$B=$A444,'Основной эфир'!$C:$C=$B444,'Основной эфир'!$I:$I=$C444)), 0) "),0.0)</f>
        <v>0</v>
      </c>
      <c r="K444" s="91" t="str">
        <f>IFERROR(__xludf.DUMMYFUNCTION("IFERROR(REGEXREPLACE(unique(filter('Основной эфир'!$A:$A, 'Основной эфир'!$B:$B=$A444,'Основной эфир'!$C:$C=$B444,'Основной эфир'!$I:$I=$C444)), ""\d+"", """"),"""")"),"")</f>
        <v/>
      </c>
      <c r="L444" s="91" t="str">
        <f>IFERROR(__xludf.DUMMYFUNCTION("IFERROR(unique(filter('Основной эфир'!$F:$F, 'Основной эфир'!$B:$B=$A444,'Основной эфир'!$C:$C=$B444,'Основной эфир'!$I:$I=$C444)),"""")"),"")</f>
        <v/>
      </c>
      <c r="M444" s="92" t="str">
        <f t="shared" si="1"/>
        <v/>
      </c>
      <c r="N444" s="93">
        <f>IFERROR(__xludf.DUMMYFUNCTION("IFERROR(SWITCH(lower(join("" "",L444:M444)),""а миллионник"", 62.5,""б миллионник"", 75,""а мск"", 50, ""б мск"", 62.5, ""a остальное"", 70, ""б остальное"", 80)/100,0)"),0.0)</f>
        <v>0</v>
      </c>
      <c r="O444" s="91">
        <f t="shared" si="2"/>
        <v>0</v>
      </c>
      <c r="P444" s="91">
        <f>IFERROR(__xludf.DUMMYFUNCTION("IFERROR(sum(filter('Генеральный баннер'!$O:$O, 'Генеральный баннер'!$B:$B=$A444,'Генеральный баннер'!$C:$C=$B444,'Генеральный баннер'!$I:$I=$C444)), 0) "),0.0)</f>
        <v>0</v>
      </c>
      <c r="Q444" s="91">
        <f>IFERROR(__xludf.DUMMYFUNCTION("IFERROR(sum(filter('Генеральный баннер'!$Q:$Q, 'Генеральный баннер'!$B:$B=$A444,'Генеральный баннер'!$C:$C=$B444,'Генеральный баннер'!$I:$I=$C444)), 0) "),0.0)</f>
        <v>0</v>
      </c>
      <c r="R444" s="91">
        <f>IFERROR(__xludf.DUMMYFUNCTION("IFERROR(AVERAGE(filter('Генеральный баннер'!$AA:$AA, 'Генеральный баннер'!$B:$B=$A444,'Генеральный баннер'!$C:$C=$B444,'Генеральный баннер'!$I:$I=$C444)), 0) "),0.0)</f>
        <v>0</v>
      </c>
      <c r="S444" s="91">
        <f>IFERROR(__xludf.DUMMYFUNCTION("IFERROR(SUM(filter('Генеральный баннер'!$AH:$AH, 'Генеральный баннер'!$B:$B=$A444,'Генеральный баннер'!$C:$C=$B444,'Генеральный баннер'!$I:$I=$C444)), 0) "),0.0)</f>
        <v>0</v>
      </c>
      <c r="T444" s="91" t="str">
        <f>IFERROR(__xludf.DUMMYFUNCTION("IFERROR(REGEXREPLACE(unique(filter('Генеральный баннер'!$A:$A, 'Генеральный баннер'!$B:$B=$A444,'Генеральный баннер'!$C:$C=$B444,'Генеральный баннер'!$I:$I=$C444)), ""\d+"", """"),"""")"),"")</f>
        <v/>
      </c>
      <c r="U444" s="91" t="str">
        <f>IFERROR(__xludf.DUMMYFUNCTION("IFERROR(unique(filter('Генеральный баннер'!$F:$F, 'Генеральный баннер'!$B:$B=$A444,'Генеральный баннер'!$C:$C=$B444,'Генеральный баннер'!$I:$I=$C444)),"""")"),"")</f>
        <v/>
      </c>
      <c r="V444" s="92" t="str">
        <f t="shared" si="3"/>
        <v/>
      </c>
      <c r="W444" s="93">
        <f>IFERROR(__xludf.DUMMYFUNCTION("IFERROR(SWITCH(lower(join("" "",U444:V444)),""а миллионник"", 62.5,""б миллионник"", 75,""а мск"", 50, ""б мск"", 62.5, ""a остальное"", 70, ""б остальное"", 80)/100,0)"),0.0)</f>
        <v>0</v>
      </c>
      <c r="X444" s="91">
        <f t="shared" si="4"/>
        <v>0</v>
      </c>
    </row>
    <row r="445">
      <c r="A445" s="12"/>
      <c r="B445" s="12"/>
      <c r="C445" s="12"/>
      <c r="D445" s="91">
        <f>IFERROR(__xludf.DUMMYFUNCTION("IFERROR(sum(filter('Основной эфир'!$AA:$AA, 'Основной эфир'!$B:$B=$A445,'Основной эфир'!$C:$C=$B445,'Основной эфир'!$I:$I=$C445)), 0) "),0.0)</f>
        <v>0</v>
      </c>
      <c r="E445" s="91">
        <f>IFERROR(__xludf.DUMMYFUNCTION("IFERROR(sum(filter('Основной эфир'!$AC:$AC, 'Основной эфир'!$B:$B=$A445,'Основной эфир'!$C:$C=$B445,'Основной эфир'!$I:$I=$C445)), 0) "),0.0)</f>
        <v>0</v>
      </c>
      <c r="F445" s="91">
        <f>IFERROR(__xludf.DUMMYFUNCTION("IFERROR(sum(filter('Основной эфир'!$O:$O, 'Основной эфир'!$B:$B=$A445,'Основной эфир'!$C:$C=$B445,'Основной эфир'!$I:$I=$C445)), 0) "),0.0)</f>
        <v>0</v>
      </c>
      <c r="G445" s="91">
        <f>IFERROR(__xludf.DUMMYFUNCTION("IFERROR(sum(filter('Основной эфир'!$Q:$Q, 'Основной эфир'!$B:$B=$A445,'Основной эфир'!$C:$C=$B445,'Основной эфир'!$I:$I=$C445)), 0) "),0.0)</f>
        <v>0</v>
      </c>
      <c r="H445" s="91">
        <f>IFERROR(__xludf.DUMMYFUNCTION("IFERROR(AVERAGE(filter('Основной эфир'!$Y:$Y, 'Основной эфир'!$B:$B=$A445,'Основной эфир'!$C:$C=$B445,'Основной эфир'!$I:$I=$C445)), 0) "),0.0)</f>
        <v>0</v>
      </c>
      <c r="I445" s="91">
        <f>IFERROR(__xludf.DUMMYFUNCTION("IFERROR(AVERAGE(filter('Основной эфир'!$AE:$AE, 'Основной эфир'!$B:$B=$A445,'Основной эфир'!$C:$C=$B445,'Основной эфир'!$I:$I=$C445)), 0) "),0.0)</f>
        <v>0</v>
      </c>
      <c r="J445" s="91">
        <f>IFERROR(__xludf.DUMMYFUNCTION("IFERROR(SUM(filter('Основной эфир'!$AL:$AL, 'Основной эфир'!$B:$B=$A445,'Основной эфир'!$C:$C=$B445,'Основной эфир'!$I:$I=$C445)), 0) "),0.0)</f>
        <v>0</v>
      </c>
      <c r="K445" s="91" t="str">
        <f>IFERROR(__xludf.DUMMYFUNCTION("IFERROR(REGEXREPLACE(unique(filter('Основной эфир'!$A:$A, 'Основной эфир'!$B:$B=$A445,'Основной эфир'!$C:$C=$B445,'Основной эфир'!$I:$I=$C445)), ""\d+"", """"),"""")"),"")</f>
        <v/>
      </c>
      <c r="L445" s="91" t="str">
        <f>IFERROR(__xludf.DUMMYFUNCTION("IFERROR(unique(filter('Основной эфир'!$F:$F, 'Основной эфир'!$B:$B=$A445,'Основной эфир'!$C:$C=$B445,'Основной эфир'!$I:$I=$C445)),"""")"),"")</f>
        <v/>
      </c>
      <c r="M445" s="92" t="str">
        <f t="shared" si="1"/>
        <v/>
      </c>
      <c r="N445" s="93">
        <f>IFERROR(__xludf.DUMMYFUNCTION("IFERROR(SWITCH(lower(join("" "",L445:M445)),""а миллионник"", 62.5,""б миллионник"", 75,""а мск"", 50, ""б мск"", 62.5, ""a остальное"", 70, ""б остальное"", 80)/100,0)"),0.0)</f>
        <v>0</v>
      </c>
      <c r="O445" s="91">
        <f t="shared" si="2"/>
        <v>0</v>
      </c>
      <c r="P445" s="91">
        <f>IFERROR(__xludf.DUMMYFUNCTION("IFERROR(sum(filter('Генеральный баннер'!$O:$O, 'Генеральный баннер'!$B:$B=$A445,'Генеральный баннер'!$C:$C=$B445,'Генеральный баннер'!$I:$I=$C445)), 0) "),0.0)</f>
        <v>0</v>
      </c>
      <c r="Q445" s="91">
        <f>IFERROR(__xludf.DUMMYFUNCTION("IFERROR(sum(filter('Генеральный баннер'!$Q:$Q, 'Генеральный баннер'!$B:$B=$A445,'Генеральный баннер'!$C:$C=$B445,'Генеральный баннер'!$I:$I=$C445)), 0) "),0.0)</f>
        <v>0</v>
      </c>
      <c r="R445" s="91">
        <f>IFERROR(__xludf.DUMMYFUNCTION("IFERROR(AVERAGE(filter('Генеральный баннер'!$AA:$AA, 'Генеральный баннер'!$B:$B=$A445,'Генеральный баннер'!$C:$C=$B445,'Генеральный баннер'!$I:$I=$C445)), 0) "),0.0)</f>
        <v>0</v>
      </c>
      <c r="S445" s="91">
        <f>IFERROR(__xludf.DUMMYFUNCTION("IFERROR(SUM(filter('Генеральный баннер'!$AH:$AH, 'Генеральный баннер'!$B:$B=$A445,'Генеральный баннер'!$C:$C=$B445,'Генеральный баннер'!$I:$I=$C445)), 0) "),0.0)</f>
        <v>0</v>
      </c>
      <c r="T445" s="91" t="str">
        <f>IFERROR(__xludf.DUMMYFUNCTION("IFERROR(REGEXREPLACE(unique(filter('Генеральный баннер'!$A:$A, 'Генеральный баннер'!$B:$B=$A445,'Генеральный баннер'!$C:$C=$B445,'Генеральный баннер'!$I:$I=$C445)), ""\d+"", """"),"""")"),"")</f>
        <v/>
      </c>
      <c r="U445" s="91" t="str">
        <f>IFERROR(__xludf.DUMMYFUNCTION("IFERROR(unique(filter('Генеральный баннер'!$F:$F, 'Генеральный баннер'!$B:$B=$A445,'Генеральный баннер'!$C:$C=$B445,'Генеральный баннер'!$I:$I=$C445)),"""")"),"")</f>
        <v/>
      </c>
      <c r="V445" s="92" t="str">
        <f t="shared" si="3"/>
        <v/>
      </c>
      <c r="W445" s="93">
        <f>IFERROR(__xludf.DUMMYFUNCTION("IFERROR(SWITCH(lower(join("" "",U445:V445)),""а миллионник"", 62.5,""б миллионник"", 75,""а мск"", 50, ""б мск"", 62.5, ""a остальное"", 70, ""б остальное"", 80)/100,0)"),0.0)</f>
        <v>0</v>
      </c>
      <c r="X445" s="91">
        <f t="shared" si="4"/>
        <v>0</v>
      </c>
    </row>
    <row r="446">
      <c r="A446" s="12"/>
      <c r="B446" s="12"/>
      <c r="C446" s="12"/>
      <c r="D446" s="91">
        <f>IFERROR(__xludf.DUMMYFUNCTION("IFERROR(sum(filter('Основной эфир'!$AA:$AA, 'Основной эфир'!$B:$B=$A446,'Основной эфир'!$C:$C=$B446,'Основной эфир'!$I:$I=$C446)), 0) "),0.0)</f>
        <v>0</v>
      </c>
      <c r="E446" s="91">
        <f>IFERROR(__xludf.DUMMYFUNCTION("IFERROR(sum(filter('Основной эфир'!$AC:$AC, 'Основной эфир'!$B:$B=$A446,'Основной эфир'!$C:$C=$B446,'Основной эфир'!$I:$I=$C446)), 0) "),0.0)</f>
        <v>0</v>
      </c>
      <c r="F446" s="91">
        <f>IFERROR(__xludf.DUMMYFUNCTION("IFERROR(sum(filter('Основной эфир'!$O:$O, 'Основной эфир'!$B:$B=$A446,'Основной эфир'!$C:$C=$B446,'Основной эфир'!$I:$I=$C446)), 0) "),0.0)</f>
        <v>0</v>
      </c>
      <c r="G446" s="91">
        <f>IFERROR(__xludf.DUMMYFUNCTION("IFERROR(sum(filter('Основной эфир'!$Q:$Q, 'Основной эфир'!$B:$B=$A446,'Основной эфир'!$C:$C=$B446,'Основной эфир'!$I:$I=$C446)), 0) "),0.0)</f>
        <v>0</v>
      </c>
      <c r="H446" s="91">
        <f>IFERROR(__xludf.DUMMYFUNCTION("IFERROR(AVERAGE(filter('Основной эфир'!$Y:$Y, 'Основной эфир'!$B:$B=$A446,'Основной эфир'!$C:$C=$B446,'Основной эфир'!$I:$I=$C446)), 0) "),0.0)</f>
        <v>0</v>
      </c>
      <c r="I446" s="91">
        <f>IFERROR(__xludf.DUMMYFUNCTION("IFERROR(AVERAGE(filter('Основной эфир'!$AE:$AE, 'Основной эфир'!$B:$B=$A446,'Основной эфир'!$C:$C=$B446,'Основной эфир'!$I:$I=$C446)), 0) "),0.0)</f>
        <v>0</v>
      </c>
      <c r="J446" s="91">
        <f>IFERROR(__xludf.DUMMYFUNCTION("IFERROR(SUM(filter('Основной эфир'!$AL:$AL, 'Основной эфир'!$B:$B=$A446,'Основной эфир'!$C:$C=$B446,'Основной эфир'!$I:$I=$C446)), 0) "),0.0)</f>
        <v>0</v>
      </c>
      <c r="K446" s="91" t="str">
        <f>IFERROR(__xludf.DUMMYFUNCTION("IFERROR(REGEXREPLACE(unique(filter('Основной эфир'!$A:$A, 'Основной эфир'!$B:$B=$A446,'Основной эфир'!$C:$C=$B446,'Основной эфир'!$I:$I=$C446)), ""\d+"", """"),"""")"),"")</f>
        <v/>
      </c>
      <c r="L446" s="91" t="str">
        <f>IFERROR(__xludf.DUMMYFUNCTION("IFERROR(unique(filter('Основной эфир'!$F:$F, 'Основной эфир'!$B:$B=$A446,'Основной эфир'!$C:$C=$B446,'Основной эфир'!$I:$I=$C446)),"""")"),"")</f>
        <v/>
      </c>
      <c r="M446" s="92" t="str">
        <f t="shared" si="1"/>
        <v/>
      </c>
      <c r="N446" s="93">
        <f>IFERROR(__xludf.DUMMYFUNCTION("IFERROR(SWITCH(lower(join("" "",L446:M446)),""а миллионник"", 62.5,""б миллионник"", 75,""а мск"", 50, ""б мск"", 62.5, ""a остальное"", 70, ""б остальное"", 80)/100,0)"),0.0)</f>
        <v>0</v>
      </c>
      <c r="O446" s="91">
        <f t="shared" si="2"/>
        <v>0</v>
      </c>
      <c r="P446" s="91">
        <f>IFERROR(__xludf.DUMMYFUNCTION("IFERROR(sum(filter('Генеральный баннер'!$O:$O, 'Генеральный баннер'!$B:$B=$A446,'Генеральный баннер'!$C:$C=$B446,'Генеральный баннер'!$I:$I=$C446)), 0) "),0.0)</f>
        <v>0</v>
      </c>
      <c r="Q446" s="91">
        <f>IFERROR(__xludf.DUMMYFUNCTION("IFERROR(sum(filter('Генеральный баннер'!$Q:$Q, 'Генеральный баннер'!$B:$B=$A446,'Генеральный баннер'!$C:$C=$B446,'Генеральный баннер'!$I:$I=$C446)), 0) "),0.0)</f>
        <v>0</v>
      </c>
      <c r="R446" s="91">
        <f>IFERROR(__xludf.DUMMYFUNCTION("IFERROR(AVERAGE(filter('Генеральный баннер'!$AA:$AA, 'Генеральный баннер'!$B:$B=$A446,'Генеральный баннер'!$C:$C=$B446,'Генеральный баннер'!$I:$I=$C446)), 0) "),0.0)</f>
        <v>0</v>
      </c>
      <c r="S446" s="91">
        <f>IFERROR(__xludf.DUMMYFUNCTION("IFERROR(SUM(filter('Генеральный баннер'!$AH:$AH, 'Генеральный баннер'!$B:$B=$A446,'Генеральный баннер'!$C:$C=$B446,'Генеральный баннер'!$I:$I=$C446)), 0) "),0.0)</f>
        <v>0</v>
      </c>
      <c r="T446" s="91" t="str">
        <f>IFERROR(__xludf.DUMMYFUNCTION("IFERROR(REGEXREPLACE(unique(filter('Генеральный баннер'!$A:$A, 'Генеральный баннер'!$B:$B=$A446,'Генеральный баннер'!$C:$C=$B446,'Генеральный баннер'!$I:$I=$C446)), ""\d+"", """"),"""")"),"")</f>
        <v/>
      </c>
      <c r="U446" s="91" t="str">
        <f>IFERROR(__xludf.DUMMYFUNCTION("IFERROR(unique(filter('Генеральный баннер'!$F:$F, 'Генеральный баннер'!$B:$B=$A446,'Генеральный баннер'!$C:$C=$B446,'Генеральный баннер'!$I:$I=$C446)),"""")"),"")</f>
        <v/>
      </c>
      <c r="V446" s="92" t="str">
        <f t="shared" si="3"/>
        <v/>
      </c>
      <c r="W446" s="93">
        <f>IFERROR(__xludf.DUMMYFUNCTION("IFERROR(SWITCH(lower(join("" "",U446:V446)),""а миллионник"", 62.5,""б миллионник"", 75,""а мск"", 50, ""б мск"", 62.5, ""a остальное"", 70, ""б остальное"", 80)/100,0)"),0.0)</f>
        <v>0</v>
      </c>
      <c r="X446" s="91">
        <f t="shared" si="4"/>
        <v>0</v>
      </c>
    </row>
    <row r="447">
      <c r="A447" s="12"/>
      <c r="B447" s="12"/>
      <c r="C447" s="12"/>
      <c r="D447" s="91">
        <f>IFERROR(__xludf.DUMMYFUNCTION("IFERROR(sum(filter('Основной эфир'!$AA:$AA, 'Основной эфир'!$B:$B=$A447,'Основной эфир'!$C:$C=$B447,'Основной эфир'!$I:$I=$C447)), 0) "),0.0)</f>
        <v>0</v>
      </c>
      <c r="E447" s="91">
        <f>IFERROR(__xludf.DUMMYFUNCTION("IFERROR(sum(filter('Основной эфир'!$AC:$AC, 'Основной эфир'!$B:$B=$A447,'Основной эфир'!$C:$C=$B447,'Основной эфир'!$I:$I=$C447)), 0) "),0.0)</f>
        <v>0</v>
      </c>
      <c r="F447" s="91">
        <f>IFERROR(__xludf.DUMMYFUNCTION("IFERROR(sum(filter('Основной эфир'!$O:$O, 'Основной эфир'!$B:$B=$A447,'Основной эфир'!$C:$C=$B447,'Основной эфир'!$I:$I=$C447)), 0) "),0.0)</f>
        <v>0</v>
      </c>
      <c r="G447" s="91">
        <f>IFERROR(__xludf.DUMMYFUNCTION("IFERROR(sum(filter('Основной эфир'!$Q:$Q, 'Основной эфир'!$B:$B=$A447,'Основной эфир'!$C:$C=$B447,'Основной эфир'!$I:$I=$C447)), 0) "),0.0)</f>
        <v>0</v>
      </c>
      <c r="H447" s="91">
        <f>IFERROR(__xludf.DUMMYFUNCTION("IFERROR(AVERAGE(filter('Основной эфир'!$Y:$Y, 'Основной эфир'!$B:$B=$A447,'Основной эфир'!$C:$C=$B447,'Основной эфир'!$I:$I=$C447)), 0) "),0.0)</f>
        <v>0</v>
      </c>
      <c r="I447" s="91">
        <f>IFERROR(__xludf.DUMMYFUNCTION("IFERROR(AVERAGE(filter('Основной эфир'!$AE:$AE, 'Основной эфир'!$B:$B=$A447,'Основной эфир'!$C:$C=$B447,'Основной эфир'!$I:$I=$C447)), 0) "),0.0)</f>
        <v>0</v>
      </c>
      <c r="J447" s="91">
        <f>IFERROR(__xludf.DUMMYFUNCTION("IFERROR(SUM(filter('Основной эфир'!$AL:$AL, 'Основной эфир'!$B:$B=$A447,'Основной эфир'!$C:$C=$B447,'Основной эфир'!$I:$I=$C447)), 0) "),0.0)</f>
        <v>0</v>
      </c>
      <c r="K447" s="91" t="str">
        <f>IFERROR(__xludf.DUMMYFUNCTION("IFERROR(REGEXREPLACE(unique(filter('Основной эфир'!$A:$A, 'Основной эфир'!$B:$B=$A447,'Основной эфир'!$C:$C=$B447,'Основной эфир'!$I:$I=$C447)), ""\d+"", """"),"""")"),"")</f>
        <v/>
      </c>
      <c r="L447" s="91" t="str">
        <f>IFERROR(__xludf.DUMMYFUNCTION("IFERROR(unique(filter('Основной эфир'!$F:$F, 'Основной эфир'!$B:$B=$A447,'Основной эфир'!$C:$C=$B447,'Основной эфир'!$I:$I=$C447)),"""")"),"")</f>
        <v/>
      </c>
      <c r="M447" s="92" t="str">
        <f t="shared" si="1"/>
        <v/>
      </c>
      <c r="N447" s="93">
        <f>IFERROR(__xludf.DUMMYFUNCTION("IFERROR(SWITCH(lower(join("" "",L447:M447)),""а миллионник"", 62.5,""б миллионник"", 75,""а мск"", 50, ""б мск"", 62.5, ""a остальное"", 70, ""б остальное"", 80)/100,0)"),0.0)</f>
        <v>0</v>
      </c>
      <c r="O447" s="91">
        <f t="shared" si="2"/>
        <v>0</v>
      </c>
      <c r="P447" s="91">
        <f>IFERROR(__xludf.DUMMYFUNCTION("IFERROR(sum(filter('Генеральный баннер'!$O:$O, 'Генеральный баннер'!$B:$B=$A447,'Генеральный баннер'!$C:$C=$B447,'Генеральный баннер'!$I:$I=$C447)), 0) "),0.0)</f>
        <v>0</v>
      </c>
      <c r="Q447" s="91">
        <f>IFERROR(__xludf.DUMMYFUNCTION("IFERROR(sum(filter('Генеральный баннер'!$Q:$Q, 'Генеральный баннер'!$B:$B=$A447,'Генеральный баннер'!$C:$C=$B447,'Генеральный баннер'!$I:$I=$C447)), 0) "),0.0)</f>
        <v>0</v>
      </c>
      <c r="R447" s="91">
        <f>IFERROR(__xludf.DUMMYFUNCTION("IFERROR(AVERAGE(filter('Генеральный баннер'!$AA:$AA, 'Генеральный баннер'!$B:$B=$A447,'Генеральный баннер'!$C:$C=$B447,'Генеральный баннер'!$I:$I=$C447)), 0) "),0.0)</f>
        <v>0</v>
      </c>
      <c r="S447" s="91">
        <f>IFERROR(__xludf.DUMMYFUNCTION("IFERROR(SUM(filter('Генеральный баннер'!$AH:$AH, 'Генеральный баннер'!$B:$B=$A447,'Генеральный баннер'!$C:$C=$B447,'Генеральный баннер'!$I:$I=$C447)), 0) "),0.0)</f>
        <v>0</v>
      </c>
      <c r="T447" s="91" t="str">
        <f>IFERROR(__xludf.DUMMYFUNCTION("IFERROR(REGEXREPLACE(unique(filter('Генеральный баннер'!$A:$A, 'Генеральный баннер'!$B:$B=$A447,'Генеральный баннер'!$C:$C=$B447,'Генеральный баннер'!$I:$I=$C447)), ""\d+"", """"),"""")"),"")</f>
        <v/>
      </c>
      <c r="U447" s="91" t="str">
        <f>IFERROR(__xludf.DUMMYFUNCTION("IFERROR(unique(filter('Генеральный баннер'!$F:$F, 'Генеральный баннер'!$B:$B=$A447,'Генеральный баннер'!$C:$C=$B447,'Генеральный баннер'!$I:$I=$C447)),"""")"),"")</f>
        <v/>
      </c>
      <c r="V447" s="92" t="str">
        <f t="shared" si="3"/>
        <v/>
      </c>
      <c r="W447" s="93">
        <f>IFERROR(__xludf.DUMMYFUNCTION("IFERROR(SWITCH(lower(join("" "",U447:V447)),""а миллионник"", 62.5,""б миллионник"", 75,""а мск"", 50, ""б мск"", 62.5, ""a остальное"", 70, ""б остальное"", 80)/100,0)"),0.0)</f>
        <v>0</v>
      </c>
      <c r="X447" s="91">
        <f t="shared" si="4"/>
        <v>0</v>
      </c>
    </row>
    <row r="448">
      <c r="A448" s="12"/>
      <c r="B448" s="12"/>
      <c r="C448" s="12"/>
      <c r="D448" s="91">
        <f>IFERROR(__xludf.DUMMYFUNCTION("IFERROR(sum(filter('Основной эфир'!$AA:$AA, 'Основной эфир'!$B:$B=$A448,'Основной эфир'!$C:$C=$B448,'Основной эфир'!$I:$I=$C448)), 0) "),0.0)</f>
        <v>0</v>
      </c>
      <c r="E448" s="91">
        <f>IFERROR(__xludf.DUMMYFUNCTION("IFERROR(sum(filter('Основной эфир'!$AC:$AC, 'Основной эфир'!$B:$B=$A448,'Основной эфир'!$C:$C=$B448,'Основной эфир'!$I:$I=$C448)), 0) "),0.0)</f>
        <v>0</v>
      </c>
      <c r="F448" s="91">
        <f>IFERROR(__xludf.DUMMYFUNCTION("IFERROR(sum(filter('Основной эфир'!$O:$O, 'Основной эфир'!$B:$B=$A448,'Основной эфир'!$C:$C=$B448,'Основной эфир'!$I:$I=$C448)), 0) "),0.0)</f>
        <v>0</v>
      </c>
      <c r="G448" s="91">
        <f>IFERROR(__xludf.DUMMYFUNCTION("IFERROR(sum(filter('Основной эфир'!$Q:$Q, 'Основной эфир'!$B:$B=$A448,'Основной эфир'!$C:$C=$B448,'Основной эфир'!$I:$I=$C448)), 0) "),0.0)</f>
        <v>0</v>
      </c>
      <c r="H448" s="91">
        <f>IFERROR(__xludf.DUMMYFUNCTION("IFERROR(AVERAGE(filter('Основной эфир'!$Y:$Y, 'Основной эфир'!$B:$B=$A448,'Основной эфир'!$C:$C=$B448,'Основной эфир'!$I:$I=$C448)), 0) "),0.0)</f>
        <v>0</v>
      </c>
      <c r="I448" s="91">
        <f>IFERROR(__xludf.DUMMYFUNCTION("IFERROR(AVERAGE(filter('Основной эфир'!$AE:$AE, 'Основной эфир'!$B:$B=$A448,'Основной эфир'!$C:$C=$B448,'Основной эфир'!$I:$I=$C448)), 0) "),0.0)</f>
        <v>0</v>
      </c>
      <c r="J448" s="91">
        <f>IFERROR(__xludf.DUMMYFUNCTION("IFERROR(SUM(filter('Основной эфир'!$AL:$AL, 'Основной эфир'!$B:$B=$A448,'Основной эфир'!$C:$C=$B448,'Основной эфир'!$I:$I=$C448)), 0) "),0.0)</f>
        <v>0</v>
      </c>
      <c r="K448" s="91" t="str">
        <f>IFERROR(__xludf.DUMMYFUNCTION("IFERROR(REGEXREPLACE(unique(filter('Основной эфир'!$A:$A, 'Основной эфир'!$B:$B=$A448,'Основной эфир'!$C:$C=$B448,'Основной эфир'!$I:$I=$C448)), ""\d+"", """"),"""")"),"")</f>
        <v/>
      </c>
      <c r="L448" s="91" t="str">
        <f>IFERROR(__xludf.DUMMYFUNCTION("IFERROR(unique(filter('Основной эфир'!$F:$F, 'Основной эфир'!$B:$B=$A448,'Основной эфир'!$C:$C=$B448,'Основной эфир'!$I:$I=$C448)),"""")"),"")</f>
        <v/>
      </c>
      <c r="M448" s="92" t="str">
        <f t="shared" si="1"/>
        <v/>
      </c>
      <c r="N448" s="93">
        <f>IFERROR(__xludf.DUMMYFUNCTION("IFERROR(SWITCH(lower(join("" "",L448:M448)),""а миллионник"", 62.5,""б миллионник"", 75,""а мск"", 50, ""б мск"", 62.5, ""a остальное"", 70, ""б остальное"", 80)/100,0)"),0.0)</f>
        <v>0</v>
      </c>
      <c r="O448" s="91">
        <f t="shared" si="2"/>
        <v>0</v>
      </c>
      <c r="P448" s="91">
        <f>IFERROR(__xludf.DUMMYFUNCTION("IFERROR(sum(filter('Генеральный баннер'!$O:$O, 'Генеральный баннер'!$B:$B=$A448,'Генеральный баннер'!$C:$C=$B448,'Генеральный баннер'!$I:$I=$C448)), 0) "),0.0)</f>
        <v>0</v>
      </c>
      <c r="Q448" s="91">
        <f>IFERROR(__xludf.DUMMYFUNCTION("IFERROR(sum(filter('Генеральный баннер'!$Q:$Q, 'Генеральный баннер'!$B:$B=$A448,'Генеральный баннер'!$C:$C=$B448,'Генеральный баннер'!$I:$I=$C448)), 0) "),0.0)</f>
        <v>0</v>
      </c>
      <c r="R448" s="91">
        <f>IFERROR(__xludf.DUMMYFUNCTION("IFERROR(AVERAGE(filter('Генеральный баннер'!$AA:$AA, 'Генеральный баннер'!$B:$B=$A448,'Генеральный баннер'!$C:$C=$B448,'Генеральный баннер'!$I:$I=$C448)), 0) "),0.0)</f>
        <v>0</v>
      </c>
      <c r="S448" s="91">
        <f>IFERROR(__xludf.DUMMYFUNCTION("IFERROR(SUM(filter('Генеральный баннер'!$AH:$AH, 'Генеральный баннер'!$B:$B=$A448,'Генеральный баннер'!$C:$C=$B448,'Генеральный баннер'!$I:$I=$C448)), 0) "),0.0)</f>
        <v>0</v>
      </c>
      <c r="T448" s="91" t="str">
        <f>IFERROR(__xludf.DUMMYFUNCTION("IFERROR(REGEXREPLACE(unique(filter('Генеральный баннер'!$A:$A, 'Генеральный баннер'!$B:$B=$A448,'Генеральный баннер'!$C:$C=$B448,'Генеральный баннер'!$I:$I=$C448)), ""\d+"", """"),"""")"),"")</f>
        <v/>
      </c>
      <c r="U448" s="91" t="str">
        <f>IFERROR(__xludf.DUMMYFUNCTION("IFERROR(unique(filter('Генеральный баннер'!$F:$F, 'Генеральный баннер'!$B:$B=$A448,'Генеральный баннер'!$C:$C=$B448,'Генеральный баннер'!$I:$I=$C448)),"""")"),"")</f>
        <v/>
      </c>
      <c r="V448" s="92" t="str">
        <f t="shared" si="3"/>
        <v/>
      </c>
      <c r="W448" s="93">
        <f>IFERROR(__xludf.DUMMYFUNCTION("IFERROR(SWITCH(lower(join("" "",U448:V448)),""а миллионник"", 62.5,""б миллионник"", 75,""а мск"", 50, ""б мск"", 62.5, ""a остальное"", 70, ""б остальное"", 80)/100,0)"),0.0)</f>
        <v>0</v>
      </c>
      <c r="X448" s="91">
        <f t="shared" si="4"/>
        <v>0</v>
      </c>
    </row>
    <row r="449">
      <c r="A449" s="12"/>
      <c r="B449" s="12"/>
      <c r="C449" s="12"/>
      <c r="D449" s="91">
        <f>IFERROR(__xludf.DUMMYFUNCTION("IFERROR(sum(filter('Основной эфир'!$AA:$AA, 'Основной эфир'!$B:$B=$A449,'Основной эфир'!$C:$C=$B449,'Основной эфир'!$I:$I=$C449)), 0) "),0.0)</f>
        <v>0</v>
      </c>
      <c r="E449" s="91">
        <f>IFERROR(__xludf.DUMMYFUNCTION("IFERROR(sum(filter('Основной эфир'!$AC:$AC, 'Основной эфир'!$B:$B=$A449,'Основной эфир'!$C:$C=$B449,'Основной эфир'!$I:$I=$C449)), 0) "),0.0)</f>
        <v>0</v>
      </c>
      <c r="F449" s="91">
        <f>IFERROR(__xludf.DUMMYFUNCTION("IFERROR(sum(filter('Основной эфир'!$O:$O, 'Основной эфир'!$B:$B=$A449,'Основной эфир'!$C:$C=$B449,'Основной эфир'!$I:$I=$C449)), 0) "),0.0)</f>
        <v>0</v>
      </c>
      <c r="G449" s="91">
        <f>IFERROR(__xludf.DUMMYFUNCTION("IFERROR(sum(filter('Основной эфир'!$Q:$Q, 'Основной эфир'!$B:$B=$A449,'Основной эфир'!$C:$C=$B449,'Основной эфир'!$I:$I=$C449)), 0) "),0.0)</f>
        <v>0</v>
      </c>
      <c r="H449" s="91">
        <f>IFERROR(__xludf.DUMMYFUNCTION("IFERROR(AVERAGE(filter('Основной эфир'!$Y:$Y, 'Основной эфир'!$B:$B=$A449,'Основной эфир'!$C:$C=$B449,'Основной эфир'!$I:$I=$C449)), 0) "),0.0)</f>
        <v>0</v>
      </c>
      <c r="I449" s="91">
        <f>IFERROR(__xludf.DUMMYFUNCTION("IFERROR(AVERAGE(filter('Основной эфир'!$AE:$AE, 'Основной эфир'!$B:$B=$A449,'Основной эфир'!$C:$C=$B449,'Основной эфир'!$I:$I=$C449)), 0) "),0.0)</f>
        <v>0</v>
      </c>
      <c r="J449" s="91">
        <f>IFERROR(__xludf.DUMMYFUNCTION("IFERROR(SUM(filter('Основной эфир'!$AL:$AL, 'Основной эфир'!$B:$B=$A449,'Основной эфир'!$C:$C=$B449,'Основной эфир'!$I:$I=$C449)), 0) "),0.0)</f>
        <v>0</v>
      </c>
      <c r="K449" s="91" t="str">
        <f>IFERROR(__xludf.DUMMYFUNCTION("IFERROR(REGEXREPLACE(unique(filter('Основной эфир'!$A:$A, 'Основной эфир'!$B:$B=$A449,'Основной эфир'!$C:$C=$B449,'Основной эфир'!$I:$I=$C449)), ""\d+"", """"),"""")"),"")</f>
        <v/>
      </c>
      <c r="L449" s="91" t="str">
        <f>IFERROR(__xludf.DUMMYFUNCTION("IFERROR(unique(filter('Основной эфир'!$F:$F, 'Основной эфир'!$B:$B=$A449,'Основной эфир'!$C:$C=$B449,'Основной эфир'!$I:$I=$C449)),"""")"),"")</f>
        <v/>
      </c>
      <c r="M449" s="92" t="str">
        <f t="shared" si="1"/>
        <v/>
      </c>
      <c r="N449" s="93">
        <f>IFERROR(__xludf.DUMMYFUNCTION("IFERROR(SWITCH(lower(join("" "",L449:M449)),""а миллионник"", 62.5,""б миллионник"", 75,""а мск"", 50, ""б мск"", 62.5, ""a остальное"", 70, ""б остальное"", 80)/100,0)"),0.0)</f>
        <v>0</v>
      </c>
      <c r="O449" s="91">
        <f t="shared" si="2"/>
        <v>0</v>
      </c>
      <c r="P449" s="91">
        <f>IFERROR(__xludf.DUMMYFUNCTION("IFERROR(sum(filter('Генеральный баннер'!$O:$O, 'Генеральный баннер'!$B:$B=$A449,'Генеральный баннер'!$C:$C=$B449,'Генеральный баннер'!$I:$I=$C449)), 0) "),0.0)</f>
        <v>0</v>
      </c>
      <c r="Q449" s="91">
        <f>IFERROR(__xludf.DUMMYFUNCTION("IFERROR(sum(filter('Генеральный баннер'!$Q:$Q, 'Генеральный баннер'!$B:$B=$A449,'Генеральный баннер'!$C:$C=$B449,'Генеральный баннер'!$I:$I=$C449)), 0) "),0.0)</f>
        <v>0</v>
      </c>
      <c r="R449" s="91">
        <f>IFERROR(__xludf.DUMMYFUNCTION("IFERROR(AVERAGE(filter('Генеральный баннер'!$AA:$AA, 'Генеральный баннер'!$B:$B=$A449,'Генеральный баннер'!$C:$C=$B449,'Генеральный баннер'!$I:$I=$C449)), 0) "),0.0)</f>
        <v>0</v>
      </c>
      <c r="S449" s="91">
        <f>IFERROR(__xludf.DUMMYFUNCTION("IFERROR(SUM(filter('Генеральный баннер'!$AH:$AH, 'Генеральный баннер'!$B:$B=$A449,'Генеральный баннер'!$C:$C=$B449,'Генеральный баннер'!$I:$I=$C449)), 0) "),0.0)</f>
        <v>0</v>
      </c>
      <c r="T449" s="91" t="str">
        <f>IFERROR(__xludf.DUMMYFUNCTION("IFERROR(REGEXREPLACE(unique(filter('Генеральный баннер'!$A:$A, 'Генеральный баннер'!$B:$B=$A449,'Генеральный баннер'!$C:$C=$B449,'Генеральный баннер'!$I:$I=$C449)), ""\d+"", """"),"""")"),"")</f>
        <v/>
      </c>
      <c r="U449" s="91" t="str">
        <f>IFERROR(__xludf.DUMMYFUNCTION("IFERROR(unique(filter('Генеральный баннер'!$F:$F, 'Генеральный баннер'!$B:$B=$A449,'Генеральный баннер'!$C:$C=$B449,'Генеральный баннер'!$I:$I=$C449)),"""")"),"")</f>
        <v/>
      </c>
      <c r="V449" s="92" t="str">
        <f t="shared" si="3"/>
        <v/>
      </c>
      <c r="W449" s="93">
        <f>IFERROR(__xludf.DUMMYFUNCTION("IFERROR(SWITCH(lower(join("" "",U449:V449)),""а миллионник"", 62.5,""б миллионник"", 75,""а мск"", 50, ""б мск"", 62.5, ""a остальное"", 70, ""б остальное"", 80)/100,0)"),0.0)</f>
        <v>0</v>
      </c>
      <c r="X449" s="91">
        <f t="shared" si="4"/>
        <v>0</v>
      </c>
    </row>
    <row r="450">
      <c r="A450" s="12"/>
      <c r="B450" s="12"/>
      <c r="C450" s="12"/>
      <c r="D450" s="91">
        <f>IFERROR(__xludf.DUMMYFUNCTION("IFERROR(sum(filter('Основной эфир'!$AA:$AA, 'Основной эфир'!$B:$B=$A450,'Основной эфир'!$C:$C=$B450,'Основной эфир'!$I:$I=$C450)), 0) "),0.0)</f>
        <v>0</v>
      </c>
      <c r="E450" s="91">
        <f>IFERROR(__xludf.DUMMYFUNCTION("IFERROR(sum(filter('Основной эфир'!$AC:$AC, 'Основной эфир'!$B:$B=$A450,'Основной эфир'!$C:$C=$B450,'Основной эфир'!$I:$I=$C450)), 0) "),0.0)</f>
        <v>0</v>
      </c>
      <c r="F450" s="91">
        <f>IFERROR(__xludf.DUMMYFUNCTION("IFERROR(sum(filter('Основной эфир'!$O:$O, 'Основной эфир'!$B:$B=$A450,'Основной эфир'!$C:$C=$B450,'Основной эфир'!$I:$I=$C450)), 0) "),0.0)</f>
        <v>0</v>
      </c>
      <c r="G450" s="91">
        <f>IFERROR(__xludf.DUMMYFUNCTION("IFERROR(sum(filter('Основной эфир'!$Q:$Q, 'Основной эфир'!$B:$B=$A450,'Основной эфир'!$C:$C=$B450,'Основной эфир'!$I:$I=$C450)), 0) "),0.0)</f>
        <v>0</v>
      </c>
      <c r="H450" s="91">
        <f>IFERROR(__xludf.DUMMYFUNCTION("IFERROR(AVERAGE(filter('Основной эфир'!$Y:$Y, 'Основной эфир'!$B:$B=$A450,'Основной эфир'!$C:$C=$B450,'Основной эфир'!$I:$I=$C450)), 0) "),0.0)</f>
        <v>0</v>
      </c>
      <c r="I450" s="91">
        <f>IFERROR(__xludf.DUMMYFUNCTION("IFERROR(AVERAGE(filter('Основной эфир'!$AE:$AE, 'Основной эфир'!$B:$B=$A450,'Основной эфир'!$C:$C=$B450,'Основной эфир'!$I:$I=$C450)), 0) "),0.0)</f>
        <v>0</v>
      </c>
      <c r="J450" s="91">
        <f>IFERROR(__xludf.DUMMYFUNCTION("IFERROR(SUM(filter('Основной эфир'!$AL:$AL, 'Основной эфир'!$B:$B=$A450,'Основной эфир'!$C:$C=$B450,'Основной эфир'!$I:$I=$C450)), 0) "),0.0)</f>
        <v>0</v>
      </c>
      <c r="K450" s="91" t="str">
        <f>IFERROR(__xludf.DUMMYFUNCTION("IFERROR(REGEXREPLACE(unique(filter('Основной эфир'!$A:$A, 'Основной эфир'!$B:$B=$A450,'Основной эфир'!$C:$C=$B450,'Основной эфир'!$I:$I=$C450)), ""\d+"", """"),"""")"),"")</f>
        <v/>
      </c>
      <c r="L450" s="91" t="str">
        <f>IFERROR(__xludf.DUMMYFUNCTION("IFERROR(unique(filter('Основной эфир'!$F:$F, 'Основной эфир'!$B:$B=$A450,'Основной эфир'!$C:$C=$B450,'Основной эфир'!$I:$I=$C450)),"""")"),"")</f>
        <v/>
      </c>
      <c r="M450" s="92" t="str">
        <f t="shared" si="1"/>
        <v/>
      </c>
      <c r="N450" s="93">
        <f>IFERROR(__xludf.DUMMYFUNCTION("IFERROR(SWITCH(lower(join("" "",L450:M450)),""а миллионник"", 62.5,""б миллионник"", 75,""а мск"", 50, ""б мск"", 62.5, ""a остальное"", 70, ""б остальное"", 80)/100,0)"),0.0)</f>
        <v>0</v>
      </c>
      <c r="O450" s="91">
        <f t="shared" si="2"/>
        <v>0</v>
      </c>
      <c r="P450" s="91">
        <f>IFERROR(__xludf.DUMMYFUNCTION("IFERROR(sum(filter('Генеральный баннер'!$O:$O, 'Генеральный баннер'!$B:$B=$A450,'Генеральный баннер'!$C:$C=$B450,'Генеральный баннер'!$I:$I=$C450)), 0) "),0.0)</f>
        <v>0</v>
      </c>
      <c r="Q450" s="91">
        <f>IFERROR(__xludf.DUMMYFUNCTION("IFERROR(sum(filter('Генеральный баннер'!$Q:$Q, 'Генеральный баннер'!$B:$B=$A450,'Генеральный баннер'!$C:$C=$B450,'Генеральный баннер'!$I:$I=$C450)), 0) "),0.0)</f>
        <v>0</v>
      </c>
      <c r="R450" s="91">
        <f>IFERROR(__xludf.DUMMYFUNCTION("IFERROR(AVERAGE(filter('Генеральный баннер'!$AA:$AA, 'Генеральный баннер'!$B:$B=$A450,'Генеральный баннер'!$C:$C=$B450,'Генеральный баннер'!$I:$I=$C450)), 0) "),0.0)</f>
        <v>0</v>
      </c>
      <c r="S450" s="91">
        <f>IFERROR(__xludf.DUMMYFUNCTION("IFERROR(SUM(filter('Генеральный баннер'!$AH:$AH, 'Генеральный баннер'!$B:$B=$A450,'Генеральный баннер'!$C:$C=$B450,'Генеральный баннер'!$I:$I=$C450)), 0) "),0.0)</f>
        <v>0</v>
      </c>
      <c r="T450" s="91" t="str">
        <f>IFERROR(__xludf.DUMMYFUNCTION("IFERROR(REGEXREPLACE(unique(filter('Генеральный баннер'!$A:$A, 'Генеральный баннер'!$B:$B=$A450,'Генеральный баннер'!$C:$C=$B450,'Генеральный баннер'!$I:$I=$C450)), ""\d+"", """"),"""")"),"")</f>
        <v/>
      </c>
      <c r="U450" s="91" t="str">
        <f>IFERROR(__xludf.DUMMYFUNCTION("IFERROR(unique(filter('Генеральный баннер'!$F:$F, 'Генеральный баннер'!$B:$B=$A450,'Генеральный баннер'!$C:$C=$B450,'Генеральный баннер'!$I:$I=$C450)),"""")"),"")</f>
        <v/>
      </c>
      <c r="V450" s="92" t="str">
        <f t="shared" si="3"/>
        <v/>
      </c>
      <c r="W450" s="93">
        <f>IFERROR(__xludf.DUMMYFUNCTION("IFERROR(SWITCH(lower(join("" "",U450:V450)),""а миллионник"", 62.5,""б миллионник"", 75,""а мск"", 50, ""б мск"", 62.5, ""a остальное"", 70, ""б остальное"", 80)/100,0)"),0.0)</f>
        <v>0</v>
      </c>
      <c r="X450" s="91">
        <f t="shared" si="4"/>
        <v>0</v>
      </c>
    </row>
    <row r="451">
      <c r="A451" s="12"/>
      <c r="B451" s="12"/>
      <c r="C451" s="12"/>
      <c r="D451" s="91">
        <f>IFERROR(__xludf.DUMMYFUNCTION("IFERROR(sum(filter('Основной эфир'!$AA:$AA, 'Основной эфир'!$B:$B=$A451,'Основной эфир'!$C:$C=$B451,'Основной эфир'!$I:$I=$C451)), 0) "),0.0)</f>
        <v>0</v>
      </c>
      <c r="E451" s="91">
        <f>IFERROR(__xludf.DUMMYFUNCTION("IFERROR(sum(filter('Основной эфир'!$AC:$AC, 'Основной эфир'!$B:$B=$A451,'Основной эфир'!$C:$C=$B451,'Основной эфир'!$I:$I=$C451)), 0) "),0.0)</f>
        <v>0</v>
      </c>
      <c r="F451" s="91">
        <f>IFERROR(__xludf.DUMMYFUNCTION("IFERROR(sum(filter('Основной эфир'!$O:$O, 'Основной эфир'!$B:$B=$A451,'Основной эфир'!$C:$C=$B451,'Основной эфир'!$I:$I=$C451)), 0) "),0.0)</f>
        <v>0</v>
      </c>
      <c r="G451" s="91">
        <f>IFERROR(__xludf.DUMMYFUNCTION("IFERROR(sum(filter('Основной эфир'!$Q:$Q, 'Основной эфир'!$B:$B=$A451,'Основной эфир'!$C:$C=$B451,'Основной эфир'!$I:$I=$C451)), 0) "),0.0)</f>
        <v>0</v>
      </c>
      <c r="H451" s="91">
        <f>IFERROR(__xludf.DUMMYFUNCTION("IFERROR(AVERAGE(filter('Основной эфир'!$Y:$Y, 'Основной эфир'!$B:$B=$A451,'Основной эфир'!$C:$C=$B451,'Основной эфир'!$I:$I=$C451)), 0) "),0.0)</f>
        <v>0</v>
      </c>
      <c r="I451" s="91">
        <f>IFERROR(__xludf.DUMMYFUNCTION("IFERROR(AVERAGE(filter('Основной эфир'!$AE:$AE, 'Основной эфир'!$B:$B=$A451,'Основной эфир'!$C:$C=$B451,'Основной эфир'!$I:$I=$C451)), 0) "),0.0)</f>
        <v>0</v>
      </c>
      <c r="J451" s="91">
        <f>IFERROR(__xludf.DUMMYFUNCTION("IFERROR(SUM(filter('Основной эфир'!$AL:$AL, 'Основной эфир'!$B:$B=$A451,'Основной эфир'!$C:$C=$B451,'Основной эфир'!$I:$I=$C451)), 0) "),0.0)</f>
        <v>0</v>
      </c>
      <c r="K451" s="91" t="str">
        <f>IFERROR(__xludf.DUMMYFUNCTION("IFERROR(REGEXREPLACE(unique(filter('Основной эфир'!$A:$A, 'Основной эфир'!$B:$B=$A451,'Основной эфир'!$C:$C=$B451,'Основной эфир'!$I:$I=$C451)), ""\d+"", """"),"""")"),"")</f>
        <v/>
      </c>
      <c r="L451" s="91" t="str">
        <f>IFERROR(__xludf.DUMMYFUNCTION("IFERROR(unique(filter('Основной эфир'!$F:$F, 'Основной эфир'!$B:$B=$A451,'Основной эфир'!$C:$C=$B451,'Основной эфир'!$I:$I=$C451)),"""")"),"")</f>
        <v/>
      </c>
      <c r="M451" s="92" t="str">
        <f t="shared" si="1"/>
        <v/>
      </c>
      <c r="N451" s="93">
        <f>IFERROR(__xludf.DUMMYFUNCTION("IFERROR(SWITCH(lower(join("" "",L451:M451)),""а миллионник"", 62.5,""б миллионник"", 75,""а мск"", 50, ""б мск"", 62.5, ""a остальное"", 70, ""б остальное"", 80)/100,0)"),0.0)</f>
        <v>0</v>
      </c>
      <c r="O451" s="91">
        <f t="shared" si="2"/>
        <v>0</v>
      </c>
      <c r="P451" s="91">
        <f>IFERROR(__xludf.DUMMYFUNCTION("IFERROR(sum(filter('Генеральный баннер'!$O:$O, 'Генеральный баннер'!$B:$B=$A451,'Генеральный баннер'!$C:$C=$B451,'Генеральный баннер'!$I:$I=$C451)), 0) "),0.0)</f>
        <v>0</v>
      </c>
      <c r="Q451" s="91">
        <f>IFERROR(__xludf.DUMMYFUNCTION("IFERROR(sum(filter('Генеральный баннер'!$Q:$Q, 'Генеральный баннер'!$B:$B=$A451,'Генеральный баннер'!$C:$C=$B451,'Генеральный баннер'!$I:$I=$C451)), 0) "),0.0)</f>
        <v>0</v>
      </c>
      <c r="R451" s="91">
        <f>IFERROR(__xludf.DUMMYFUNCTION("IFERROR(AVERAGE(filter('Генеральный баннер'!$AA:$AA, 'Генеральный баннер'!$B:$B=$A451,'Генеральный баннер'!$C:$C=$B451,'Генеральный баннер'!$I:$I=$C451)), 0) "),0.0)</f>
        <v>0</v>
      </c>
      <c r="S451" s="91">
        <f>IFERROR(__xludf.DUMMYFUNCTION("IFERROR(SUM(filter('Генеральный баннер'!$AH:$AH, 'Генеральный баннер'!$B:$B=$A451,'Генеральный баннер'!$C:$C=$B451,'Генеральный баннер'!$I:$I=$C451)), 0) "),0.0)</f>
        <v>0</v>
      </c>
      <c r="T451" s="91" t="str">
        <f>IFERROR(__xludf.DUMMYFUNCTION("IFERROR(REGEXREPLACE(unique(filter('Генеральный баннер'!$A:$A, 'Генеральный баннер'!$B:$B=$A451,'Генеральный баннер'!$C:$C=$B451,'Генеральный баннер'!$I:$I=$C451)), ""\d+"", """"),"""")"),"")</f>
        <v/>
      </c>
      <c r="U451" s="91" t="str">
        <f>IFERROR(__xludf.DUMMYFUNCTION("IFERROR(unique(filter('Генеральный баннер'!$F:$F, 'Генеральный баннер'!$B:$B=$A451,'Генеральный баннер'!$C:$C=$B451,'Генеральный баннер'!$I:$I=$C451)),"""")"),"")</f>
        <v/>
      </c>
      <c r="V451" s="92" t="str">
        <f t="shared" si="3"/>
        <v/>
      </c>
      <c r="W451" s="93">
        <f>IFERROR(__xludf.DUMMYFUNCTION("IFERROR(SWITCH(lower(join("" "",U451:V451)),""а миллионник"", 62.5,""б миллионник"", 75,""а мск"", 50, ""б мск"", 62.5, ""a остальное"", 70, ""б остальное"", 80)/100,0)"),0.0)</f>
        <v>0</v>
      </c>
      <c r="X451" s="91">
        <f t="shared" si="4"/>
        <v>0</v>
      </c>
    </row>
    <row r="452">
      <c r="A452" s="12"/>
      <c r="B452" s="12"/>
      <c r="C452" s="12"/>
      <c r="D452" s="91">
        <f>IFERROR(__xludf.DUMMYFUNCTION("IFERROR(sum(filter('Основной эфир'!$AA:$AA, 'Основной эфир'!$B:$B=$A452,'Основной эфир'!$C:$C=$B452,'Основной эфир'!$I:$I=$C452)), 0) "),0.0)</f>
        <v>0</v>
      </c>
      <c r="E452" s="91">
        <f>IFERROR(__xludf.DUMMYFUNCTION("IFERROR(sum(filter('Основной эфир'!$AC:$AC, 'Основной эфир'!$B:$B=$A452,'Основной эфир'!$C:$C=$B452,'Основной эфир'!$I:$I=$C452)), 0) "),0.0)</f>
        <v>0</v>
      </c>
      <c r="F452" s="91">
        <f>IFERROR(__xludf.DUMMYFUNCTION("IFERROR(sum(filter('Основной эфир'!$O:$O, 'Основной эфир'!$B:$B=$A452,'Основной эфир'!$C:$C=$B452,'Основной эфир'!$I:$I=$C452)), 0) "),0.0)</f>
        <v>0</v>
      </c>
      <c r="G452" s="91">
        <f>IFERROR(__xludf.DUMMYFUNCTION("IFERROR(sum(filter('Основной эфир'!$Q:$Q, 'Основной эфир'!$B:$B=$A452,'Основной эфир'!$C:$C=$B452,'Основной эфир'!$I:$I=$C452)), 0) "),0.0)</f>
        <v>0</v>
      </c>
      <c r="H452" s="91">
        <f>IFERROR(__xludf.DUMMYFUNCTION("IFERROR(AVERAGE(filter('Основной эфир'!$Y:$Y, 'Основной эфир'!$B:$B=$A452,'Основной эфир'!$C:$C=$B452,'Основной эфир'!$I:$I=$C452)), 0) "),0.0)</f>
        <v>0</v>
      </c>
      <c r="I452" s="91">
        <f>IFERROR(__xludf.DUMMYFUNCTION("IFERROR(AVERAGE(filter('Основной эфир'!$AE:$AE, 'Основной эфир'!$B:$B=$A452,'Основной эфир'!$C:$C=$B452,'Основной эфир'!$I:$I=$C452)), 0) "),0.0)</f>
        <v>0</v>
      </c>
      <c r="J452" s="91">
        <f>IFERROR(__xludf.DUMMYFUNCTION("IFERROR(SUM(filter('Основной эфир'!$AL:$AL, 'Основной эфир'!$B:$B=$A452,'Основной эфир'!$C:$C=$B452,'Основной эфир'!$I:$I=$C452)), 0) "),0.0)</f>
        <v>0</v>
      </c>
      <c r="K452" s="91" t="str">
        <f>IFERROR(__xludf.DUMMYFUNCTION("IFERROR(REGEXREPLACE(unique(filter('Основной эфир'!$A:$A, 'Основной эфир'!$B:$B=$A452,'Основной эфир'!$C:$C=$B452,'Основной эфир'!$I:$I=$C452)), ""\d+"", """"),"""")"),"")</f>
        <v/>
      </c>
      <c r="L452" s="91" t="str">
        <f>IFERROR(__xludf.DUMMYFUNCTION("IFERROR(unique(filter('Основной эфир'!$F:$F, 'Основной эфир'!$B:$B=$A452,'Основной эфир'!$C:$C=$B452,'Основной эфир'!$I:$I=$C452)),"""")"),"")</f>
        <v/>
      </c>
      <c r="M452" s="92" t="str">
        <f t="shared" si="1"/>
        <v/>
      </c>
      <c r="N452" s="93">
        <f>IFERROR(__xludf.DUMMYFUNCTION("IFERROR(SWITCH(lower(join("" "",L452:M452)),""а миллионник"", 62.5,""б миллионник"", 75,""а мск"", 50, ""б мск"", 62.5, ""a остальное"", 70, ""б остальное"", 80)/100,0)"),0.0)</f>
        <v>0</v>
      </c>
      <c r="O452" s="91">
        <f t="shared" si="2"/>
        <v>0</v>
      </c>
      <c r="P452" s="91">
        <f>IFERROR(__xludf.DUMMYFUNCTION("IFERROR(sum(filter('Генеральный баннер'!$O:$O, 'Генеральный баннер'!$B:$B=$A452,'Генеральный баннер'!$C:$C=$B452,'Генеральный баннер'!$I:$I=$C452)), 0) "),0.0)</f>
        <v>0</v>
      </c>
      <c r="Q452" s="91">
        <f>IFERROR(__xludf.DUMMYFUNCTION("IFERROR(sum(filter('Генеральный баннер'!$Q:$Q, 'Генеральный баннер'!$B:$B=$A452,'Генеральный баннер'!$C:$C=$B452,'Генеральный баннер'!$I:$I=$C452)), 0) "),0.0)</f>
        <v>0</v>
      </c>
      <c r="R452" s="91">
        <f>IFERROR(__xludf.DUMMYFUNCTION("IFERROR(AVERAGE(filter('Генеральный баннер'!$AA:$AA, 'Генеральный баннер'!$B:$B=$A452,'Генеральный баннер'!$C:$C=$B452,'Генеральный баннер'!$I:$I=$C452)), 0) "),0.0)</f>
        <v>0</v>
      </c>
      <c r="S452" s="91">
        <f>IFERROR(__xludf.DUMMYFUNCTION("IFERROR(SUM(filter('Генеральный баннер'!$AH:$AH, 'Генеральный баннер'!$B:$B=$A452,'Генеральный баннер'!$C:$C=$B452,'Генеральный баннер'!$I:$I=$C452)), 0) "),0.0)</f>
        <v>0</v>
      </c>
      <c r="T452" s="91" t="str">
        <f>IFERROR(__xludf.DUMMYFUNCTION("IFERROR(REGEXREPLACE(unique(filter('Генеральный баннер'!$A:$A, 'Генеральный баннер'!$B:$B=$A452,'Генеральный баннер'!$C:$C=$B452,'Генеральный баннер'!$I:$I=$C452)), ""\d+"", """"),"""")"),"")</f>
        <v/>
      </c>
      <c r="U452" s="91" t="str">
        <f>IFERROR(__xludf.DUMMYFUNCTION("IFERROR(unique(filter('Генеральный баннер'!$F:$F, 'Генеральный баннер'!$B:$B=$A452,'Генеральный баннер'!$C:$C=$B452,'Генеральный баннер'!$I:$I=$C452)),"""")"),"")</f>
        <v/>
      </c>
      <c r="V452" s="92" t="str">
        <f t="shared" si="3"/>
        <v/>
      </c>
      <c r="W452" s="93">
        <f>IFERROR(__xludf.DUMMYFUNCTION("IFERROR(SWITCH(lower(join("" "",U452:V452)),""а миллионник"", 62.5,""б миллионник"", 75,""а мск"", 50, ""б мск"", 62.5, ""a остальное"", 70, ""б остальное"", 80)/100,0)"),0.0)</f>
        <v>0</v>
      </c>
      <c r="X452" s="91">
        <f t="shared" si="4"/>
        <v>0</v>
      </c>
    </row>
    <row r="453">
      <c r="A453" s="12"/>
      <c r="B453" s="12"/>
      <c r="C453" s="12"/>
      <c r="D453" s="91">
        <f>IFERROR(__xludf.DUMMYFUNCTION("IFERROR(sum(filter('Основной эфир'!$AA:$AA, 'Основной эфир'!$B:$B=$A453,'Основной эфир'!$C:$C=$B453,'Основной эфир'!$I:$I=$C453)), 0) "),0.0)</f>
        <v>0</v>
      </c>
      <c r="E453" s="91">
        <f>IFERROR(__xludf.DUMMYFUNCTION("IFERROR(sum(filter('Основной эфир'!$AC:$AC, 'Основной эфир'!$B:$B=$A453,'Основной эфир'!$C:$C=$B453,'Основной эфир'!$I:$I=$C453)), 0) "),0.0)</f>
        <v>0</v>
      </c>
      <c r="F453" s="91">
        <f>IFERROR(__xludf.DUMMYFUNCTION("IFERROR(sum(filter('Основной эфир'!$O:$O, 'Основной эфир'!$B:$B=$A453,'Основной эфир'!$C:$C=$B453,'Основной эфир'!$I:$I=$C453)), 0) "),0.0)</f>
        <v>0</v>
      </c>
      <c r="G453" s="91">
        <f>IFERROR(__xludf.DUMMYFUNCTION("IFERROR(sum(filter('Основной эфир'!$Q:$Q, 'Основной эфир'!$B:$B=$A453,'Основной эфир'!$C:$C=$B453,'Основной эфир'!$I:$I=$C453)), 0) "),0.0)</f>
        <v>0</v>
      </c>
      <c r="H453" s="91">
        <f>IFERROR(__xludf.DUMMYFUNCTION("IFERROR(AVERAGE(filter('Основной эфир'!$Y:$Y, 'Основной эфир'!$B:$B=$A453,'Основной эфир'!$C:$C=$B453,'Основной эфир'!$I:$I=$C453)), 0) "),0.0)</f>
        <v>0</v>
      </c>
      <c r="I453" s="91">
        <f>IFERROR(__xludf.DUMMYFUNCTION("IFERROR(AVERAGE(filter('Основной эфир'!$AE:$AE, 'Основной эфир'!$B:$B=$A453,'Основной эфир'!$C:$C=$B453,'Основной эфир'!$I:$I=$C453)), 0) "),0.0)</f>
        <v>0</v>
      </c>
      <c r="J453" s="91">
        <f>IFERROR(__xludf.DUMMYFUNCTION("IFERROR(SUM(filter('Основной эфир'!$AL:$AL, 'Основной эфир'!$B:$B=$A453,'Основной эфир'!$C:$C=$B453,'Основной эфир'!$I:$I=$C453)), 0) "),0.0)</f>
        <v>0</v>
      </c>
      <c r="K453" s="91" t="str">
        <f>IFERROR(__xludf.DUMMYFUNCTION("IFERROR(REGEXREPLACE(unique(filter('Основной эфир'!$A:$A, 'Основной эфир'!$B:$B=$A453,'Основной эфир'!$C:$C=$B453,'Основной эфир'!$I:$I=$C453)), ""\d+"", """"),"""")"),"")</f>
        <v/>
      </c>
      <c r="L453" s="91" t="str">
        <f>IFERROR(__xludf.DUMMYFUNCTION("IFERROR(unique(filter('Основной эфир'!$F:$F, 'Основной эфир'!$B:$B=$A453,'Основной эфир'!$C:$C=$B453,'Основной эфир'!$I:$I=$C453)),"""")"),"")</f>
        <v/>
      </c>
      <c r="M453" s="92" t="str">
        <f t="shared" si="1"/>
        <v/>
      </c>
      <c r="N453" s="93">
        <f>IFERROR(__xludf.DUMMYFUNCTION("IFERROR(SWITCH(lower(join("" "",L453:M453)),""а миллионник"", 62.5,""б миллионник"", 75,""а мск"", 50, ""б мск"", 62.5, ""a остальное"", 70, ""б остальное"", 80)/100,0)"),0.0)</f>
        <v>0</v>
      </c>
      <c r="O453" s="91">
        <f t="shared" si="2"/>
        <v>0</v>
      </c>
      <c r="P453" s="91">
        <f>IFERROR(__xludf.DUMMYFUNCTION("IFERROR(sum(filter('Генеральный баннер'!$O:$O, 'Генеральный баннер'!$B:$B=$A453,'Генеральный баннер'!$C:$C=$B453,'Генеральный баннер'!$I:$I=$C453)), 0) "),0.0)</f>
        <v>0</v>
      </c>
      <c r="Q453" s="91">
        <f>IFERROR(__xludf.DUMMYFUNCTION("IFERROR(sum(filter('Генеральный баннер'!$Q:$Q, 'Генеральный баннер'!$B:$B=$A453,'Генеральный баннер'!$C:$C=$B453,'Генеральный баннер'!$I:$I=$C453)), 0) "),0.0)</f>
        <v>0</v>
      </c>
      <c r="R453" s="91">
        <f>IFERROR(__xludf.DUMMYFUNCTION("IFERROR(AVERAGE(filter('Генеральный баннер'!$AA:$AA, 'Генеральный баннер'!$B:$B=$A453,'Генеральный баннер'!$C:$C=$B453,'Генеральный баннер'!$I:$I=$C453)), 0) "),0.0)</f>
        <v>0</v>
      </c>
      <c r="S453" s="91">
        <f>IFERROR(__xludf.DUMMYFUNCTION("IFERROR(SUM(filter('Генеральный баннер'!$AH:$AH, 'Генеральный баннер'!$B:$B=$A453,'Генеральный баннер'!$C:$C=$B453,'Генеральный баннер'!$I:$I=$C453)), 0) "),0.0)</f>
        <v>0</v>
      </c>
      <c r="T453" s="91" t="str">
        <f>IFERROR(__xludf.DUMMYFUNCTION("IFERROR(REGEXREPLACE(unique(filter('Генеральный баннер'!$A:$A, 'Генеральный баннер'!$B:$B=$A453,'Генеральный баннер'!$C:$C=$B453,'Генеральный баннер'!$I:$I=$C453)), ""\d+"", """"),"""")"),"")</f>
        <v/>
      </c>
      <c r="U453" s="91" t="str">
        <f>IFERROR(__xludf.DUMMYFUNCTION("IFERROR(unique(filter('Генеральный баннер'!$F:$F, 'Генеральный баннер'!$B:$B=$A453,'Генеральный баннер'!$C:$C=$B453,'Генеральный баннер'!$I:$I=$C453)),"""")"),"")</f>
        <v/>
      </c>
      <c r="V453" s="92" t="str">
        <f t="shared" si="3"/>
        <v/>
      </c>
      <c r="W453" s="93">
        <f>IFERROR(__xludf.DUMMYFUNCTION("IFERROR(SWITCH(lower(join("" "",U453:V453)),""а миллионник"", 62.5,""б миллионник"", 75,""а мск"", 50, ""б мск"", 62.5, ""a остальное"", 70, ""б остальное"", 80)/100,0)"),0.0)</f>
        <v>0</v>
      </c>
      <c r="X453" s="91">
        <f t="shared" si="4"/>
        <v>0</v>
      </c>
    </row>
    <row r="454">
      <c r="A454" s="12"/>
      <c r="B454" s="12"/>
      <c r="C454" s="12"/>
      <c r="D454" s="91">
        <f>IFERROR(__xludf.DUMMYFUNCTION("IFERROR(sum(filter('Основной эфир'!$AA:$AA, 'Основной эфир'!$B:$B=$A454,'Основной эфир'!$C:$C=$B454,'Основной эфир'!$I:$I=$C454)), 0) "),0.0)</f>
        <v>0</v>
      </c>
      <c r="E454" s="91">
        <f>IFERROR(__xludf.DUMMYFUNCTION("IFERROR(sum(filter('Основной эфир'!$AC:$AC, 'Основной эфир'!$B:$B=$A454,'Основной эфир'!$C:$C=$B454,'Основной эфир'!$I:$I=$C454)), 0) "),0.0)</f>
        <v>0</v>
      </c>
      <c r="F454" s="91">
        <f>IFERROR(__xludf.DUMMYFUNCTION("IFERROR(sum(filter('Основной эфир'!$O:$O, 'Основной эфир'!$B:$B=$A454,'Основной эфир'!$C:$C=$B454,'Основной эфир'!$I:$I=$C454)), 0) "),0.0)</f>
        <v>0</v>
      </c>
      <c r="G454" s="91">
        <f>IFERROR(__xludf.DUMMYFUNCTION("IFERROR(sum(filter('Основной эфир'!$Q:$Q, 'Основной эфир'!$B:$B=$A454,'Основной эфир'!$C:$C=$B454,'Основной эфир'!$I:$I=$C454)), 0) "),0.0)</f>
        <v>0</v>
      </c>
      <c r="H454" s="91">
        <f>IFERROR(__xludf.DUMMYFUNCTION("IFERROR(AVERAGE(filter('Основной эфир'!$Y:$Y, 'Основной эфир'!$B:$B=$A454,'Основной эфир'!$C:$C=$B454,'Основной эфир'!$I:$I=$C454)), 0) "),0.0)</f>
        <v>0</v>
      </c>
      <c r="I454" s="91">
        <f>IFERROR(__xludf.DUMMYFUNCTION("IFERROR(AVERAGE(filter('Основной эфир'!$AE:$AE, 'Основной эфир'!$B:$B=$A454,'Основной эфир'!$C:$C=$B454,'Основной эфир'!$I:$I=$C454)), 0) "),0.0)</f>
        <v>0</v>
      </c>
      <c r="J454" s="91">
        <f>IFERROR(__xludf.DUMMYFUNCTION("IFERROR(SUM(filter('Основной эфир'!$AL:$AL, 'Основной эфир'!$B:$B=$A454,'Основной эфир'!$C:$C=$B454,'Основной эфир'!$I:$I=$C454)), 0) "),0.0)</f>
        <v>0</v>
      </c>
      <c r="K454" s="91" t="str">
        <f>IFERROR(__xludf.DUMMYFUNCTION("IFERROR(REGEXREPLACE(unique(filter('Основной эфир'!$A:$A, 'Основной эфир'!$B:$B=$A454,'Основной эфир'!$C:$C=$B454,'Основной эфир'!$I:$I=$C454)), ""\d+"", """"),"""")"),"")</f>
        <v/>
      </c>
      <c r="L454" s="91" t="str">
        <f>IFERROR(__xludf.DUMMYFUNCTION("IFERROR(unique(filter('Основной эфир'!$F:$F, 'Основной эфир'!$B:$B=$A454,'Основной эфир'!$C:$C=$B454,'Основной эфир'!$I:$I=$C454)),"""")"),"")</f>
        <v/>
      </c>
      <c r="M454" s="92" t="str">
        <f t="shared" si="1"/>
        <v/>
      </c>
      <c r="N454" s="93">
        <f>IFERROR(__xludf.DUMMYFUNCTION("IFERROR(SWITCH(lower(join("" "",L454:M454)),""а миллионник"", 62.5,""б миллионник"", 75,""а мск"", 50, ""б мск"", 62.5, ""a остальное"", 70, ""б остальное"", 80)/100,0)"),0.0)</f>
        <v>0</v>
      </c>
      <c r="O454" s="91">
        <f t="shared" si="2"/>
        <v>0</v>
      </c>
      <c r="P454" s="91">
        <f>IFERROR(__xludf.DUMMYFUNCTION("IFERROR(sum(filter('Генеральный баннер'!$O:$O, 'Генеральный баннер'!$B:$B=$A454,'Генеральный баннер'!$C:$C=$B454,'Генеральный баннер'!$I:$I=$C454)), 0) "),0.0)</f>
        <v>0</v>
      </c>
      <c r="Q454" s="91">
        <f>IFERROR(__xludf.DUMMYFUNCTION("IFERROR(sum(filter('Генеральный баннер'!$Q:$Q, 'Генеральный баннер'!$B:$B=$A454,'Генеральный баннер'!$C:$C=$B454,'Генеральный баннер'!$I:$I=$C454)), 0) "),0.0)</f>
        <v>0</v>
      </c>
      <c r="R454" s="91">
        <f>IFERROR(__xludf.DUMMYFUNCTION("IFERROR(AVERAGE(filter('Генеральный баннер'!$AA:$AA, 'Генеральный баннер'!$B:$B=$A454,'Генеральный баннер'!$C:$C=$B454,'Генеральный баннер'!$I:$I=$C454)), 0) "),0.0)</f>
        <v>0</v>
      </c>
      <c r="S454" s="91">
        <f>IFERROR(__xludf.DUMMYFUNCTION("IFERROR(SUM(filter('Генеральный баннер'!$AH:$AH, 'Генеральный баннер'!$B:$B=$A454,'Генеральный баннер'!$C:$C=$B454,'Генеральный баннер'!$I:$I=$C454)), 0) "),0.0)</f>
        <v>0</v>
      </c>
      <c r="T454" s="91" t="str">
        <f>IFERROR(__xludf.DUMMYFUNCTION("IFERROR(REGEXREPLACE(unique(filter('Генеральный баннер'!$A:$A, 'Генеральный баннер'!$B:$B=$A454,'Генеральный баннер'!$C:$C=$B454,'Генеральный баннер'!$I:$I=$C454)), ""\d+"", """"),"""")"),"")</f>
        <v/>
      </c>
      <c r="U454" s="91" t="str">
        <f>IFERROR(__xludf.DUMMYFUNCTION("IFERROR(unique(filter('Генеральный баннер'!$F:$F, 'Генеральный баннер'!$B:$B=$A454,'Генеральный баннер'!$C:$C=$B454,'Генеральный баннер'!$I:$I=$C454)),"""")"),"")</f>
        <v/>
      </c>
      <c r="V454" s="92" t="str">
        <f t="shared" si="3"/>
        <v/>
      </c>
      <c r="W454" s="93">
        <f>IFERROR(__xludf.DUMMYFUNCTION("IFERROR(SWITCH(lower(join("" "",U454:V454)),""а миллионник"", 62.5,""б миллионник"", 75,""а мск"", 50, ""б мск"", 62.5, ""a остальное"", 70, ""б остальное"", 80)/100,0)"),0.0)</f>
        <v>0</v>
      </c>
      <c r="X454" s="91">
        <f t="shared" si="4"/>
        <v>0</v>
      </c>
    </row>
    <row r="455">
      <c r="A455" s="12"/>
      <c r="B455" s="12"/>
      <c r="C455" s="12"/>
      <c r="D455" s="91">
        <f>IFERROR(__xludf.DUMMYFUNCTION("IFERROR(sum(filter('Основной эфир'!$AA:$AA, 'Основной эфир'!$B:$B=$A455,'Основной эфир'!$C:$C=$B455,'Основной эфир'!$I:$I=$C455)), 0) "),0.0)</f>
        <v>0</v>
      </c>
      <c r="E455" s="91">
        <f>IFERROR(__xludf.DUMMYFUNCTION("IFERROR(sum(filter('Основной эфир'!$AC:$AC, 'Основной эфир'!$B:$B=$A455,'Основной эфир'!$C:$C=$B455,'Основной эфир'!$I:$I=$C455)), 0) "),0.0)</f>
        <v>0</v>
      </c>
      <c r="F455" s="91">
        <f>IFERROR(__xludf.DUMMYFUNCTION("IFERROR(sum(filter('Основной эфир'!$O:$O, 'Основной эфир'!$B:$B=$A455,'Основной эфир'!$C:$C=$B455,'Основной эфир'!$I:$I=$C455)), 0) "),0.0)</f>
        <v>0</v>
      </c>
      <c r="G455" s="91">
        <f>IFERROR(__xludf.DUMMYFUNCTION("IFERROR(sum(filter('Основной эфир'!$Q:$Q, 'Основной эфир'!$B:$B=$A455,'Основной эфир'!$C:$C=$B455,'Основной эфир'!$I:$I=$C455)), 0) "),0.0)</f>
        <v>0</v>
      </c>
      <c r="H455" s="91">
        <f>IFERROR(__xludf.DUMMYFUNCTION("IFERROR(AVERAGE(filter('Основной эфир'!$Y:$Y, 'Основной эфир'!$B:$B=$A455,'Основной эфир'!$C:$C=$B455,'Основной эфир'!$I:$I=$C455)), 0) "),0.0)</f>
        <v>0</v>
      </c>
      <c r="I455" s="91">
        <f>IFERROR(__xludf.DUMMYFUNCTION("IFERROR(AVERAGE(filter('Основной эфир'!$AE:$AE, 'Основной эфир'!$B:$B=$A455,'Основной эфир'!$C:$C=$B455,'Основной эфир'!$I:$I=$C455)), 0) "),0.0)</f>
        <v>0</v>
      </c>
      <c r="J455" s="91">
        <f>IFERROR(__xludf.DUMMYFUNCTION("IFERROR(SUM(filter('Основной эфир'!$AL:$AL, 'Основной эфир'!$B:$B=$A455,'Основной эфир'!$C:$C=$B455,'Основной эфир'!$I:$I=$C455)), 0) "),0.0)</f>
        <v>0</v>
      </c>
      <c r="K455" s="91" t="str">
        <f>IFERROR(__xludf.DUMMYFUNCTION("IFERROR(REGEXREPLACE(unique(filter('Основной эфир'!$A:$A, 'Основной эфир'!$B:$B=$A455,'Основной эфир'!$C:$C=$B455,'Основной эфир'!$I:$I=$C455)), ""\d+"", """"),"""")"),"")</f>
        <v/>
      </c>
      <c r="L455" s="91" t="str">
        <f>IFERROR(__xludf.DUMMYFUNCTION("IFERROR(unique(filter('Основной эфир'!$F:$F, 'Основной эфир'!$B:$B=$A455,'Основной эфир'!$C:$C=$B455,'Основной эфир'!$I:$I=$C455)),"""")"),"")</f>
        <v/>
      </c>
      <c r="M455" s="92" t="str">
        <f t="shared" si="1"/>
        <v/>
      </c>
      <c r="N455" s="93">
        <f>IFERROR(__xludf.DUMMYFUNCTION("IFERROR(SWITCH(lower(join("" "",L455:M455)),""а миллионник"", 62.5,""б миллионник"", 75,""а мск"", 50, ""б мск"", 62.5, ""a остальное"", 70, ""б остальное"", 80)/100,0)"),0.0)</f>
        <v>0</v>
      </c>
      <c r="O455" s="91">
        <f t="shared" si="2"/>
        <v>0</v>
      </c>
      <c r="P455" s="91">
        <f>IFERROR(__xludf.DUMMYFUNCTION("IFERROR(sum(filter('Генеральный баннер'!$O:$O, 'Генеральный баннер'!$B:$B=$A455,'Генеральный баннер'!$C:$C=$B455,'Генеральный баннер'!$I:$I=$C455)), 0) "),0.0)</f>
        <v>0</v>
      </c>
      <c r="Q455" s="91">
        <f>IFERROR(__xludf.DUMMYFUNCTION("IFERROR(sum(filter('Генеральный баннер'!$Q:$Q, 'Генеральный баннер'!$B:$B=$A455,'Генеральный баннер'!$C:$C=$B455,'Генеральный баннер'!$I:$I=$C455)), 0) "),0.0)</f>
        <v>0</v>
      </c>
      <c r="R455" s="91">
        <f>IFERROR(__xludf.DUMMYFUNCTION("IFERROR(AVERAGE(filter('Генеральный баннер'!$AA:$AA, 'Генеральный баннер'!$B:$B=$A455,'Генеральный баннер'!$C:$C=$B455,'Генеральный баннер'!$I:$I=$C455)), 0) "),0.0)</f>
        <v>0</v>
      </c>
      <c r="S455" s="91">
        <f>IFERROR(__xludf.DUMMYFUNCTION("IFERROR(SUM(filter('Генеральный баннер'!$AH:$AH, 'Генеральный баннер'!$B:$B=$A455,'Генеральный баннер'!$C:$C=$B455,'Генеральный баннер'!$I:$I=$C455)), 0) "),0.0)</f>
        <v>0</v>
      </c>
      <c r="T455" s="91" t="str">
        <f>IFERROR(__xludf.DUMMYFUNCTION("IFERROR(REGEXREPLACE(unique(filter('Генеральный баннер'!$A:$A, 'Генеральный баннер'!$B:$B=$A455,'Генеральный баннер'!$C:$C=$B455,'Генеральный баннер'!$I:$I=$C455)), ""\d+"", """"),"""")"),"")</f>
        <v/>
      </c>
      <c r="U455" s="91" t="str">
        <f>IFERROR(__xludf.DUMMYFUNCTION("IFERROR(unique(filter('Генеральный баннер'!$F:$F, 'Генеральный баннер'!$B:$B=$A455,'Генеральный баннер'!$C:$C=$B455,'Генеральный баннер'!$I:$I=$C455)),"""")"),"")</f>
        <v/>
      </c>
      <c r="V455" s="92" t="str">
        <f t="shared" si="3"/>
        <v/>
      </c>
      <c r="W455" s="93">
        <f>IFERROR(__xludf.DUMMYFUNCTION("IFERROR(SWITCH(lower(join("" "",U455:V455)),""а миллионник"", 62.5,""б миллионник"", 75,""а мск"", 50, ""б мск"", 62.5, ""a остальное"", 70, ""б остальное"", 80)/100,0)"),0.0)</f>
        <v>0</v>
      </c>
      <c r="X455" s="91">
        <f t="shared" si="4"/>
        <v>0</v>
      </c>
    </row>
    <row r="456">
      <c r="A456" s="12"/>
      <c r="B456" s="12"/>
      <c r="C456" s="12"/>
      <c r="D456" s="91">
        <f>IFERROR(__xludf.DUMMYFUNCTION("IFERROR(sum(filter('Основной эфир'!$AA:$AA, 'Основной эфир'!$B:$B=$A456,'Основной эфир'!$C:$C=$B456,'Основной эфир'!$I:$I=$C456)), 0) "),0.0)</f>
        <v>0</v>
      </c>
      <c r="E456" s="91">
        <f>IFERROR(__xludf.DUMMYFUNCTION("IFERROR(sum(filter('Основной эфир'!$AC:$AC, 'Основной эфир'!$B:$B=$A456,'Основной эфир'!$C:$C=$B456,'Основной эфир'!$I:$I=$C456)), 0) "),0.0)</f>
        <v>0</v>
      </c>
      <c r="F456" s="91">
        <f>IFERROR(__xludf.DUMMYFUNCTION("IFERROR(sum(filter('Основной эфир'!$O:$O, 'Основной эфир'!$B:$B=$A456,'Основной эфир'!$C:$C=$B456,'Основной эфир'!$I:$I=$C456)), 0) "),0.0)</f>
        <v>0</v>
      </c>
      <c r="G456" s="91">
        <f>IFERROR(__xludf.DUMMYFUNCTION("IFERROR(sum(filter('Основной эфир'!$Q:$Q, 'Основной эфир'!$B:$B=$A456,'Основной эфир'!$C:$C=$B456,'Основной эфир'!$I:$I=$C456)), 0) "),0.0)</f>
        <v>0</v>
      </c>
      <c r="H456" s="91">
        <f>IFERROR(__xludf.DUMMYFUNCTION("IFERROR(AVERAGE(filter('Основной эфир'!$Y:$Y, 'Основной эфир'!$B:$B=$A456,'Основной эфир'!$C:$C=$B456,'Основной эфир'!$I:$I=$C456)), 0) "),0.0)</f>
        <v>0</v>
      </c>
      <c r="I456" s="91">
        <f>IFERROR(__xludf.DUMMYFUNCTION("IFERROR(AVERAGE(filter('Основной эфир'!$AE:$AE, 'Основной эфир'!$B:$B=$A456,'Основной эфир'!$C:$C=$B456,'Основной эфир'!$I:$I=$C456)), 0) "),0.0)</f>
        <v>0</v>
      </c>
      <c r="J456" s="91">
        <f>IFERROR(__xludf.DUMMYFUNCTION("IFERROR(SUM(filter('Основной эфир'!$AL:$AL, 'Основной эфир'!$B:$B=$A456,'Основной эфир'!$C:$C=$B456,'Основной эфир'!$I:$I=$C456)), 0) "),0.0)</f>
        <v>0</v>
      </c>
      <c r="K456" s="91" t="str">
        <f>IFERROR(__xludf.DUMMYFUNCTION("IFERROR(REGEXREPLACE(unique(filter('Основной эфир'!$A:$A, 'Основной эфир'!$B:$B=$A456,'Основной эфир'!$C:$C=$B456,'Основной эфир'!$I:$I=$C456)), ""\d+"", """"),"""")"),"")</f>
        <v/>
      </c>
      <c r="L456" s="91" t="str">
        <f>IFERROR(__xludf.DUMMYFUNCTION("IFERROR(unique(filter('Основной эфир'!$F:$F, 'Основной эфир'!$B:$B=$A456,'Основной эфир'!$C:$C=$B456,'Основной эфир'!$I:$I=$C456)),"""")"),"")</f>
        <v/>
      </c>
      <c r="M456" s="92" t="str">
        <f t="shared" si="1"/>
        <v/>
      </c>
      <c r="N456" s="93">
        <f>IFERROR(__xludf.DUMMYFUNCTION("IFERROR(SWITCH(lower(join("" "",L456:M456)),""а миллионник"", 62.5,""б миллионник"", 75,""а мск"", 50, ""б мск"", 62.5, ""a остальное"", 70, ""б остальное"", 80)/100,0)"),0.0)</f>
        <v>0</v>
      </c>
      <c r="O456" s="91">
        <f t="shared" si="2"/>
        <v>0</v>
      </c>
      <c r="P456" s="91">
        <f>IFERROR(__xludf.DUMMYFUNCTION("IFERROR(sum(filter('Генеральный баннер'!$O:$O, 'Генеральный баннер'!$B:$B=$A456,'Генеральный баннер'!$C:$C=$B456,'Генеральный баннер'!$I:$I=$C456)), 0) "),0.0)</f>
        <v>0</v>
      </c>
      <c r="Q456" s="91">
        <f>IFERROR(__xludf.DUMMYFUNCTION("IFERROR(sum(filter('Генеральный баннер'!$Q:$Q, 'Генеральный баннер'!$B:$B=$A456,'Генеральный баннер'!$C:$C=$B456,'Генеральный баннер'!$I:$I=$C456)), 0) "),0.0)</f>
        <v>0</v>
      </c>
      <c r="R456" s="91">
        <f>IFERROR(__xludf.DUMMYFUNCTION("IFERROR(AVERAGE(filter('Генеральный баннер'!$AA:$AA, 'Генеральный баннер'!$B:$B=$A456,'Генеральный баннер'!$C:$C=$B456,'Генеральный баннер'!$I:$I=$C456)), 0) "),0.0)</f>
        <v>0</v>
      </c>
      <c r="S456" s="91">
        <f>IFERROR(__xludf.DUMMYFUNCTION("IFERROR(SUM(filter('Генеральный баннер'!$AH:$AH, 'Генеральный баннер'!$B:$B=$A456,'Генеральный баннер'!$C:$C=$B456,'Генеральный баннер'!$I:$I=$C456)), 0) "),0.0)</f>
        <v>0</v>
      </c>
      <c r="T456" s="91" t="str">
        <f>IFERROR(__xludf.DUMMYFUNCTION("IFERROR(REGEXREPLACE(unique(filter('Генеральный баннер'!$A:$A, 'Генеральный баннер'!$B:$B=$A456,'Генеральный баннер'!$C:$C=$B456,'Генеральный баннер'!$I:$I=$C456)), ""\d+"", """"),"""")"),"")</f>
        <v/>
      </c>
      <c r="U456" s="91" t="str">
        <f>IFERROR(__xludf.DUMMYFUNCTION("IFERROR(unique(filter('Генеральный баннер'!$F:$F, 'Генеральный баннер'!$B:$B=$A456,'Генеральный баннер'!$C:$C=$B456,'Генеральный баннер'!$I:$I=$C456)),"""")"),"")</f>
        <v/>
      </c>
      <c r="V456" s="92" t="str">
        <f t="shared" si="3"/>
        <v/>
      </c>
      <c r="W456" s="93">
        <f>IFERROR(__xludf.DUMMYFUNCTION("IFERROR(SWITCH(lower(join("" "",U456:V456)),""а миллионник"", 62.5,""б миллионник"", 75,""а мск"", 50, ""б мск"", 62.5, ""a остальное"", 70, ""б остальное"", 80)/100,0)"),0.0)</f>
        <v>0</v>
      </c>
      <c r="X456" s="91">
        <f t="shared" si="4"/>
        <v>0</v>
      </c>
    </row>
    <row r="457">
      <c r="A457" s="12"/>
      <c r="B457" s="12"/>
      <c r="C457" s="12"/>
      <c r="D457" s="91">
        <f>IFERROR(__xludf.DUMMYFUNCTION("IFERROR(sum(filter('Основной эфир'!$AA:$AA, 'Основной эфир'!$B:$B=$A457,'Основной эфир'!$C:$C=$B457,'Основной эфир'!$I:$I=$C457)), 0) "),0.0)</f>
        <v>0</v>
      </c>
      <c r="E457" s="91">
        <f>IFERROR(__xludf.DUMMYFUNCTION("IFERROR(sum(filter('Основной эфир'!$AC:$AC, 'Основной эфир'!$B:$B=$A457,'Основной эфир'!$C:$C=$B457,'Основной эфир'!$I:$I=$C457)), 0) "),0.0)</f>
        <v>0</v>
      </c>
      <c r="F457" s="91">
        <f>IFERROR(__xludf.DUMMYFUNCTION("IFERROR(sum(filter('Основной эфир'!$O:$O, 'Основной эфир'!$B:$B=$A457,'Основной эфир'!$C:$C=$B457,'Основной эфир'!$I:$I=$C457)), 0) "),0.0)</f>
        <v>0</v>
      </c>
      <c r="G457" s="91">
        <f>IFERROR(__xludf.DUMMYFUNCTION("IFERROR(sum(filter('Основной эфир'!$Q:$Q, 'Основной эфир'!$B:$B=$A457,'Основной эфир'!$C:$C=$B457,'Основной эфир'!$I:$I=$C457)), 0) "),0.0)</f>
        <v>0</v>
      </c>
      <c r="H457" s="91">
        <f>IFERROR(__xludf.DUMMYFUNCTION("IFERROR(AVERAGE(filter('Основной эфир'!$Y:$Y, 'Основной эфир'!$B:$B=$A457,'Основной эфир'!$C:$C=$B457,'Основной эфир'!$I:$I=$C457)), 0) "),0.0)</f>
        <v>0</v>
      </c>
      <c r="I457" s="91">
        <f>IFERROR(__xludf.DUMMYFUNCTION("IFERROR(AVERAGE(filter('Основной эфир'!$AE:$AE, 'Основной эфир'!$B:$B=$A457,'Основной эфир'!$C:$C=$B457,'Основной эфир'!$I:$I=$C457)), 0) "),0.0)</f>
        <v>0</v>
      </c>
      <c r="J457" s="91">
        <f>IFERROR(__xludf.DUMMYFUNCTION("IFERROR(SUM(filter('Основной эфир'!$AL:$AL, 'Основной эфир'!$B:$B=$A457,'Основной эфир'!$C:$C=$B457,'Основной эфир'!$I:$I=$C457)), 0) "),0.0)</f>
        <v>0</v>
      </c>
      <c r="K457" s="91" t="str">
        <f>IFERROR(__xludf.DUMMYFUNCTION("IFERROR(REGEXREPLACE(unique(filter('Основной эфир'!$A:$A, 'Основной эфир'!$B:$B=$A457,'Основной эфир'!$C:$C=$B457,'Основной эфир'!$I:$I=$C457)), ""\d+"", """"),"""")"),"")</f>
        <v/>
      </c>
      <c r="L457" s="91" t="str">
        <f>IFERROR(__xludf.DUMMYFUNCTION("IFERROR(unique(filter('Основной эфир'!$F:$F, 'Основной эфир'!$B:$B=$A457,'Основной эфир'!$C:$C=$B457,'Основной эфир'!$I:$I=$C457)),"""")"),"")</f>
        <v/>
      </c>
      <c r="M457" s="92" t="str">
        <f t="shared" si="1"/>
        <v/>
      </c>
      <c r="N457" s="93">
        <f>IFERROR(__xludf.DUMMYFUNCTION("IFERROR(SWITCH(lower(join("" "",L457:M457)),""а миллионник"", 62.5,""б миллионник"", 75,""а мск"", 50, ""б мск"", 62.5, ""a остальное"", 70, ""б остальное"", 80)/100,0)"),0.0)</f>
        <v>0</v>
      </c>
      <c r="O457" s="91">
        <f t="shared" si="2"/>
        <v>0</v>
      </c>
      <c r="P457" s="91">
        <f>IFERROR(__xludf.DUMMYFUNCTION("IFERROR(sum(filter('Генеральный баннер'!$O:$O, 'Генеральный баннер'!$B:$B=$A457,'Генеральный баннер'!$C:$C=$B457,'Генеральный баннер'!$I:$I=$C457)), 0) "),0.0)</f>
        <v>0</v>
      </c>
      <c r="Q457" s="91">
        <f>IFERROR(__xludf.DUMMYFUNCTION("IFERROR(sum(filter('Генеральный баннер'!$Q:$Q, 'Генеральный баннер'!$B:$B=$A457,'Генеральный баннер'!$C:$C=$B457,'Генеральный баннер'!$I:$I=$C457)), 0) "),0.0)</f>
        <v>0</v>
      </c>
      <c r="R457" s="91">
        <f>IFERROR(__xludf.DUMMYFUNCTION("IFERROR(AVERAGE(filter('Генеральный баннер'!$AA:$AA, 'Генеральный баннер'!$B:$B=$A457,'Генеральный баннер'!$C:$C=$B457,'Генеральный баннер'!$I:$I=$C457)), 0) "),0.0)</f>
        <v>0</v>
      </c>
      <c r="S457" s="91">
        <f>IFERROR(__xludf.DUMMYFUNCTION("IFERROR(SUM(filter('Генеральный баннер'!$AH:$AH, 'Генеральный баннер'!$B:$B=$A457,'Генеральный баннер'!$C:$C=$B457,'Генеральный баннер'!$I:$I=$C457)), 0) "),0.0)</f>
        <v>0</v>
      </c>
      <c r="T457" s="91" t="str">
        <f>IFERROR(__xludf.DUMMYFUNCTION("IFERROR(REGEXREPLACE(unique(filter('Генеральный баннер'!$A:$A, 'Генеральный баннер'!$B:$B=$A457,'Генеральный баннер'!$C:$C=$B457,'Генеральный баннер'!$I:$I=$C457)), ""\d+"", """"),"""")"),"")</f>
        <v/>
      </c>
      <c r="U457" s="91" t="str">
        <f>IFERROR(__xludf.DUMMYFUNCTION("IFERROR(unique(filter('Генеральный баннер'!$F:$F, 'Генеральный баннер'!$B:$B=$A457,'Генеральный баннер'!$C:$C=$B457,'Генеральный баннер'!$I:$I=$C457)),"""")"),"")</f>
        <v/>
      </c>
      <c r="V457" s="92" t="str">
        <f t="shared" si="3"/>
        <v/>
      </c>
      <c r="W457" s="93">
        <f>IFERROR(__xludf.DUMMYFUNCTION("IFERROR(SWITCH(lower(join("" "",U457:V457)),""а миллионник"", 62.5,""б миллионник"", 75,""а мск"", 50, ""б мск"", 62.5, ""a остальное"", 70, ""б остальное"", 80)/100,0)"),0.0)</f>
        <v>0</v>
      </c>
      <c r="X457" s="91">
        <f t="shared" si="4"/>
        <v>0</v>
      </c>
    </row>
    <row r="458">
      <c r="A458" s="12"/>
      <c r="B458" s="12"/>
      <c r="C458" s="12"/>
      <c r="D458" s="91">
        <f>IFERROR(__xludf.DUMMYFUNCTION("IFERROR(sum(filter('Основной эфир'!$AA:$AA, 'Основной эфир'!$B:$B=$A458,'Основной эфир'!$C:$C=$B458,'Основной эфир'!$I:$I=$C458)), 0) "),0.0)</f>
        <v>0</v>
      </c>
      <c r="E458" s="91">
        <f>IFERROR(__xludf.DUMMYFUNCTION("IFERROR(sum(filter('Основной эфир'!$AC:$AC, 'Основной эфир'!$B:$B=$A458,'Основной эфир'!$C:$C=$B458,'Основной эфир'!$I:$I=$C458)), 0) "),0.0)</f>
        <v>0</v>
      </c>
      <c r="F458" s="91">
        <f>IFERROR(__xludf.DUMMYFUNCTION("IFERROR(sum(filter('Основной эфир'!$O:$O, 'Основной эфир'!$B:$B=$A458,'Основной эфир'!$C:$C=$B458,'Основной эфир'!$I:$I=$C458)), 0) "),0.0)</f>
        <v>0</v>
      </c>
      <c r="G458" s="91">
        <f>IFERROR(__xludf.DUMMYFUNCTION("IFERROR(sum(filter('Основной эфир'!$Q:$Q, 'Основной эфир'!$B:$B=$A458,'Основной эфир'!$C:$C=$B458,'Основной эфир'!$I:$I=$C458)), 0) "),0.0)</f>
        <v>0</v>
      </c>
      <c r="H458" s="91">
        <f>IFERROR(__xludf.DUMMYFUNCTION("IFERROR(AVERAGE(filter('Основной эфир'!$Y:$Y, 'Основной эфир'!$B:$B=$A458,'Основной эфир'!$C:$C=$B458,'Основной эфир'!$I:$I=$C458)), 0) "),0.0)</f>
        <v>0</v>
      </c>
      <c r="I458" s="91">
        <f>IFERROR(__xludf.DUMMYFUNCTION("IFERROR(AVERAGE(filter('Основной эфир'!$AE:$AE, 'Основной эфир'!$B:$B=$A458,'Основной эфир'!$C:$C=$B458,'Основной эфир'!$I:$I=$C458)), 0) "),0.0)</f>
        <v>0</v>
      </c>
      <c r="J458" s="91">
        <f>IFERROR(__xludf.DUMMYFUNCTION("IFERROR(SUM(filter('Основной эфир'!$AL:$AL, 'Основной эфир'!$B:$B=$A458,'Основной эфир'!$C:$C=$B458,'Основной эфир'!$I:$I=$C458)), 0) "),0.0)</f>
        <v>0</v>
      </c>
      <c r="K458" s="91" t="str">
        <f>IFERROR(__xludf.DUMMYFUNCTION("IFERROR(REGEXREPLACE(unique(filter('Основной эфир'!$A:$A, 'Основной эфир'!$B:$B=$A458,'Основной эфир'!$C:$C=$B458,'Основной эфир'!$I:$I=$C458)), ""\d+"", """"),"""")"),"")</f>
        <v/>
      </c>
      <c r="L458" s="91" t="str">
        <f>IFERROR(__xludf.DUMMYFUNCTION("IFERROR(unique(filter('Основной эфир'!$F:$F, 'Основной эфир'!$B:$B=$A458,'Основной эфир'!$C:$C=$B458,'Основной эфир'!$I:$I=$C458)),"""")"),"")</f>
        <v/>
      </c>
      <c r="M458" s="92" t="str">
        <f t="shared" si="1"/>
        <v/>
      </c>
      <c r="N458" s="93">
        <f>IFERROR(__xludf.DUMMYFUNCTION("IFERROR(SWITCH(lower(join("" "",L458:M458)),""а миллионник"", 62.5,""б миллионник"", 75,""а мск"", 50, ""б мск"", 62.5, ""a остальное"", 70, ""б остальное"", 80)/100,0)"),0.0)</f>
        <v>0</v>
      </c>
      <c r="O458" s="91">
        <f t="shared" si="2"/>
        <v>0</v>
      </c>
      <c r="P458" s="91">
        <f>IFERROR(__xludf.DUMMYFUNCTION("IFERROR(sum(filter('Генеральный баннер'!$O:$O, 'Генеральный баннер'!$B:$B=$A458,'Генеральный баннер'!$C:$C=$B458,'Генеральный баннер'!$I:$I=$C458)), 0) "),0.0)</f>
        <v>0</v>
      </c>
      <c r="Q458" s="91">
        <f>IFERROR(__xludf.DUMMYFUNCTION("IFERROR(sum(filter('Генеральный баннер'!$Q:$Q, 'Генеральный баннер'!$B:$B=$A458,'Генеральный баннер'!$C:$C=$B458,'Генеральный баннер'!$I:$I=$C458)), 0) "),0.0)</f>
        <v>0</v>
      </c>
      <c r="R458" s="91">
        <f>IFERROR(__xludf.DUMMYFUNCTION("IFERROR(AVERAGE(filter('Генеральный баннер'!$AA:$AA, 'Генеральный баннер'!$B:$B=$A458,'Генеральный баннер'!$C:$C=$B458,'Генеральный баннер'!$I:$I=$C458)), 0) "),0.0)</f>
        <v>0</v>
      </c>
      <c r="S458" s="91">
        <f>IFERROR(__xludf.DUMMYFUNCTION("IFERROR(SUM(filter('Генеральный баннер'!$AH:$AH, 'Генеральный баннер'!$B:$B=$A458,'Генеральный баннер'!$C:$C=$B458,'Генеральный баннер'!$I:$I=$C458)), 0) "),0.0)</f>
        <v>0</v>
      </c>
      <c r="T458" s="91" t="str">
        <f>IFERROR(__xludf.DUMMYFUNCTION("IFERROR(REGEXREPLACE(unique(filter('Генеральный баннер'!$A:$A, 'Генеральный баннер'!$B:$B=$A458,'Генеральный баннер'!$C:$C=$B458,'Генеральный баннер'!$I:$I=$C458)), ""\d+"", """"),"""")"),"")</f>
        <v/>
      </c>
      <c r="U458" s="91" t="str">
        <f>IFERROR(__xludf.DUMMYFUNCTION("IFERROR(unique(filter('Генеральный баннер'!$F:$F, 'Генеральный баннер'!$B:$B=$A458,'Генеральный баннер'!$C:$C=$B458,'Генеральный баннер'!$I:$I=$C458)),"""")"),"")</f>
        <v/>
      </c>
      <c r="V458" s="92" t="str">
        <f t="shared" si="3"/>
        <v/>
      </c>
      <c r="W458" s="93">
        <f>IFERROR(__xludf.DUMMYFUNCTION("IFERROR(SWITCH(lower(join("" "",U458:V458)),""а миллионник"", 62.5,""б миллионник"", 75,""а мск"", 50, ""б мск"", 62.5, ""a остальное"", 70, ""б остальное"", 80)/100,0)"),0.0)</f>
        <v>0</v>
      </c>
      <c r="X458" s="91">
        <f t="shared" si="4"/>
        <v>0</v>
      </c>
    </row>
    <row r="459">
      <c r="A459" s="12"/>
      <c r="B459" s="12"/>
      <c r="C459" s="12"/>
      <c r="D459" s="91">
        <f>IFERROR(__xludf.DUMMYFUNCTION("IFERROR(sum(filter('Основной эфир'!$AA:$AA, 'Основной эфир'!$B:$B=$A459,'Основной эфир'!$C:$C=$B459,'Основной эфир'!$I:$I=$C459)), 0) "),0.0)</f>
        <v>0</v>
      </c>
      <c r="E459" s="91">
        <f>IFERROR(__xludf.DUMMYFUNCTION("IFERROR(sum(filter('Основной эфир'!$AC:$AC, 'Основной эфир'!$B:$B=$A459,'Основной эфир'!$C:$C=$B459,'Основной эфир'!$I:$I=$C459)), 0) "),0.0)</f>
        <v>0</v>
      </c>
      <c r="F459" s="91">
        <f>IFERROR(__xludf.DUMMYFUNCTION("IFERROR(sum(filter('Основной эфир'!$O:$O, 'Основной эфир'!$B:$B=$A459,'Основной эфир'!$C:$C=$B459,'Основной эфир'!$I:$I=$C459)), 0) "),0.0)</f>
        <v>0</v>
      </c>
      <c r="G459" s="91">
        <f>IFERROR(__xludf.DUMMYFUNCTION("IFERROR(sum(filter('Основной эфир'!$Q:$Q, 'Основной эфир'!$B:$B=$A459,'Основной эфир'!$C:$C=$B459,'Основной эфир'!$I:$I=$C459)), 0) "),0.0)</f>
        <v>0</v>
      </c>
      <c r="H459" s="91">
        <f>IFERROR(__xludf.DUMMYFUNCTION("IFERROR(AVERAGE(filter('Основной эфир'!$Y:$Y, 'Основной эфир'!$B:$B=$A459,'Основной эфир'!$C:$C=$B459,'Основной эфир'!$I:$I=$C459)), 0) "),0.0)</f>
        <v>0</v>
      </c>
      <c r="I459" s="91">
        <f>IFERROR(__xludf.DUMMYFUNCTION("IFERROR(AVERAGE(filter('Основной эфир'!$AE:$AE, 'Основной эфир'!$B:$B=$A459,'Основной эфир'!$C:$C=$B459,'Основной эфир'!$I:$I=$C459)), 0) "),0.0)</f>
        <v>0</v>
      </c>
      <c r="J459" s="91">
        <f>IFERROR(__xludf.DUMMYFUNCTION("IFERROR(SUM(filter('Основной эфир'!$AL:$AL, 'Основной эфир'!$B:$B=$A459,'Основной эфир'!$C:$C=$B459,'Основной эфир'!$I:$I=$C459)), 0) "),0.0)</f>
        <v>0</v>
      </c>
      <c r="K459" s="91" t="str">
        <f>IFERROR(__xludf.DUMMYFUNCTION("IFERROR(REGEXREPLACE(unique(filter('Основной эфир'!$A:$A, 'Основной эфир'!$B:$B=$A459,'Основной эфир'!$C:$C=$B459,'Основной эфир'!$I:$I=$C459)), ""\d+"", """"),"""")"),"")</f>
        <v/>
      </c>
      <c r="L459" s="91" t="str">
        <f>IFERROR(__xludf.DUMMYFUNCTION("IFERROR(unique(filter('Основной эфир'!$F:$F, 'Основной эфир'!$B:$B=$A459,'Основной эфир'!$C:$C=$B459,'Основной эфир'!$I:$I=$C459)),"""")"),"")</f>
        <v/>
      </c>
      <c r="M459" s="92" t="str">
        <f t="shared" si="1"/>
        <v/>
      </c>
      <c r="N459" s="93">
        <f>IFERROR(__xludf.DUMMYFUNCTION("IFERROR(SWITCH(lower(join("" "",L459:M459)),""а миллионник"", 62.5,""б миллионник"", 75,""а мск"", 50, ""б мск"", 62.5, ""a остальное"", 70, ""б остальное"", 80)/100,0)"),0.0)</f>
        <v>0</v>
      </c>
      <c r="O459" s="91">
        <f t="shared" si="2"/>
        <v>0</v>
      </c>
      <c r="P459" s="91">
        <f>IFERROR(__xludf.DUMMYFUNCTION("IFERROR(sum(filter('Генеральный баннер'!$O:$O, 'Генеральный баннер'!$B:$B=$A459,'Генеральный баннер'!$C:$C=$B459,'Генеральный баннер'!$I:$I=$C459)), 0) "),0.0)</f>
        <v>0</v>
      </c>
      <c r="Q459" s="91">
        <f>IFERROR(__xludf.DUMMYFUNCTION("IFERROR(sum(filter('Генеральный баннер'!$Q:$Q, 'Генеральный баннер'!$B:$B=$A459,'Генеральный баннер'!$C:$C=$B459,'Генеральный баннер'!$I:$I=$C459)), 0) "),0.0)</f>
        <v>0</v>
      </c>
      <c r="R459" s="91">
        <f>IFERROR(__xludf.DUMMYFUNCTION("IFERROR(AVERAGE(filter('Генеральный баннер'!$AA:$AA, 'Генеральный баннер'!$B:$B=$A459,'Генеральный баннер'!$C:$C=$B459,'Генеральный баннер'!$I:$I=$C459)), 0) "),0.0)</f>
        <v>0</v>
      </c>
      <c r="S459" s="91">
        <f>IFERROR(__xludf.DUMMYFUNCTION("IFERROR(SUM(filter('Генеральный баннер'!$AH:$AH, 'Генеральный баннер'!$B:$B=$A459,'Генеральный баннер'!$C:$C=$B459,'Генеральный баннер'!$I:$I=$C459)), 0) "),0.0)</f>
        <v>0</v>
      </c>
      <c r="T459" s="91" t="str">
        <f>IFERROR(__xludf.DUMMYFUNCTION("IFERROR(REGEXREPLACE(unique(filter('Генеральный баннер'!$A:$A, 'Генеральный баннер'!$B:$B=$A459,'Генеральный баннер'!$C:$C=$B459,'Генеральный баннер'!$I:$I=$C459)), ""\d+"", """"),"""")"),"")</f>
        <v/>
      </c>
      <c r="U459" s="91" t="str">
        <f>IFERROR(__xludf.DUMMYFUNCTION("IFERROR(unique(filter('Генеральный баннер'!$F:$F, 'Генеральный баннер'!$B:$B=$A459,'Генеральный баннер'!$C:$C=$B459,'Генеральный баннер'!$I:$I=$C459)),"""")"),"")</f>
        <v/>
      </c>
      <c r="V459" s="92" t="str">
        <f t="shared" si="3"/>
        <v/>
      </c>
      <c r="W459" s="93">
        <f>IFERROR(__xludf.DUMMYFUNCTION("IFERROR(SWITCH(lower(join("" "",U459:V459)),""а миллионник"", 62.5,""б миллионник"", 75,""а мск"", 50, ""б мск"", 62.5, ""a остальное"", 70, ""б остальное"", 80)/100,0)"),0.0)</f>
        <v>0</v>
      </c>
      <c r="X459" s="91">
        <f t="shared" si="4"/>
        <v>0</v>
      </c>
    </row>
    <row r="460">
      <c r="A460" s="12"/>
      <c r="B460" s="12"/>
      <c r="C460" s="12"/>
      <c r="D460" s="91">
        <f>IFERROR(__xludf.DUMMYFUNCTION("IFERROR(sum(filter('Основной эфир'!$AA:$AA, 'Основной эфир'!$B:$B=$A460,'Основной эфир'!$C:$C=$B460,'Основной эфир'!$I:$I=$C460)), 0) "),0.0)</f>
        <v>0</v>
      </c>
      <c r="E460" s="91">
        <f>IFERROR(__xludf.DUMMYFUNCTION("IFERROR(sum(filter('Основной эфир'!$AC:$AC, 'Основной эфир'!$B:$B=$A460,'Основной эфир'!$C:$C=$B460,'Основной эфир'!$I:$I=$C460)), 0) "),0.0)</f>
        <v>0</v>
      </c>
      <c r="F460" s="91">
        <f>IFERROR(__xludf.DUMMYFUNCTION("IFERROR(sum(filter('Основной эфир'!$O:$O, 'Основной эфир'!$B:$B=$A460,'Основной эфир'!$C:$C=$B460,'Основной эфир'!$I:$I=$C460)), 0) "),0.0)</f>
        <v>0</v>
      </c>
      <c r="G460" s="91">
        <f>IFERROR(__xludf.DUMMYFUNCTION("IFERROR(sum(filter('Основной эфир'!$Q:$Q, 'Основной эфир'!$B:$B=$A460,'Основной эфир'!$C:$C=$B460,'Основной эфир'!$I:$I=$C460)), 0) "),0.0)</f>
        <v>0</v>
      </c>
      <c r="H460" s="91">
        <f>IFERROR(__xludf.DUMMYFUNCTION("IFERROR(AVERAGE(filter('Основной эфир'!$Y:$Y, 'Основной эфир'!$B:$B=$A460,'Основной эфир'!$C:$C=$B460,'Основной эфир'!$I:$I=$C460)), 0) "),0.0)</f>
        <v>0</v>
      </c>
      <c r="I460" s="91">
        <f>IFERROR(__xludf.DUMMYFUNCTION("IFERROR(AVERAGE(filter('Основной эфир'!$AE:$AE, 'Основной эфир'!$B:$B=$A460,'Основной эфир'!$C:$C=$B460,'Основной эфир'!$I:$I=$C460)), 0) "),0.0)</f>
        <v>0</v>
      </c>
      <c r="J460" s="91">
        <f>IFERROR(__xludf.DUMMYFUNCTION("IFERROR(SUM(filter('Основной эфир'!$AL:$AL, 'Основной эфир'!$B:$B=$A460,'Основной эфир'!$C:$C=$B460,'Основной эфир'!$I:$I=$C460)), 0) "),0.0)</f>
        <v>0</v>
      </c>
      <c r="K460" s="91" t="str">
        <f>IFERROR(__xludf.DUMMYFUNCTION("IFERROR(REGEXREPLACE(unique(filter('Основной эфир'!$A:$A, 'Основной эфир'!$B:$B=$A460,'Основной эфир'!$C:$C=$B460,'Основной эфир'!$I:$I=$C460)), ""\d+"", """"),"""")"),"")</f>
        <v/>
      </c>
      <c r="L460" s="91" t="str">
        <f>IFERROR(__xludf.DUMMYFUNCTION("IFERROR(unique(filter('Основной эфир'!$F:$F, 'Основной эфир'!$B:$B=$A460,'Основной эфир'!$C:$C=$B460,'Основной эфир'!$I:$I=$C460)),"""")"),"")</f>
        <v/>
      </c>
      <c r="M460" s="92" t="str">
        <f t="shared" si="1"/>
        <v/>
      </c>
      <c r="N460" s="93">
        <f>IFERROR(__xludf.DUMMYFUNCTION("IFERROR(SWITCH(lower(join("" "",L460:M460)),""а миллионник"", 62.5,""б миллионник"", 75,""а мск"", 50, ""б мск"", 62.5, ""a остальное"", 70, ""б остальное"", 80)/100,0)"),0.0)</f>
        <v>0</v>
      </c>
      <c r="O460" s="91">
        <f t="shared" si="2"/>
        <v>0</v>
      </c>
      <c r="P460" s="91">
        <f>IFERROR(__xludf.DUMMYFUNCTION("IFERROR(sum(filter('Генеральный баннер'!$O:$O, 'Генеральный баннер'!$B:$B=$A460,'Генеральный баннер'!$C:$C=$B460,'Генеральный баннер'!$I:$I=$C460)), 0) "),0.0)</f>
        <v>0</v>
      </c>
      <c r="Q460" s="91">
        <f>IFERROR(__xludf.DUMMYFUNCTION("IFERROR(sum(filter('Генеральный баннер'!$Q:$Q, 'Генеральный баннер'!$B:$B=$A460,'Генеральный баннер'!$C:$C=$B460,'Генеральный баннер'!$I:$I=$C460)), 0) "),0.0)</f>
        <v>0</v>
      </c>
      <c r="R460" s="91">
        <f>IFERROR(__xludf.DUMMYFUNCTION("IFERROR(AVERAGE(filter('Генеральный баннер'!$AA:$AA, 'Генеральный баннер'!$B:$B=$A460,'Генеральный баннер'!$C:$C=$B460,'Генеральный баннер'!$I:$I=$C460)), 0) "),0.0)</f>
        <v>0</v>
      </c>
      <c r="S460" s="91">
        <f>IFERROR(__xludf.DUMMYFUNCTION("IFERROR(SUM(filter('Генеральный баннер'!$AH:$AH, 'Генеральный баннер'!$B:$B=$A460,'Генеральный баннер'!$C:$C=$B460,'Генеральный баннер'!$I:$I=$C460)), 0) "),0.0)</f>
        <v>0</v>
      </c>
      <c r="T460" s="91" t="str">
        <f>IFERROR(__xludf.DUMMYFUNCTION("IFERROR(REGEXREPLACE(unique(filter('Генеральный баннер'!$A:$A, 'Генеральный баннер'!$B:$B=$A460,'Генеральный баннер'!$C:$C=$B460,'Генеральный баннер'!$I:$I=$C460)), ""\d+"", """"),"""")"),"")</f>
        <v/>
      </c>
      <c r="U460" s="91" t="str">
        <f>IFERROR(__xludf.DUMMYFUNCTION("IFERROR(unique(filter('Генеральный баннер'!$F:$F, 'Генеральный баннер'!$B:$B=$A460,'Генеральный баннер'!$C:$C=$B460,'Генеральный баннер'!$I:$I=$C460)),"""")"),"")</f>
        <v/>
      </c>
      <c r="V460" s="92" t="str">
        <f t="shared" si="3"/>
        <v/>
      </c>
      <c r="W460" s="93">
        <f>IFERROR(__xludf.DUMMYFUNCTION("IFERROR(SWITCH(lower(join("" "",U460:V460)),""а миллионник"", 62.5,""б миллионник"", 75,""а мск"", 50, ""б мск"", 62.5, ""a остальное"", 70, ""б остальное"", 80)/100,0)"),0.0)</f>
        <v>0</v>
      </c>
      <c r="X460" s="91">
        <f t="shared" si="4"/>
        <v>0</v>
      </c>
    </row>
    <row r="461">
      <c r="A461" s="12"/>
      <c r="B461" s="12"/>
      <c r="C461" s="12"/>
      <c r="D461" s="91">
        <f>IFERROR(__xludf.DUMMYFUNCTION("IFERROR(sum(filter('Основной эфир'!$AA:$AA, 'Основной эфир'!$B:$B=$A461,'Основной эфир'!$C:$C=$B461,'Основной эфир'!$I:$I=$C461)), 0) "),0.0)</f>
        <v>0</v>
      </c>
      <c r="E461" s="91">
        <f>IFERROR(__xludf.DUMMYFUNCTION("IFERROR(sum(filter('Основной эфир'!$AC:$AC, 'Основной эфир'!$B:$B=$A461,'Основной эфир'!$C:$C=$B461,'Основной эфир'!$I:$I=$C461)), 0) "),0.0)</f>
        <v>0</v>
      </c>
      <c r="F461" s="91">
        <f>IFERROR(__xludf.DUMMYFUNCTION("IFERROR(sum(filter('Основной эфир'!$O:$O, 'Основной эфир'!$B:$B=$A461,'Основной эфир'!$C:$C=$B461,'Основной эфир'!$I:$I=$C461)), 0) "),0.0)</f>
        <v>0</v>
      </c>
      <c r="G461" s="91">
        <f>IFERROR(__xludf.DUMMYFUNCTION("IFERROR(sum(filter('Основной эфир'!$Q:$Q, 'Основной эфир'!$B:$B=$A461,'Основной эфир'!$C:$C=$B461,'Основной эфир'!$I:$I=$C461)), 0) "),0.0)</f>
        <v>0</v>
      </c>
      <c r="H461" s="91">
        <f>IFERROR(__xludf.DUMMYFUNCTION("IFERROR(AVERAGE(filter('Основной эфир'!$Y:$Y, 'Основной эфир'!$B:$B=$A461,'Основной эфир'!$C:$C=$B461,'Основной эфир'!$I:$I=$C461)), 0) "),0.0)</f>
        <v>0</v>
      </c>
      <c r="I461" s="91">
        <f>IFERROR(__xludf.DUMMYFUNCTION("IFERROR(AVERAGE(filter('Основной эфир'!$AE:$AE, 'Основной эфир'!$B:$B=$A461,'Основной эфир'!$C:$C=$B461,'Основной эфир'!$I:$I=$C461)), 0) "),0.0)</f>
        <v>0</v>
      </c>
      <c r="J461" s="91">
        <f>IFERROR(__xludf.DUMMYFUNCTION("IFERROR(SUM(filter('Основной эфир'!$AL:$AL, 'Основной эфир'!$B:$B=$A461,'Основной эфир'!$C:$C=$B461,'Основной эфир'!$I:$I=$C461)), 0) "),0.0)</f>
        <v>0</v>
      </c>
      <c r="K461" s="91" t="str">
        <f>IFERROR(__xludf.DUMMYFUNCTION("IFERROR(REGEXREPLACE(unique(filter('Основной эфир'!$A:$A, 'Основной эфир'!$B:$B=$A461,'Основной эфир'!$C:$C=$B461,'Основной эфир'!$I:$I=$C461)), ""\d+"", """"),"""")"),"")</f>
        <v/>
      </c>
      <c r="L461" s="91" t="str">
        <f>IFERROR(__xludf.DUMMYFUNCTION("IFERROR(unique(filter('Основной эфир'!$F:$F, 'Основной эфир'!$B:$B=$A461,'Основной эфир'!$C:$C=$B461,'Основной эфир'!$I:$I=$C461)),"""")"),"")</f>
        <v/>
      </c>
      <c r="M461" s="92" t="str">
        <f t="shared" si="1"/>
        <v/>
      </c>
      <c r="N461" s="93">
        <f>IFERROR(__xludf.DUMMYFUNCTION("IFERROR(SWITCH(lower(join("" "",L461:M461)),""а миллионник"", 62.5,""б миллионник"", 75,""а мск"", 50, ""б мск"", 62.5, ""a остальное"", 70, ""б остальное"", 80)/100,0)"),0.0)</f>
        <v>0</v>
      </c>
      <c r="O461" s="91">
        <f t="shared" si="2"/>
        <v>0</v>
      </c>
      <c r="P461" s="91">
        <f>IFERROR(__xludf.DUMMYFUNCTION("IFERROR(sum(filter('Генеральный баннер'!$O:$O, 'Генеральный баннер'!$B:$B=$A461,'Генеральный баннер'!$C:$C=$B461,'Генеральный баннер'!$I:$I=$C461)), 0) "),0.0)</f>
        <v>0</v>
      </c>
      <c r="Q461" s="91">
        <f>IFERROR(__xludf.DUMMYFUNCTION("IFERROR(sum(filter('Генеральный баннер'!$Q:$Q, 'Генеральный баннер'!$B:$B=$A461,'Генеральный баннер'!$C:$C=$B461,'Генеральный баннер'!$I:$I=$C461)), 0) "),0.0)</f>
        <v>0</v>
      </c>
      <c r="R461" s="91">
        <f>IFERROR(__xludf.DUMMYFUNCTION("IFERROR(AVERAGE(filter('Генеральный баннер'!$AA:$AA, 'Генеральный баннер'!$B:$B=$A461,'Генеральный баннер'!$C:$C=$B461,'Генеральный баннер'!$I:$I=$C461)), 0) "),0.0)</f>
        <v>0</v>
      </c>
      <c r="S461" s="91">
        <f>IFERROR(__xludf.DUMMYFUNCTION("IFERROR(SUM(filter('Генеральный баннер'!$AH:$AH, 'Генеральный баннер'!$B:$B=$A461,'Генеральный баннер'!$C:$C=$B461,'Генеральный баннер'!$I:$I=$C461)), 0) "),0.0)</f>
        <v>0</v>
      </c>
      <c r="T461" s="91" t="str">
        <f>IFERROR(__xludf.DUMMYFUNCTION("IFERROR(REGEXREPLACE(unique(filter('Генеральный баннер'!$A:$A, 'Генеральный баннер'!$B:$B=$A461,'Генеральный баннер'!$C:$C=$B461,'Генеральный баннер'!$I:$I=$C461)), ""\d+"", """"),"""")"),"")</f>
        <v/>
      </c>
      <c r="U461" s="91" t="str">
        <f>IFERROR(__xludf.DUMMYFUNCTION("IFERROR(unique(filter('Генеральный баннер'!$F:$F, 'Генеральный баннер'!$B:$B=$A461,'Генеральный баннер'!$C:$C=$B461,'Генеральный баннер'!$I:$I=$C461)),"""")"),"")</f>
        <v/>
      </c>
      <c r="V461" s="92" t="str">
        <f t="shared" si="3"/>
        <v/>
      </c>
      <c r="W461" s="93">
        <f>IFERROR(__xludf.DUMMYFUNCTION("IFERROR(SWITCH(lower(join("" "",U461:V461)),""а миллионник"", 62.5,""б миллионник"", 75,""а мск"", 50, ""б мск"", 62.5, ""a остальное"", 70, ""б остальное"", 80)/100,0)"),0.0)</f>
        <v>0</v>
      </c>
      <c r="X461" s="91">
        <f t="shared" si="4"/>
        <v>0</v>
      </c>
    </row>
    <row r="462">
      <c r="A462" s="12"/>
      <c r="B462" s="12"/>
      <c r="C462" s="12"/>
      <c r="D462" s="91">
        <f>IFERROR(__xludf.DUMMYFUNCTION("IFERROR(sum(filter('Основной эфир'!$AA:$AA, 'Основной эфир'!$B:$B=$A462,'Основной эфир'!$C:$C=$B462,'Основной эфир'!$I:$I=$C462)), 0) "),0.0)</f>
        <v>0</v>
      </c>
      <c r="E462" s="91">
        <f>IFERROR(__xludf.DUMMYFUNCTION("IFERROR(sum(filter('Основной эфир'!$AC:$AC, 'Основной эфир'!$B:$B=$A462,'Основной эфир'!$C:$C=$B462,'Основной эфир'!$I:$I=$C462)), 0) "),0.0)</f>
        <v>0</v>
      </c>
      <c r="F462" s="91">
        <f>IFERROR(__xludf.DUMMYFUNCTION("IFERROR(sum(filter('Основной эфир'!$O:$O, 'Основной эфир'!$B:$B=$A462,'Основной эфир'!$C:$C=$B462,'Основной эфир'!$I:$I=$C462)), 0) "),0.0)</f>
        <v>0</v>
      </c>
      <c r="G462" s="91">
        <f>IFERROR(__xludf.DUMMYFUNCTION("IFERROR(sum(filter('Основной эфир'!$Q:$Q, 'Основной эфир'!$B:$B=$A462,'Основной эфир'!$C:$C=$B462,'Основной эфир'!$I:$I=$C462)), 0) "),0.0)</f>
        <v>0</v>
      </c>
      <c r="H462" s="91">
        <f>IFERROR(__xludf.DUMMYFUNCTION("IFERROR(AVERAGE(filter('Основной эфир'!$Y:$Y, 'Основной эфир'!$B:$B=$A462,'Основной эфир'!$C:$C=$B462,'Основной эфир'!$I:$I=$C462)), 0) "),0.0)</f>
        <v>0</v>
      </c>
      <c r="I462" s="91">
        <f>IFERROR(__xludf.DUMMYFUNCTION("IFERROR(AVERAGE(filter('Основной эфир'!$AE:$AE, 'Основной эфир'!$B:$B=$A462,'Основной эфир'!$C:$C=$B462,'Основной эфир'!$I:$I=$C462)), 0) "),0.0)</f>
        <v>0</v>
      </c>
      <c r="J462" s="91">
        <f>IFERROR(__xludf.DUMMYFUNCTION("IFERROR(SUM(filter('Основной эфир'!$AL:$AL, 'Основной эфир'!$B:$B=$A462,'Основной эфир'!$C:$C=$B462,'Основной эфир'!$I:$I=$C462)), 0) "),0.0)</f>
        <v>0</v>
      </c>
      <c r="K462" s="91" t="str">
        <f>IFERROR(__xludf.DUMMYFUNCTION("IFERROR(REGEXREPLACE(unique(filter('Основной эфир'!$A:$A, 'Основной эфир'!$B:$B=$A462,'Основной эфир'!$C:$C=$B462,'Основной эфир'!$I:$I=$C462)), ""\d+"", """"),"""")"),"")</f>
        <v/>
      </c>
      <c r="L462" s="91" t="str">
        <f>IFERROR(__xludf.DUMMYFUNCTION("IFERROR(unique(filter('Основной эфир'!$F:$F, 'Основной эфир'!$B:$B=$A462,'Основной эфир'!$C:$C=$B462,'Основной эфир'!$I:$I=$C462)),"""")"),"")</f>
        <v/>
      </c>
      <c r="M462" s="92" t="str">
        <f t="shared" si="1"/>
        <v/>
      </c>
      <c r="N462" s="93">
        <f>IFERROR(__xludf.DUMMYFUNCTION("IFERROR(SWITCH(lower(join("" "",L462:M462)),""а миллионник"", 62.5,""б миллионник"", 75,""а мск"", 50, ""б мск"", 62.5, ""a остальное"", 70, ""б остальное"", 80)/100,0)"),0.0)</f>
        <v>0</v>
      </c>
      <c r="O462" s="91">
        <f t="shared" si="2"/>
        <v>0</v>
      </c>
      <c r="P462" s="91">
        <f>IFERROR(__xludf.DUMMYFUNCTION("IFERROR(sum(filter('Генеральный баннер'!$O:$O, 'Генеральный баннер'!$B:$B=$A462,'Генеральный баннер'!$C:$C=$B462,'Генеральный баннер'!$I:$I=$C462)), 0) "),0.0)</f>
        <v>0</v>
      </c>
      <c r="Q462" s="91">
        <f>IFERROR(__xludf.DUMMYFUNCTION("IFERROR(sum(filter('Генеральный баннер'!$Q:$Q, 'Генеральный баннер'!$B:$B=$A462,'Генеральный баннер'!$C:$C=$B462,'Генеральный баннер'!$I:$I=$C462)), 0) "),0.0)</f>
        <v>0</v>
      </c>
      <c r="R462" s="91">
        <f>IFERROR(__xludf.DUMMYFUNCTION("IFERROR(AVERAGE(filter('Генеральный баннер'!$AA:$AA, 'Генеральный баннер'!$B:$B=$A462,'Генеральный баннер'!$C:$C=$B462,'Генеральный баннер'!$I:$I=$C462)), 0) "),0.0)</f>
        <v>0</v>
      </c>
      <c r="S462" s="91">
        <f>IFERROR(__xludf.DUMMYFUNCTION("IFERROR(SUM(filter('Генеральный баннер'!$AH:$AH, 'Генеральный баннер'!$B:$B=$A462,'Генеральный баннер'!$C:$C=$B462,'Генеральный баннер'!$I:$I=$C462)), 0) "),0.0)</f>
        <v>0</v>
      </c>
      <c r="T462" s="91" t="str">
        <f>IFERROR(__xludf.DUMMYFUNCTION("IFERROR(REGEXREPLACE(unique(filter('Генеральный баннер'!$A:$A, 'Генеральный баннер'!$B:$B=$A462,'Генеральный баннер'!$C:$C=$B462,'Генеральный баннер'!$I:$I=$C462)), ""\d+"", """"),"""")"),"")</f>
        <v/>
      </c>
      <c r="U462" s="91" t="str">
        <f>IFERROR(__xludf.DUMMYFUNCTION("IFERROR(unique(filter('Генеральный баннер'!$F:$F, 'Генеральный баннер'!$B:$B=$A462,'Генеральный баннер'!$C:$C=$B462,'Генеральный баннер'!$I:$I=$C462)),"""")"),"")</f>
        <v/>
      </c>
      <c r="V462" s="92" t="str">
        <f t="shared" si="3"/>
        <v/>
      </c>
      <c r="W462" s="93">
        <f>IFERROR(__xludf.DUMMYFUNCTION("IFERROR(SWITCH(lower(join("" "",U462:V462)),""а миллионник"", 62.5,""б миллионник"", 75,""а мск"", 50, ""б мск"", 62.5, ""a остальное"", 70, ""б остальное"", 80)/100,0)"),0.0)</f>
        <v>0</v>
      </c>
      <c r="X462" s="91">
        <f t="shared" si="4"/>
        <v>0</v>
      </c>
    </row>
    <row r="463">
      <c r="A463" s="12"/>
      <c r="B463" s="12"/>
      <c r="C463" s="12"/>
      <c r="D463" s="91">
        <f>IFERROR(__xludf.DUMMYFUNCTION("IFERROR(sum(filter('Основной эфир'!$AA:$AA, 'Основной эфир'!$B:$B=$A463,'Основной эфир'!$C:$C=$B463,'Основной эфир'!$I:$I=$C463)), 0) "),0.0)</f>
        <v>0</v>
      </c>
      <c r="E463" s="91">
        <f>IFERROR(__xludf.DUMMYFUNCTION("IFERROR(sum(filter('Основной эфир'!$AC:$AC, 'Основной эфир'!$B:$B=$A463,'Основной эфир'!$C:$C=$B463,'Основной эфир'!$I:$I=$C463)), 0) "),0.0)</f>
        <v>0</v>
      </c>
      <c r="F463" s="91">
        <f>IFERROR(__xludf.DUMMYFUNCTION("IFERROR(sum(filter('Основной эфир'!$O:$O, 'Основной эфир'!$B:$B=$A463,'Основной эфир'!$C:$C=$B463,'Основной эфир'!$I:$I=$C463)), 0) "),0.0)</f>
        <v>0</v>
      </c>
      <c r="G463" s="91">
        <f>IFERROR(__xludf.DUMMYFUNCTION("IFERROR(sum(filter('Основной эфир'!$Q:$Q, 'Основной эфир'!$B:$B=$A463,'Основной эфир'!$C:$C=$B463,'Основной эфир'!$I:$I=$C463)), 0) "),0.0)</f>
        <v>0</v>
      </c>
      <c r="H463" s="91">
        <f>IFERROR(__xludf.DUMMYFUNCTION("IFERROR(AVERAGE(filter('Основной эфир'!$Y:$Y, 'Основной эфир'!$B:$B=$A463,'Основной эфир'!$C:$C=$B463,'Основной эфир'!$I:$I=$C463)), 0) "),0.0)</f>
        <v>0</v>
      </c>
      <c r="I463" s="91">
        <f>IFERROR(__xludf.DUMMYFUNCTION("IFERROR(AVERAGE(filter('Основной эфир'!$AE:$AE, 'Основной эфир'!$B:$B=$A463,'Основной эфир'!$C:$C=$B463,'Основной эфир'!$I:$I=$C463)), 0) "),0.0)</f>
        <v>0</v>
      </c>
      <c r="J463" s="91">
        <f>IFERROR(__xludf.DUMMYFUNCTION("IFERROR(SUM(filter('Основной эфир'!$AL:$AL, 'Основной эфир'!$B:$B=$A463,'Основной эфир'!$C:$C=$B463,'Основной эфир'!$I:$I=$C463)), 0) "),0.0)</f>
        <v>0</v>
      </c>
      <c r="K463" s="91" t="str">
        <f>IFERROR(__xludf.DUMMYFUNCTION("IFERROR(REGEXREPLACE(unique(filter('Основной эфир'!$A:$A, 'Основной эфир'!$B:$B=$A463,'Основной эфир'!$C:$C=$B463,'Основной эфир'!$I:$I=$C463)), ""\d+"", """"),"""")"),"")</f>
        <v/>
      </c>
      <c r="L463" s="91" t="str">
        <f>IFERROR(__xludf.DUMMYFUNCTION("IFERROR(unique(filter('Основной эфир'!$F:$F, 'Основной эфир'!$B:$B=$A463,'Основной эфир'!$C:$C=$B463,'Основной эфир'!$I:$I=$C463)),"""")"),"")</f>
        <v/>
      </c>
      <c r="M463" s="92" t="str">
        <f t="shared" si="1"/>
        <v/>
      </c>
      <c r="N463" s="93">
        <f>IFERROR(__xludf.DUMMYFUNCTION("IFERROR(SWITCH(lower(join("" "",L463:M463)),""а миллионник"", 62.5,""б миллионник"", 75,""а мск"", 50, ""б мск"", 62.5, ""a остальное"", 70, ""б остальное"", 80)/100,0)"),0.0)</f>
        <v>0</v>
      </c>
      <c r="O463" s="91">
        <f t="shared" si="2"/>
        <v>0</v>
      </c>
      <c r="P463" s="91">
        <f>IFERROR(__xludf.DUMMYFUNCTION("IFERROR(sum(filter('Генеральный баннер'!$O:$O, 'Генеральный баннер'!$B:$B=$A463,'Генеральный баннер'!$C:$C=$B463,'Генеральный баннер'!$I:$I=$C463)), 0) "),0.0)</f>
        <v>0</v>
      </c>
      <c r="Q463" s="91">
        <f>IFERROR(__xludf.DUMMYFUNCTION("IFERROR(sum(filter('Генеральный баннер'!$Q:$Q, 'Генеральный баннер'!$B:$B=$A463,'Генеральный баннер'!$C:$C=$B463,'Генеральный баннер'!$I:$I=$C463)), 0) "),0.0)</f>
        <v>0</v>
      </c>
      <c r="R463" s="91">
        <f>IFERROR(__xludf.DUMMYFUNCTION("IFERROR(AVERAGE(filter('Генеральный баннер'!$AA:$AA, 'Генеральный баннер'!$B:$B=$A463,'Генеральный баннер'!$C:$C=$B463,'Генеральный баннер'!$I:$I=$C463)), 0) "),0.0)</f>
        <v>0</v>
      </c>
      <c r="S463" s="91">
        <f>IFERROR(__xludf.DUMMYFUNCTION("IFERROR(SUM(filter('Генеральный баннер'!$AH:$AH, 'Генеральный баннер'!$B:$B=$A463,'Генеральный баннер'!$C:$C=$B463,'Генеральный баннер'!$I:$I=$C463)), 0) "),0.0)</f>
        <v>0</v>
      </c>
      <c r="T463" s="91" t="str">
        <f>IFERROR(__xludf.DUMMYFUNCTION("IFERROR(REGEXREPLACE(unique(filter('Генеральный баннер'!$A:$A, 'Генеральный баннер'!$B:$B=$A463,'Генеральный баннер'!$C:$C=$B463,'Генеральный баннер'!$I:$I=$C463)), ""\d+"", """"),"""")"),"")</f>
        <v/>
      </c>
      <c r="U463" s="91" t="str">
        <f>IFERROR(__xludf.DUMMYFUNCTION("IFERROR(unique(filter('Генеральный баннер'!$F:$F, 'Генеральный баннер'!$B:$B=$A463,'Генеральный баннер'!$C:$C=$B463,'Генеральный баннер'!$I:$I=$C463)),"""")"),"")</f>
        <v/>
      </c>
      <c r="V463" s="92" t="str">
        <f t="shared" si="3"/>
        <v/>
      </c>
      <c r="W463" s="93">
        <f>IFERROR(__xludf.DUMMYFUNCTION("IFERROR(SWITCH(lower(join("" "",U463:V463)),""а миллионник"", 62.5,""б миллионник"", 75,""а мск"", 50, ""б мск"", 62.5, ""a остальное"", 70, ""б остальное"", 80)/100,0)"),0.0)</f>
        <v>0</v>
      </c>
      <c r="X463" s="91">
        <f t="shared" si="4"/>
        <v>0</v>
      </c>
    </row>
    <row r="464">
      <c r="A464" s="12"/>
      <c r="B464" s="12"/>
      <c r="C464" s="12"/>
      <c r="D464" s="91">
        <f>IFERROR(__xludf.DUMMYFUNCTION("IFERROR(sum(filter('Основной эфир'!$AA:$AA, 'Основной эфир'!$B:$B=$A464,'Основной эфир'!$C:$C=$B464,'Основной эфир'!$I:$I=$C464)), 0) "),0.0)</f>
        <v>0</v>
      </c>
      <c r="E464" s="91">
        <f>IFERROR(__xludf.DUMMYFUNCTION("IFERROR(sum(filter('Основной эфир'!$AC:$AC, 'Основной эфир'!$B:$B=$A464,'Основной эфир'!$C:$C=$B464,'Основной эфир'!$I:$I=$C464)), 0) "),0.0)</f>
        <v>0</v>
      </c>
      <c r="F464" s="91">
        <f>IFERROR(__xludf.DUMMYFUNCTION("IFERROR(sum(filter('Основной эфир'!$O:$O, 'Основной эфир'!$B:$B=$A464,'Основной эфир'!$C:$C=$B464,'Основной эфир'!$I:$I=$C464)), 0) "),0.0)</f>
        <v>0</v>
      </c>
      <c r="G464" s="91">
        <f>IFERROR(__xludf.DUMMYFUNCTION("IFERROR(sum(filter('Основной эфир'!$Q:$Q, 'Основной эфир'!$B:$B=$A464,'Основной эфир'!$C:$C=$B464,'Основной эфир'!$I:$I=$C464)), 0) "),0.0)</f>
        <v>0</v>
      </c>
      <c r="H464" s="91">
        <f>IFERROR(__xludf.DUMMYFUNCTION("IFERROR(AVERAGE(filter('Основной эфир'!$Y:$Y, 'Основной эфир'!$B:$B=$A464,'Основной эфир'!$C:$C=$B464,'Основной эфир'!$I:$I=$C464)), 0) "),0.0)</f>
        <v>0</v>
      </c>
      <c r="I464" s="91">
        <f>IFERROR(__xludf.DUMMYFUNCTION("IFERROR(AVERAGE(filter('Основной эфир'!$AE:$AE, 'Основной эфир'!$B:$B=$A464,'Основной эфир'!$C:$C=$B464,'Основной эфир'!$I:$I=$C464)), 0) "),0.0)</f>
        <v>0</v>
      </c>
      <c r="J464" s="91">
        <f>IFERROR(__xludf.DUMMYFUNCTION("IFERROR(SUM(filter('Основной эфир'!$AL:$AL, 'Основной эфир'!$B:$B=$A464,'Основной эфир'!$C:$C=$B464,'Основной эфир'!$I:$I=$C464)), 0) "),0.0)</f>
        <v>0</v>
      </c>
      <c r="K464" s="91" t="str">
        <f>IFERROR(__xludf.DUMMYFUNCTION("IFERROR(REGEXREPLACE(unique(filter('Основной эфир'!$A:$A, 'Основной эфир'!$B:$B=$A464,'Основной эфир'!$C:$C=$B464,'Основной эфир'!$I:$I=$C464)), ""\d+"", """"),"""")"),"")</f>
        <v/>
      </c>
      <c r="L464" s="91" t="str">
        <f>IFERROR(__xludf.DUMMYFUNCTION("IFERROR(unique(filter('Основной эфир'!$F:$F, 'Основной эфир'!$B:$B=$A464,'Основной эфир'!$C:$C=$B464,'Основной эфир'!$I:$I=$C464)),"""")"),"")</f>
        <v/>
      </c>
      <c r="M464" s="92" t="str">
        <f t="shared" si="1"/>
        <v/>
      </c>
      <c r="N464" s="93">
        <f>IFERROR(__xludf.DUMMYFUNCTION("IFERROR(SWITCH(lower(join("" "",L464:M464)),""а миллионник"", 62.5,""б миллионник"", 75,""а мск"", 50, ""б мск"", 62.5, ""a остальное"", 70, ""б остальное"", 80)/100,0)"),0.0)</f>
        <v>0</v>
      </c>
      <c r="O464" s="91">
        <f t="shared" si="2"/>
        <v>0</v>
      </c>
      <c r="P464" s="91">
        <f>IFERROR(__xludf.DUMMYFUNCTION("IFERROR(sum(filter('Генеральный баннер'!$O:$O, 'Генеральный баннер'!$B:$B=$A464,'Генеральный баннер'!$C:$C=$B464,'Генеральный баннер'!$I:$I=$C464)), 0) "),0.0)</f>
        <v>0</v>
      </c>
      <c r="Q464" s="91">
        <f>IFERROR(__xludf.DUMMYFUNCTION("IFERROR(sum(filter('Генеральный баннер'!$Q:$Q, 'Генеральный баннер'!$B:$B=$A464,'Генеральный баннер'!$C:$C=$B464,'Генеральный баннер'!$I:$I=$C464)), 0) "),0.0)</f>
        <v>0</v>
      </c>
      <c r="R464" s="91">
        <f>IFERROR(__xludf.DUMMYFUNCTION("IFERROR(AVERAGE(filter('Генеральный баннер'!$AA:$AA, 'Генеральный баннер'!$B:$B=$A464,'Генеральный баннер'!$C:$C=$B464,'Генеральный баннер'!$I:$I=$C464)), 0) "),0.0)</f>
        <v>0</v>
      </c>
      <c r="S464" s="91">
        <f>IFERROR(__xludf.DUMMYFUNCTION("IFERROR(SUM(filter('Генеральный баннер'!$AH:$AH, 'Генеральный баннер'!$B:$B=$A464,'Генеральный баннер'!$C:$C=$B464,'Генеральный баннер'!$I:$I=$C464)), 0) "),0.0)</f>
        <v>0</v>
      </c>
      <c r="T464" s="91" t="str">
        <f>IFERROR(__xludf.DUMMYFUNCTION("IFERROR(REGEXREPLACE(unique(filter('Генеральный баннер'!$A:$A, 'Генеральный баннер'!$B:$B=$A464,'Генеральный баннер'!$C:$C=$B464,'Генеральный баннер'!$I:$I=$C464)), ""\d+"", """"),"""")"),"")</f>
        <v/>
      </c>
      <c r="U464" s="91" t="str">
        <f>IFERROR(__xludf.DUMMYFUNCTION("IFERROR(unique(filter('Генеральный баннер'!$F:$F, 'Генеральный баннер'!$B:$B=$A464,'Генеральный баннер'!$C:$C=$B464,'Генеральный баннер'!$I:$I=$C464)),"""")"),"")</f>
        <v/>
      </c>
      <c r="V464" s="92" t="str">
        <f t="shared" si="3"/>
        <v/>
      </c>
      <c r="W464" s="93">
        <f>IFERROR(__xludf.DUMMYFUNCTION("IFERROR(SWITCH(lower(join("" "",U464:V464)),""а миллионник"", 62.5,""б миллионник"", 75,""а мск"", 50, ""б мск"", 62.5, ""a остальное"", 70, ""б остальное"", 80)/100,0)"),0.0)</f>
        <v>0</v>
      </c>
      <c r="X464" s="91">
        <f t="shared" si="4"/>
        <v>0</v>
      </c>
    </row>
    <row r="465">
      <c r="A465" s="12"/>
      <c r="B465" s="12"/>
      <c r="C465" s="12"/>
      <c r="D465" s="91">
        <f>IFERROR(__xludf.DUMMYFUNCTION("IFERROR(sum(filter('Основной эфир'!$AA:$AA, 'Основной эфир'!$B:$B=$A465,'Основной эфир'!$C:$C=$B465,'Основной эфир'!$I:$I=$C465)), 0) "),0.0)</f>
        <v>0</v>
      </c>
      <c r="E465" s="91">
        <f>IFERROR(__xludf.DUMMYFUNCTION("IFERROR(sum(filter('Основной эфир'!$AC:$AC, 'Основной эфир'!$B:$B=$A465,'Основной эфир'!$C:$C=$B465,'Основной эфир'!$I:$I=$C465)), 0) "),0.0)</f>
        <v>0</v>
      </c>
      <c r="F465" s="91">
        <f>IFERROR(__xludf.DUMMYFUNCTION("IFERROR(sum(filter('Основной эфир'!$O:$O, 'Основной эфир'!$B:$B=$A465,'Основной эфир'!$C:$C=$B465,'Основной эфир'!$I:$I=$C465)), 0) "),0.0)</f>
        <v>0</v>
      </c>
      <c r="G465" s="91">
        <f>IFERROR(__xludf.DUMMYFUNCTION("IFERROR(sum(filter('Основной эфир'!$Q:$Q, 'Основной эфир'!$B:$B=$A465,'Основной эфир'!$C:$C=$B465,'Основной эфир'!$I:$I=$C465)), 0) "),0.0)</f>
        <v>0</v>
      </c>
      <c r="H465" s="91">
        <f>IFERROR(__xludf.DUMMYFUNCTION("IFERROR(AVERAGE(filter('Основной эфир'!$Y:$Y, 'Основной эфир'!$B:$B=$A465,'Основной эфир'!$C:$C=$B465,'Основной эфир'!$I:$I=$C465)), 0) "),0.0)</f>
        <v>0</v>
      </c>
      <c r="I465" s="91">
        <f>IFERROR(__xludf.DUMMYFUNCTION("IFERROR(AVERAGE(filter('Основной эфир'!$AE:$AE, 'Основной эфир'!$B:$B=$A465,'Основной эфир'!$C:$C=$B465,'Основной эфир'!$I:$I=$C465)), 0) "),0.0)</f>
        <v>0</v>
      </c>
      <c r="J465" s="91">
        <f>IFERROR(__xludf.DUMMYFUNCTION("IFERROR(SUM(filter('Основной эфир'!$AL:$AL, 'Основной эфир'!$B:$B=$A465,'Основной эфир'!$C:$C=$B465,'Основной эфир'!$I:$I=$C465)), 0) "),0.0)</f>
        <v>0</v>
      </c>
      <c r="K465" s="91" t="str">
        <f>IFERROR(__xludf.DUMMYFUNCTION("IFERROR(REGEXREPLACE(unique(filter('Основной эфир'!$A:$A, 'Основной эфир'!$B:$B=$A465,'Основной эфир'!$C:$C=$B465,'Основной эфир'!$I:$I=$C465)), ""\d+"", """"),"""")"),"")</f>
        <v/>
      </c>
      <c r="L465" s="91" t="str">
        <f>IFERROR(__xludf.DUMMYFUNCTION("IFERROR(unique(filter('Основной эфир'!$F:$F, 'Основной эфир'!$B:$B=$A465,'Основной эфир'!$C:$C=$B465,'Основной эфир'!$I:$I=$C465)),"""")"),"")</f>
        <v/>
      </c>
      <c r="M465" s="92" t="str">
        <f t="shared" si="1"/>
        <v/>
      </c>
      <c r="N465" s="93">
        <f>IFERROR(__xludf.DUMMYFUNCTION("IFERROR(SWITCH(lower(join("" "",L465:M465)),""а миллионник"", 62.5,""б миллионник"", 75,""а мск"", 50, ""б мск"", 62.5, ""a остальное"", 70, ""б остальное"", 80)/100,0)"),0.0)</f>
        <v>0</v>
      </c>
      <c r="O465" s="91">
        <f t="shared" si="2"/>
        <v>0</v>
      </c>
      <c r="P465" s="91">
        <f>IFERROR(__xludf.DUMMYFUNCTION("IFERROR(sum(filter('Генеральный баннер'!$O:$O, 'Генеральный баннер'!$B:$B=$A465,'Генеральный баннер'!$C:$C=$B465,'Генеральный баннер'!$I:$I=$C465)), 0) "),0.0)</f>
        <v>0</v>
      </c>
      <c r="Q465" s="91">
        <f>IFERROR(__xludf.DUMMYFUNCTION("IFERROR(sum(filter('Генеральный баннер'!$Q:$Q, 'Генеральный баннер'!$B:$B=$A465,'Генеральный баннер'!$C:$C=$B465,'Генеральный баннер'!$I:$I=$C465)), 0) "),0.0)</f>
        <v>0</v>
      </c>
      <c r="R465" s="91">
        <f>IFERROR(__xludf.DUMMYFUNCTION("IFERROR(AVERAGE(filter('Генеральный баннер'!$AA:$AA, 'Генеральный баннер'!$B:$B=$A465,'Генеральный баннер'!$C:$C=$B465,'Генеральный баннер'!$I:$I=$C465)), 0) "),0.0)</f>
        <v>0</v>
      </c>
      <c r="S465" s="91">
        <f>IFERROR(__xludf.DUMMYFUNCTION("IFERROR(SUM(filter('Генеральный баннер'!$AH:$AH, 'Генеральный баннер'!$B:$B=$A465,'Генеральный баннер'!$C:$C=$B465,'Генеральный баннер'!$I:$I=$C465)), 0) "),0.0)</f>
        <v>0</v>
      </c>
      <c r="T465" s="91" t="str">
        <f>IFERROR(__xludf.DUMMYFUNCTION("IFERROR(REGEXREPLACE(unique(filter('Генеральный баннер'!$A:$A, 'Генеральный баннер'!$B:$B=$A465,'Генеральный баннер'!$C:$C=$B465,'Генеральный баннер'!$I:$I=$C465)), ""\d+"", """"),"""")"),"")</f>
        <v/>
      </c>
      <c r="U465" s="91" t="str">
        <f>IFERROR(__xludf.DUMMYFUNCTION("IFERROR(unique(filter('Генеральный баннер'!$F:$F, 'Генеральный баннер'!$B:$B=$A465,'Генеральный баннер'!$C:$C=$B465,'Генеральный баннер'!$I:$I=$C465)),"""")"),"")</f>
        <v/>
      </c>
      <c r="V465" s="92" t="str">
        <f t="shared" si="3"/>
        <v/>
      </c>
      <c r="W465" s="93">
        <f>IFERROR(__xludf.DUMMYFUNCTION("IFERROR(SWITCH(lower(join("" "",U465:V465)),""а миллионник"", 62.5,""б миллионник"", 75,""а мск"", 50, ""б мск"", 62.5, ""a остальное"", 70, ""б остальное"", 80)/100,0)"),0.0)</f>
        <v>0</v>
      </c>
      <c r="X465" s="91">
        <f t="shared" si="4"/>
        <v>0</v>
      </c>
    </row>
    <row r="466">
      <c r="A466" s="12"/>
      <c r="B466" s="12"/>
      <c r="C466" s="12"/>
      <c r="D466" s="91">
        <f>IFERROR(__xludf.DUMMYFUNCTION("IFERROR(sum(filter('Основной эфир'!$AA:$AA, 'Основной эфир'!$B:$B=$A466,'Основной эфир'!$C:$C=$B466,'Основной эфир'!$I:$I=$C466)), 0) "),0.0)</f>
        <v>0</v>
      </c>
      <c r="E466" s="91">
        <f>IFERROR(__xludf.DUMMYFUNCTION("IFERROR(sum(filter('Основной эфир'!$AC:$AC, 'Основной эфир'!$B:$B=$A466,'Основной эфир'!$C:$C=$B466,'Основной эфир'!$I:$I=$C466)), 0) "),0.0)</f>
        <v>0</v>
      </c>
      <c r="F466" s="91">
        <f>IFERROR(__xludf.DUMMYFUNCTION("IFERROR(sum(filter('Основной эфир'!$O:$O, 'Основной эфир'!$B:$B=$A466,'Основной эфир'!$C:$C=$B466,'Основной эфир'!$I:$I=$C466)), 0) "),0.0)</f>
        <v>0</v>
      </c>
      <c r="G466" s="91">
        <f>IFERROR(__xludf.DUMMYFUNCTION("IFERROR(sum(filter('Основной эфир'!$Q:$Q, 'Основной эфир'!$B:$B=$A466,'Основной эфир'!$C:$C=$B466,'Основной эфир'!$I:$I=$C466)), 0) "),0.0)</f>
        <v>0</v>
      </c>
      <c r="H466" s="91">
        <f>IFERROR(__xludf.DUMMYFUNCTION("IFERROR(AVERAGE(filter('Основной эфир'!$Y:$Y, 'Основной эфир'!$B:$B=$A466,'Основной эфир'!$C:$C=$B466,'Основной эфир'!$I:$I=$C466)), 0) "),0.0)</f>
        <v>0</v>
      </c>
      <c r="I466" s="91">
        <f>IFERROR(__xludf.DUMMYFUNCTION("IFERROR(AVERAGE(filter('Основной эфир'!$AE:$AE, 'Основной эфир'!$B:$B=$A466,'Основной эфир'!$C:$C=$B466,'Основной эфир'!$I:$I=$C466)), 0) "),0.0)</f>
        <v>0</v>
      </c>
      <c r="J466" s="91">
        <f>IFERROR(__xludf.DUMMYFUNCTION("IFERROR(SUM(filter('Основной эфир'!$AL:$AL, 'Основной эфир'!$B:$B=$A466,'Основной эфир'!$C:$C=$B466,'Основной эфир'!$I:$I=$C466)), 0) "),0.0)</f>
        <v>0</v>
      </c>
      <c r="K466" s="91" t="str">
        <f>IFERROR(__xludf.DUMMYFUNCTION("IFERROR(REGEXREPLACE(unique(filter('Основной эфир'!$A:$A, 'Основной эфир'!$B:$B=$A466,'Основной эфир'!$C:$C=$B466,'Основной эфир'!$I:$I=$C466)), ""\d+"", """"),"""")"),"")</f>
        <v/>
      </c>
      <c r="L466" s="91" t="str">
        <f>IFERROR(__xludf.DUMMYFUNCTION("IFERROR(unique(filter('Основной эфир'!$F:$F, 'Основной эфир'!$B:$B=$A466,'Основной эфир'!$C:$C=$B466,'Основной эфир'!$I:$I=$C466)),"""")"),"")</f>
        <v/>
      </c>
      <c r="M466" s="92" t="str">
        <f t="shared" si="1"/>
        <v/>
      </c>
      <c r="N466" s="93">
        <f>IFERROR(__xludf.DUMMYFUNCTION("IFERROR(SWITCH(lower(join("" "",L466:M466)),""а миллионник"", 62.5,""б миллионник"", 75,""а мск"", 50, ""б мск"", 62.5, ""a остальное"", 70, ""б остальное"", 80)/100,0)"),0.0)</f>
        <v>0</v>
      </c>
      <c r="O466" s="91">
        <f t="shared" si="2"/>
        <v>0</v>
      </c>
      <c r="P466" s="91">
        <f>IFERROR(__xludf.DUMMYFUNCTION("IFERROR(sum(filter('Генеральный баннер'!$O:$O, 'Генеральный баннер'!$B:$B=$A466,'Генеральный баннер'!$C:$C=$B466,'Генеральный баннер'!$I:$I=$C466)), 0) "),0.0)</f>
        <v>0</v>
      </c>
      <c r="Q466" s="91">
        <f>IFERROR(__xludf.DUMMYFUNCTION("IFERROR(sum(filter('Генеральный баннер'!$Q:$Q, 'Генеральный баннер'!$B:$B=$A466,'Генеральный баннер'!$C:$C=$B466,'Генеральный баннер'!$I:$I=$C466)), 0) "),0.0)</f>
        <v>0</v>
      </c>
      <c r="R466" s="91">
        <f>IFERROR(__xludf.DUMMYFUNCTION("IFERROR(AVERAGE(filter('Генеральный баннер'!$AA:$AA, 'Генеральный баннер'!$B:$B=$A466,'Генеральный баннер'!$C:$C=$B466,'Генеральный баннер'!$I:$I=$C466)), 0) "),0.0)</f>
        <v>0</v>
      </c>
      <c r="S466" s="91">
        <f>IFERROR(__xludf.DUMMYFUNCTION("IFERROR(SUM(filter('Генеральный баннер'!$AH:$AH, 'Генеральный баннер'!$B:$B=$A466,'Генеральный баннер'!$C:$C=$B466,'Генеральный баннер'!$I:$I=$C466)), 0) "),0.0)</f>
        <v>0</v>
      </c>
      <c r="T466" s="91" t="str">
        <f>IFERROR(__xludf.DUMMYFUNCTION("IFERROR(REGEXREPLACE(unique(filter('Генеральный баннер'!$A:$A, 'Генеральный баннер'!$B:$B=$A466,'Генеральный баннер'!$C:$C=$B466,'Генеральный баннер'!$I:$I=$C466)), ""\d+"", """"),"""")"),"")</f>
        <v/>
      </c>
      <c r="U466" s="91" t="str">
        <f>IFERROR(__xludf.DUMMYFUNCTION("IFERROR(unique(filter('Генеральный баннер'!$F:$F, 'Генеральный баннер'!$B:$B=$A466,'Генеральный баннер'!$C:$C=$B466,'Генеральный баннер'!$I:$I=$C466)),"""")"),"")</f>
        <v/>
      </c>
      <c r="V466" s="92" t="str">
        <f t="shared" si="3"/>
        <v/>
      </c>
      <c r="W466" s="93">
        <f>IFERROR(__xludf.DUMMYFUNCTION("IFERROR(SWITCH(lower(join("" "",U466:V466)),""а миллионник"", 62.5,""б миллионник"", 75,""а мск"", 50, ""б мск"", 62.5, ""a остальное"", 70, ""б остальное"", 80)/100,0)"),0.0)</f>
        <v>0</v>
      </c>
      <c r="X466" s="91">
        <f t="shared" si="4"/>
        <v>0</v>
      </c>
    </row>
    <row r="467">
      <c r="A467" s="12"/>
      <c r="B467" s="12"/>
      <c r="C467" s="12"/>
      <c r="D467" s="91">
        <f>IFERROR(__xludf.DUMMYFUNCTION("IFERROR(sum(filter('Основной эфир'!$AA:$AA, 'Основной эфир'!$B:$B=$A467,'Основной эфир'!$C:$C=$B467,'Основной эфир'!$I:$I=$C467)), 0) "),0.0)</f>
        <v>0</v>
      </c>
      <c r="E467" s="91">
        <f>IFERROR(__xludf.DUMMYFUNCTION("IFERROR(sum(filter('Основной эфир'!$AC:$AC, 'Основной эфир'!$B:$B=$A467,'Основной эфир'!$C:$C=$B467,'Основной эфир'!$I:$I=$C467)), 0) "),0.0)</f>
        <v>0</v>
      </c>
      <c r="F467" s="91">
        <f>IFERROR(__xludf.DUMMYFUNCTION("IFERROR(sum(filter('Основной эфир'!$O:$O, 'Основной эфир'!$B:$B=$A467,'Основной эфир'!$C:$C=$B467,'Основной эфир'!$I:$I=$C467)), 0) "),0.0)</f>
        <v>0</v>
      </c>
      <c r="G467" s="91">
        <f>IFERROR(__xludf.DUMMYFUNCTION("IFERROR(sum(filter('Основной эфир'!$Q:$Q, 'Основной эфир'!$B:$B=$A467,'Основной эфир'!$C:$C=$B467,'Основной эфир'!$I:$I=$C467)), 0) "),0.0)</f>
        <v>0</v>
      </c>
      <c r="H467" s="91">
        <f>IFERROR(__xludf.DUMMYFUNCTION("IFERROR(AVERAGE(filter('Основной эфир'!$Y:$Y, 'Основной эфир'!$B:$B=$A467,'Основной эфир'!$C:$C=$B467,'Основной эфир'!$I:$I=$C467)), 0) "),0.0)</f>
        <v>0</v>
      </c>
      <c r="I467" s="91">
        <f>IFERROR(__xludf.DUMMYFUNCTION("IFERROR(AVERAGE(filter('Основной эфир'!$AE:$AE, 'Основной эфир'!$B:$B=$A467,'Основной эфир'!$C:$C=$B467,'Основной эфир'!$I:$I=$C467)), 0) "),0.0)</f>
        <v>0</v>
      </c>
      <c r="J467" s="91">
        <f>IFERROR(__xludf.DUMMYFUNCTION("IFERROR(SUM(filter('Основной эфир'!$AL:$AL, 'Основной эфир'!$B:$B=$A467,'Основной эфир'!$C:$C=$B467,'Основной эфир'!$I:$I=$C467)), 0) "),0.0)</f>
        <v>0</v>
      </c>
      <c r="K467" s="91" t="str">
        <f>IFERROR(__xludf.DUMMYFUNCTION("IFERROR(REGEXREPLACE(unique(filter('Основной эфир'!$A:$A, 'Основной эфир'!$B:$B=$A467,'Основной эфир'!$C:$C=$B467,'Основной эфир'!$I:$I=$C467)), ""\d+"", """"),"""")"),"")</f>
        <v/>
      </c>
      <c r="L467" s="91" t="str">
        <f>IFERROR(__xludf.DUMMYFUNCTION("IFERROR(unique(filter('Основной эфир'!$F:$F, 'Основной эфир'!$B:$B=$A467,'Основной эфир'!$C:$C=$B467,'Основной эфир'!$I:$I=$C467)),"""")"),"")</f>
        <v/>
      </c>
      <c r="M467" s="92" t="str">
        <f t="shared" si="1"/>
        <v/>
      </c>
      <c r="N467" s="93">
        <f>IFERROR(__xludf.DUMMYFUNCTION("IFERROR(SWITCH(lower(join("" "",L467:M467)),""а миллионник"", 62.5,""б миллионник"", 75,""а мск"", 50, ""б мск"", 62.5, ""a остальное"", 70, ""б остальное"", 80)/100,0)"),0.0)</f>
        <v>0</v>
      </c>
      <c r="O467" s="91">
        <f t="shared" si="2"/>
        <v>0</v>
      </c>
      <c r="P467" s="91">
        <f>IFERROR(__xludf.DUMMYFUNCTION("IFERROR(sum(filter('Генеральный баннер'!$O:$O, 'Генеральный баннер'!$B:$B=$A467,'Генеральный баннер'!$C:$C=$B467,'Генеральный баннер'!$I:$I=$C467)), 0) "),0.0)</f>
        <v>0</v>
      </c>
      <c r="Q467" s="91">
        <f>IFERROR(__xludf.DUMMYFUNCTION("IFERROR(sum(filter('Генеральный баннер'!$Q:$Q, 'Генеральный баннер'!$B:$B=$A467,'Генеральный баннер'!$C:$C=$B467,'Генеральный баннер'!$I:$I=$C467)), 0) "),0.0)</f>
        <v>0</v>
      </c>
      <c r="R467" s="91">
        <f>IFERROR(__xludf.DUMMYFUNCTION("IFERROR(AVERAGE(filter('Генеральный баннер'!$AA:$AA, 'Генеральный баннер'!$B:$B=$A467,'Генеральный баннер'!$C:$C=$B467,'Генеральный баннер'!$I:$I=$C467)), 0) "),0.0)</f>
        <v>0</v>
      </c>
      <c r="S467" s="91">
        <f>IFERROR(__xludf.DUMMYFUNCTION("IFERROR(SUM(filter('Генеральный баннер'!$AH:$AH, 'Генеральный баннер'!$B:$B=$A467,'Генеральный баннер'!$C:$C=$B467,'Генеральный баннер'!$I:$I=$C467)), 0) "),0.0)</f>
        <v>0</v>
      </c>
      <c r="T467" s="91" t="str">
        <f>IFERROR(__xludf.DUMMYFUNCTION("IFERROR(REGEXREPLACE(unique(filter('Генеральный баннер'!$A:$A, 'Генеральный баннер'!$B:$B=$A467,'Генеральный баннер'!$C:$C=$B467,'Генеральный баннер'!$I:$I=$C467)), ""\d+"", """"),"""")"),"")</f>
        <v/>
      </c>
      <c r="U467" s="91" t="str">
        <f>IFERROR(__xludf.DUMMYFUNCTION("IFERROR(unique(filter('Генеральный баннер'!$F:$F, 'Генеральный баннер'!$B:$B=$A467,'Генеральный баннер'!$C:$C=$B467,'Генеральный баннер'!$I:$I=$C467)),"""")"),"")</f>
        <v/>
      </c>
      <c r="V467" s="92" t="str">
        <f t="shared" si="3"/>
        <v/>
      </c>
      <c r="W467" s="93">
        <f>IFERROR(__xludf.DUMMYFUNCTION("IFERROR(SWITCH(lower(join("" "",U467:V467)),""а миллионник"", 62.5,""б миллионник"", 75,""а мск"", 50, ""б мск"", 62.5, ""a остальное"", 70, ""б остальное"", 80)/100,0)"),0.0)</f>
        <v>0</v>
      </c>
      <c r="X467" s="91">
        <f t="shared" si="4"/>
        <v>0</v>
      </c>
    </row>
    <row r="468">
      <c r="A468" s="12"/>
      <c r="B468" s="12"/>
      <c r="C468" s="12"/>
      <c r="D468" s="91">
        <f>IFERROR(__xludf.DUMMYFUNCTION("IFERROR(sum(filter('Основной эфир'!$AA:$AA, 'Основной эфир'!$B:$B=$A468,'Основной эфир'!$C:$C=$B468,'Основной эфир'!$I:$I=$C468)), 0) "),0.0)</f>
        <v>0</v>
      </c>
      <c r="E468" s="91">
        <f>IFERROR(__xludf.DUMMYFUNCTION("IFERROR(sum(filter('Основной эфир'!$AC:$AC, 'Основной эфир'!$B:$B=$A468,'Основной эфир'!$C:$C=$B468,'Основной эфир'!$I:$I=$C468)), 0) "),0.0)</f>
        <v>0</v>
      </c>
      <c r="F468" s="91">
        <f>IFERROR(__xludf.DUMMYFUNCTION("IFERROR(sum(filter('Основной эфир'!$O:$O, 'Основной эфир'!$B:$B=$A468,'Основной эфир'!$C:$C=$B468,'Основной эфир'!$I:$I=$C468)), 0) "),0.0)</f>
        <v>0</v>
      </c>
      <c r="G468" s="91">
        <f>IFERROR(__xludf.DUMMYFUNCTION("IFERROR(sum(filter('Основной эфир'!$Q:$Q, 'Основной эфир'!$B:$B=$A468,'Основной эфир'!$C:$C=$B468,'Основной эфир'!$I:$I=$C468)), 0) "),0.0)</f>
        <v>0</v>
      </c>
      <c r="H468" s="91">
        <f>IFERROR(__xludf.DUMMYFUNCTION("IFERROR(AVERAGE(filter('Основной эфир'!$Y:$Y, 'Основной эфир'!$B:$B=$A468,'Основной эфир'!$C:$C=$B468,'Основной эфир'!$I:$I=$C468)), 0) "),0.0)</f>
        <v>0</v>
      </c>
      <c r="I468" s="91">
        <f>IFERROR(__xludf.DUMMYFUNCTION("IFERROR(AVERAGE(filter('Основной эфир'!$AE:$AE, 'Основной эфир'!$B:$B=$A468,'Основной эфир'!$C:$C=$B468,'Основной эфир'!$I:$I=$C468)), 0) "),0.0)</f>
        <v>0</v>
      </c>
      <c r="J468" s="91">
        <f>IFERROR(__xludf.DUMMYFUNCTION("IFERROR(SUM(filter('Основной эфир'!$AL:$AL, 'Основной эфир'!$B:$B=$A468,'Основной эфир'!$C:$C=$B468,'Основной эфир'!$I:$I=$C468)), 0) "),0.0)</f>
        <v>0</v>
      </c>
      <c r="K468" s="91" t="str">
        <f>IFERROR(__xludf.DUMMYFUNCTION("IFERROR(REGEXREPLACE(unique(filter('Основной эфир'!$A:$A, 'Основной эфир'!$B:$B=$A468,'Основной эфир'!$C:$C=$B468,'Основной эфир'!$I:$I=$C468)), ""\d+"", """"),"""")"),"")</f>
        <v/>
      </c>
      <c r="L468" s="91" t="str">
        <f>IFERROR(__xludf.DUMMYFUNCTION("IFERROR(unique(filter('Основной эфир'!$F:$F, 'Основной эфир'!$B:$B=$A468,'Основной эфир'!$C:$C=$B468,'Основной эфир'!$I:$I=$C468)),"""")"),"")</f>
        <v/>
      </c>
      <c r="M468" s="92" t="str">
        <f t="shared" si="1"/>
        <v/>
      </c>
      <c r="N468" s="93">
        <f>IFERROR(__xludf.DUMMYFUNCTION("IFERROR(SWITCH(lower(join("" "",L468:M468)),""а миллионник"", 62.5,""б миллионник"", 75,""а мск"", 50, ""б мск"", 62.5, ""a остальное"", 70, ""б остальное"", 80)/100,0)"),0.0)</f>
        <v>0</v>
      </c>
      <c r="O468" s="91">
        <f t="shared" si="2"/>
        <v>0</v>
      </c>
      <c r="P468" s="91">
        <f>IFERROR(__xludf.DUMMYFUNCTION("IFERROR(sum(filter('Генеральный баннер'!$O:$O, 'Генеральный баннер'!$B:$B=$A468,'Генеральный баннер'!$C:$C=$B468,'Генеральный баннер'!$I:$I=$C468)), 0) "),0.0)</f>
        <v>0</v>
      </c>
      <c r="Q468" s="91">
        <f>IFERROR(__xludf.DUMMYFUNCTION("IFERROR(sum(filter('Генеральный баннер'!$Q:$Q, 'Генеральный баннер'!$B:$B=$A468,'Генеральный баннер'!$C:$C=$B468,'Генеральный баннер'!$I:$I=$C468)), 0) "),0.0)</f>
        <v>0</v>
      </c>
      <c r="R468" s="91">
        <f>IFERROR(__xludf.DUMMYFUNCTION("IFERROR(AVERAGE(filter('Генеральный баннер'!$AA:$AA, 'Генеральный баннер'!$B:$B=$A468,'Генеральный баннер'!$C:$C=$B468,'Генеральный баннер'!$I:$I=$C468)), 0) "),0.0)</f>
        <v>0</v>
      </c>
      <c r="S468" s="91">
        <f>IFERROR(__xludf.DUMMYFUNCTION("IFERROR(SUM(filter('Генеральный баннер'!$AH:$AH, 'Генеральный баннер'!$B:$B=$A468,'Генеральный баннер'!$C:$C=$B468,'Генеральный баннер'!$I:$I=$C468)), 0) "),0.0)</f>
        <v>0</v>
      </c>
      <c r="T468" s="91" t="str">
        <f>IFERROR(__xludf.DUMMYFUNCTION("IFERROR(REGEXREPLACE(unique(filter('Генеральный баннер'!$A:$A, 'Генеральный баннер'!$B:$B=$A468,'Генеральный баннер'!$C:$C=$B468,'Генеральный баннер'!$I:$I=$C468)), ""\d+"", """"),"""")"),"")</f>
        <v/>
      </c>
      <c r="U468" s="91" t="str">
        <f>IFERROR(__xludf.DUMMYFUNCTION("IFERROR(unique(filter('Генеральный баннер'!$F:$F, 'Генеральный баннер'!$B:$B=$A468,'Генеральный баннер'!$C:$C=$B468,'Генеральный баннер'!$I:$I=$C468)),"""")"),"")</f>
        <v/>
      </c>
      <c r="V468" s="92" t="str">
        <f t="shared" si="3"/>
        <v/>
      </c>
      <c r="W468" s="93">
        <f>IFERROR(__xludf.DUMMYFUNCTION("IFERROR(SWITCH(lower(join("" "",U468:V468)),""а миллионник"", 62.5,""б миллионник"", 75,""а мск"", 50, ""б мск"", 62.5, ""a остальное"", 70, ""б остальное"", 80)/100,0)"),0.0)</f>
        <v>0</v>
      </c>
      <c r="X468" s="91">
        <f t="shared" si="4"/>
        <v>0</v>
      </c>
    </row>
    <row r="469">
      <c r="A469" s="12"/>
      <c r="B469" s="12"/>
      <c r="C469" s="12"/>
      <c r="D469" s="91">
        <f>IFERROR(__xludf.DUMMYFUNCTION("IFERROR(sum(filter('Основной эфир'!$AA:$AA, 'Основной эфир'!$B:$B=$A469,'Основной эфир'!$C:$C=$B469,'Основной эфир'!$I:$I=$C469)), 0) "),0.0)</f>
        <v>0</v>
      </c>
      <c r="E469" s="91">
        <f>IFERROR(__xludf.DUMMYFUNCTION("IFERROR(sum(filter('Основной эфир'!$AC:$AC, 'Основной эфир'!$B:$B=$A469,'Основной эфир'!$C:$C=$B469,'Основной эфир'!$I:$I=$C469)), 0) "),0.0)</f>
        <v>0</v>
      </c>
      <c r="F469" s="91">
        <f>IFERROR(__xludf.DUMMYFUNCTION("IFERROR(sum(filter('Основной эфир'!$O:$O, 'Основной эфир'!$B:$B=$A469,'Основной эфир'!$C:$C=$B469,'Основной эфир'!$I:$I=$C469)), 0) "),0.0)</f>
        <v>0</v>
      </c>
      <c r="G469" s="91">
        <f>IFERROR(__xludf.DUMMYFUNCTION("IFERROR(sum(filter('Основной эфир'!$Q:$Q, 'Основной эфир'!$B:$B=$A469,'Основной эфир'!$C:$C=$B469,'Основной эфир'!$I:$I=$C469)), 0) "),0.0)</f>
        <v>0</v>
      </c>
      <c r="H469" s="91">
        <f>IFERROR(__xludf.DUMMYFUNCTION("IFERROR(AVERAGE(filter('Основной эфир'!$Y:$Y, 'Основной эфир'!$B:$B=$A469,'Основной эфир'!$C:$C=$B469,'Основной эфир'!$I:$I=$C469)), 0) "),0.0)</f>
        <v>0</v>
      </c>
      <c r="I469" s="91">
        <f>IFERROR(__xludf.DUMMYFUNCTION("IFERROR(AVERAGE(filter('Основной эфир'!$AE:$AE, 'Основной эфир'!$B:$B=$A469,'Основной эфир'!$C:$C=$B469,'Основной эфир'!$I:$I=$C469)), 0) "),0.0)</f>
        <v>0</v>
      </c>
      <c r="J469" s="91">
        <f>IFERROR(__xludf.DUMMYFUNCTION("IFERROR(SUM(filter('Основной эфир'!$AL:$AL, 'Основной эфир'!$B:$B=$A469,'Основной эфир'!$C:$C=$B469,'Основной эфир'!$I:$I=$C469)), 0) "),0.0)</f>
        <v>0</v>
      </c>
      <c r="K469" s="91" t="str">
        <f>IFERROR(__xludf.DUMMYFUNCTION("IFERROR(REGEXREPLACE(unique(filter('Основной эфир'!$A:$A, 'Основной эфир'!$B:$B=$A469,'Основной эфир'!$C:$C=$B469,'Основной эфир'!$I:$I=$C469)), ""\d+"", """"),"""")"),"")</f>
        <v/>
      </c>
      <c r="L469" s="91" t="str">
        <f>IFERROR(__xludf.DUMMYFUNCTION("IFERROR(unique(filter('Основной эфир'!$F:$F, 'Основной эфир'!$B:$B=$A469,'Основной эфир'!$C:$C=$B469,'Основной эфир'!$I:$I=$C469)),"""")"),"")</f>
        <v/>
      </c>
      <c r="M469" s="92" t="str">
        <f t="shared" si="1"/>
        <v/>
      </c>
      <c r="N469" s="93">
        <f>IFERROR(__xludf.DUMMYFUNCTION("IFERROR(SWITCH(lower(join("" "",L469:M469)),""а миллионник"", 62.5,""б миллионник"", 75,""а мск"", 50, ""б мск"", 62.5, ""a остальное"", 70, ""б остальное"", 80)/100,0)"),0.0)</f>
        <v>0</v>
      </c>
      <c r="O469" s="91">
        <f t="shared" si="2"/>
        <v>0</v>
      </c>
      <c r="P469" s="91">
        <f>IFERROR(__xludf.DUMMYFUNCTION("IFERROR(sum(filter('Генеральный баннер'!$O:$O, 'Генеральный баннер'!$B:$B=$A469,'Генеральный баннер'!$C:$C=$B469,'Генеральный баннер'!$I:$I=$C469)), 0) "),0.0)</f>
        <v>0</v>
      </c>
      <c r="Q469" s="91">
        <f>IFERROR(__xludf.DUMMYFUNCTION("IFERROR(sum(filter('Генеральный баннер'!$Q:$Q, 'Генеральный баннер'!$B:$B=$A469,'Генеральный баннер'!$C:$C=$B469,'Генеральный баннер'!$I:$I=$C469)), 0) "),0.0)</f>
        <v>0</v>
      </c>
      <c r="R469" s="91">
        <f>IFERROR(__xludf.DUMMYFUNCTION("IFERROR(AVERAGE(filter('Генеральный баннер'!$AA:$AA, 'Генеральный баннер'!$B:$B=$A469,'Генеральный баннер'!$C:$C=$B469,'Генеральный баннер'!$I:$I=$C469)), 0) "),0.0)</f>
        <v>0</v>
      </c>
      <c r="S469" s="91">
        <f>IFERROR(__xludf.DUMMYFUNCTION("IFERROR(SUM(filter('Генеральный баннер'!$AH:$AH, 'Генеральный баннер'!$B:$B=$A469,'Генеральный баннер'!$C:$C=$B469,'Генеральный баннер'!$I:$I=$C469)), 0) "),0.0)</f>
        <v>0</v>
      </c>
      <c r="T469" s="91" t="str">
        <f>IFERROR(__xludf.DUMMYFUNCTION("IFERROR(REGEXREPLACE(unique(filter('Генеральный баннер'!$A:$A, 'Генеральный баннер'!$B:$B=$A469,'Генеральный баннер'!$C:$C=$B469,'Генеральный баннер'!$I:$I=$C469)), ""\d+"", """"),"""")"),"")</f>
        <v/>
      </c>
      <c r="U469" s="91" t="str">
        <f>IFERROR(__xludf.DUMMYFUNCTION("IFERROR(unique(filter('Генеральный баннер'!$F:$F, 'Генеральный баннер'!$B:$B=$A469,'Генеральный баннер'!$C:$C=$B469,'Генеральный баннер'!$I:$I=$C469)),"""")"),"")</f>
        <v/>
      </c>
      <c r="V469" s="92" t="str">
        <f t="shared" si="3"/>
        <v/>
      </c>
      <c r="W469" s="93">
        <f>IFERROR(__xludf.DUMMYFUNCTION("IFERROR(SWITCH(lower(join("" "",U469:V469)),""а миллионник"", 62.5,""б миллионник"", 75,""а мск"", 50, ""б мск"", 62.5, ""a остальное"", 70, ""б остальное"", 80)/100,0)"),0.0)</f>
        <v>0</v>
      </c>
      <c r="X469" s="91">
        <f t="shared" si="4"/>
        <v>0</v>
      </c>
    </row>
    <row r="470">
      <c r="A470" s="12"/>
      <c r="B470" s="12"/>
      <c r="C470" s="12"/>
      <c r="D470" s="91">
        <f>IFERROR(__xludf.DUMMYFUNCTION("IFERROR(sum(filter('Основной эфир'!$AA:$AA, 'Основной эфир'!$B:$B=$A470,'Основной эфир'!$C:$C=$B470,'Основной эфир'!$I:$I=$C470)), 0) "),0.0)</f>
        <v>0</v>
      </c>
      <c r="E470" s="91">
        <f>IFERROR(__xludf.DUMMYFUNCTION("IFERROR(sum(filter('Основной эфир'!$AC:$AC, 'Основной эфир'!$B:$B=$A470,'Основной эфир'!$C:$C=$B470,'Основной эфир'!$I:$I=$C470)), 0) "),0.0)</f>
        <v>0</v>
      </c>
      <c r="F470" s="91">
        <f>IFERROR(__xludf.DUMMYFUNCTION("IFERROR(sum(filter('Основной эфир'!$O:$O, 'Основной эфир'!$B:$B=$A470,'Основной эфир'!$C:$C=$B470,'Основной эфир'!$I:$I=$C470)), 0) "),0.0)</f>
        <v>0</v>
      </c>
      <c r="G470" s="91">
        <f>IFERROR(__xludf.DUMMYFUNCTION("IFERROR(sum(filter('Основной эфир'!$Q:$Q, 'Основной эфир'!$B:$B=$A470,'Основной эфир'!$C:$C=$B470,'Основной эфир'!$I:$I=$C470)), 0) "),0.0)</f>
        <v>0</v>
      </c>
      <c r="H470" s="91">
        <f>IFERROR(__xludf.DUMMYFUNCTION("IFERROR(AVERAGE(filter('Основной эфир'!$Y:$Y, 'Основной эфир'!$B:$B=$A470,'Основной эфир'!$C:$C=$B470,'Основной эфир'!$I:$I=$C470)), 0) "),0.0)</f>
        <v>0</v>
      </c>
      <c r="I470" s="91">
        <f>IFERROR(__xludf.DUMMYFUNCTION("IFERROR(AVERAGE(filter('Основной эфир'!$AE:$AE, 'Основной эфир'!$B:$B=$A470,'Основной эфир'!$C:$C=$B470,'Основной эфир'!$I:$I=$C470)), 0) "),0.0)</f>
        <v>0</v>
      </c>
      <c r="J470" s="91">
        <f>IFERROR(__xludf.DUMMYFUNCTION("IFERROR(SUM(filter('Основной эфир'!$AL:$AL, 'Основной эфир'!$B:$B=$A470,'Основной эфир'!$C:$C=$B470,'Основной эфир'!$I:$I=$C470)), 0) "),0.0)</f>
        <v>0</v>
      </c>
      <c r="K470" s="91" t="str">
        <f>IFERROR(__xludf.DUMMYFUNCTION("IFERROR(REGEXREPLACE(unique(filter('Основной эфир'!$A:$A, 'Основной эфир'!$B:$B=$A470,'Основной эфир'!$C:$C=$B470,'Основной эфир'!$I:$I=$C470)), ""\d+"", """"),"""")"),"")</f>
        <v/>
      </c>
      <c r="L470" s="91" t="str">
        <f>IFERROR(__xludf.DUMMYFUNCTION("IFERROR(unique(filter('Основной эфир'!$F:$F, 'Основной эфир'!$B:$B=$A470,'Основной эфир'!$C:$C=$B470,'Основной эфир'!$I:$I=$C470)),"""")"),"")</f>
        <v/>
      </c>
      <c r="M470" s="92" t="str">
        <f t="shared" si="1"/>
        <v/>
      </c>
      <c r="N470" s="93">
        <f>IFERROR(__xludf.DUMMYFUNCTION("IFERROR(SWITCH(lower(join("" "",L470:M470)),""а миллионник"", 62.5,""б миллионник"", 75,""а мск"", 50, ""б мск"", 62.5, ""a остальное"", 70, ""б остальное"", 80)/100,0)"),0.0)</f>
        <v>0</v>
      </c>
      <c r="O470" s="91">
        <f t="shared" si="2"/>
        <v>0</v>
      </c>
      <c r="P470" s="91">
        <f>IFERROR(__xludf.DUMMYFUNCTION("IFERROR(sum(filter('Генеральный баннер'!$O:$O, 'Генеральный баннер'!$B:$B=$A470,'Генеральный баннер'!$C:$C=$B470,'Генеральный баннер'!$I:$I=$C470)), 0) "),0.0)</f>
        <v>0</v>
      </c>
      <c r="Q470" s="91">
        <f>IFERROR(__xludf.DUMMYFUNCTION("IFERROR(sum(filter('Генеральный баннер'!$Q:$Q, 'Генеральный баннер'!$B:$B=$A470,'Генеральный баннер'!$C:$C=$B470,'Генеральный баннер'!$I:$I=$C470)), 0) "),0.0)</f>
        <v>0</v>
      </c>
      <c r="R470" s="91">
        <f>IFERROR(__xludf.DUMMYFUNCTION("IFERROR(AVERAGE(filter('Генеральный баннер'!$AA:$AA, 'Генеральный баннер'!$B:$B=$A470,'Генеральный баннер'!$C:$C=$B470,'Генеральный баннер'!$I:$I=$C470)), 0) "),0.0)</f>
        <v>0</v>
      </c>
      <c r="S470" s="91">
        <f>IFERROR(__xludf.DUMMYFUNCTION("IFERROR(SUM(filter('Генеральный баннер'!$AH:$AH, 'Генеральный баннер'!$B:$B=$A470,'Генеральный баннер'!$C:$C=$B470,'Генеральный баннер'!$I:$I=$C470)), 0) "),0.0)</f>
        <v>0</v>
      </c>
      <c r="T470" s="91" t="str">
        <f>IFERROR(__xludf.DUMMYFUNCTION("IFERROR(REGEXREPLACE(unique(filter('Генеральный баннер'!$A:$A, 'Генеральный баннер'!$B:$B=$A470,'Генеральный баннер'!$C:$C=$B470,'Генеральный баннер'!$I:$I=$C470)), ""\d+"", """"),"""")"),"")</f>
        <v/>
      </c>
      <c r="U470" s="91" t="str">
        <f>IFERROR(__xludf.DUMMYFUNCTION("IFERROR(unique(filter('Генеральный баннер'!$F:$F, 'Генеральный баннер'!$B:$B=$A470,'Генеральный баннер'!$C:$C=$B470,'Генеральный баннер'!$I:$I=$C470)),"""")"),"")</f>
        <v/>
      </c>
      <c r="V470" s="92" t="str">
        <f t="shared" si="3"/>
        <v/>
      </c>
      <c r="W470" s="93">
        <f>IFERROR(__xludf.DUMMYFUNCTION("IFERROR(SWITCH(lower(join("" "",U470:V470)),""а миллионник"", 62.5,""б миллионник"", 75,""а мск"", 50, ""б мск"", 62.5, ""a остальное"", 70, ""б остальное"", 80)/100,0)"),0.0)</f>
        <v>0</v>
      </c>
      <c r="X470" s="91">
        <f t="shared" si="4"/>
        <v>0</v>
      </c>
    </row>
    <row r="471">
      <c r="A471" s="12"/>
      <c r="B471" s="12"/>
      <c r="C471" s="12"/>
      <c r="D471" s="91">
        <f>IFERROR(__xludf.DUMMYFUNCTION("IFERROR(sum(filter('Основной эфир'!$AA:$AA, 'Основной эфир'!$B:$B=$A471,'Основной эфир'!$C:$C=$B471,'Основной эфир'!$I:$I=$C471)), 0) "),0.0)</f>
        <v>0</v>
      </c>
      <c r="E471" s="91">
        <f>IFERROR(__xludf.DUMMYFUNCTION("IFERROR(sum(filter('Основной эфир'!$AC:$AC, 'Основной эфир'!$B:$B=$A471,'Основной эфир'!$C:$C=$B471,'Основной эфир'!$I:$I=$C471)), 0) "),0.0)</f>
        <v>0</v>
      </c>
      <c r="F471" s="91">
        <f>IFERROR(__xludf.DUMMYFUNCTION("IFERROR(sum(filter('Основной эфир'!$O:$O, 'Основной эфир'!$B:$B=$A471,'Основной эфир'!$C:$C=$B471,'Основной эфир'!$I:$I=$C471)), 0) "),0.0)</f>
        <v>0</v>
      </c>
      <c r="G471" s="91">
        <f>IFERROR(__xludf.DUMMYFUNCTION("IFERROR(sum(filter('Основной эфир'!$Q:$Q, 'Основной эфир'!$B:$B=$A471,'Основной эфир'!$C:$C=$B471,'Основной эфир'!$I:$I=$C471)), 0) "),0.0)</f>
        <v>0</v>
      </c>
      <c r="H471" s="91">
        <f>IFERROR(__xludf.DUMMYFUNCTION("IFERROR(AVERAGE(filter('Основной эфир'!$Y:$Y, 'Основной эфир'!$B:$B=$A471,'Основной эфир'!$C:$C=$B471,'Основной эфир'!$I:$I=$C471)), 0) "),0.0)</f>
        <v>0</v>
      </c>
      <c r="I471" s="91">
        <f>IFERROR(__xludf.DUMMYFUNCTION("IFERROR(AVERAGE(filter('Основной эфир'!$AE:$AE, 'Основной эфир'!$B:$B=$A471,'Основной эфир'!$C:$C=$B471,'Основной эфир'!$I:$I=$C471)), 0) "),0.0)</f>
        <v>0</v>
      </c>
      <c r="J471" s="91">
        <f>IFERROR(__xludf.DUMMYFUNCTION("IFERROR(SUM(filter('Основной эфир'!$AL:$AL, 'Основной эфир'!$B:$B=$A471,'Основной эфир'!$C:$C=$B471,'Основной эфир'!$I:$I=$C471)), 0) "),0.0)</f>
        <v>0</v>
      </c>
      <c r="K471" s="91" t="str">
        <f>IFERROR(__xludf.DUMMYFUNCTION("IFERROR(REGEXREPLACE(unique(filter('Основной эфир'!$A:$A, 'Основной эфир'!$B:$B=$A471,'Основной эфир'!$C:$C=$B471,'Основной эфир'!$I:$I=$C471)), ""\d+"", """"),"""")"),"")</f>
        <v/>
      </c>
      <c r="L471" s="91" t="str">
        <f>IFERROR(__xludf.DUMMYFUNCTION("IFERROR(unique(filter('Основной эфир'!$F:$F, 'Основной эфир'!$B:$B=$A471,'Основной эфир'!$C:$C=$B471,'Основной эфир'!$I:$I=$C471)),"""")"),"")</f>
        <v/>
      </c>
      <c r="M471" s="92" t="str">
        <f t="shared" si="1"/>
        <v/>
      </c>
      <c r="N471" s="93">
        <f>IFERROR(__xludf.DUMMYFUNCTION("IFERROR(SWITCH(lower(join("" "",L471:M471)),""а миллионник"", 62.5,""б миллионник"", 75,""а мск"", 50, ""б мск"", 62.5, ""a остальное"", 70, ""б остальное"", 80)/100,0)"),0.0)</f>
        <v>0</v>
      </c>
      <c r="O471" s="91">
        <f t="shared" si="2"/>
        <v>0</v>
      </c>
      <c r="P471" s="91">
        <f>IFERROR(__xludf.DUMMYFUNCTION("IFERROR(sum(filter('Генеральный баннер'!$O:$O, 'Генеральный баннер'!$B:$B=$A471,'Генеральный баннер'!$C:$C=$B471,'Генеральный баннер'!$I:$I=$C471)), 0) "),0.0)</f>
        <v>0</v>
      </c>
      <c r="Q471" s="91">
        <f>IFERROR(__xludf.DUMMYFUNCTION("IFERROR(sum(filter('Генеральный баннер'!$Q:$Q, 'Генеральный баннер'!$B:$B=$A471,'Генеральный баннер'!$C:$C=$B471,'Генеральный баннер'!$I:$I=$C471)), 0) "),0.0)</f>
        <v>0</v>
      </c>
      <c r="R471" s="91">
        <f>IFERROR(__xludf.DUMMYFUNCTION("IFERROR(AVERAGE(filter('Генеральный баннер'!$AA:$AA, 'Генеральный баннер'!$B:$B=$A471,'Генеральный баннер'!$C:$C=$B471,'Генеральный баннер'!$I:$I=$C471)), 0) "),0.0)</f>
        <v>0</v>
      </c>
      <c r="S471" s="91">
        <f>IFERROR(__xludf.DUMMYFUNCTION("IFERROR(SUM(filter('Генеральный баннер'!$AH:$AH, 'Генеральный баннер'!$B:$B=$A471,'Генеральный баннер'!$C:$C=$B471,'Генеральный баннер'!$I:$I=$C471)), 0) "),0.0)</f>
        <v>0</v>
      </c>
      <c r="T471" s="91" t="str">
        <f>IFERROR(__xludf.DUMMYFUNCTION("IFERROR(REGEXREPLACE(unique(filter('Генеральный баннер'!$A:$A, 'Генеральный баннер'!$B:$B=$A471,'Генеральный баннер'!$C:$C=$B471,'Генеральный баннер'!$I:$I=$C471)), ""\d+"", """"),"""")"),"")</f>
        <v/>
      </c>
      <c r="U471" s="91" t="str">
        <f>IFERROR(__xludf.DUMMYFUNCTION("IFERROR(unique(filter('Генеральный баннер'!$F:$F, 'Генеральный баннер'!$B:$B=$A471,'Генеральный баннер'!$C:$C=$B471,'Генеральный баннер'!$I:$I=$C471)),"""")"),"")</f>
        <v/>
      </c>
      <c r="V471" s="92" t="str">
        <f t="shared" si="3"/>
        <v/>
      </c>
      <c r="W471" s="93">
        <f>IFERROR(__xludf.DUMMYFUNCTION("IFERROR(SWITCH(lower(join("" "",U471:V471)),""а миллионник"", 62.5,""б миллионник"", 75,""а мск"", 50, ""б мск"", 62.5, ""a остальное"", 70, ""б остальное"", 80)/100,0)"),0.0)</f>
        <v>0</v>
      </c>
      <c r="X471" s="91">
        <f t="shared" si="4"/>
        <v>0</v>
      </c>
    </row>
    <row r="472">
      <c r="A472" s="12"/>
      <c r="B472" s="12"/>
      <c r="C472" s="12"/>
      <c r="D472" s="91">
        <f>IFERROR(__xludf.DUMMYFUNCTION("IFERROR(sum(filter('Основной эфир'!$AA:$AA, 'Основной эфир'!$B:$B=$A472,'Основной эфир'!$C:$C=$B472,'Основной эфир'!$I:$I=$C472)), 0) "),0.0)</f>
        <v>0</v>
      </c>
      <c r="E472" s="91">
        <f>IFERROR(__xludf.DUMMYFUNCTION("IFERROR(sum(filter('Основной эфир'!$AC:$AC, 'Основной эфир'!$B:$B=$A472,'Основной эфир'!$C:$C=$B472,'Основной эфир'!$I:$I=$C472)), 0) "),0.0)</f>
        <v>0</v>
      </c>
      <c r="F472" s="91">
        <f>IFERROR(__xludf.DUMMYFUNCTION("IFERROR(sum(filter('Основной эфир'!$O:$O, 'Основной эфир'!$B:$B=$A472,'Основной эфир'!$C:$C=$B472,'Основной эфир'!$I:$I=$C472)), 0) "),0.0)</f>
        <v>0</v>
      </c>
      <c r="G472" s="91">
        <f>IFERROR(__xludf.DUMMYFUNCTION("IFERROR(sum(filter('Основной эфир'!$Q:$Q, 'Основной эфир'!$B:$B=$A472,'Основной эфир'!$C:$C=$B472,'Основной эфир'!$I:$I=$C472)), 0) "),0.0)</f>
        <v>0</v>
      </c>
      <c r="H472" s="91">
        <f>IFERROR(__xludf.DUMMYFUNCTION("IFERROR(AVERAGE(filter('Основной эфир'!$Y:$Y, 'Основной эфир'!$B:$B=$A472,'Основной эфир'!$C:$C=$B472,'Основной эфир'!$I:$I=$C472)), 0) "),0.0)</f>
        <v>0</v>
      </c>
      <c r="I472" s="91">
        <f>IFERROR(__xludf.DUMMYFUNCTION("IFERROR(AVERAGE(filter('Основной эфир'!$AE:$AE, 'Основной эфир'!$B:$B=$A472,'Основной эфир'!$C:$C=$B472,'Основной эфир'!$I:$I=$C472)), 0) "),0.0)</f>
        <v>0</v>
      </c>
      <c r="J472" s="91">
        <f>IFERROR(__xludf.DUMMYFUNCTION("IFERROR(SUM(filter('Основной эфир'!$AL:$AL, 'Основной эфир'!$B:$B=$A472,'Основной эфир'!$C:$C=$B472,'Основной эфир'!$I:$I=$C472)), 0) "),0.0)</f>
        <v>0</v>
      </c>
      <c r="K472" s="91" t="str">
        <f>IFERROR(__xludf.DUMMYFUNCTION("IFERROR(REGEXREPLACE(unique(filter('Основной эфир'!$A:$A, 'Основной эфир'!$B:$B=$A472,'Основной эфир'!$C:$C=$B472,'Основной эфир'!$I:$I=$C472)), ""\d+"", """"),"""")"),"")</f>
        <v/>
      </c>
      <c r="L472" s="91" t="str">
        <f>IFERROR(__xludf.DUMMYFUNCTION("IFERROR(unique(filter('Основной эфир'!$F:$F, 'Основной эфир'!$B:$B=$A472,'Основной эфир'!$C:$C=$B472,'Основной эфир'!$I:$I=$C472)),"""")"),"")</f>
        <v/>
      </c>
      <c r="M472" s="92" t="str">
        <f t="shared" si="1"/>
        <v/>
      </c>
      <c r="N472" s="93">
        <f>IFERROR(__xludf.DUMMYFUNCTION("IFERROR(SWITCH(lower(join("" "",L472:M472)),""а миллионник"", 62.5,""б миллионник"", 75,""а мск"", 50, ""б мск"", 62.5, ""a остальное"", 70, ""б остальное"", 80)/100,0)"),0.0)</f>
        <v>0</v>
      </c>
      <c r="O472" s="91">
        <f t="shared" si="2"/>
        <v>0</v>
      </c>
      <c r="P472" s="91">
        <f>IFERROR(__xludf.DUMMYFUNCTION("IFERROR(sum(filter('Генеральный баннер'!$O:$O, 'Генеральный баннер'!$B:$B=$A472,'Генеральный баннер'!$C:$C=$B472,'Генеральный баннер'!$I:$I=$C472)), 0) "),0.0)</f>
        <v>0</v>
      </c>
      <c r="Q472" s="91">
        <f>IFERROR(__xludf.DUMMYFUNCTION("IFERROR(sum(filter('Генеральный баннер'!$Q:$Q, 'Генеральный баннер'!$B:$B=$A472,'Генеральный баннер'!$C:$C=$B472,'Генеральный баннер'!$I:$I=$C472)), 0) "),0.0)</f>
        <v>0</v>
      </c>
      <c r="R472" s="91">
        <f>IFERROR(__xludf.DUMMYFUNCTION("IFERROR(AVERAGE(filter('Генеральный баннер'!$AA:$AA, 'Генеральный баннер'!$B:$B=$A472,'Генеральный баннер'!$C:$C=$B472,'Генеральный баннер'!$I:$I=$C472)), 0) "),0.0)</f>
        <v>0</v>
      </c>
      <c r="S472" s="91">
        <f>IFERROR(__xludf.DUMMYFUNCTION("IFERROR(SUM(filter('Генеральный баннер'!$AH:$AH, 'Генеральный баннер'!$B:$B=$A472,'Генеральный баннер'!$C:$C=$B472,'Генеральный баннер'!$I:$I=$C472)), 0) "),0.0)</f>
        <v>0</v>
      </c>
      <c r="T472" s="91" t="str">
        <f>IFERROR(__xludf.DUMMYFUNCTION("IFERROR(REGEXREPLACE(unique(filter('Генеральный баннер'!$A:$A, 'Генеральный баннер'!$B:$B=$A472,'Генеральный баннер'!$C:$C=$B472,'Генеральный баннер'!$I:$I=$C472)), ""\d+"", """"),"""")"),"")</f>
        <v/>
      </c>
      <c r="U472" s="91" t="str">
        <f>IFERROR(__xludf.DUMMYFUNCTION("IFERROR(unique(filter('Генеральный баннер'!$F:$F, 'Генеральный баннер'!$B:$B=$A472,'Генеральный баннер'!$C:$C=$B472,'Генеральный баннер'!$I:$I=$C472)),"""")"),"")</f>
        <v/>
      </c>
      <c r="V472" s="92" t="str">
        <f t="shared" si="3"/>
        <v/>
      </c>
      <c r="W472" s="93">
        <f>IFERROR(__xludf.DUMMYFUNCTION("IFERROR(SWITCH(lower(join("" "",U472:V472)),""а миллионник"", 62.5,""б миллионник"", 75,""а мск"", 50, ""б мск"", 62.5, ""a остальное"", 70, ""б остальное"", 80)/100,0)"),0.0)</f>
        <v>0</v>
      </c>
      <c r="X472" s="91">
        <f t="shared" si="4"/>
        <v>0</v>
      </c>
    </row>
    <row r="473">
      <c r="A473" s="12"/>
      <c r="B473" s="12"/>
      <c r="C473" s="12"/>
      <c r="D473" s="91">
        <f>IFERROR(__xludf.DUMMYFUNCTION("IFERROR(sum(filter('Основной эфир'!$AA:$AA, 'Основной эфир'!$B:$B=$A473,'Основной эфир'!$C:$C=$B473,'Основной эфир'!$I:$I=$C473)), 0) "),0.0)</f>
        <v>0</v>
      </c>
      <c r="E473" s="91">
        <f>IFERROR(__xludf.DUMMYFUNCTION("IFERROR(sum(filter('Основной эфир'!$AC:$AC, 'Основной эфир'!$B:$B=$A473,'Основной эфир'!$C:$C=$B473,'Основной эфир'!$I:$I=$C473)), 0) "),0.0)</f>
        <v>0</v>
      </c>
      <c r="F473" s="91">
        <f>IFERROR(__xludf.DUMMYFUNCTION("IFERROR(sum(filter('Основной эфир'!$O:$O, 'Основной эфир'!$B:$B=$A473,'Основной эфир'!$C:$C=$B473,'Основной эфир'!$I:$I=$C473)), 0) "),0.0)</f>
        <v>0</v>
      </c>
      <c r="G473" s="91">
        <f>IFERROR(__xludf.DUMMYFUNCTION("IFERROR(sum(filter('Основной эфир'!$Q:$Q, 'Основной эфир'!$B:$B=$A473,'Основной эфир'!$C:$C=$B473,'Основной эфир'!$I:$I=$C473)), 0) "),0.0)</f>
        <v>0</v>
      </c>
      <c r="H473" s="91">
        <f>IFERROR(__xludf.DUMMYFUNCTION("IFERROR(AVERAGE(filter('Основной эфир'!$Y:$Y, 'Основной эфир'!$B:$B=$A473,'Основной эфир'!$C:$C=$B473,'Основной эфир'!$I:$I=$C473)), 0) "),0.0)</f>
        <v>0</v>
      </c>
      <c r="I473" s="91">
        <f>IFERROR(__xludf.DUMMYFUNCTION("IFERROR(AVERAGE(filter('Основной эфир'!$AE:$AE, 'Основной эфир'!$B:$B=$A473,'Основной эфир'!$C:$C=$B473,'Основной эфир'!$I:$I=$C473)), 0) "),0.0)</f>
        <v>0</v>
      </c>
      <c r="J473" s="91">
        <f>IFERROR(__xludf.DUMMYFUNCTION("IFERROR(SUM(filter('Основной эфир'!$AL:$AL, 'Основной эфир'!$B:$B=$A473,'Основной эфир'!$C:$C=$B473,'Основной эфир'!$I:$I=$C473)), 0) "),0.0)</f>
        <v>0</v>
      </c>
      <c r="K473" s="91" t="str">
        <f>IFERROR(__xludf.DUMMYFUNCTION("IFERROR(REGEXREPLACE(unique(filter('Основной эфир'!$A:$A, 'Основной эфир'!$B:$B=$A473,'Основной эфир'!$C:$C=$B473,'Основной эфир'!$I:$I=$C473)), ""\d+"", """"),"""")"),"")</f>
        <v/>
      </c>
      <c r="L473" s="91" t="str">
        <f>IFERROR(__xludf.DUMMYFUNCTION("IFERROR(unique(filter('Основной эфир'!$F:$F, 'Основной эфир'!$B:$B=$A473,'Основной эфир'!$C:$C=$B473,'Основной эфир'!$I:$I=$C473)),"""")"),"")</f>
        <v/>
      </c>
      <c r="M473" s="92" t="str">
        <f t="shared" si="1"/>
        <v/>
      </c>
      <c r="N473" s="93">
        <f>IFERROR(__xludf.DUMMYFUNCTION("IFERROR(SWITCH(lower(join("" "",L473:M473)),""а миллионник"", 62.5,""б миллионник"", 75,""а мск"", 50, ""б мск"", 62.5, ""a остальное"", 70, ""б остальное"", 80)/100,0)"),0.0)</f>
        <v>0</v>
      </c>
      <c r="O473" s="91">
        <f t="shared" si="2"/>
        <v>0</v>
      </c>
      <c r="P473" s="91">
        <f>IFERROR(__xludf.DUMMYFUNCTION("IFERROR(sum(filter('Генеральный баннер'!$O:$O, 'Генеральный баннер'!$B:$B=$A473,'Генеральный баннер'!$C:$C=$B473,'Генеральный баннер'!$I:$I=$C473)), 0) "),0.0)</f>
        <v>0</v>
      </c>
      <c r="Q473" s="91">
        <f>IFERROR(__xludf.DUMMYFUNCTION("IFERROR(sum(filter('Генеральный баннер'!$Q:$Q, 'Генеральный баннер'!$B:$B=$A473,'Генеральный баннер'!$C:$C=$B473,'Генеральный баннер'!$I:$I=$C473)), 0) "),0.0)</f>
        <v>0</v>
      </c>
      <c r="R473" s="91">
        <f>IFERROR(__xludf.DUMMYFUNCTION("IFERROR(AVERAGE(filter('Генеральный баннер'!$AA:$AA, 'Генеральный баннер'!$B:$B=$A473,'Генеральный баннер'!$C:$C=$B473,'Генеральный баннер'!$I:$I=$C473)), 0) "),0.0)</f>
        <v>0</v>
      </c>
      <c r="S473" s="91">
        <f>IFERROR(__xludf.DUMMYFUNCTION("IFERROR(SUM(filter('Генеральный баннер'!$AH:$AH, 'Генеральный баннер'!$B:$B=$A473,'Генеральный баннер'!$C:$C=$B473,'Генеральный баннер'!$I:$I=$C473)), 0) "),0.0)</f>
        <v>0</v>
      </c>
      <c r="T473" s="91" t="str">
        <f>IFERROR(__xludf.DUMMYFUNCTION("IFERROR(REGEXREPLACE(unique(filter('Генеральный баннер'!$A:$A, 'Генеральный баннер'!$B:$B=$A473,'Генеральный баннер'!$C:$C=$B473,'Генеральный баннер'!$I:$I=$C473)), ""\d+"", """"),"""")"),"")</f>
        <v/>
      </c>
      <c r="U473" s="91" t="str">
        <f>IFERROR(__xludf.DUMMYFUNCTION("IFERROR(unique(filter('Генеральный баннер'!$F:$F, 'Генеральный баннер'!$B:$B=$A473,'Генеральный баннер'!$C:$C=$B473,'Генеральный баннер'!$I:$I=$C473)),"""")"),"")</f>
        <v/>
      </c>
      <c r="V473" s="92" t="str">
        <f t="shared" si="3"/>
        <v/>
      </c>
      <c r="W473" s="93">
        <f>IFERROR(__xludf.DUMMYFUNCTION("IFERROR(SWITCH(lower(join("" "",U473:V473)),""а миллионник"", 62.5,""б миллионник"", 75,""а мск"", 50, ""б мск"", 62.5, ""a остальное"", 70, ""б остальное"", 80)/100,0)"),0.0)</f>
        <v>0</v>
      </c>
      <c r="X473" s="91">
        <f t="shared" si="4"/>
        <v>0</v>
      </c>
    </row>
    <row r="474">
      <c r="A474" s="12"/>
      <c r="B474" s="12"/>
      <c r="C474" s="12"/>
      <c r="D474" s="91">
        <f>IFERROR(__xludf.DUMMYFUNCTION("IFERROR(sum(filter('Основной эфир'!$AA:$AA, 'Основной эфир'!$B:$B=$A474,'Основной эфир'!$C:$C=$B474,'Основной эфир'!$I:$I=$C474)), 0) "),0.0)</f>
        <v>0</v>
      </c>
      <c r="E474" s="91">
        <f>IFERROR(__xludf.DUMMYFUNCTION("IFERROR(sum(filter('Основной эфир'!$AC:$AC, 'Основной эфир'!$B:$B=$A474,'Основной эфир'!$C:$C=$B474,'Основной эфир'!$I:$I=$C474)), 0) "),0.0)</f>
        <v>0</v>
      </c>
      <c r="F474" s="91">
        <f>IFERROR(__xludf.DUMMYFUNCTION("IFERROR(sum(filter('Основной эфир'!$O:$O, 'Основной эфир'!$B:$B=$A474,'Основной эфир'!$C:$C=$B474,'Основной эфир'!$I:$I=$C474)), 0) "),0.0)</f>
        <v>0</v>
      </c>
      <c r="G474" s="91">
        <f>IFERROR(__xludf.DUMMYFUNCTION("IFERROR(sum(filter('Основной эфир'!$Q:$Q, 'Основной эфир'!$B:$B=$A474,'Основной эфир'!$C:$C=$B474,'Основной эфир'!$I:$I=$C474)), 0) "),0.0)</f>
        <v>0</v>
      </c>
      <c r="H474" s="91">
        <f>IFERROR(__xludf.DUMMYFUNCTION("IFERROR(AVERAGE(filter('Основной эфир'!$Y:$Y, 'Основной эфир'!$B:$B=$A474,'Основной эфир'!$C:$C=$B474,'Основной эфир'!$I:$I=$C474)), 0) "),0.0)</f>
        <v>0</v>
      </c>
      <c r="I474" s="91">
        <f>IFERROR(__xludf.DUMMYFUNCTION("IFERROR(AVERAGE(filter('Основной эфир'!$AE:$AE, 'Основной эфир'!$B:$B=$A474,'Основной эфир'!$C:$C=$B474,'Основной эфир'!$I:$I=$C474)), 0) "),0.0)</f>
        <v>0</v>
      </c>
      <c r="J474" s="91">
        <f>IFERROR(__xludf.DUMMYFUNCTION("IFERROR(SUM(filter('Основной эфир'!$AL:$AL, 'Основной эфир'!$B:$B=$A474,'Основной эфир'!$C:$C=$B474,'Основной эфир'!$I:$I=$C474)), 0) "),0.0)</f>
        <v>0</v>
      </c>
      <c r="K474" s="91" t="str">
        <f>IFERROR(__xludf.DUMMYFUNCTION("IFERROR(REGEXREPLACE(unique(filter('Основной эфир'!$A:$A, 'Основной эфир'!$B:$B=$A474,'Основной эфир'!$C:$C=$B474,'Основной эфир'!$I:$I=$C474)), ""\d+"", """"),"""")"),"")</f>
        <v/>
      </c>
      <c r="L474" s="91" t="str">
        <f>IFERROR(__xludf.DUMMYFUNCTION("IFERROR(unique(filter('Основной эфир'!$F:$F, 'Основной эфир'!$B:$B=$A474,'Основной эфир'!$C:$C=$B474,'Основной эфир'!$I:$I=$C474)),"""")"),"")</f>
        <v/>
      </c>
      <c r="M474" s="92" t="str">
        <f t="shared" si="1"/>
        <v/>
      </c>
      <c r="N474" s="93">
        <f>IFERROR(__xludf.DUMMYFUNCTION("IFERROR(SWITCH(lower(join("" "",L474:M474)),""а миллионник"", 62.5,""б миллионник"", 75,""а мск"", 50, ""б мск"", 62.5, ""a остальное"", 70, ""б остальное"", 80)/100,0)"),0.0)</f>
        <v>0</v>
      </c>
      <c r="O474" s="91">
        <f t="shared" si="2"/>
        <v>0</v>
      </c>
      <c r="P474" s="91">
        <f>IFERROR(__xludf.DUMMYFUNCTION("IFERROR(sum(filter('Генеральный баннер'!$O:$O, 'Генеральный баннер'!$B:$B=$A474,'Генеральный баннер'!$C:$C=$B474,'Генеральный баннер'!$I:$I=$C474)), 0) "),0.0)</f>
        <v>0</v>
      </c>
      <c r="Q474" s="91">
        <f>IFERROR(__xludf.DUMMYFUNCTION("IFERROR(sum(filter('Генеральный баннер'!$Q:$Q, 'Генеральный баннер'!$B:$B=$A474,'Генеральный баннер'!$C:$C=$B474,'Генеральный баннер'!$I:$I=$C474)), 0) "),0.0)</f>
        <v>0</v>
      </c>
      <c r="R474" s="91">
        <f>IFERROR(__xludf.DUMMYFUNCTION("IFERROR(AVERAGE(filter('Генеральный баннер'!$AA:$AA, 'Генеральный баннер'!$B:$B=$A474,'Генеральный баннер'!$C:$C=$B474,'Генеральный баннер'!$I:$I=$C474)), 0) "),0.0)</f>
        <v>0</v>
      </c>
      <c r="S474" s="91">
        <f>IFERROR(__xludf.DUMMYFUNCTION("IFERROR(SUM(filter('Генеральный баннер'!$AH:$AH, 'Генеральный баннер'!$B:$B=$A474,'Генеральный баннер'!$C:$C=$B474,'Генеральный баннер'!$I:$I=$C474)), 0) "),0.0)</f>
        <v>0</v>
      </c>
      <c r="T474" s="91" t="str">
        <f>IFERROR(__xludf.DUMMYFUNCTION("IFERROR(REGEXREPLACE(unique(filter('Генеральный баннер'!$A:$A, 'Генеральный баннер'!$B:$B=$A474,'Генеральный баннер'!$C:$C=$B474,'Генеральный баннер'!$I:$I=$C474)), ""\d+"", """"),"""")"),"")</f>
        <v/>
      </c>
      <c r="U474" s="91" t="str">
        <f>IFERROR(__xludf.DUMMYFUNCTION("IFERROR(unique(filter('Генеральный баннер'!$F:$F, 'Генеральный баннер'!$B:$B=$A474,'Генеральный баннер'!$C:$C=$B474,'Генеральный баннер'!$I:$I=$C474)),"""")"),"")</f>
        <v/>
      </c>
      <c r="V474" s="92" t="str">
        <f t="shared" si="3"/>
        <v/>
      </c>
      <c r="W474" s="93">
        <f>IFERROR(__xludf.DUMMYFUNCTION("IFERROR(SWITCH(lower(join("" "",U474:V474)),""а миллионник"", 62.5,""б миллионник"", 75,""а мск"", 50, ""б мск"", 62.5, ""a остальное"", 70, ""б остальное"", 80)/100,0)"),0.0)</f>
        <v>0</v>
      </c>
      <c r="X474" s="91">
        <f t="shared" si="4"/>
        <v>0</v>
      </c>
    </row>
    <row r="475">
      <c r="A475" s="12"/>
      <c r="B475" s="12"/>
      <c r="C475" s="12"/>
      <c r="D475" s="91">
        <f>IFERROR(__xludf.DUMMYFUNCTION("IFERROR(sum(filter('Основной эфир'!$AA:$AA, 'Основной эфир'!$B:$B=$A475,'Основной эфир'!$C:$C=$B475,'Основной эфир'!$I:$I=$C475)), 0) "),0.0)</f>
        <v>0</v>
      </c>
      <c r="E475" s="91">
        <f>IFERROR(__xludf.DUMMYFUNCTION("IFERROR(sum(filter('Основной эфир'!$AC:$AC, 'Основной эфир'!$B:$B=$A475,'Основной эфир'!$C:$C=$B475,'Основной эфир'!$I:$I=$C475)), 0) "),0.0)</f>
        <v>0</v>
      </c>
      <c r="F475" s="91">
        <f>IFERROR(__xludf.DUMMYFUNCTION("IFERROR(sum(filter('Основной эфир'!$O:$O, 'Основной эфир'!$B:$B=$A475,'Основной эфир'!$C:$C=$B475,'Основной эфир'!$I:$I=$C475)), 0) "),0.0)</f>
        <v>0</v>
      </c>
      <c r="G475" s="91">
        <f>IFERROR(__xludf.DUMMYFUNCTION("IFERROR(sum(filter('Основной эфир'!$Q:$Q, 'Основной эфир'!$B:$B=$A475,'Основной эфир'!$C:$C=$B475,'Основной эфир'!$I:$I=$C475)), 0) "),0.0)</f>
        <v>0</v>
      </c>
      <c r="H475" s="91">
        <f>IFERROR(__xludf.DUMMYFUNCTION("IFERROR(AVERAGE(filter('Основной эфир'!$Y:$Y, 'Основной эфир'!$B:$B=$A475,'Основной эфир'!$C:$C=$B475,'Основной эфир'!$I:$I=$C475)), 0) "),0.0)</f>
        <v>0</v>
      </c>
      <c r="I475" s="91">
        <f>IFERROR(__xludf.DUMMYFUNCTION("IFERROR(AVERAGE(filter('Основной эфир'!$AE:$AE, 'Основной эфир'!$B:$B=$A475,'Основной эфир'!$C:$C=$B475,'Основной эфир'!$I:$I=$C475)), 0) "),0.0)</f>
        <v>0</v>
      </c>
      <c r="J475" s="91">
        <f>IFERROR(__xludf.DUMMYFUNCTION("IFERROR(SUM(filter('Основной эфир'!$AL:$AL, 'Основной эфир'!$B:$B=$A475,'Основной эфир'!$C:$C=$B475,'Основной эфир'!$I:$I=$C475)), 0) "),0.0)</f>
        <v>0</v>
      </c>
      <c r="K475" s="91" t="str">
        <f>IFERROR(__xludf.DUMMYFUNCTION("IFERROR(REGEXREPLACE(unique(filter('Основной эфир'!$A:$A, 'Основной эфир'!$B:$B=$A475,'Основной эфир'!$C:$C=$B475,'Основной эфир'!$I:$I=$C475)), ""\d+"", """"),"""")"),"")</f>
        <v/>
      </c>
      <c r="L475" s="91" t="str">
        <f>IFERROR(__xludf.DUMMYFUNCTION("IFERROR(unique(filter('Основной эфир'!$F:$F, 'Основной эфир'!$B:$B=$A475,'Основной эфир'!$C:$C=$B475,'Основной эфир'!$I:$I=$C475)),"""")"),"")</f>
        <v/>
      </c>
      <c r="M475" s="92" t="str">
        <f t="shared" si="1"/>
        <v/>
      </c>
      <c r="N475" s="93">
        <f>IFERROR(__xludf.DUMMYFUNCTION("IFERROR(SWITCH(lower(join("" "",L475:M475)),""а миллионник"", 62.5,""б миллионник"", 75,""а мск"", 50, ""б мск"", 62.5, ""a остальное"", 70, ""б остальное"", 80)/100,0)"),0.0)</f>
        <v>0</v>
      </c>
      <c r="O475" s="91">
        <f t="shared" si="2"/>
        <v>0</v>
      </c>
      <c r="P475" s="91">
        <f>IFERROR(__xludf.DUMMYFUNCTION("IFERROR(sum(filter('Генеральный баннер'!$O:$O, 'Генеральный баннер'!$B:$B=$A475,'Генеральный баннер'!$C:$C=$B475,'Генеральный баннер'!$I:$I=$C475)), 0) "),0.0)</f>
        <v>0</v>
      </c>
      <c r="Q475" s="91">
        <f>IFERROR(__xludf.DUMMYFUNCTION("IFERROR(sum(filter('Генеральный баннер'!$Q:$Q, 'Генеральный баннер'!$B:$B=$A475,'Генеральный баннер'!$C:$C=$B475,'Генеральный баннер'!$I:$I=$C475)), 0) "),0.0)</f>
        <v>0</v>
      </c>
      <c r="R475" s="91">
        <f>IFERROR(__xludf.DUMMYFUNCTION("IFERROR(AVERAGE(filter('Генеральный баннер'!$AA:$AA, 'Генеральный баннер'!$B:$B=$A475,'Генеральный баннер'!$C:$C=$B475,'Генеральный баннер'!$I:$I=$C475)), 0) "),0.0)</f>
        <v>0</v>
      </c>
      <c r="S475" s="91">
        <f>IFERROR(__xludf.DUMMYFUNCTION("IFERROR(SUM(filter('Генеральный баннер'!$AH:$AH, 'Генеральный баннер'!$B:$B=$A475,'Генеральный баннер'!$C:$C=$B475,'Генеральный баннер'!$I:$I=$C475)), 0) "),0.0)</f>
        <v>0</v>
      </c>
      <c r="T475" s="91" t="str">
        <f>IFERROR(__xludf.DUMMYFUNCTION("IFERROR(REGEXREPLACE(unique(filter('Генеральный баннер'!$A:$A, 'Генеральный баннер'!$B:$B=$A475,'Генеральный баннер'!$C:$C=$B475,'Генеральный баннер'!$I:$I=$C475)), ""\d+"", """"),"""")"),"")</f>
        <v/>
      </c>
      <c r="U475" s="91" t="str">
        <f>IFERROR(__xludf.DUMMYFUNCTION("IFERROR(unique(filter('Генеральный баннер'!$F:$F, 'Генеральный баннер'!$B:$B=$A475,'Генеральный баннер'!$C:$C=$B475,'Генеральный баннер'!$I:$I=$C475)),"""")"),"")</f>
        <v/>
      </c>
      <c r="V475" s="92" t="str">
        <f t="shared" si="3"/>
        <v/>
      </c>
      <c r="W475" s="93">
        <f>IFERROR(__xludf.DUMMYFUNCTION("IFERROR(SWITCH(lower(join("" "",U475:V475)),""а миллионник"", 62.5,""б миллионник"", 75,""а мск"", 50, ""б мск"", 62.5, ""a остальное"", 70, ""б остальное"", 80)/100,0)"),0.0)</f>
        <v>0</v>
      </c>
      <c r="X475" s="91">
        <f t="shared" si="4"/>
        <v>0</v>
      </c>
    </row>
    <row r="476">
      <c r="A476" s="12"/>
      <c r="B476" s="12"/>
      <c r="C476" s="12"/>
      <c r="D476" s="91">
        <f>IFERROR(__xludf.DUMMYFUNCTION("IFERROR(sum(filter('Основной эфир'!$AA:$AA, 'Основной эфир'!$B:$B=$A476,'Основной эфир'!$C:$C=$B476,'Основной эфир'!$I:$I=$C476)), 0) "),0.0)</f>
        <v>0</v>
      </c>
      <c r="E476" s="91">
        <f>IFERROR(__xludf.DUMMYFUNCTION("IFERROR(sum(filter('Основной эфир'!$AC:$AC, 'Основной эфир'!$B:$B=$A476,'Основной эфир'!$C:$C=$B476,'Основной эфир'!$I:$I=$C476)), 0) "),0.0)</f>
        <v>0</v>
      </c>
      <c r="F476" s="91">
        <f>IFERROR(__xludf.DUMMYFUNCTION("IFERROR(sum(filter('Основной эфир'!$O:$O, 'Основной эфир'!$B:$B=$A476,'Основной эфир'!$C:$C=$B476,'Основной эфир'!$I:$I=$C476)), 0) "),0.0)</f>
        <v>0</v>
      </c>
      <c r="G476" s="91">
        <f>IFERROR(__xludf.DUMMYFUNCTION("IFERROR(sum(filter('Основной эфир'!$Q:$Q, 'Основной эфир'!$B:$B=$A476,'Основной эфир'!$C:$C=$B476,'Основной эфир'!$I:$I=$C476)), 0) "),0.0)</f>
        <v>0</v>
      </c>
      <c r="H476" s="91">
        <f>IFERROR(__xludf.DUMMYFUNCTION("IFERROR(AVERAGE(filter('Основной эфир'!$Y:$Y, 'Основной эфир'!$B:$B=$A476,'Основной эфир'!$C:$C=$B476,'Основной эфир'!$I:$I=$C476)), 0) "),0.0)</f>
        <v>0</v>
      </c>
      <c r="I476" s="91">
        <f>IFERROR(__xludf.DUMMYFUNCTION("IFERROR(AVERAGE(filter('Основной эфир'!$AE:$AE, 'Основной эфир'!$B:$B=$A476,'Основной эфир'!$C:$C=$B476,'Основной эфир'!$I:$I=$C476)), 0) "),0.0)</f>
        <v>0</v>
      </c>
      <c r="J476" s="91">
        <f>IFERROR(__xludf.DUMMYFUNCTION("IFERROR(SUM(filter('Основной эфир'!$AL:$AL, 'Основной эфир'!$B:$B=$A476,'Основной эфир'!$C:$C=$B476,'Основной эфир'!$I:$I=$C476)), 0) "),0.0)</f>
        <v>0</v>
      </c>
      <c r="K476" s="91" t="str">
        <f>IFERROR(__xludf.DUMMYFUNCTION("IFERROR(REGEXREPLACE(unique(filter('Основной эфир'!$A:$A, 'Основной эфир'!$B:$B=$A476,'Основной эфир'!$C:$C=$B476,'Основной эфир'!$I:$I=$C476)), ""\d+"", """"),"""")"),"")</f>
        <v/>
      </c>
      <c r="L476" s="91" t="str">
        <f>IFERROR(__xludf.DUMMYFUNCTION("IFERROR(unique(filter('Основной эфир'!$F:$F, 'Основной эфир'!$B:$B=$A476,'Основной эфир'!$C:$C=$B476,'Основной эфир'!$I:$I=$C476)),"""")"),"")</f>
        <v/>
      </c>
      <c r="M476" s="92" t="str">
        <f t="shared" si="1"/>
        <v/>
      </c>
      <c r="N476" s="93">
        <f>IFERROR(__xludf.DUMMYFUNCTION("IFERROR(SWITCH(lower(join("" "",L476:M476)),""а миллионник"", 62.5,""б миллионник"", 75,""а мск"", 50, ""б мск"", 62.5, ""a остальное"", 70, ""б остальное"", 80)/100,0)"),0.0)</f>
        <v>0</v>
      </c>
      <c r="O476" s="91">
        <f t="shared" si="2"/>
        <v>0</v>
      </c>
      <c r="P476" s="91">
        <f>IFERROR(__xludf.DUMMYFUNCTION("IFERROR(sum(filter('Генеральный баннер'!$O:$O, 'Генеральный баннер'!$B:$B=$A476,'Генеральный баннер'!$C:$C=$B476,'Генеральный баннер'!$I:$I=$C476)), 0) "),0.0)</f>
        <v>0</v>
      </c>
      <c r="Q476" s="91">
        <f>IFERROR(__xludf.DUMMYFUNCTION("IFERROR(sum(filter('Генеральный баннер'!$Q:$Q, 'Генеральный баннер'!$B:$B=$A476,'Генеральный баннер'!$C:$C=$B476,'Генеральный баннер'!$I:$I=$C476)), 0) "),0.0)</f>
        <v>0</v>
      </c>
      <c r="R476" s="91">
        <f>IFERROR(__xludf.DUMMYFUNCTION("IFERROR(AVERAGE(filter('Генеральный баннер'!$AA:$AA, 'Генеральный баннер'!$B:$B=$A476,'Генеральный баннер'!$C:$C=$B476,'Генеральный баннер'!$I:$I=$C476)), 0) "),0.0)</f>
        <v>0</v>
      </c>
      <c r="S476" s="91">
        <f>IFERROR(__xludf.DUMMYFUNCTION("IFERROR(SUM(filter('Генеральный баннер'!$AH:$AH, 'Генеральный баннер'!$B:$B=$A476,'Генеральный баннер'!$C:$C=$B476,'Генеральный баннер'!$I:$I=$C476)), 0) "),0.0)</f>
        <v>0</v>
      </c>
      <c r="T476" s="91" t="str">
        <f>IFERROR(__xludf.DUMMYFUNCTION("IFERROR(REGEXREPLACE(unique(filter('Генеральный баннер'!$A:$A, 'Генеральный баннер'!$B:$B=$A476,'Генеральный баннер'!$C:$C=$B476,'Генеральный баннер'!$I:$I=$C476)), ""\d+"", """"),"""")"),"")</f>
        <v/>
      </c>
      <c r="U476" s="91" t="str">
        <f>IFERROR(__xludf.DUMMYFUNCTION("IFERROR(unique(filter('Генеральный баннер'!$F:$F, 'Генеральный баннер'!$B:$B=$A476,'Генеральный баннер'!$C:$C=$B476,'Генеральный баннер'!$I:$I=$C476)),"""")"),"")</f>
        <v/>
      </c>
      <c r="V476" s="92" t="str">
        <f t="shared" si="3"/>
        <v/>
      </c>
      <c r="W476" s="93">
        <f>IFERROR(__xludf.DUMMYFUNCTION("IFERROR(SWITCH(lower(join("" "",U476:V476)),""а миллионник"", 62.5,""б миллионник"", 75,""а мск"", 50, ""б мск"", 62.5, ""a остальное"", 70, ""б остальное"", 80)/100,0)"),0.0)</f>
        <v>0</v>
      </c>
      <c r="X476" s="91">
        <f t="shared" si="4"/>
        <v>0</v>
      </c>
    </row>
    <row r="477">
      <c r="A477" s="12"/>
      <c r="B477" s="12"/>
      <c r="C477" s="12"/>
      <c r="D477" s="91">
        <f>IFERROR(__xludf.DUMMYFUNCTION("IFERROR(sum(filter('Основной эфир'!$AA:$AA, 'Основной эфир'!$B:$B=$A477,'Основной эфир'!$C:$C=$B477,'Основной эфир'!$I:$I=$C477)), 0) "),0.0)</f>
        <v>0</v>
      </c>
      <c r="E477" s="91">
        <f>IFERROR(__xludf.DUMMYFUNCTION("IFERROR(sum(filter('Основной эфир'!$AC:$AC, 'Основной эфир'!$B:$B=$A477,'Основной эфир'!$C:$C=$B477,'Основной эфир'!$I:$I=$C477)), 0) "),0.0)</f>
        <v>0</v>
      </c>
      <c r="F477" s="91">
        <f>IFERROR(__xludf.DUMMYFUNCTION("IFERROR(sum(filter('Основной эфир'!$O:$O, 'Основной эфир'!$B:$B=$A477,'Основной эфир'!$C:$C=$B477,'Основной эфир'!$I:$I=$C477)), 0) "),0.0)</f>
        <v>0</v>
      </c>
      <c r="G477" s="91">
        <f>IFERROR(__xludf.DUMMYFUNCTION("IFERROR(sum(filter('Основной эфир'!$Q:$Q, 'Основной эфир'!$B:$B=$A477,'Основной эфир'!$C:$C=$B477,'Основной эфир'!$I:$I=$C477)), 0) "),0.0)</f>
        <v>0</v>
      </c>
      <c r="H477" s="91">
        <f>IFERROR(__xludf.DUMMYFUNCTION("IFERROR(AVERAGE(filter('Основной эфир'!$Y:$Y, 'Основной эфир'!$B:$B=$A477,'Основной эфир'!$C:$C=$B477,'Основной эфир'!$I:$I=$C477)), 0) "),0.0)</f>
        <v>0</v>
      </c>
      <c r="I477" s="91">
        <f>IFERROR(__xludf.DUMMYFUNCTION("IFERROR(AVERAGE(filter('Основной эфир'!$AE:$AE, 'Основной эфир'!$B:$B=$A477,'Основной эфир'!$C:$C=$B477,'Основной эфир'!$I:$I=$C477)), 0) "),0.0)</f>
        <v>0</v>
      </c>
      <c r="J477" s="91">
        <f>IFERROR(__xludf.DUMMYFUNCTION("IFERROR(SUM(filter('Основной эфир'!$AL:$AL, 'Основной эфир'!$B:$B=$A477,'Основной эфир'!$C:$C=$B477,'Основной эфир'!$I:$I=$C477)), 0) "),0.0)</f>
        <v>0</v>
      </c>
      <c r="K477" s="91" t="str">
        <f>IFERROR(__xludf.DUMMYFUNCTION("IFERROR(REGEXREPLACE(unique(filter('Основной эфир'!$A:$A, 'Основной эфир'!$B:$B=$A477,'Основной эфир'!$C:$C=$B477,'Основной эфир'!$I:$I=$C477)), ""\d+"", """"),"""")"),"")</f>
        <v/>
      </c>
      <c r="L477" s="91" t="str">
        <f>IFERROR(__xludf.DUMMYFUNCTION("IFERROR(unique(filter('Основной эфир'!$F:$F, 'Основной эфир'!$B:$B=$A477,'Основной эфир'!$C:$C=$B477,'Основной эфир'!$I:$I=$C477)),"""")"),"")</f>
        <v/>
      </c>
      <c r="M477" s="92" t="str">
        <f t="shared" si="1"/>
        <v/>
      </c>
      <c r="N477" s="93">
        <f>IFERROR(__xludf.DUMMYFUNCTION("IFERROR(SWITCH(lower(join("" "",L477:M477)),""а миллионник"", 62.5,""б миллионник"", 75,""а мск"", 50, ""б мск"", 62.5, ""a остальное"", 70, ""б остальное"", 80)/100,0)"),0.0)</f>
        <v>0</v>
      </c>
      <c r="O477" s="91">
        <f t="shared" si="2"/>
        <v>0</v>
      </c>
      <c r="P477" s="91">
        <f>IFERROR(__xludf.DUMMYFUNCTION("IFERROR(sum(filter('Генеральный баннер'!$O:$O, 'Генеральный баннер'!$B:$B=$A477,'Генеральный баннер'!$C:$C=$B477,'Генеральный баннер'!$I:$I=$C477)), 0) "),0.0)</f>
        <v>0</v>
      </c>
      <c r="Q477" s="91">
        <f>IFERROR(__xludf.DUMMYFUNCTION("IFERROR(sum(filter('Генеральный баннер'!$Q:$Q, 'Генеральный баннер'!$B:$B=$A477,'Генеральный баннер'!$C:$C=$B477,'Генеральный баннер'!$I:$I=$C477)), 0) "),0.0)</f>
        <v>0</v>
      </c>
      <c r="R477" s="91">
        <f>IFERROR(__xludf.DUMMYFUNCTION("IFERROR(AVERAGE(filter('Генеральный баннер'!$AA:$AA, 'Генеральный баннер'!$B:$B=$A477,'Генеральный баннер'!$C:$C=$B477,'Генеральный баннер'!$I:$I=$C477)), 0) "),0.0)</f>
        <v>0</v>
      </c>
      <c r="S477" s="91">
        <f>IFERROR(__xludf.DUMMYFUNCTION("IFERROR(SUM(filter('Генеральный баннер'!$AH:$AH, 'Генеральный баннер'!$B:$B=$A477,'Генеральный баннер'!$C:$C=$B477,'Генеральный баннер'!$I:$I=$C477)), 0) "),0.0)</f>
        <v>0</v>
      </c>
      <c r="T477" s="91" t="str">
        <f>IFERROR(__xludf.DUMMYFUNCTION("IFERROR(REGEXREPLACE(unique(filter('Генеральный баннер'!$A:$A, 'Генеральный баннер'!$B:$B=$A477,'Генеральный баннер'!$C:$C=$B477,'Генеральный баннер'!$I:$I=$C477)), ""\d+"", """"),"""")"),"")</f>
        <v/>
      </c>
      <c r="U477" s="91" t="str">
        <f>IFERROR(__xludf.DUMMYFUNCTION("IFERROR(unique(filter('Генеральный баннер'!$F:$F, 'Генеральный баннер'!$B:$B=$A477,'Генеральный баннер'!$C:$C=$B477,'Генеральный баннер'!$I:$I=$C477)),"""")"),"")</f>
        <v/>
      </c>
      <c r="V477" s="92" t="str">
        <f t="shared" si="3"/>
        <v/>
      </c>
      <c r="W477" s="93">
        <f>IFERROR(__xludf.DUMMYFUNCTION("IFERROR(SWITCH(lower(join("" "",U477:V477)),""а миллионник"", 62.5,""б миллионник"", 75,""а мск"", 50, ""б мск"", 62.5, ""a остальное"", 70, ""б остальное"", 80)/100,0)"),0.0)</f>
        <v>0</v>
      </c>
      <c r="X477" s="91">
        <f t="shared" si="4"/>
        <v>0</v>
      </c>
    </row>
    <row r="478">
      <c r="A478" s="12"/>
      <c r="B478" s="12"/>
      <c r="C478" s="12"/>
      <c r="D478" s="91">
        <f>IFERROR(__xludf.DUMMYFUNCTION("IFERROR(sum(filter('Основной эфир'!$AA:$AA, 'Основной эфир'!$B:$B=$A478,'Основной эфир'!$C:$C=$B478,'Основной эфир'!$I:$I=$C478)), 0) "),0.0)</f>
        <v>0</v>
      </c>
      <c r="E478" s="91">
        <f>IFERROR(__xludf.DUMMYFUNCTION("IFERROR(sum(filter('Основной эфир'!$AC:$AC, 'Основной эфир'!$B:$B=$A478,'Основной эфир'!$C:$C=$B478,'Основной эфир'!$I:$I=$C478)), 0) "),0.0)</f>
        <v>0</v>
      </c>
      <c r="F478" s="91">
        <f>IFERROR(__xludf.DUMMYFUNCTION("IFERROR(sum(filter('Основной эфир'!$O:$O, 'Основной эфир'!$B:$B=$A478,'Основной эфир'!$C:$C=$B478,'Основной эфир'!$I:$I=$C478)), 0) "),0.0)</f>
        <v>0</v>
      </c>
      <c r="G478" s="91">
        <f>IFERROR(__xludf.DUMMYFUNCTION("IFERROR(sum(filter('Основной эфир'!$Q:$Q, 'Основной эфир'!$B:$B=$A478,'Основной эфир'!$C:$C=$B478,'Основной эфир'!$I:$I=$C478)), 0) "),0.0)</f>
        <v>0</v>
      </c>
      <c r="H478" s="91">
        <f>IFERROR(__xludf.DUMMYFUNCTION("IFERROR(AVERAGE(filter('Основной эфир'!$Y:$Y, 'Основной эфир'!$B:$B=$A478,'Основной эфир'!$C:$C=$B478,'Основной эфир'!$I:$I=$C478)), 0) "),0.0)</f>
        <v>0</v>
      </c>
      <c r="I478" s="91">
        <f>IFERROR(__xludf.DUMMYFUNCTION("IFERROR(AVERAGE(filter('Основной эфир'!$AE:$AE, 'Основной эфир'!$B:$B=$A478,'Основной эфир'!$C:$C=$B478,'Основной эфир'!$I:$I=$C478)), 0) "),0.0)</f>
        <v>0</v>
      </c>
      <c r="J478" s="91">
        <f>IFERROR(__xludf.DUMMYFUNCTION("IFERROR(SUM(filter('Основной эфир'!$AL:$AL, 'Основной эфир'!$B:$B=$A478,'Основной эфир'!$C:$C=$B478,'Основной эфир'!$I:$I=$C478)), 0) "),0.0)</f>
        <v>0</v>
      </c>
      <c r="K478" s="91" t="str">
        <f>IFERROR(__xludf.DUMMYFUNCTION("IFERROR(REGEXREPLACE(unique(filter('Основной эфир'!$A:$A, 'Основной эфир'!$B:$B=$A478,'Основной эфир'!$C:$C=$B478,'Основной эфир'!$I:$I=$C478)), ""\d+"", """"),"""")"),"")</f>
        <v/>
      </c>
      <c r="L478" s="91" t="str">
        <f>IFERROR(__xludf.DUMMYFUNCTION("IFERROR(unique(filter('Основной эфир'!$F:$F, 'Основной эфир'!$B:$B=$A478,'Основной эфир'!$C:$C=$B478,'Основной эфир'!$I:$I=$C478)),"""")"),"")</f>
        <v/>
      </c>
      <c r="M478" s="92" t="str">
        <f t="shared" si="1"/>
        <v/>
      </c>
      <c r="N478" s="93">
        <f>IFERROR(__xludf.DUMMYFUNCTION("IFERROR(SWITCH(lower(join("" "",L478:M478)),""а миллионник"", 62.5,""б миллионник"", 75,""а мск"", 50, ""б мск"", 62.5, ""a остальное"", 70, ""б остальное"", 80)/100,0)"),0.0)</f>
        <v>0</v>
      </c>
      <c r="O478" s="91">
        <f t="shared" si="2"/>
        <v>0</v>
      </c>
      <c r="P478" s="91">
        <f>IFERROR(__xludf.DUMMYFUNCTION("IFERROR(sum(filter('Генеральный баннер'!$O:$O, 'Генеральный баннер'!$B:$B=$A478,'Генеральный баннер'!$C:$C=$B478,'Генеральный баннер'!$I:$I=$C478)), 0) "),0.0)</f>
        <v>0</v>
      </c>
      <c r="Q478" s="91">
        <f>IFERROR(__xludf.DUMMYFUNCTION("IFERROR(sum(filter('Генеральный баннер'!$Q:$Q, 'Генеральный баннер'!$B:$B=$A478,'Генеральный баннер'!$C:$C=$B478,'Генеральный баннер'!$I:$I=$C478)), 0) "),0.0)</f>
        <v>0</v>
      </c>
      <c r="R478" s="91">
        <f>IFERROR(__xludf.DUMMYFUNCTION("IFERROR(AVERAGE(filter('Генеральный баннер'!$AA:$AA, 'Генеральный баннер'!$B:$B=$A478,'Генеральный баннер'!$C:$C=$B478,'Генеральный баннер'!$I:$I=$C478)), 0) "),0.0)</f>
        <v>0</v>
      </c>
      <c r="S478" s="91">
        <f>IFERROR(__xludf.DUMMYFUNCTION("IFERROR(SUM(filter('Генеральный баннер'!$AH:$AH, 'Генеральный баннер'!$B:$B=$A478,'Генеральный баннер'!$C:$C=$B478,'Генеральный баннер'!$I:$I=$C478)), 0) "),0.0)</f>
        <v>0</v>
      </c>
      <c r="T478" s="91" t="str">
        <f>IFERROR(__xludf.DUMMYFUNCTION("IFERROR(REGEXREPLACE(unique(filter('Генеральный баннер'!$A:$A, 'Генеральный баннер'!$B:$B=$A478,'Генеральный баннер'!$C:$C=$B478,'Генеральный баннер'!$I:$I=$C478)), ""\d+"", """"),"""")"),"")</f>
        <v/>
      </c>
      <c r="U478" s="91" t="str">
        <f>IFERROR(__xludf.DUMMYFUNCTION("IFERROR(unique(filter('Генеральный баннер'!$F:$F, 'Генеральный баннер'!$B:$B=$A478,'Генеральный баннер'!$C:$C=$B478,'Генеральный баннер'!$I:$I=$C478)),"""")"),"")</f>
        <v/>
      </c>
      <c r="V478" s="92" t="str">
        <f t="shared" si="3"/>
        <v/>
      </c>
      <c r="W478" s="93">
        <f>IFERROR(__xludf.DUMMYFUNCTION("IFERROR(SWITCH(lower(join("" "",U478:V478)),""а миллионник"", 62.5,""б миллионник"", 75,""а мск"", 50, ""б мск"", 62.5, ""a остальное"", 70, ""б остальное"", 80)/100,0)"),0.0)</f>
        <v>0</v>
      </c>
      <c r="X478" s="91">
        <f t="shared" si="4"/>
        <v>0</v>
      </c>
    </row>
    <row r="479">
      <c r="A479" s="12"/>
      <c r="B479" s="12"/>
      <c r="C479" s="12"/>
      <c r="D479" s="91">
        <f>IFERROR(__xludf.DUMMYFUNCTION("IFERROR(sum(filter('Основной эфир'!$AA:$AA, 'Основной эфир'!$B:$B=$A479,'Основной эфир'!$C:$C=$B479,'Основной эфир'!$I:$I=$C479)), 0) "),0.0)</f>
        <v>0</v>
      </c>
      <c r="E479" s="91">
        <f>IFERROR(__xludf.DUMMYFUNCTION("IFERROR(sum(filter('Основной эфир'!$AC:$AC, 'Основной эфир'!$B:$B=$A479,'Основной эфир'!$C:$C=$B479,'Основной эфир'!$I:$I=$C479)), 0) "),0.0)</f>
        <v>0</v>
      </c>
      <c r="F479" s="91">
        <f>IFERROR(__xludf.DUMMYFUNCTION("IFERROR(sum(filter('Основной эфир'!$O:$O, 'Основной эфир'!$B:$B=$A479,'Основной эфир'!$C:$C=$B479,'Основной эфир'!$I:$I=$C479)), 0) "),0.0)</f>
        <v>0</v>
      </c>
      <c r="G479" s="91">
        <f>IFERROR(__xludf.DUMMYFUNCTION("IFERROR(sum(filter('Основной эфир'!$Q:$Q, 'Основной эфир'!$B:$B=$A479,'Основной эфир'!$C:$C=$B479,'Основной эфир'!$I:$I=$C479)), 0) "),0.0)</f>
        <v>0</v>
      </c>
      <c r="H479" s="91">
        <f>IFERROR(__xludf.DUMMYFUNCTION("IFERROR(AVERAGE(filter('Основной эфир'!$Y:$Y, 'Основной эфир'!$B:$B=$A479,'Основной эфир'!$C:$C=$B479,'Основной эфир'!$I:$I=$C479)), 0) "),0.0)</f>
        <v>0</v>
      </c>
      <c r="I479" s="91">
        <f>IFERROR(__xludf.DUMMYFUNCTION("IFERROR(AVERAGE(filter('Основной эфир'!$AE:$AE, 'Основной эфир'!$B:$B=$A479,'Основной эфир'!$C:$C=$B479,'Основной эфир'!$I:$I=$C479)), 0) "),0.0)</f>
        <v>0</v>
      </c>
      <c r="J479" s="91">
        <f>IFERROR(__xludf.DUMMYFUNCTION("IFERROR(SUM(filter('Основной эфир'!$AL:$AL, 'Основной эфир'!$B:$B=$A479,'Основной эфир'!$C:$C=$B479,'Основной эфир'!$I:$I=$C479)), 0) "),0.0)</f>
        <v>0</v>
      </c>
      <c r="K479" s="91" t="str">
        <f>IFERROR(__xludf.DUMMYFUNCTION("IFERROR(REGEXREPLACE(unique(filter('Основной эфир'!$A:$A, 'Основной эфир'!$B:$B=$A479,'Основной эфир'!$C:$C=$B479,'Основной эфир'!$I:$I=$C479)), ""\d+"", """"),"""")"),"")</f>
        <v/>
      </c>
      <c r="L479" s="91" t="str">
        <f>IFERROR(__xludf.DUMMYFUNCTION("IFERROR(unique(filter('Основной эфир'!$F:$F, 'Основной эфир'!$B:$B=$A479,'Основной эфир'!$C:$C=$B479,'Основной эфир'!$I:$I=$C479)),"""")"),"")</f>
        <v/>
      </c>
      <c r="M479" s="92" t="str">
        <f t="shared" si="1"/>
        <v/>
      </c>
      <c r="N479" s="93">
        <f>IFERROR(__xludf.DUMMYFUNCTION("IFERROR(SWITCH(lower(join("" "",L479:M479)),""а миллионник"", 62.5,""б миллионник"", 75,""а мск"", 50, ""б мск"", 62.5, ""a остальное"", 70, ""б остальное"", 80)/100,0)"),0.0)</f>
        <v>0</v>
      </c>
      <c r="O479" s="91">
        <f t="shared" si="2"/>
        <v>0</v>
      </c>
      <c r="P479" s="91">
        <f>IFERROR(__xludf.DUMMYFUNCTION("IFERROR(sum(filter('Генеральный баннер'!$O:$O, 'Генеральный баннер'!$B:$B=$A479,'Генеральный баннер'!$C:$C=$B479,'Генеральный баннер'!$I:$I=$C479)), 0) "),0.0)</f>
        <v>0</v>
      </c>
      <c r="Q479" s="91">
        <f>IFERROR(__xludf.DUMMYFUNCTION("IFERROR(sum(filter('Генеральный баннер'!$Q:$Q, 'Генеральный баннер'!$B:$B=$A479,'Генеральный баннер'!$C:$C=$B479,'Генеральный баннер'!$I:$I=$C479)), 0) "),0.0)</f>
        <v>0</v>
      </c>
      <c r="R479" s="91">
        <f>IFERROR(__xludf.DUMMYFUNCTION("IFERROR(AVERAGE(filter('Генеральный баннер'!$AA:$AA, 'Генеральный баннер'!$B:$B=$A479,'Генеральный баннер'!$C:$C=$B479,'Генеральный баннер'!$I:$I=$C479)), 0) "),0.0)</f>
        <v>0</v>
      </c>
      <c r="S479" s="91">
        <f>IFERROR(__xludf.DUMMYFUNCTION("IFERROR(SUM(filter('Генеральный баннер'!$AH:$AH, 'Генеральный баннер'!$B:$B=$A479,'Генеральный баннер'!$C:$C=$B479,'Генеральный баннер'!$I:$I=$C479)), 0) "),0.0)</f>
        <v>0</v>
      </c>
      <c r="T479" s="91" t="str">
        <f>IFERROR(__xludf.DUMMYFUNCTION("IFERROR(REGEXREPLACE(unique(filter('Генеральный баннер'!$A:$A, 'Генеральный баннер'!$B:$B=$A479,'Генеральный баннер'!$C:$C=$B479,'Генеральный баннер'!$I:$I=$C479)), ""\d+"", """"),"""")"),"")</f>
        <v/>
      </c>
      <c r="U479" s="91" t="str">
        <f>IFERROR(__xludf.DUMMYFUNCTION("IFERROR(unique(filter('Генеральный баннер'!$F:$F, 'Генеральный баннер'!$B:$B=$A479,'Генеральный баннер'!$C:$C=$B479,'Генеральный баннер'!$I:$I=$C479)),"""")"),"")</f>
        <v/>
      </c>
      <c r="V479" s="92" t="str">
        <f t="shared" si="3"/>
        <v/>
      </c>
      <c r="W479" s="93">
        <f>IFERROR(__xludf.DUMMYFUNCTION("IFERROR(SWITCH(lower(join("" "",U479:V479)),""а миллионник"", 62.5,""б миллионник"", 75,""а мск"", 50, ""б мск"", 62.5, ""a остальное"", 70, ""б остальное"", 80)/100,0)"),0.0)</f>
        <v>0</v>
      </c>
      <c r="X479" s="91">
        <f t="shared" si="4"/>
        <v>0</v>
      </c>
    </row>
    <row r="480">
      <c r="A480" s="12"/>
      <c r="B480" s="12"/>
      <c r="C480" s="12"/>
      <c r="D480" s="91">
        <f>IFERROR(__xludf.DUMMYFUNCTION("IFERROR(sum(filter('Основной эфир'!$AA:$AA, 'Основной эфир'!$B:$B=$A480,'Основной эфир'!$C:$C=$B480,'Основной эфир'!$I:$I=$C480)), 0) "),0.0)</f>
        <v>0</v>
      </c>
      <c r="E480" s="91">
        <f>IFERROR(__xludf.DUMMYFUNCTION("IFERROR(sum(filter('Основной эфир'!$AC:$AC, 'Основной эфир'!$B:$B=$A480,'Основной эфир'!$C:$C=$B480,'Основной эфир'!$I:$I=$C480)), 0) "),0.0)</f>
        <v>0</v>
      </c>
      <c r="F480" s="91">
        <f>IFERROR(__xludf.DUMMYFUNCTION("IFERROR(sum(filter('Основной эфир'!$O:$O, 'Основной эфир'!$B:$B=$A480,'Основной эфир'!$C:$C=$B480,'Основной эфир'!$I:$I=$C480)), 0) "),0.0)</f>
        <v>0</v>
      </c>
      <c r="G480" s="91">
        <f>IFERROR(__xludf.DUMMYFUNCTION("IFERROR(sum(filter('Основной эфир'!$Q:$Q, 'Основной эфир'!$B:$B=$A480,'Основной эфир'!$C:$C=$B480,'Основной эфир'!$I:$I=$C480)), 0) "),0.0)</f>
        <v>0</v>
      </c>
      <c r="H480" s="91">
        <f>IFERROR(__xludf.DUMMYFUNCTION("IFERROR(AVERAGE(filter('Основной эфир'!$Y:$Y, 'Основной эфир'!$B:$B=$A480,'Основной эфир'!$C:$C=$B480,'Основной эфир'!$I:$I=$C480)), 0) "),0.0)</f>
        <v>0</v>
      </c>
      <c r="I480" s="91">
        <f>IFERROR(__xludf.DUMMYFUNCTION("IFERROR(AVERAGE(filter('Основной эфир'!$AE:$AE, 'Основной эфир'!$B:$B=$A480,'Основной эфир'!$C:$C=$B480,'Основной эфир'!$I:$I=$C480)), 0) "),0.0)</f>
        <v>0</v>
      </c>
      <c r="J480" s="91">
        <f>IFERROR(__xludf.DUMMYFUNCTION("IFERROR(SUM(filter('Основной эфир'!$AL:$AL, 'Основной эфир'!$B:$B=$A480,'Основной эфир'!$C:$C=$B480,'Основной эфир'!$I:$I=$C480)), 0) "),0.0)</f>
        <v>0</v>
      </c>
      <c r="K480" s="91" t="str">
        <f>IFERROR(__xludf.DUMMYFUNCTION("IFERROR(REGEXREPLACE(unique(filter('Основной эфир'!$A:$A, 'Основной эфир'!$B:$B=$A480,'Основной эфир'!$C:$C=$B480,'Основной эфир'!$I:$I=$C480)), ""\d+"", """"),"""")"),"")</f>
        <v/>
      </c>
      <c r="L480" s="91" t="str">
        <f>IFERROR(__xludf.DUMMYFUNCTION("IFERROR(unique(filter('Основной эфир'!$F:$F, 'Основной эфир'!$B:$B=$A480,'Основной эфир'!$C:$C=$B480,'Основной эфир'!$I:$I=$C480)),"""")"),"")</f>
        <v/>
      </c>
      <c r="M480" s="92" t="str">
        <f t="shared" si="1"/>
        <v/>
      </c>
      <c r="N480" s="93">
        <f>IFERROR(__xludf.DUMMYFUNCTION("IFERROR(SWITCH(lower(join("" "",L480:M480)),""а миллионник"", 62.5,""б миллионник"", 75,""а мск"", 50, ""б мск"", 62.5, ""a остальное"", 70, ""б остальное"", 80)/100,0)"),0.0)</f>
        <v>0</v>
      </c>
      <c r="O480" s="91">
        <f t="shared" si="2"/>
        <v>0</v>
      </c>
      <c r="P480" s="91">
        <f>IFERROR(__xludf.DUMMYFUNCTION("IFERROR(sum(filter('Генеральный баннер'!$O:$O, 'Генеральный баннер'!$B:$B=$A480,'Генеральный баннер'!$C:$C=$B480,'Генеральный баннер'!$I:$I=$C480)), 0) "),0.0)</f>
        <v>0</v>
      </c>
      <c r="Q480" s="91">
        <f>IFERROR(__xludf.DUMMYFUNCTION("IFERROR(sum(filter('Генеральный баннер'!$Q:$Q, 'Генеральный баннер'!$B:$B=$A480,'Генеральный баннер'!$C:$C=$B480,'Генеральный баннер'!$I:$I=$C480)), 0) "),0.0)</f>
        <v>0</v>
      </c>
      <c r="R480" s="91">
        <f>IFERROR(__xludf.DUMMYFUNCTION("IFERROR(AVERAGE(filter('Генеральный баннер'!$AA:$AA, 'Генеральный баннер'!$B:$B=$A480,'Генеральный баннер'!$C:$C=$B480,'Генеральный баннер'!$I:$I=$C480)), 0) "),0.0)</f>
        <v>0</v>
      </c>
      <c r="S480" s="91">
        <f>IFERROR(__xludf.DUMMYFUNCTION("IFERROR(SUM(filter('Генеральный баннер'!$AH:$AH, 'Генеральный баннер'!$B:$B=$A480,'Генеральный баннер'!$C:$C=$B480,'Генеральный баннер'!$I:$I=$C480)), 0) "),0.0)</f>
        <v>0</v>
      </c>
      <c r="T480" s="91" t="str">
        <f>IFERROR(__xludf.DUMMYFUNCTION("IFERROR(REGEXREPLACE(unique(filter('Генеральный баннер'!$A:$A, 'Генеральный баннер'!$B:$B=$A480,'Генеральный баннер'!$C:$C=$B480,'Генеральный баннер'!$I:$I=$C480)), ""\d+"", """"),"""")"),"")</f>
        <v/>
      </c>
      <c r="U480" s="91" t="str">
        <f>IFERROR(__xludf.DUMMYFUNCTION("IFERROR(unique(filter('Генеральный баннер'!$F:$F, 'Генеральный баннер'!$B:$B=$A480,'Генеральный баннер'!$C:$C=$B480,'Генеральный баннер'!$I:$I=$C480)),"""")"),"")</f>
        <v/>
      </c>
      <c r="V480" s="92" t="str">
        <f t="shared" si="3"/>
        <v/>
      </c>
      <c r="W480" s="93">
        <f>IFERROR(__xludf.DUMMYFUNCTION("IFERROR(SWITCH(lower(join("" "",U480:V480)),""а миллионник"", 62.5,""б миллионник"", 75,""а мск"", 50, ""б мск"", 62.5, ""a остальное"", 70, ""б остальное"", 80)/100,0)"),0.0)</f>
        <v>0</v>
      </c>
      <c r="X480" s="91">
        <f t="shared" si="4"/>
        <v>0</v>
      </c>
    </row>
    <row r="481">
      <c r="A481" s="12"/>
      <c r="B481" s="12"/>
      <c r="C481" s="12"/>
      <c r="D481" s="91">
        <f>IFERROR(__xludf.DUMMYFUNCTION("IFERROR(sum(filter('Основной эфир'!$AA:$AA, 'Основной эфир'!$B:$B=$A481,'Основной эфир'!$C:$C=$B481,'Основной эфир'!$I:$I=$C481)), 0) "),0.0)</f>
        <v>0</v>
      </c>
      <c r="E481" s="91">
        <f>IFERROR(__xludf.DUMMYFUNCTION("IFERROR(sum(filter('Основной эфир'!$AC:$AC, 'Основной эфир'!$B:$B=$A481,'Основной эфир'!$C:$C=$B481,'Основной эфир'!$I:$I=$C481)), 0) "),0.0)</f>
        <v>0</v>
      </c>
      <c r="F481" s="91">
        <f>IFERROR(__xludf.DUMMYFUNCTION("IFERROR(sum(filter('Основной эфир'!$O:$O, 'Основной эфир'!$B:$B=$A481,'Основной эфир'!$C:$C=$B481,'Основной эфир'!$I:$I=$C481)), 0) "),0.0)</f>
        <v>0</v>
      </c>
      <c r="G481" s="91">
        <f>IFERROR(__xludf.DUMMYFUNCTION("IFERROR(sum(filter('Основной эфир'!$Q:$Q, 'Основной эфир'!$B:$B=$A481,'Основной эфир'!$C:$C=$B481,'Основной эфир'!$I:$I=$C481)), 0) "),0.0)</f>
        <v>0</v>
      </c>
      <c r="H481" s="91">
        <f>IFERROR(__xludf.DUMMYFUNCTION("IFERROR(AVERAGE(filter('Основной эфир'!$Y:$Y, 'Основной эфир'!$B:$B=$A481,'Основной эфир'!$C:$C=$B481,'Основной эфир'!$I:$I=$C481)), 0) "),0.0)</f>
        <v>0</v>
      </c>
      <c r="I481" s="91">
        <f>IFERROR(__xludf.DUMMYFUNCTION("IFERROR(AVERAGE(filter('Основной эфир'!$AE:$AE, 'Основной эфир'!$B:$B=$A481,'Основной эфир'!$C:$C=$B481,'Основной эфир'!$I:$I=$C481)), 0) "),0.0)</f>
        <v>0</v>
      </c>
      <c r="J481" s="91">
        <f>IFERROR(__xludf.DUMMYFUNCTION("IFERROR(SUM(filter('Основной эфир'!$AL:$AL, 'Основной эфир'!$B:$B=$A481,'Основной эфир'!$C:$C=$B481,'Основной эфир'!$I:$I=$C481)), 0) "),0.0)</f>
        <v>0</v>
      </c>
      <c r="K481" s="91" t="str">
        <f>IFERROR(__xludf.DUMMYFUNCTION("IFERROR(REGEXREPLACE(unique(filter('Основной эфир'!$A:$A, 'Основной эфир'!$B:$B=$A481,'Основной эфир'!$C:$C=$B481,'Основной эфир'!$I:$I=$C481)), ""\d+"", """"),"""")"),"")</f>
        <v/>
      </c>
      <c r="L481" s="91" t="str">
        <f>IFERROR(__xludf.DUMMYFUNCTION("IFERROR(unique(filter('Основной эфир'!$F:$F, 'Основной эфир'!$B:$B=$A481,'Основной эфир'!$C:$C=$B481,'Основной эфир'!$I:$I=$C481)),"""")"),"")</f>
        <v/>
      </c>
      <c r="M481" s="92" t="str">
        <f t="shared" si="1"/>
        <v/>
      </c>
      <c r="N481" s="93">
        <f>IFERROR(__xludf.DUMMYFUNCTION("IFERROR(SWITCH(lower(join("" "",L481:M481)),""а миллионник"", 62.5,""б миллионник"", 75,""а мск"", 50, ""б мск"", 62.5, ""a остальное"", 70, ""б остальное"", 80)/100,0)"),0.0)</f>
        <v>0</v>
      </c>
      <c r="O481" s="91">
        <f t="shared" si="2"/>
        <v>0</v>
      </c>
      <c r="P481" s="91">
        <f>IFERROR(__xludf.DUMMYFUNCTION("IFERROR(sum(filter('Генеральный баннер'!$O:$O, 'Генеральный баннер'!$B:$B=$A481,'Генеральный баннер'!$C:$C=$B481,'Генеральный баннер'!$I:$I=$C481)), 0) "),0.0)</f>
        <v>0</v>
      </c>
      <c r="Q481" s="91">
        <f>IFERROR(__xludf.DUMMYFUNCTION("IFERROR(sum(filter('Генеральный баннер'!$Q:$Q, 'Генеральный баннер'!$B:$B=$A481,'Генеральный баннер'!$C:$C=$B481,'Генеральный баннер'!$I:$I=$C481)), 0) "),0.0)</f>
        <v>0</v>
      </c>
      <c r="R481" s="91">
        <f>IFERROR(__xludf.DUMMYFUNCTION("IFERROR(AVERAGE(filter('Генеральный баннер'!$AA:$AA, 'Генеральный баннер'!$B:$B=$A481,'Генеральный баннер'!$C:$C=$B481,'Генеральный баннер'!$I:$I=$C481)), 0) "),0.0)</f>
        <v>0</v>
      </c>
      <c r="S481" s="91">
        <f>IFERROR(__xludf.DUMMYFUNCTION("IFERROR(SUM(filter('Генеральный баннер'!$AH:$AH, 'Генеральный баннер'!$B:$B=$A481,'Генеральный баннер'!$C:$C=$B481,'Генеральный баннер'!$I:$I=$C481)), 0) "),0.0)</f>
        <v>0</v>
      </c>
      <c r="T481" s="91" t="str">
        <f>IFERROR(__xludf.DUMMYFUNCTION("IFERROR(REGEXREPLACE(unique(filter('Генеральный баннер'!$A:$A, 'Генеральный баннер'!$B:$B=$A481,'Генеральный баннер'!$C:$C=$B481,'Генеральный баннер'!$I:$I=$C481)), ""\d+"", """"),"""")"),"")</f>
        <v/>
      </c>
      <c r="U481" s="91" t="str">
        <f>IFERROR(__xludf.DUMMYFUNCTION("IFERROR(unique(filter('Генеральный баннер'!$F:$F, 'Генеральный баннер'!$B:$B=$A481,'Генеральный баннер'!$C:$C=$B481,'Генеральный баннер'!$I:$I=$C481)),"""")"),"")</f>
        <v/>
      </c>
      <c r="V481" s="92" t="str">
        <f t="shared" si="3"/>
        <v/>
      </c>
      <c r="W481" s="93">
        <f>IFERROR(__xludf.DUMMYFUNCTION("IFERROR(SWITCH(lower(join("" "",U481:V481)),""а миллионник"", 62.5,""б миллионник"", 75,""а мск"", 50, ""б мск"", 62.5, ""a остальное"", 70, ""б остальное"", 80)/100,0)"),0.0)</f>
        <v>0</v>
      </c>
      <c r="X481" s="91">
        <f t="shared" si="4"/>
        <v>0</v>
      </c>
    </row>
    <row r="482">
      <c r="A482" s="12"/>
      <c r="B482" s="12"/>
      <c r="C482" s="12"/>
      <c r="D482" s="91">
        <f>IFERROR(__xludf.DUMMYFUNCTION("IFERROR(sum(filter('Основной эфир'!$AA:$AA, 'Основной эфир'!$B:$B=$A482,'Основной эфир'!$C:$C=$B482,'Основной эфир'!$I:$I=$C482)), 0) "),0.0)</f>
        <v>0</v>
      </c>
      <c r="E482" s="91">
        <f>IFERROR(__xludf.DUMMYFUNCTION("IFERROR(sum(filter('Основной эфир'!$AC:$AC, 'Основной эфир'!$B:$B=$A482,'Основной эфир'!$C:$C=$B482,'Основной эфир'!$I:$I=$C482)), 0) "),0.0)</f>
        <v>0</v>
      </c>
      <c r="F482" s="91">
        <f>IFERROR(__xludf.DUMMYFUNCTION("IFERROR(sum(filter('Основной эфир'!$O:$O, 'Основной эфир'!$B:$B=$A482,'Основной эфир'!$C:$C=$B482,'Основной эфир'!$I:$I=$C482)), 0) "),0.0)</f>
        <v>0</v>
      </c>
      <c r="G482" s="91">
        <f>IFERROR(__xludf.DUMMYFUNCTION("IFERROR(sum(filter('Основной эфир'!$Q:$Q, 'Основной эфир'!$B:$B=$A482,'Основной эфир'!$C:$C=$B482,'Основной эфир'!$I:$I=$C482)), 0) "),0.0)</f>
        <v>0</v>
      </c>
      <c r="H482" s="91">
        <f>IFERROR(__xludf.DUMMYFUNCTION("IFERROR(AVERAGE(filter('Основной эфир'!$Y:$Y, 'Основной эфир'!$B:$B=$A482,'Основной эфир'!$C:$C=$B482,'Основной эфир'!$I:$I=$C482)), 0) "),0.0)</f>
        <v>0</v>
      </c>
      <c r="I482" s="91">
        <f>IFERROR(__xludf.DUMMYFUNCTION("IFERROR(AVERAGE(filter('Основной эфир'!$AE:$AE, 'Основной эфир'!$B:$B=$A482,'Основной эфир'!$C:$C=$B482,'Основной эфир'!$I:$I=$C482)), 0) "),0.0)</f>
        <v>0</v>
      </c>
      <c r="J482" s="91">
        <f>IFERROR(__xludf.DUMMYFUNCTION("IFERROR(SUM(filter('Основной эфир'!$AL:$AL, 'Основной эфир'!$B:$B=$A482,'Основной эфир'!$C:$C=$B482,'Основной эфир'!$I:$I=$C482)), 0) "),0.0)</f>
        <v>0</v>
      </c>
      <c r="K482" s="91" t="str">
        <f>IFERROR(__xludf.DUMMYFUNCTION("IFERROR(REGEXREPLACE(unique(filter('Основной эфир'!$A:$A, 'Основной эфир'!$B:$B=$A482,'Основной эфир'!$C:$C=$B482,'Основной эфир'!$I:$I=$C482)), ""\d+"", """"),"""")"),"")</f>
        <v/>
      </c>
      <c r="L482" s="91" t="str">
        <f>IFERROR(__xludf.DUMMYFUNCTION("IFERROR(unique(filter('Основной эфир'!$F:$F, 'Основной эфир'!$B:$B=$A482,'Основной эфир'!$C:$C=$B482,'Основной эфир'!$I:$I=$C482)),"""")"),"")</f>
        <v/>
      </c>
      <c r="M482" s="92" t="str">
        <f t="shared" si="1"/>
        <v/>
      </c>
      <c r="N482" s="93">
        <f>IFERROR(__xludf.DUMMYFUNCTION("IFERROR(SWITCH(lower(join("" "",L482:M482)),""а миллионник"", 62.5,""б миллионник"", 75,""а мск"", 50, ""б мск"", 62.5, ""a остальное"", 70, ""б остальное"", 80)/100,0)"),0.0)</f>
        <v>0</v>
      </c>
      <c r="O482" s="91">
        <f t="shared" si="2"/>
        <v>0</v>
      </c>
      <c r="P482" s="91">
        <f>IFERROR(__xludf.DUMMYFUNCTION("IFERROR(sum(filter('Генеральный баннер'!$O:$O, 'Генеральный баннер'!$B:$B=$A482,'Генеральный баннер'!$C:$C=$B482,'Генеральный баннер'!$I:$I=$C482)), 0) "),0.0)</f>
        <v>0</v>
      </c>
      <c r="Q482" s="91">
        <f>IFERROR(__xludf.DUMMYFUNCTION("IFERROR(sum(filter('Генеральный баннер'!$Q:$Q, 'Генеральный баннер'!$B:$B=$A482,'Генеральный баннер'!$C:$C=$B482,'Генеральный баннер'!$I:$I=$C482)), 0) "),0.0)</f>
        <v>0</v>
      </c>
      <c r="R482" s="91">
        <f>IFERROR(__xludf.DUMMYFUNCTION("IFERROR(AVERAGE(filter('Генеральный баннер'!$AA:$AA, 'Генеральный баннер'!$B:$B=$A482,'Генеральный баннер'!$C:$C=$B482,'Генеральный баннер'!$I:$I=$C482)), 0) "),0.0)</f>
        <v>0</v>
      </c>
      <c r="S482" s="91">
        <f>IFERROR(__xludf.DUMMYFUNCTION("IFERROR(SUM(filter('Генеральный баннер'!$AH:$AH, 'Генеральный баннер'!$B:$B=$A482,'Генеральный баннер'!$C:$C=$B482,'Генеральный баннер'!$I:$I=$C482)), 0) "),0.0)</f>
        <v>0</v>
      </c>
      <c r="T482" s="91" t="str">
        <f>IFERROR(__xludf.DUMMYFUNCTION("IFERROR(REGEXREPLACE(unique(filter('Генеральный баннер'!$A:$A, 'Генеральный баннер'!$B:$B=$A482,'Генеральный баннер'!$C:$C=$B482,'Генеральный баннер'!$I:$I=$C482)), ""\d+"", """"),"""")"),"")</f>
        <v/>
      </c>
      <c r="U482" s="91" t="str">
        <f>IFERROR(__xludf.DUMMYFUNCTION("IFERROR(unique(filter('Генеральный баннер'!$F:$F, 'Генеральный баннер'!$B:$B=$A482,'Генеральный баннер'!$C:$C=$B482,'Генеральный баннер'!$I:$I=$C482)),"""")"),"")</f>
        <v/>
      </c>
      <c r="V482" s="92" t="str">
        <f t="shared" si="3"/>
        <v/>
      </c>
      <c r="W482" s="93">
        <f>IFERROR(__xludf.DUMMYFUNCTION("IFERROR(SWITCH(lower(join("" "",U482:V482)),""а миллионник"", 62.5,""б миллионник"", 75,""а мск"", 50, ""б мск"", 62.5, ""a остальное"", 70, ""б остальное"", 80)/100,0)"),0.0)</f>
        <v>0</v>
      </c>
      <c r="X482" s="91">
        <f t="shared" si="4"/>
        <v>0</v>
      </c>
    </row>
    <row r="483">
      <c r="A483" s="12"/>
      <c r="B483" s="12"/>
      <c r="C483" s="12"/>
      <c r="D483" s="91">
        <f>IFERROR(__xludf.DUMMYFUNCTION("IFERROR(sum(filter('Основной эфир'!$AA:$AA, 'Основной эфир'!$B:$B=$A483,'Основной эфир'!$C:$C=$B483,'Основной эфир'!$I:$I=$C483)), 0) "),0.0)</f>
        <v>0</v>
      </c>
      <c r="E483" s="91">
        <f>IFERROR(__xludf.DUMMYFUNCTION("IFERROR(sum(filter('Основной эфир'!$AC:$AC, 'Основной эфир'!$B:$B=$A483,'Основной эфир'!$C:$C=$B483,'Основной эфир'!$I:$I=$C483)), 0) "),0.0)</f>
        <v>0</v>
      </c>
      <c r="F483" s="91">
        <f>IFERROR(__xludf.DUMMYFUNCTION("IFERROR(sum(filter('Основной эфир'!$O:$O, 'Основной эфир'!$B:$B=$A483,'Основной эфир'!$C:$C=$B483,'Основной эфир'!$I:$I=$C483)), 0) "),0.0)</f>
        <v>0</v>
      </c>
      <c r="G483" s="91">
        <f>IFERROR(__xludf.DUMMYFUNCTION("IFERROR(sum(filter('Основной эфир'!$Q:$Q, 'Основной эфир'!$B:$B=$A483,'Основной эфир'!$C:$C=$B483,'Основной эфир'!$I:$I=$C483)), 0) "),0.0)</f>
        <v>0</v>
      </c>
      <c r="H483" s="91">
        <f>IFERROR(__xludf.DUMMYFUNCTION("IFERROR(AVERAGE(filter('Основной эфир'!$Y:$Y, 'Основной эфир'!$B:$B=$A483,'Основной эфир'!$C:$C=$B483,'Основной эфир'!$I:$I=$C483)), 0) "),0.0)</f>
        <v>0</v>
      </c>
      <c r="I483" s="91">
        <f>IFERROR(__xludf.DUMMYFUNCTION("IFERROR(AVERAGE(filter('Основной эфир'!$AE:$AE, 'Основной эфир'!$B:$B=$A483,'Основной эфир'!$C:$C=$B483,'Основной эфир'!$I:$I=$C483)), 0) "),0.0)</f>
        <v>0</v>
      </c>
      <c r="J483" s="91">
        <f>IFERROR(__xludf.DUMMYFUNCTION("IFERROR(SUM(filter('Основной эфир'!$AL:$AL, 'Основной эфир'!$B:$B=$A483,'Основной эфир'!$C:$C=$B483,'Основной эфир'!$I:$I=$C483)), 0) "),0.0)</f>
        <v>0</v>
      </c>
      <c r="K483" s="91" t="str">
        <f>IFERROR(__xludf.DUMMYFUNCTION("IFERROR(REGEXREPLACE(unique(filter('Основной эфир'!$A:$A, 'Основной эфир'!$B:$B=$A483,'Основной эфир'!$C:$C=$B483,'Основной эфир'!$I:$I=$C483)), ""\d+"", """"),"""")"),"")</f>
        <v/>
      </c>
      <c r="L483" s="91" t="str">
        <f>IFERROR(__xludf.DUMMYFUNCTION("IFERROR(unique(filter('Основной эфир'!$F:$F, 'Основной эфир'!$B:$B=$A483,'Основной эфир'!$C:$C=$B483,'Основной эфир'!$I:$I=$C483)),"""")"),"")</f>
        <v/>
      </c>
      <c r="M483" s="92" t="str">
        <f t="shared" si="1"/>
        <v/>
      </c>
      <c r="N483" s="93">
        <f>IFERROR(__xludf.DUMMYFUNCTION("IFERROR(SWITCH(lower(join("" "",L483:M483)),""а миллионник"", 62.5,""б миллионник"", 75,""а мск"", 50, ""б мск"", 62.5, ""a остальное"", 70, ""б остальное"", 80)/100,0)"),0.0)</f>
        <v>0</v>
      </c>
      <c r="O483" s="91">
        <f t="shared" si="2"/>
        <v>0</v>
      </c>
      <c r="P483" s="91">
        <f>IFERROR(__xludf.DUMMYFUNCTION("IFERROR(sum(filter('Генеральный баннер'!$O:$O, 'Генеральный баннер'!$B:$B=$A483,'Генеральный баннер'!$C:$C=$B483,'Генеральный баннер'!$I:$I=$C483)), 0) "),0.0)</f>
        <v>0</v>
      </c>
      <c r="Q483" s="91">
        <f>IFERROR(__xludf.DUMMYFUNCTION("IFERROR(sum(filter('Генеральный баннер'!$Q:$Q, 'Генеральный баннер'!$B:$B=$A483,'Генеральный баннер'!$C:$C=$B483,'Генеральный баннер'!$I:$I=$C483)), 0) "),0.0)</f>
        <v>0</v>
      </c>
      <c r="R483" s="91">
        <f>IFERROR(__xludf.DUMMYFUNCTION("IFERROR(AVERAGE(filter('Генеральный баннер'!$AA:$AA, 'Генеральный баннер'!$B:$B=$A483,'Генеральный баннер'!$C:$C=$B483,'Генеральный баннер'!$I:$I=$C483)), 0) "),0.0)</f>
        <v>0</v>
      </c>
      <c r="S483" s="91">
        <f>IFERROR(__xludf.DUMMYFUNCTION("IFERROR(SUM(filter('Генеральный баннер'!$AH:$AH, 'Генеральный баннер'!$B:$B=$A483,'Генеральный баннер'!$C:$C=$B483,'Генеральный баннер'!$I:$I=$C483)), 0) "),0.0)</f>
        <v>0</v>
      </c>
      <c r="T483" s="91" t="str">
        <f>IFERROR(__xludf.DUMMYFUNCTION("IFERROR(REGEXREPLACE(unique(filter('Генеральный баннер'!$A:$A, 'Генеральный баннер'!$B:$B=$A483,'Генеральный баннер'!$C:$C=$B483,'Генеральный баннер'!$I:$I=$C483)), ""\d+"", """"),"""")"),"")</f>
        <v/>
      </c>
      <c r="U483" s="91" t="str">
        <f>IFERROR(__xludf.DUMMYFUNCTION("IFERROR(unique(filter('Генеральный баннер'!$F:$F, 'Генеральный баннер'!$B:$B=$A483,'Генеральный баннер'!$C:$C=$B483,'Генеральный баннер'!$I:$I=$C483)),"""")"),"")</f>
        <v/>
      </c>
      <c r="V483" s="92" t="str">
        <f t="shared" si="3"/>
        <v/>
      </c>
      <c r="W483" s="93">
        <f>IFERROR(__xludf.DUMMYFUNCTION("IFERROR(SWITCH(lower(join("" "",U483:V483)),""а миллионник"", 62.5,""б миллионник"", 75,""а мск"", 50, ""б мск"", 62.5, ""a остальное"", 70, ""б остальное"", 80)/100,0)"),0.0)</f>
        <v>0</v>
      </c>
      <c r="X483" s="91">
        <f t="shared" si="4"/>
        <v>0</v>
      </c>
    </row>
    <row r="484">
      <c r="A484" s="12"/>
      <c r="B484" s="12"/>
      <c r="C484" s="12"/>
      <c r="D484" s="91">
        <f>IFERROR(__xludf.DUMMYFUNCTION("IFERROR(sum(filter('Основной эфир'!$AA:$AA, 'Основной эфир'!$B:$B=$A484,'Основной эфир'!$C:$C=$B484,'Основной эфир'!$I:$I=$C484)), 0) "),0.0)</f>
        <v>0</v>
      </c>
      <c r="E484" s="91">
        <f>IFERROR(__xludf.DUMMYFUNCTION("IFERROR(sum(filter('Основной эфир'!$AC:$AC, 'Основной эфир'!$B:$B=$A484,'Основной эфир'!$C:$C=$B484,'Основной эфир'!$I:$I=$C484)), 0) "),0.0)</f>
        <v>0</v>
      </c>
      <c r="F484" s="91">
        <f>IFERROR(__xludf.DUMMYFUNCTION("IFERROR(sum(filter('Основной эфир'!$O:$O, 'Основной эфир'!$B:$B=$A484,'Основной эфир'!$C:$C=$B484,'Основной эфир'!$I:$I=$C484)), 0) "),0.0)</f>
        <v>0</v>
      </c>
      <c r="G484" s="91">
        <f>IFERROR(__xludf.DUMMYFUNCTION("IFERROR(sum(filter('Основной эфир'!$Q:$Q, 'Основной эфир'!$B:$B=$A484,'Основной эфир'!$C:$C=$B484,'Основной эфир'!$I:$I=$C484)), 0) "),0.0)</f>
        <v>0</v>
      </c>
      <c r="H484" s="91">
        <f>IFERROR(__xludf.DUMMYFUNCTION("IFERROR(AVERAGE(filter('Основной эфир'!$Y:$Y, 'Основной эфир'!$B:$B=$A484,'Основной эфир'!$C:$C=$B484,'Основной эфир'!$I:$I=$C484)), 0) "),0.0)</f>
        <v>0</v>
      </c>
      <c r="I484" s="91">
        <f>IFERROR(__xludf.DUMMYFUNCTION("IFERROR(AVERAGE(filter('Основной эфир'!$AE:$AE, 'Основной эфир'!$B:$B=$A484,'Основной эфир'!$C:$C=$B484,'Основной эфир'!$I:$I=$C484)), 0) "),0.0)</f>
        <v>0</v>
      </c>
      <c r="J484" s="91">
        <f>IFERROR(__xludf.DUMMYFUNCTION("IFERROR(SUM(filter('Основной эфир'!$AL:$AL, 'Основной эфир'!$B:$B=$A484,'Основной эфир'!$C:$C=$B484,'Основной эфир'!$I:$I=$C484)), 0) "),0.0)</f>
        <v>0</v>
      </c>
      <c r="K484" s="91" t="str">
        <f>IFERROR(__xludf.DUMMYFUNCTION("IFERROR(REGEXREPLACE(unique(filter('Основной эфир'!$A:$A, 'Основной эфир'!$B:$B=$A484,'Основной эфир'!$C:$C=$B484,'Основной эфир'!$I:$I=$C484)), ""\d+"", """"),"""")"),"")</f>
        <v/>
      </c>
      <c r="L484" s="91" t="str">
        <f>IFERROR(__xludf.DUMMYFUNCTION("IFERROR(unique(filter('Основной эфир'!$F:$F, 'Основной эфир'!$B:$B=$A484,'Основной эфир'!$C:$C=$B484,'Основной эфир'!$I:$I=$C484)),"""")"),"")</f>
        <v/>
      </c>
      <c r="M484" s="92" t="str">
        <f t="shared" si="1"/>
        <v/>
      </c>
      <c r="N484" s="93">
        <f>IFERROR(__xludf.DUMMYFUNCTION("IFERROR(SWITCH(lower(join("" "",L484:M484)),""а миллионник"", 62.5,""б миллионник"", 75,""а мск"", 50, ""б мск"", 62.5, ""a остальное"", 70, ""б остальное"", 80)/100,0)"),0.0)</f>
        <v>0</v>
      </c>
      <c r="O484" s="91">
        <f t="shared" si="2"/>
        <v>0</v>
      </c>
      <c r="P484" s="91">
        <f>IFERROR(__xludf.DUMMYFUNCTION("IFERROR(sum(filter('Генеральный баннер'!$O:$O, 'Генеральный баннер'!$B:$B=$A484,'Генеральный баннер'!$C:$C=$B484,'Генеральный баннер'!$I:$I=$C484)), 0) "),0.0)</f>
        <v>0</v>
      </c>
      <c r="Q484" s="91">
        <f>IFERROR(__xludf.DUMMYFUNCTION("IFERROR(sum(filter('Генеральный баннер'!$Q:$Q, 'Генеральный баннер'!$B:$B=$A484,'Генеральный баннер'!$C:$C=$B484,'Генеральный баннер'!$I:$I=$C484)), 0) "),0.0)</f>
        <v>0</v>
      </c>
      <c r="R484" s="91">
        <f>IFERROR(__xludf.DUMMYFUNCTION("IFERROR(AVERAGE(filter('Генеральный баннер'!$AA:$AA, 'Генеральный баннер'!$B:$B=$A484,'Генеральный баннер'!$C:$C=$B484,'Генеральный баннер'!$I:$I=$C484)), 0) "),0.0)</f>
        <v>0</v>
      </c>
      <c r="S484" s="91">
        <f>IFERROR(__xludf.DUMMYFUNCTION("IFERROR(SUM(filter('Генеральный баннер'!$AH:$AH, 'Генеральный баннер'!$B:$B=$A484,'Генеральный баннер'!$C:$C=$B484,'Генеральный баннер'!$I:$I=$C484)), 0) "),0.0)</f>
        <v>0</v>
      </c>
      <c r="T484" s="91" t="str">
        <f>IFERROR(__xludf.DUMMYFUNCTION("IFERROR(REGEXREPLACE(unique(filter('Генеральный баннер'!$A:$A, 'Генеральный баннер'!$B:$B=$A484,'Генеральный баннер'!$C:$C=$B484,'Генеральный баннер'!$I:$I=$C484)), ""\d+"", """"),"""")"),"")</f>
        <v/>
      </c>
      <c r="U484" s="91" t="str">
        <f>IFERROR(__xludf.DUMMYFUNCTION("IFERROR(unique(filter('Генеральный баннер'!$F:$F, 'Генеральный баннер'!$B:$B=$A484,'Генеральный баннер'!$C:$C=$B484,'Генеральный баннер'!$I:$I=$C484)),"""")"),"")</f>
        <v/>
      </c>
      <c r="V484" s="92" t="str">
        <f t="shared" si="3"/>
        <v/>
      </c>
      <c r="W484" s="93">
        <f>IFERROR(__xludf.DUMMYFUNCTION("IFERROR(SWITCH(lower(join("" "",U484:V484)),""а миллионник"", 62.5,""б миллионник"", 75,""а мск"", 50, ""б мск"", 62.5, ""a остальное"", 70, ""б остальное"", 80)/100,0)"),0.0)</f>
        <v>0</v>
      </c>
      <c r="X484" s="91">
        <f t="shared" si="4"/>
        <v>0</v>
      </c>
    </row>
    <row r="485">
      <c r="A485" s="12"/>
      <c r="B485" s="12"/>
      <c r="C485" s="12"/>
      <c r="D485" s="91">
        <f>IFERROR(__xludf.DUMMYFUNCTION("IFERROR(sum(filter('Основной эфир'!$AA:$AA, 'Основной эфир'!$B:$B=$A485,'Основной эфир'!$C:$C=$B485,'Основной эфир'!$I:$I=$C485)), 0) "),0.0)</f>
        <v>0</v>
      </c>
      <c r="E485" s="91">
        <f>IFERROR(__xludf.DUMMYFUNCTION("IFERROR(sum(filter('Основной эфир'!$AC:$AC, 'Основной эфир'!$B:$B=$A485,'Основной эфир'!$C:$C=$B485,'Основной эфир'!$I:$I=$C485)), 0) "),0.0)</f>
        <v>0</v>
      </c>
      <c r="F485" s="91">
        <f>IFERROR(__xludf.DUMMYFUNCTION("IFERROR(sum(filter('Основной эфир'!$O:$O, 'Основной эфир'!$B:$B=$A485,'Основной эфир'!$C:$C=$B485,'Основной эфир'!$I:$I=$C485)), 0) "),0.0)</f>
        <v>0</v>
      </c>
      <c r="G485" s="91">
        <f>IFERROR(__xludf.DUMMYFUNCTION("IFERROR(sum(filter('Основной эфир'!$Q:$Q, 'Основной эфир'!$B:$B=$A485,'Основной эфир'!$C:$C=$B485,'Основной эфир'!$I:$I=$C485)), 0) "),0.0)</f>
        <v>0</v>
      </c>
      <c r="H485" s="91">
        <f>IFERROR(__xludf.DUMMYFUNCTION("IFERROR(AVERAGE(filter('Основной эфир'!$Y:$Y, 'Основной эфир'!$B:$B=$A485,'Основной эфир'!$C:$C=$B485,'Основной эфир'!$I:$I=$C485)), 0) "),0.0)</f>
        <v>0</v>
      </c>
      <c r="I485" s="91">
        <f>IFERROR(__xludf.DUMMYFUNCTION("IFERROR(AVERAGE(filter('Основной эфир'!$AE:$AE, 'Основной эфир'!$B:$B=$A485,'Основной эфир'!$C:$C=$B485,'Основной эфир'!$I:$I=$C485)), 0) "),0.0)</f>
        <v>0</v>
      </c>
      <c r="J485" s="91">
        <f>IFERROR(__xludf.DUMMYFUNCTION("IFERROR(SUM(filter('Основной эфир'!$AL:$AL, 'Основной эфир'!$B:$B=$A485,'Основной эфир'!$C:$C=$B485,'Основной эфир'!$I:$I=$C485)), 0) "),0.0)</f>
        <v>0</v>
      </c>
      <c r="K485" s="91" t="str">
        <f>IFERROR(__xludf.DUMMYFUNCTION("IFERROR(REGEXREPLACE(unique(filter('Основной эфир'!$A:$A, 'Основной эфир'!$B:$B=$A485,'Основной эфир'!$C:$C=$B485,'Основной эфир'!$I:$I=$C485)), ""\d+"", """"),"""")"),"")</f>
        <v/>
      </c>
      <c r="L485" s="91" t="str">
        <f>IFERROR(__xludf.DUMMYFUNCTION("IFERROR(unique(filter('Основной эфир'!$F:$F, 'Основной эфир'!$B:$B=$A485,'Основной эфир'!$C:$C=$B485,'Основной эфир'!$I:$I=$C485)),"""")"),"")</f>
        <v/>
      </c>
      <c r="M485" s="92" t="str">
        <f t="shared" si="1"/>
        <v/>
      </c>
      <c r="N485" s="93">
        <f>IFERROR(__xludf.DUMMYFUNCTION("IFERROR(SWITCH(lower(join("" "",L485:M485)),""а миллионник"", 62.5,""б миллионник"", 75,""а мск"", 50, ""б мск"", 62.5, ""a остальное"", 70, ""б остальное"", 80)/100,0)"),0.0)</f>
        <v>0</v>
      </c>
      <c r="O485" s="91">
        <f t="shared" si="2"/>
        <v>0</v>
      </c>
      <c r="P485" s="91">
        <f>IFERROR(__xludf.DUMMYFUNCTION("IFERROR(sum(filter('Генеральный баннер'!$O:$O, 'Генеральный баннер'!$B:$B=$A485,'Генеральный баннер'!$C:$C=$B485,'Генеральный баннер'!$I:$I=$C485)), 0) "),0.0)</f>
        <v>0</v>
      </c>
      <c r="Q485" s="91">
        <f>IFERROR(__xludf.DUMMYFUNCTION("IFERROR(sum(filter('Генеральный баннер'!$Q:$Q, 'Генеральный баннер'!$B:$B=$A485,'Генеральный баннер'!$C:$C=$B485,'Генеральный баннер'!$I:$I=$C485)), 0) "),0.0)</f>
        <v>0</v>
      </c>
      <c r="R485" s="91">
        <f>IFERROR(__xludf.DUMMYFUNCTION("IFERROR(AVERAGE(filter('Генеральный баннер'!$AA:$AA, 'Генеральный баннер'!$B:$B=$A485,'Генеральный баннер'!$C:$C=$B485,'Генеральный баннер'!$I:$I=$C485)), 0) "),0.0)</f>
        <v>0</v>
      </c>
      <c r="S485" s="91">
        <f>IFERROR(__xludf.DUMMYFUNCTION("IFERROR(SUM(filter('Генеральный баннер'!$AH:$AH, 'Генеральный баннер'!$B:$B=$A485,'Генеральный баннер'!$C:$C=$B485,'Генеральный баннер'!$I:$I=$C485)), 0) "),0.0)</f>
        <v>0</v>
      </c>
      <c r="T485" s="91" t="str">
        <f>IFERROR(__xludf.DUMMYFUNCTION("IFERROR(REGEXREPLACE(unique(filter('Генеральный баннер'!$A:$A, 'Генеральный баннер'!$B:$B=$A485,'Генеральный баннер'!$C:$C=$B485,'Генеральный баннер'!$I:$I=$C485)), ""\d+"", """"),"""")"),"")</f>
        <v/>
      </c>
      <c r="U485" s="91" t="str">
        <f>IFERROR(__xludf.DUMMYFUNCTION("IFERROR(unique(filter('Генеральный баннер'!$F:$F, 'Генеральный баннер'!$B:$B=$A485,'Генеральный баннер'!$C:$C=$B485,'Генеральный баннер'!$I:$I=$C485)),"""")"),"")</f>
        <v/>
      </c>
      <c r="V485" s="92" t="str">
        <f t="shared" si="3"/>
        <v/>
      </c>
      <c r="W485" s="93">
        <f>IFERROR(__xludf.DUMMYFUNCTION("IFERROR(SWITCH(lower(join("" "",U485:V485)),""а миллионник"", 62.5,""б миллионник"", 75,""а мск"", 50, ""б мск"", 62.5, ""a остальное"", 70, ""б остальное"", 80)/100,0)"),0.0)</f>
        <v>0</v>
      </c>
      <c r="X485" s="91">
        <f t="shared" si="4"/>
        <v>0</v>
      </c>
    </row>
    <row r="486">
      <c r="A486" s="12"/>
      <c r="B486" s="12"/>
      <c r="C486" s="12"/>
      <c r="D486" s="91">
        <f>IFERROR(__xludf.DUMMYFUNCTION("IFERROR(sum(filter('Основной эфир'!$AA:$AA, 'Основной эфир'!$B:$B=$A486,'Основной эфир'!$C:$C=$B486,'Основной эфир'!$I:$I=$C486)), 0) "),0.0)</f>
        <v>0</v>
      </c>
      <c r="E486" s="91">
        <f>IFERROR(__xludf.DUMMYFUNCTION("IFERROR(sum(filter('Основной эфир'!$AC:$AC, 'Основной эфир'!$B:$B=$A486,'Основной эфир'!$C:$C=$B486,'Основной эфир'!$I:$I=$C486)), 0) "),0.0)</f>
        <v>0</v>
      </c>
      <c r="F486" s="91">
        <f>IFERROR(__xludf.DUMMYFUNCTION("IFERROR(sum(filter('Основной эфир'!$O:$O, 'Основной эфир'!$B:$B=$A486,'Основной эфир'!$C:$C=$B486,'Основной эфир'!$I:$I=$C486)), 0) "),0.0)</f>
        <v>0</v>
      </c>
      <c r="G486" s="91">
        <f>IFERROR(__xludf.DUMMYFUNCTION("IFERROR(sum(filter('Основной эфир'!$Q:$Q, 'Основной эфир'!$B:$B=$A486,'Основной эфир'!$C:$C=$B486,'Основной эфир'!$I:$I=$C486)), 0) "),0.0)</f>
        <v>0</v>
      </c>
      <c r="H486" s="91">
        <f>IFERROR(__xludf.DUMMYFUNCTION("IFERROR(AVERAGE(filter('Основной эфир'!$Y:$Y, 'Основной эфир'!$B:$B=$A486,'Основной эфир'!$C:$C=$B486,'Основной эфир'!$I:$I=$C486)), 0) "),0.0)</f>
        <v>0</v>
      </c>
      <c r="I486" s="91">
        <f>IFERROR(__xludf.DUMMYFUNCTION("IFERROR(AVERAGE(filter('Основной эфир'!$AE:$AE, 'Основной эфир'!$B:$B=$A486,'Основной эфир'!$C:$C=$B486,'Основной эфир'!$I:$I=$C486)), 0) "),0.0)</f>
        <v>0</v>
      </c>
      <c r="J486" s="91">
        <f>IFERROR(__xludf.DUMMYFUNCTION("IFERROR(SUM(filter('Основной эфир'!$AL:$AL, 'Основной эфир'!$B:$B=$A486,'Основной эфир'!$C:$C=$B486,'Основной эфир'!$I:$I=$C486)), 0) "),0.0)</f>
        <v>0</v>
      </c>
      <c r="K486" s="91" t="str">
        <f>IFERROR(__xludf.DUMMYFUNCTION("IFERROR(REGEXREPLACE(unique(filter('Основной эфир'!$A:$A, 'Основной эфир'!$B:$B=$A486,'Основной эфир'!$C:$C=$B486,'Основной эфир'!$I:$I=$C486)), ""\d+"", """"),"""")"),"")</f>
        <v/>
      </c>
      <c r="L486" s="91" t="str">
        <f>IFERROR(__xludf.DUMMYFUNCTION("IFERROR(unique(filter('Основной эфир'!$F:$F, 'Основной эфир'!$B:$B=$A486,'Основной эфир'!$C:$C=$B486,'Основной эфир'!$I:$I=$C486)),"""")"),"")</f>
        <v/>
      </c>
      <c r="M486" s="92" t="str">
        <f t="shared" si="1"/>
        <v/>
      </c>
      <c r="N486" s="93">
        <f>IFERROR(__xludf.DUMMYFUNCTION("IFERROR(SWITCH(lower(join("" "",L486:M486)),""а миллионник"", 62.5,""б миллионник"", 75,""а мск"", 50, ""б мск"", 62.5, ""a остальное"", 70, ""б остальное"", 80)/100,0)"),0.0)</f>
        <v>0</v>
      </c>
      <c r="O486" s="91">
        <f t="shared" si="2"/>
        <v>0</v>
      </c>
      <c r="P486" s="91">
        <f>IFERROR(__xludf.DUMMYFUNCTION("IFERROR(sum(filter('Генеральный баннер'!$O:$O, 'Генеральный баннер'!$B:$B=$A486,'Генеральный баннер'!$C:$C=$B486,'Генеральный баннер'!$I:$I=$C486)), 0) "),0.0)</f>
        <v>0</v>
      </c>
      <c r="Q486" s="91">
        <f>IFERROR(__xludf.DUMMYFUNCTION("IFERROR(sum(filter('Генеральный баннер'!$Q:$Q, 'Генеральный баннер'!$B:$B=$A486,'Генеральный баннер'!$C:$C=$B486,'Генеральный баннер'!$I:$I=$C486)), 0) "),0.0)</f>
        <v>0</v>
      </c>
      <c r="R486" s="91">
        <f>IFERROR(__xludf.DUMMYFUNCTION("IFERROR(AVERAGE(filter('Генеральный баннер'!$AA:$AA, 'Генеральный баннер'!$B:$B=$A486,'Генеральный баннер'!$C:$C=$B486,'Генеральный баннер'!$I:$I=$C486)), 0) "),0.0)</f>
        <v>0</v>
      </c>
      <c r="S486" s="91">
        <f>IFERROR(__xludf.DUMMYFUNCTION("IFERROR(SUM(filter('Генеральный баннер'!$AH:$AH, 'Генеральный баннер'!$B:$B=$A486,'Генеральный баннер'!$C:$C=$B486,'Генеральный баннер'!$I:$I=$C486)), 0) "),0.0)</f>
        <v>0</v>
      </c>
      <c r="T486" s="91" t="str">
        <f>IFERROR(__xludf.DUMMYFUNCTION("IFERROR(REGEXREPLACE(unique(filter('Генеральный баннер'!$A:$A, 'Генеральный баннер'!$B:$B=$A486,'Генеральный баннер'!$C:$C=$B486,'Генеральный баннер'!$I:$I=$C486)), ""\d+"", """"),"""")"),"")</f>
        <v/>
      </c>
      <c r="U486" s="91" t="str">
        <f>IFERROR(__xludf.DUMMYFUNCTION("IFERROR(unique(filter('Генеральный баннер'!$F:$F, 'Генеральный баннер'!$B:$B=$A486,'Генеральный баннер'!$C:$C=$B486,'Генеральный баннер'!$I:$I=$C486)),"""")"),"")</f>
        <v/>
      </c>
      <c r="V486" s="92" t="str">
        <f t="shared" si="3"/>
        <v/>
      </c>
      <c r="W486" s="93">
        <f>IFERROR(__xludf.DUMMYFUNCTION("IFERROR(SWITCH(lower(join("" "",U486:V486)),""а миллионник"", 62.5,""б миллионник"", 75,""а мск"", 50, ""б мск"", 62.5, ""a остальное"", 70, ""б остальное"", 80)/100,0)"),0.0)</f>
        <v>0</v>
      </c>
      <c r="X486" s="91">
        <f t="shared" si="4"/>
        <v>0</v>
      </c>
    </row>
    <row r="487">
      <c r="A487" s="12"/>
      <c r="B487" s="12"/>
      <c r="C487" s="12"/>
      <c r="D487" s="91">
        <f>IFERROR(__xludf.DUMMYFUNCTION("IFERROR(sum(filter('Основной эфир'!$AA:$AA, 'Основной эфир'!$B:$B=$A487,'Основной эфир'!$C:$C=$B487,'Основной эфир'!$I:$I=$C487)), 0) "),0.0)</f>
        <v>0</v>
      </c>
      <c r="E487" s="91">
        <f>IFERROR(__xludf.DUMMYFUNCTION("IFERROR(sum(filter('Основной эфир'!$AC:$AC, 'Основной эфир'!$B:$B=$A487,'Основной эфир'!$C:$C=$B487,'Основной эфир'!$I:$I=$C487)), 0) "),0.0)</f>
        <v>0</v>
      </c>
      <c r="F487" s="91">
        <f>IFERROR(__xludf.DUMMYFUNCTION("IFERROR(sum(filter('Основной эфир'!$O:$O, 'Основной эфир'!$B:$B=$A487,'Основной эфир'!$C:$C=$B487,'Основной эфир'!$I:$I=$C487)), 0) "),0.0)</f>
        <v>0</v>
      </c>
      <c r="G487" s="91">
        <f>IFERROR(__xludf.DUMMYFUNCTION("IFERROR(sum(filter('Основной эфир'!$Q:$Q, 'Основной эфир'!$B:$B=$A487,'Основной эфир'!$C:$C=$B487,'Основной эфир'!$I:$I=$C487)), 0) "),0.0)</f>
        <v>0</v>
      </c>
      <c r="H487" s="91">
        <f>IFERROR(__xludf.DUMMYFUNCTION("IFERROR(AVERAGE(filter('Основной эфир'!$Y:$Y, 'Основной эфир'!$B:$B=$A487,'Основной эфир'!$C:$C=$B487,'Основной эфир'!$I:$I=$C487)), 0) "),0.0)</f>
        <v>0</v>
      </c>
      <c r="I487" s="91">
        <f>IFERROR(__xludf.DUMMYFUNCTION("IFERROR(AVERAGE(filter('Основной эфир'!$AE:$AE, 'Основной эфир'!$B:$B=$A487,'Основной эфир'!$C:$C=$B487,'Основной эфир'!$I:$I=$C487)), 0) "),0.0)</f>
        <v>0</v>
      </c>
      <c r="J487" s="91">
        <f>IFERROR(__xludf.DUMMYFUNCTION("IFERROR(SUM(filter('Основной эфир'!$AL:$AL, 'Основной эфир'!$B:$B=$A487,'Основной эфир'!$C:$C=$B487,'Основной эфир'!$I:$I=$C487)), 0) "),0.0)</f>
        <v>0</v>
      </c>
      <c r="K487" s="91" t="str">
        <f>IFERROR(__xludf.DUMMYFUNCTION("IFERROR(REGEXREPLACE(unique(filter('Основной эфир'!$A:$A, 'Основной эфир'!$B:$B=$A487,'Основной эфир'!$C:$C=$B487,'Основной эфир'!$I:$I=$C487)), ""\d+"", """"),"""")"),"")</f>
        <v/>
      </c>
      <c r="L487" s="91" t="str">
        <f>IFERROR(__xludf.DUMMYFUNCTION("IFERROR(unique(filter('Основной эфир'!$F:$F, 'Основной эфир'!$B:$B=$A487,'Основной эфир'!$C:$C=$B487,'Основной эфир'!$I:$I=$C487)),"""")"),"")</f>
        <v/>
      </c>
      <c r="M487" s="92" t="str">
        <f t="shared" si="1"/>
        <v/>
      </c>
      <c r="N487" s="93">
        <f>IFERROR(__xludf.DUMMYFUNCTION("IFERROR(SWITCH(lower(join("" "",L487:M487)),""а миллионник"", 62.5,""б миллионник"", 75,""а мск"", 50, ""б мск"", 62.5, ""a остальное"", 70, ""б остальное"", 80)/100,0)"),0.0)</f>
        <v>0</v>
      </c>
      <c r="O487" s="91">
        <f t="shared" si="2"/>
        <v>0</v>
      </c>
      <c r="P487" s="91">
        <f>IFERROR(__xludf.DUMMYFUNCTION("IFERROR(sum(filter('Генеральный баннер'!$O:$O, 'Генеральный баннер'!$B:$B=$A487,'Генеральный баннер'!$C:$C=$B487,'Генеральный баннер'!$I:$I=$C487)), 0) "),0.0)</f>
        <v>0</v>
      </c>
      <c r="Q487" s="91">
        <f>IFERROR(__xludf.DUMMYFUNCTION("IFERROR(sum(filter('Генеральный баннер'!$Q:$Q, 'Генеральный баннер'!$B:$B=$A487,'Генеральный баннер'!$C:$C=$B487,'Генеральный баннер'!$I:$I=$C487)), 0) "),0.0)</f>
        <v>0</v>
      </c>
      <c r="R487" s="91">
        <f>IFERROR(__xludf.DUMMYFUNCTION("IFERROR(AVERAGE(filter('Генеральный баннер'!$AA:$AA, 'Генеральный баннер'!$B:$B=$A487,'Генеральный баннер'!$C:$C=$B487,'Генеральный баннер'!$I:$I=$C487)), 0) "),0.0)</f>
        <v>0</v>
      </c>
      <c r="S487" s="91">
        <f>IFERROR(__xludf.DUMMYFUNCTION("IFERROR(SUM(filter('Генеральный баннер'!$AH:$AH, 'Генеральный баннер'!$B:$B=$A487,'Генеральный баннер'!$C:$C=$B487,'Генеральный баннер'!$I:$I=$C487)), 0) "),0.0)</f>
        <v>0</v>
      </c>
      <c r="T487" s="91" t="str">
        <f>IFERROR(__xludf.DUMMYFUNCTION("IFERROR(REGEXREPLACE(unique(filter('Генеральный баннер'!$A:$A, 'Генеральный баннер'!$B:$B=$A487,'Генеральный баннер'!$C:$C=$B487,'Генеральный баннер'!$I:$I=$C487)), ""\d+"", """"),"""")"),"")</f>
        <v/>
      </c>
      <c r="U487" s="91" t="str">
        <f>IFERROR(__xludf.DUMMYFUNCTION("IFERROR(unique(filter('Генеральный баннер'!$F:$F, 'Генеральный баннер'!$B:$B=$A487,'Генеральный баннер'!$C:$C=$B487,'Генеральный баннер'!$I:$I=$C487)),"""")"),"")</f>
        <v/>
      </c>
      <c r="V487" s="92" t="str">
        <f t="shared" si="3"/>
        <v/>
      </c>
      <c r="W487" s="93">
        <f>IFERROR(__xludf.DUMMYFUNCTION("IFERROR(SWITCH(lower(join("" "",U487:V487)),""а миллионник"", 62.5,""б миллионник"", 75,""а мск"", 50, ""б мск"", 62.5, ""a остальное"", 70, ""б остальное"", 80)/100,0)"),0.0)</f>
        <v>0</v>
      </c>
      <c r="X487" s="91">
        <f t="shared" si="4"/>
        <v>0</v>
      </c>
    </row>
    <row r="488">
      <c r="A488" s="12"/>
      <c r="B488" s="12"/>
      <c r="C488" s="12"/>
      <c r="D488" s="91">
        <f>IFERROR(__xludf.DUMMYFUNCTION("IFERROR(sum(filter('Основной эфир'!$AA:$AA, 'Основной эфир'!$B:$B=$A488,'Основной эфир'!$C:$C=$B488,'Основной эфир'!$I:$I=$C488)), 0) "),0.0)</f>
        <v>0</v>
      </c>
      <c r="E488" s="91">
        <f>IFERROR(__xludf.DUMMYFUNCTION("IFERROR(sum(filter('Основной эфир'!$AC:$AC, 'Основной эфир'!$B:$B=$A488,'Основной эфир'!$C:$C=$B488,'Основной эфир'!$I:$I=$C488)), 0) "),0.0)</f>
        <v>0</v>
      </c>
      <c r="F488" s="91">
        <f>IFERROR(__xludf.DUMMYFUNCTION("IFERROR(sum(filter('Основной эфир'!$O:$O, 'Основной эфир'!$B:$B=$A488,'Основной эфир'!$C:$C=$B488,'Основной эфир'!$I:$I=$C488)), 0) "),0.0)</f>
        <v>0</v>
      </c>
      <c r="G488" s="91">
        <f>IFERROR(__xludf.DUMMYFUNCTION("IFERROR(sum(filter('Основной эфир'!$Q:$Q, 'Основной эфир'!$B:$B=$A488,'Основной эфир'!$C:$C=$B488,'Основной эфир'!$I:$I=$C488)), 0) "),0.0)</f>
        <v>0</v>
      </c>
      <c r="H488" s="91">
        <f>IFERROR(__xludf.DUMMYFUNCTION("IFERROR(AVERAGE(filter('Основной эфир'!$Y:$Y, 'Основной эфир'!$B:$B=$A488,'Основной эфир'!$C:$C=$B488,'Основной эфир'!$I:$I=$C488)), 0) "),0.0)</f>
        <v>0</v>
      </c>
      <c r="I488" s="91">
        <f>IFERROR(__xludf.DUMMYFUNCTION("IFERROR(AVERAGE(filter('Основной эфир'!$AE:$AE, 'Основной эфир'!$B:$B=$A488,'Основной эфир'!$C:$C=$B488,'Основной эфир'!$I:$I=$C488)), 0) "),0.0)</f>
        <v>0</v>
      </c>
      <c r="J488" s="91">
        <f>IFERROR(__xludf.DUMMYFUNCTION("IFERROR(SUM(filter('Основной эфир'!$AL:$AL, 'Основной эфир'!$B:$B=$A488,'Основной эфир'!$C:$C=$B488,'Основной эфир'!$I:$I=$C488)), 0) "),0.0)</f>
        <v>0</v>
      </c>
      <c r="K488" s="91" t="str">
        <f>IFERROR(__xludf.DUMMYFUNCTION("IFERROR(REGEXREPLACE(unique(filter('Основной эфир'!$A:$A, 'Основной эфир'!$B:$B=$A488,'Основной эфир'!$C:$C=$B488,'Основной эфир'!$I:$I=$C488)), ""\d+"", """"),"""")"),"")</f>
        <v/>
      </c>
      <c r="L488" s="91" t="str">
        <f>IFERROR(__xludf.DUMMYFUNCTION("IFERROR(unique(filter('Основной эфир'!$F:$F, 'Основной эфир'!$B:$B=$A488,'Основной эфир'!$C:$C=$B488,'Основной эфир'!$I:$I=$C488)),"""")"),"")</f>
        <v/>
      </c>
      <c r="M488" s="92" t="str">
        <f t="shared" si="1"/>
        <v/>
      </c>
      <c r="N488" s="93">
        <f>IFERROR(__xludf.DUMMYFUNCTION("IFERROR(SWITCH(lower(join("" "",L488:M488)),""а миллионник"", 62.5,""б миллионник"", 75,""а мск"", 50, ""б мск"", 62.5, ""a остальное"", 70, ""б остальное"", 80)/100,0)"),0.0)</f>
        <v>0</v>
      </c>
      <c r="O488" s="91">
        <f t="shared" si="2"/>
        <v>0</v>
      </c>
      <c r="P488" s="91">
        <f>IFERROR(__xludf.DUMMYFUNCTION("IFERROR(sum(filter('Генеральный баннер'!$O:$O, 'Генеральный баннер'!$B:$B=$A488,'Генеральный баннер'!$C:$C=$B488,'Генеральный баннер'!$I:$I=$C488)), 0) "),0.0)</f>
        <v>0</v>
      </c>
      <c r="Q488" s="91">
        <f>IFERROR(__xludf.DUMMYFUNCTION("IFERROR(sum(filter('Генеральный баннер'!$Q:$Q, 'Генеральный баннер'!$B:$B=$A488,'Генеральный баннер'!$C:$C=$B488,'Генеральный баннер'!$I:$I=$C488)), 0) "),0.0)</f>
        <v>0</v>
      </c>
      <c r="R488" s="91">
        <f>IFERROR(__xludf.DUMMYFUNCTION("IFERROR(AVERAGE(filter('Генеральный баннер'!$AA:$AA, 'Генеральный баннер'!$B:$B=$A488,'Генеральный баннер'!$C:$C=$B488,'Генеральный баннер'!$I:$I=$C488)), 0) "),0.0)</f>
        <v>0</v>
      </c>
      <c r="S488" s="91">
        <f>IFERROR(__xludf.DUMMYFUNCTION("IFERROR(SUM(filter('Генеральный баннер'!$AH:$AH, 'Генеральный баннер'!$B:$B=$A488,'Генеральный баннер'!$C:$C=$B488,'Генеральный баннер'!$I:$I=$C488)), 0) "),0.0)</f>
        <v>0</v>
      </c>
      <c r="T488" s="91" t="str">
        <f>IFERROR(__xludf.DUMMYFUNCTION("IFERROR(REGEXREPLACE(unique(filter('Генеральный баннер'!$A:$A, 'Генеральный баннер'!$B:$B=$A488,'Генеральный баннер'!$C:$C=$B488,'Генеральный баннер'!$I:$I=$C488)), ""\d+"", """"),"""")"),"")</f>
        <v/>
      </c>
      <c r="U488" s="91" t="str">
        <f>IFERROR(__xludf.DUMMYFUNCTION("IFERROR(unique(filter('Генеральный баннер'!$F:$F, 'Генеральный баннер'!$B:$B=$A488,'Генеральный баннер'!$C:$C=$B488,'Генеральный баннер'!$I:$I=$C488)),"""")"),"")</f>
        <v/>
      </c>
      <c r="V488" s="92" t="str">
        <f t="shared" si="3"/>
        <v/>
      </c>
      <c r="W488" s="93">
        <f>IFERROR(__xludf.DUMMYFUNCTION("IFERROR(SWITCH(lower(join("" "",U488:V488)),""а миллионник"", 62.5,""б миллионник"", 75,""а мск"", 50, ""б мск"", 62.5, ""a остальное"", 70, ""б остальное"", 80)/100,0)"),0.0)</f>
        <v>0</v>
      </c>
      <c r="X488" s="91">
        <f t="shared" si="4"/>
        <v>0</v>
      </c>
    </row>
    <row r="489">
      <c r="A489" s="12"/>
      <c r="B489" s="12"/>
      <c r="C489" s="12"/>
      <c r="D489" s="91">
        <f>IFERROR(__xludf.DUMMYFUNCTION("IFERROR(sum(filter('Основной эфир'!$AA:$AA, 'Основной эфир'!$B:$B=$A489,'Основной эфир'!$C:$C=$B489,'Основной эфир'!$I:$I=$C489)), 0) "),0.0)</f>
        <v>0</v>
      </c>
      <c r="E489" s="91">
        <f>IFERROR(__xludf.DUMMYFUNCTION("IFERROR(sum(filter('Основной эфир'!$AC:$AC, 'Основной эфир'!$B:$B=$A489,'Основной эфир'!$C:$C=$B489,'Основной эфир'!$I:$I=$C489)), 0) "),0.0)</f>
        <v>0</v>
      </c>
      <c r="F489" s="91">
        <f>IFERROR(__xludf.DUMMYFUNCTION("IFERROR(sum(filter('Основной эфир'!$O:$O, 'Основной эфир'!$B:$B=$A489,'Основной эфир'!$C:$C=$B489,'Основной эфир'!$I:$I=$C489)), 0) "),0.0)</f>
        <v>0</v>
      </c>
      <c r="G489" s="91">
        <f>IFERROR(__xludf.DUMMYFUNCTION("IFERROR(sum(filter('Основной эфир'!$Q:$Q, 'Основной эфир'!$B:$B=$A489,'Основной эфир'!$C:$C=$B489,'Основной эфир'!$I:$I=$C489)), 0) "),0.0)</f>
        <v>0</v>
      </c>
      <c r="H489" s="91">
        <f>IFERROR(__xludf.DUMMYFUNCTION("IFERROR(AVERAGE(filter('Основной эфир'!$Y:$Y, 'Основной эфир'!$B:$B=$A489,'Основной эфир'!$C:$C=$B489,'Основной эфир'!$I:$I=$C489)), 0) "),0.0)</f>
        <v>0</v>
      </c>
      <c r="I489" s="91">
        <f>IFERROR(__xludf.DUMMYFUNCTION("IFERROR(AVERAGE(filter('Основной эфир'!$AE:$AE, 'Основной эфир'!$B:$B=$A489,'Основной эфир'!$C:$C=$B489,'Основной эфир'!$I:$I=$C489)), 0) "),0.0)</f>
        <v>0</v>
      </c>
      <c r="J489" s="91">
        <f>IFERROR(__xludf.DUMMYFUNCTION("IFERROR(SUM(filter('Основной эфир'!$AL:$AL, 'Основной эфир'!$B:$B=$A489,'Основной эфир'!$C:$C=$B489,'Основной эфир'!$I:$I=$C489)), 0) "),0.0)</f>
        <v>0</v>
      </c>
      <c r="K489" s="91" t="str">
        <f>IFERROR(__xludf.DUMMYFUNCTION("IFERROR(REGEXREPLACE(unique(filter('Основной эфир'!$A:$A, 'Основной эфир'!$B:$B=$A489,'Основной эфир'!$C:$C=$B489,'Основной эфир'!$I:$I=$C489)), ""\d+"", """"),"""")"),"")</f>
        <v/>
      </c>
      <c r="L489" s="91" t="str">
        <f>IFERROR(__xludf.DUMMYFUNCTION("IFERROR(unique(filter('Основной эфир'!$F:$F, 'Основной эфир'!$B:$B=$A489,'Основной эфир'!$C:$C=$B489,'Основной эфир'!$I:$I=$C489)),"""")"),"")</f>
        <v/>
      </c>
      <c r="M489" s="92" t="str">
        <f t="shared" si="1"/>
        <v/>
      </c>
      <c r="N489" s="93">
        <f>IFERROR(__xludf.DUMMYFUNCTION("IFERROR(SWITCH(lower(join("" "",L489:M489)),""а миллионник"", 62.5,""б миллионник"", 75,""а мск"", 50, ""б мск"", 62.5, ""a остальное"", 70, ""б остальное"", 80)/100,0)"),0.0)</f>
        <v>0</v>
      </c>
      <c r="O489" s="91">
        <f t="shared" si="2"/>
        <v>0</v>
      </c>
      <c r="P489" s="91">
        <f>IFERROR(__xludf.DUMMYFUNCTION("IFERROR(sum(filter('Генеральный баннер'!$O:$O, 'Генеральный баннер'!$B:$B=$A489,'Генеральный баннер'!$C:$C=$B489,'Генеральный баннер'!$I:$I=$C489)), 0) "),0.0)</f>
        <v>0</v>
      </c>
      <c r="Q489" s="91">
        <f>IFERROR(__xludf.DUMMYFUNCTION("IFERROR(sum(filter('Генеральный баннер'!$Q:$Q, 'Генеральный баннер'!$B:$B=$A489,'Генеральный баннер'!$C:$C=$B489,'Генеральный баннер'!$I:$I=$C489)), 0) "),0.0)</f>
        <v>0</v>
      </c>
      <c r="R489" s="91">
        <f>IFERROR(__xludf.DUMMYFUNCTION("IFERROR(AVERAGE(filter('Генеральный баннер'!$AA:$AA, 'Генеральный баннер'!$B:$B=$A489,'Генеральный баннер'!$C:$C=$B489,'Генеральный баннер'!$I:$I=$C489)), 0) "),0.0)</f>
        <v>0</v>
      </c>
      <c r="S489" s="91">
        <f>IFERROR(__xludf.DUMMYFUNCTION("IFERROR(SUM(filter('Генеральный баннер'!$AH:$AH, 'Генеральный баннер'!$B:$B=$A489,'Генеральный баннер'!$C:$C=$B489,'Генеральный баннер'!$I:$I=$C489)), 0) "),0.0)</f>
        <v>0</v>
      </c>
      <c r="T489" s="91" t="str">
        <f>IFERROR(__xludf.DUMMYFUNCTION("IFERROR(REGEXREPLACE(unique(filter('Генеральный баннер'!$A:$A, 'Генеральный баннер'!$B:$B=$A489,'Генеральный баннер'!$C:$C=$B489,'Генеральный баннер'!$I:$I=$C489)), ""\d+"", """"),"""")"),"")</f>
        <v/>
      </c>
      <c r="U489" s="91" t="str">
        <f>IFERROR(__xludf.DUMMYFUNCTION("IFERROR(unique(filter('Генеральный баннер'!$F:$F, 'Генеральный баннер'!$B:$B=$A489,'Генеральный баннер'!$C:$C=$B489,'Генеральный баннер'!$I:$I=$C489)),"""")"),"")</f>
        <v/>
      </c>
      <c r="V489" s="92" t="str">
        <f t="shared" si="3"/>
        <v/>
      </c>
      <c r="W489" s="93">
        <f>IFERROR(__xludf.DUMMYFUNCTION("IFERROR(SWITCH(lower(join("" "",U489:V489)),""а миллионник"", 62.5,""б миллионник"", 75,""а мск"", 50, ""б мск"", 62.5, ""a остальное"", 70, ""б остальное"", 80)/100,0)"),0.0)</f>
        <v>0</v>
      </c>
      <c r="X489" s="91">
        <f t="shared" si="4"/>
        <v>0</v>
      </c>
    </row>
    <row r="490">
      <c r="A490" s="12"/>
      <c r="B490" s="12"/>
      <c r="C490" s="12"/>
      <c r="D490" s="91">
        <f>IFERROR(__xludf.DUMMYFUNCTION("IFERROR(sum(filter('Основной эфир'!$AA:$AA, 'Основной эфир'!$B:$B=$A490,'Основной эфир'!$C:$C=$B490,'Основной эфир'!$I:$I=$C490)), 0) "),0.0)</f>
        <v>0</v>
      </c>
      <c r="E490" s="91">
        <f>IFERROR(__xludf.DUMMYFUNCTION("IFERROR(sum(filter('Основной эфир'!$AC:$AC, 'Основной эфир'!$B:$B=$A490,'Основной эфир'!$C:$C=$B490,'Основной эфир'!$I:$I=$C490)), 0) "),0.0)</f>
        <v>0</v>
      </c>
      <c r="F490" s="91">
        <f>IFERROR(__xludf.DUMMYFUNCTION("IFERROR(sum(filter('Основной эфир'!$O:$O, 'Основной эфир'!$B:$B=$A490,'Основной эфир'!$C:$C=$B490,'Основной эфир'!$I:$I=$C490)), 0) "),0.0)</f>
        <v>0</v>
      </c>
      <c r="G490" s="91">
        <f>IFERROR(__xludf.DUMMYFUNCTION("IFERROR(sum(filter('Основной эфир'!$Q:$Q, 'Основной эфир'!$B:$B=$A490,'Основной эфир'!$C:$C=$B490,'Основной эфир'!$I:$I=$C490)), 0) "),0.0)</f>
        <v>0</v>
      </c>
      <c r="H490" s="91">
        <f>IFERROR(__xludf.DUMMYFUNCTION("IFERROR(AVERAGE(filter('Основной эфир'!$Y:$Y, 'Основной эфир'!$B:$B=$A490,'Основной эфир'!$C:$C=$B490,'Основной эфир'!$I:$I=$C490)), 0) "),0.0)</f>
        <v>0</v>
      </c>
      <c r="I490" s="91">
        <f>IFERROR(__xludf.DUMMYFUNCTION("IFERROR(AVERAGE(filter('Основной эфир'!$AE:$AE, 'Основной эфир'!$B:$B=$A490,'Основной эфир'!$C:$C=$B490,'Основной эфир'!$I:$I=$C490)), 0) "),0.0)</f>
        <v>0</v>
      </c>
      <c r="J490" s="91">
        <f>IFERROR(__xludf.DUMMYFUNCTION("IFERROR(SUM(filter('Основной эфир'!$AL:$AL, 'Основной эфир'!$B:$B=$A490,'Основной эфир'!$C:$C=$B490,'Основной эфир'!$I:$I=$C490)), 0) "),0.0)</f>
        <v>0</v>
      </c>
      <c r="K490" s="91" t="str">
        <f>IFERROR(__xludf.DUMMYFUNCTION("IFERROR(REGEXREPLACE(unique(filter('Основной эфир'!$A:$A, 'Основной эфир'!$B:$B=$A490,'Основной эфир'!$C:$C=$B490,'Основной эфир'!$I:$I=$C490)), ""\d+"", """"),"""")"),"")</f>
        <v/>
      </c>
      <c r="L490" s="91" t="str">
        <f>IFERROR(__xludf.DUMMYFUNCTION("IFERROR(unique(filter('Основной эфир'!$F:$F, 'Основной эфир'!$B:$B=$A490,'Основной эфир'!$C:$C=$B490,'Основной эфир'!$I:$I=$C490)),"""")"),"")</f>
        <v/>
      </c>
      <c r="M490" s="92" t="str">
        <f t="shared" si="1"/>
        <v/>
      </c>
      <c r="N490" s="93">
        <f>IFERROR(__xludf.DUMMYFUNCTION("IFERROR(SWITCH(lower(join("" "",L490:M490)),""а миллионник"", 62.5,""б миллионник"", 75,""а мск"", 50, ""б мск"", 62.5, ""a остальное"", 70, ""б остальное"", 80)/100,0)"),0.0)</f>
        <v>0</v>
      </c>
      <c r="O490" s="91">
        <f t="shared" si="2"/>
        <v>0</v>
      </c>
      <c r="P490" s="91">
        <f>IFERROR(__xludf.DUMMYFUNCTION("IFERROR(sum(filter('Генеральный баннер'!$O:$O, 'Генеральный баннер'!$B:$B=$A490,'Генеральный баннер'!$C:$C=$B490,'Генеральный баннер'!$I:$I=$C490)), 0) "),0.0)</f>
        <v>0</v>
      </c>
      <c r="Q490" s="91">
        <f>IFERROR(__xludf.DUMMYFUNCTION("IFERROR(sum(filter('Генеральный баннер'!$Q:$Q, 'Генеральный баннер'!$B:$B=$A490,'Генеральный баннер'!$C:$C=$B490,'Генеральный баннер'!$I:$I=$C490)), 0) "),0.0)</f>
        <v>0</v>
      </c>
      <c r="R490" s="91">
        <f>IFERROR(__xludf.DUMMYFUNCTION("IFERROR(AVERAGE(filter('Генеральный баннер'!$AA:$AA, 'Генеральный баннер'!$B:$B=$A490,'Генеральный баннер'!$C:$C=$B490,'Генеральный баннер'!$I:$I=$C490)), 0) "),0.0)</f>
        <v>0</v>
      </c>
      <c r="S490" s="91">
        <f>IFERROR(__xludf.DUMMYFUNCTION("IFERROR(SUM(filter('Генеральный баннер'!$AH:$AH, 'Генеральный баннер'!$B:$B=$A490,'Генеральный баннер'!$C:$C=$B490,'Генеральный баннер'!$I:$I=$C490)), 0) "),0.0)</f>
        <v>0</v>
      </c>
      <c r="T490" s="91" t="str">
        <f>IFERROR(__xludf.DUMMYFUNCTION("IFERROR(REGEXREPLACE(unique(filter('Генеральный баннер'!$A:$A, 'Генеральный баннер'!$B:$B=$A490,'Генеральный баннер'!$C:$C=$B490,'Генеральный баннер'!$I:$I=$C490)), ""\d+"", """"),"""")"),"")</f>
        <v/>
      </c>
      <c r="U490" s="91" t="str">
        <f>IFERROR(__xludf.DUMMYFUNCTION("IFERROR(unique(filter('Генеральный баннер'!$F:$F, 'Генеральный баннер'!$B:$B=$A490,'Генеральный баннер'!$C:$C=$B490,'Генеральный баннер'!$I:$I=$C490)),"""")"),"")</f>
        <v/>
      </c>
      <c r="V490" s="92" t="str">
        <f t="shared" si="3"/>
        <v/>
      </c>
      <c r="W490" s="93">
        <f>IFERROR(__xludf.DUMMYFUNCTION("IFERROR(SWITCH(lower(join("" "",U490:V490)),""а миллионник"", 62.5,""б миллионник"", 75,""а мск"", 50, ""б мск"", 62.5, ""a остальное"", 70, ""б остальное"", 80)/100,0)"),0.0)</f>
        <v>0</v>
      </c>
      <c r="X490" s="91">
        <f t="shared" si="4"/>
        <v>0</v>
      </c>
    </row>
    <row r="491">
      <c r="A491" s="12"/>
      <c r="B491" s="12"/>
      <c r="C491" s="12"/>
      <c r="D491" s="91">
        <f>IFERROR(__xludf.DUMMYFUNCTION("IFERROR(sum(filter('Основной эфир'!$AA:$AA, 'Основной эфир'!$B:$B=$A491,'Основной эфир'!$C:$C=$B491,'Основной эфир'!$I:$I=$C491)), 0) "),0.0)</f>
        <v>0</v>
      </c>
      <c r="E491" s="91">
        <f>IFERROR(__xludf.DUMMYFUNCTION("IFERROR(sum(filter('Основной эфир'!$AC:$AC, 'Основной эфир'!$B:$B=$A491,'Основной эфир'!$C:$C=$B491,'Основной эфир'!$I:$I=$C491)), 0) "),0.0)</f>
        <v>0</v>
      </c>
      <c r="F491" s="91">
        <f>IFERROR(__xludf.DUMMYFUNCTION("IFERROR(sum(filter('Основной эфир'!$O:$O, 'Основной эфир'!$B:$B=$A491,'Основной эфир'!$C:$C=$B491,'Основной эфир'!$I:$I=$C491)), 0) "),0.0)</f>
        <v>0</v>
      </c>
      <c r="G491" s="91">
        <f>IFERROR(__xludf.DUMMYFUNCTION("IFERROR(sum(filter('Основной эфир'!$Q:$Q, 'Основной эфир'!$B:$B=$A491,'Основной эфир'!$C:$C=$B491,'Основной эфир'!$I:$I=$C491)), 0) "),0.0)</f>
        <v>0</v>
      </c>
      <c r="H491" s="91">
        <f>IFERROR(__xludf.DUMMYFUNCTION("IFERROR(AVERAGE(filter('Основной эфир'!$Y:$Y, 'Основной эфир'!$B:$B=$A491,'Основной эфир'!$C:$C=$B491,'Основной эфир'!$I:$I=$C491)), 0) "),0.0)</f>
        <v>0</v>
      </c>
      <c r="I491" s="91">
        <f>IFERROR(__xludf.DUMMYFUNCTION("IFERROR(AVERAGE(filter('Основной эфир'!$AE:$AE, 'Основной эфир'!$B:$B=$A491,'Основной эфир'!$C:$C=$B491,'Основной эфир'!$I:$I=$C491)), 0) "),0.0)</f>
        <v>0</v>
      </c>
      <c r="J491" s="91">
        <f>IFERROR(__xludf.DUMMYFUNCTION("IFERROR(SUM(filter('Основной эфир'!$AL:$AL, 'Основной эфир'!$B:$B=$A491,'Основной эфир'!$C:$C=$B491,'Основной эфир'!$I:$I=$C491)), 0) "),0.0)</f>
        <v>0</v>
      </c>
      <c r="K491" s="91" t="str">
        <f>IFERROR(__xludf.DUMMYFUNCTION("IFERROR(REGEXREPLACE(unique(filter('Основной эфир'!$A:$A, 'Основной эфир'!$B:$B=$A491,'Основной эфир'!$C:$C=$B491,'Основной эфир'!$I:$I=$C491)), ""\d+"", """"),"""")"),"")</f>
        <v/>
      </c>
      <c r="L491" s="91" t="str">
        <f>IFERROR(__xludf.DUMMYFUNCTION("IFERROR(unique(filter('Основной эфир'!$F:$F, 'Основной эфир'!$B:$B=$A491,'Основной эфир'!$C:$C=$B491,'Основной эфир'!$I:$I=$C491)),"""")"),"")</f>
        <v/>
      </c>
      <c r="M491" s="92" t="str">
        <f t="shared" si="1"/>
        <v/>
      </c>
      <c r="N491" s="93">
        <f>IFERROR(__xludf.DUMMYFUNCTION("IFERROR(SWITCH(lower(join("" "",L491:M491)),""а миллионник"", 62.5,""б миллионник"", 75,""а мск"", 50, ""б мск"", 62.5, ""a остальное"", 70, ""б остальное"", 80)/100,0)"),0.0)</f>
        <v>0</v>
      </c>
      <c r="O491" s="91">
        <f t="shared" si="2"/>
        <v>0</v>
      </c>
      <c r="P491" s="91">
        <f>IFERROR(__xludf.DUMMYFUNCTION("IFERROR(sum(filter('Генеральный баннер'!$O:$O, 'Генеральный баннер'!$B:$B=$A491,'Генеральный баннер'!$C:$C=$B491,'Генеральный баннер'!$I:$I=$C491)), 0) "),0.0)</f>
        <v>0</v>
      </c>
      <c r="Q491" s="91">
        <f>IFERROR(__xludf.DUMMYFUNCTION("IFERROR(sum(filter('Генеральный баннер'!$Q:$Q, 'Генеральный баннер'!$B:$B=$A491,'Генеральный баннер'!$C:$C=$B491,'Генеральный баннер'!$I:$I=$C491)), 0) "),0.0)</f>
        <v>0</v>
      </c>
      <c r="R491" s="91">
        <f>IFERROR(__xludf.DUMMYFUNCTION("IFERROR(AVERAGE(filter('Генеральный баннер'!$AA:$AA, 'Генеральный баннер'!$B:$B=$A491,'Генеральный баннер'!$C:$C=$B491,'Генеральный баннер'!$I:$I=$C491)), 0) "),0.0)</f>
        <v>0</v>
      </c>
      <c r="S491" s="91">
        <f>IFERROR(__xludf.DUMMYFUNCTION("IFERROR(SUM(filter('Генеральный баннер'!$AH:$AH, 'Генеральный баннер'!$B:$B=$A491,'Генеральный баннер'!$C:$C=$B491,'Генеральный баннер'!$I:$I=$C491)), 0) "),0.0)</f>
        <v>0</v>
      </c>
      <c r="T491" s="91" t="str">
        <f>IFERROR(__xludf.DUMMYFUNCTION("IFERROR(REGEXREPLACE(unique(filter('Генеральный баннер'!$A:$A, 'Генеральный баннер'!$B:$B=$A491,'Генеральный баннер'!$C:$C=$B491,'Генеральный баннер'!$I:$I=$C491)), ""\d+"", """"),"""")"),"")</f>
        <v/>
      </c>
      <c r="U491" s="91" t="str">
        <f>IFERROR(__xludf.DUMMYFUNCTION("IFERROR(unique(filter('Генеральный баннер'!$F:$F, 'Генеральный баннер'!$B:$B=$A491,'Генеральный баннер'!$C:$C=$B491,'Генеральный баннер'!$I:$I=$C491)),"""")"),"")</f>
        <v/>
      </c>
      <c r="V491" s="92" t="str">
        <f t="shared" si="3"/>
        <v/>
      </c>
      <c r="W491" s="93">
        <f>IFERROR(__xludf.DUMMYFUNCTION("IFERROR(SWITCH(lower(join("" "",U491:V491)),""а миллионник"", 62.5,""б миллионник"", 75,""а мск"", 50, ""б мск"", 62.5, ""a остальное"", 70, ""б остальное"", 80)/100,0)"),0.0)</f>
        <v>0</v>
      </c>
      <c r="X491" s="91">
        <f t="shared" si="4"/>
        <v>0</v>
      </c>
    </row>
    <row r="492">
      <c r="A492" s="12"/>
      <c r="B492" s="12"/>
      <c r="C492" s="12"/>
      <c r="D492" s="91">
        <f>IFERROR(__xludf.DUMMYFUNCTION("IFERROR(sum(filter('Основной эфир'!$AA:$AA, 'Основной эфир'!$B:$B=$A492,'Основной эфир'!$C:$C=$B492,'Основной эфир'!$I:$I=$C492)), 0) "),0.0)</f>
        <v>0</v>
      </c>
      <c r="E492" s="91">
        <f>IFERROR(__xludf.DUMMYFUNCTION("IFERROR(sum(filter('Основной эфир'!$AC:$AC, 'Основной эфир'!$B:$B=$A492,'Основной эфир'!$C:$C=$B492,'Основной эфир'!$I:$I=$C492)), 0) "),0.0)</f>
        <v>0</v>
      </c>
      <c r="F492" s="91">
        <f>IFERROR(__xludf.DUMMYFUNCTION("IFERROR(sum(filter('Основной эфир'!$O:$O, 'Основной эфир'!$B:$B=$A492,'Основной эфир'!$C:$C=$B492,'Основной эфир'!$I:$I=$C492)), 0) "),0.0)</f>
        <v>0</v>
      </c>
      <c r="G492" s="91">
        <f>IFERROR(__xludf.DUMMYFUNCTION("IFERROR(sum(filter('Основной эфир'!$Q:$Q, 'Основной эфир'!$B:$B=$A492,'Основной эфир'!$C:$C=$B492,'Основной эфир'!$I:$I=$C492)), 0) "),0.0)</f>
        <v>0</v>
      </c>
      <c r="H492" s="91">
        <f>IFERROR(__xludf.DUMMYFUNCTION("IFERROR(AVERAGE(filter('Основной эфир'!$Y:$Y, 'Основной эфир'!$B:$B=$A492,'Основной эфир'!$C:$C=$B492,'Основной эфир'!$I:$I=$C492)), 0) "),0.0)</f>
        <v>0</v>
      </c>
      <c r="I492" s="91">
        <f>IFERROR(__xludf.DUMMYFUNCTION("IFERROR(AVERAGE(filter('Основной эфир'!$AE:$AE, 'Основной эфир'!$B:$B=$A492,'Основной эфир'!$C:$C=$B492,'Основной эфир'!$I:$I=$C492)), 0) "),0.0)</f>
        <v>0</v>
      </c>
      <c r="J492" s="91">
        <f>IFERROR(__xludf.DUMMYFUNCTION("IFERROR(SUM(filter('Основной эфир'!$AL:$AL, 'Основной эфир'!$B:$B=$A492,'Основной эфир'!$C:$C=$B492,'Основной эфир'!$I:$I=$C492)), 0) "),0.0)</f>
        <v>0</v>
      </c>
      <c r="K492" s="91" t="str">
        <f>IFERROR(__xludf.DUMMYFUNCTION("IFERROR(REGEXREPLACE(unique(filter('Основной эфир'!$A:$A, 'Основной эфир'!$B:$B=$A492,'Основной эфир'!$C:$C=$B492,'Основной эфир'!$I:$I=$C492)), ""\d+"", """"),"""")"),"")</f>
        <v/>
      </c>
      <c r="L492" s="91" t="str">
        <f>IFERROR(__xludf.DUMMYFUNCTION("IFERROR(unique(filter('Основной эфир'!$F:$F, 'Основной эфир'!$B:$B=$A492,'Основной эфир'!$C:$C=$B492,'Основной эфир'!$I:$I=$C492)),"""")"),"")</f>
        <v/>
      </c>
      <c r="M492" s="92" t="str">
        <f t="shared" si="1"/>
        <v/>
      </c>
      <c r="N492" s="93">
        <f>IFERROR(__xludf.DUMMYFUNCTION("IFERROR(SWITCH(lower(join("" "",L492:M492)),""а миллионник"", 62.5,""б миллионник"", 75,""а мск"", 50, ""б мск"", 62.5, ""a остальное"", 70, ""б остальное"", 80)/100,0)"),0.0)</f>
        <v>0</v>
      </c>
      <c r="O492" s="91">
        <f t="shared" si="2"/>
        <v>0</v>
      </c>
      <c r="P492" s="91">
        <f>IFERROR(__xludf.DUMMYFUNCTION("IFERROR(sum(filter('Генеральный баннер'!$O:$O, 'Генеральный баннер'!$B:$B=$A492,'Генеральный баннер'!$C:$C=$B492,'Генеральный баннер'!$I:$I=$C492)), 0) "),0.0)</f>
        <v>0</v>
      </c>
      <c r="Q492" s="91">
        <f>IFERROR(__xludf.DUMMYFUNCTION("IFERROR(sum(filter('Генеральный баннер'!$Q:$Q, 'Генеральный баннер'!$B:$B=$A492,'Генеральный баннер'!$C:$C=$B492,'Генеральный баннер'!$I:$I=$C492)), 0) "),0.0)</f>
        <v>0</v>
      </c>
      <c r="R492" s="91">
        <f>IFERROR(__xludf.DUMMYFUNCTION("IFERROR(AVERAGE(filter('Генеральный баннер'!$AA:$AA, 'Генеральный баннер'!$B:$B=$A492,'Генеральный баннер'!$C:$C=$B492,'Генеральный баннер'!$I:$I=$C492)), 0) "),0.0)</f>
        <v>0</v>
      </c>
      <c r="S492" s="91">
        <f>IFERROR(__xludf.DUMMYFUNCTION("IFERROR(SUM(filter('Генеральный баннер'!$AH:$AH, 'Генеральный баннер'!$B:$B=$A492,'Генеральный баннер'!$C:$C=$B492,'Генеральный баннер'!$I:$I=$C492)), 0) "),0.0)</f>
        <v>0</v>
      </c>
      <c r="T492" s="91" t="str">
        <f>IFERROR(__xludf.DUMMYFUNCTION("IFERROR(REGEXREPLACE(unique(filter('Генеральный баннер'!$A:$A, 'Генеральный баннер'!$B:$B=$A492,'Генеральный баннер'!$C:$C=$B492,'Генеральный баннер'!$I:$I=$C492)), ""\d+"", """"),"""")"),"")</f>
        <v/>
      </c>
      <c r="U492" s="91" t="str">
        <f>IFERROR(__xludf.DUMMYFUNCTION("IFERROR(unique(filter('Генеральный баннер'!$F:$F, 'Генеральный баннер'!$B:$B=$A492,'Генеральный баннер'!$C:$C=$B492,'Генеральный баннер'!$I:$I=$C492)),"""")"),"")</f>
        <v/>
      </c>
      <c r="V492" s="92" t="str">
        <f t="shared" si="3"/>
        <v/>
      </c>
      <c r="W492" s="93">
        <f>IFERROR(__xludf.DUMMYFUNCTION("IFERROR(SWITCH(lower(join("" "",U492:V492)),""а миллионник"", 62.5,""б миллионник"", 75,""а мск"", 50, ""б мск"", 62.5, ""a остальное"", 70, ""б остальное"", 80)/100,0)"),0.0)</f>
        <v>0</v>
      </c>
      <c r="X492" s="91">
        <f t="shared" si="4"/>
        <v>0</v>
      </c>
    </row>
    <row r="493">
      <c r="A493" s="12"/>
      <c r="B493" s="12"/>
      <c r="C493" s="12"/>
      <c r="D493" s="91">
        <f>IFERROR(__xludf.DUMMYFUNCTION("IFERROR(sum(filter('Основной эфир'!$AA:$AA, 'Основной эфир'!$B:$B=$A493,'Основной эфир'!$C:$C=$B493,'Основной эфир'!$I:$I=$C493)), 0) "),0.0)</f>
        <v>0</v>
      </c>
      <c r="E493" s="91">
        <f>IFERROR(__xludf.DUMMYFUNCTION("IFERROR(sum(filter('Основной эфир'!$AC:$AC, 'Основной эфир'!$B:$B=$A493,'Основной эфир'!$C:$C=$B493,'Основной эфир'!$I:$I=$C493)), 0) "),0.0)</f>
        <v>0</v>
      </c>
      <c r="F493" s="91">
        <f>IFERROR(__xludf.DUMMYFUNCTION("IFERROR(sum(filter('Основной эфир'!$O:$O, 'Основной эфир'!$B:$B=$A493,'Основной эфир'!$C:$C=$B493,'Основной эфир'!$I:$I=$C493)), 0) "),0.0)</f>
        <v>0</v>
      </c>
      <c r="G493" s="91">
        <f>IFERROR(__xludf.DUMMYFUNCTION("IFERROR(sum(filter('Основной эфир'!$Q:$Q, 'Основной эфир'!$B:$B=$A493,'Основной эфир'!$C:$C=$B493,'Основной эфир'!$I:$I=$C493)), 0) "),0.0)</f>
        <v>0</v>
      </c>
      <c r="H493" s="91">
        <f>IFERROR(__xludf.DUMMYFUNCTION("IFERROR(AVERAGE(filter('Основной эфир'!$Y:$Y, 'Основной эфир'!$B:$B=$A493,'Основной эфир'!$C:$C=$B493,'Основной эфир'!$I:$I=$C493)), 0) "),0.0)</f>
        <v>0</v>
      </c>
      <c r="I493" s="91">
        <f>IFERROR(__xludf.DUMMYFUNCTION("IFERROR(AVERAGE(filter('Основной эфир'!$AE:$AE, 'Основной эфир'!$B:$B=$A493,'Основной эфир'!$C:$C=$B493,'Основной эфир'!$I:$I=$C493)), 0) "),0.0)</f>
        <v>0</v>
      </c>
      <c r="J493" s="91">
        <f>IFERROR(__xludf.DUMMYFUNCTION("IFERROR(SUM(filter('Основной эфир'!$AL:$AL, 'Основной эфир'!$B:$B=$A493,'Основной эфир'!$C:$C=$B493,'Основной эфир'!$I:$I=$C493)), 0) "),0.0)</f>
        <v>0</v>
      </c>
      <c r="K493" s="91" t="str">
        <f>IFERROR(__xludf.DUMMYFUNCTION("IFERROR(REGEXREPLACE(unique(filter('Основной эфир'!$A:$A, 'Основной эфир'!$B:$B=$A493,'Основной эфир'!$C:$C=$B493,'Основной эфир'!$I:$I=$C493)), ""\d+"", """"),"""")"),"")</f>
        <v/>
      </c>
      <c r="L493" s="91" t="str">
        <f>IFERROR(__xludf.DUMMYFUNCTION("IFERROR(unique(filter('Основной эфир'!$F:$F, 'Основной эфир'!$B:$B=$A493,'Основной эфир'!$C:$C=$B493,'Основной эфир'!$I:$I=$C493)),"""")"),"")</f>
        <v/>
      </c>
      <c r="M493" s="92" t="str">
        <f t="shared" si="1"/>
        <v/>
      </c>
      <c r="N493" s="93">
        <f>IFERROR(__xludf.DUMMYFUNCTION("IFERROR(SWITCH(lower(join("" "",L493:M493)),""а миллионник"", 62.5,""б миллионник"", 75,""а мск"", 50, ""б мск"", 62.5, ""a остальное"", 70, ""б остальное"", 80)/100,0)"),0.0)</f>
        <v>0</v>
      </c>
      <c r="O493" s="91">
        <f t="shared" si="2"/>
        <v>0</v>
      </c>
      <c r="P493" s="91">
        <f>IFERROR(__xludf.DUMMYFUNCTION("IFERROR(sum(filter('Генеральный баннер'!$O:$O, 'Генеральный баннер'!$B:$B=$A493,'Генеральный баннер'!$C:$C=$B493,'Генеральный баннер'!$I:$I=$C493)), 0) "),0.0)</f>
        <v>0</v>
      </c>
      <c r="Q493" s="91">
        <f>IFERROR(__xludf.DUMMYFUNCTION("IFERROR(sum(filter('Генеральный баннер'!$Q:$Q, 'Генеральный баннер'!$B:$B=$A493,'Генеральный баннер'!$C:$C=$B493,'Генеральный баннер'!$I:$I=$C493)), 0) "),0.0)</f>
        <v>0</v>
      </c>
      <c r="R493" s="91">
        <f>IFERROR(__xludf.DUMMYFUNCTION("IFERROR(AVERAGE(filter('Генеральный баннер'!$AA:$AA, 'Генеральный баннер'!$B:$B=$A493,'Генеральный баннер'!$C:$C=$B493,'Генеральный баннер'!$I:$I=$C493)), 0) "),0.0)</f>
        <v>0</v>
      </c>
      <c r="S493" s="91">
        <f>IFERROR(__xludf.DUMMYFUNCTION("IFERROR(SUM(filter('Генеральный баннер'!$AH:$AH, 'Генеральный баннер'!$B:$B=$A493,'Генеральный баннер'!$C:$C=$B493,'Генеральный баннер'!$I:$I=$C493)), 0) "),0.0)</f>
        <v>0</v>
      </c>
      <c r="T493" s="91" t="str">
        <f>IFERROR(__xludf.DUMMYFUNCTION("IFERROR(REGEXREPLACE(unique(filter('Генеральный баннер'!$A:$A, 'Генеральный баннер'!$B:$B=$A493,'Генеральный баннер'!$C:$C=$B493,'Генеральный баннер'!$I:$I=$C493)), ""\d+"", """"),"""")"),"")</f>
        <v/>
      </c>
      <c r="U493" s="91" t="str">
        <f>IFERROR(__xludf.DUMMYFUNCTION("IFERROR(unique(filter('Генеральный баннер'!$F:$F, 'Генеральный баннер'!$B:$B=$A493,'Генеральный баннер'!$C:$C=$B493,'Генеральный баннер'!$I:$I=$C493)),"""")"),"")</f>
        <v/>
      </c>
      <c r="V493" s="92" t="str">
        <f t="shared" si="3"/>
        <v/>
      </c>
      <c r="W493" s="93">
        <f>IFERROR(__xludf.DUMMYFUNCTION("IFERROR(SWITCH(lower(join("" "",U493:V493)),""а миллионник"", 62.5,""б миллионник"", 75,""а мск"", 50, ""б мск"", 62.5, ""a остальное"", 70, ""б остальное"", 80)/100,0)"),0.0)</f>
        <v>0</v>
      </c>
      <c r="X493" s="91">
        <f t="shared" si="4"/>
        <v>0</v>
      </c>
    </row>
    <row r="494">
      <c r="A494" s="12"/>
      <c r="B494" s="12"/>
      <c r="C494" s="12"/>
      <c r="D494" s="91">
        <f>IFERROR(__xludf.DUMMYFUNCTION("IFERROR(sum(filter('Основной эфир'!$AA:$AA, 'Основной эфир'!$B:$B=$A494,'Основной эфир'!$C:$C=$B494,'Основной эфир'!$I:$I=$C494)), 0) "),0.0)</f>
        <v>0</v>
      </c>
      <c r="E494" s="91">
        <f>IFERROR(__xludf.DUMMYFUNCTION("IFERROR(sum(filter('Основной эфир'!$AC:$AC, 'Основной эфир'!$B:$B=$A494,'Основной эфир'!$C:$C=$B494,'Основной эфир'!$I:$I=$C494)), 0) "),0.0)</f>
        <v>0</v>
      </c>
      <c r="F494" s="91">
        <f>IFERROR(__xludf.DUMMYFUNCTION("IFERROR(sum(filter('Основной эфир'!$O:$O, 'Основной эфир'!$B:$B=$A494,'Основной эфир'!$C:$C=$B494,'Основной эфир'!$I:$I=$C494)), 0) "),0.0)</f>
        <v>0</v>
      </c>
      <c r="G494" s="91">
        <f>IFERROR(__xludf.DUMMYFUNCTION("IFERROR(sum(filter('Основной эфир'!$Q:$Q, 'Основной эфир'!$B:$B=$A494,'Основной эфир'!$C:$C=$B494,'Основной эфир'!$I:$I=$C494)), 0) "),0.0)</f>
        <v>0</v>
      </c>
      <c r="H494" s="91">
        <f>IFERROR(__xludf.DUMMYFUNCTION("IFERROR(AVERAGE(filter('Основной эфир'!$Y:$Y, 'Основной эфир'!$B:$B=$A494,'Основной эфир'!$C:$C=$B494,'Основной эфир'!$I:$I=$C494)), 0) "),0.0)</f>
        <v>0</v>
      </c>
      <c r="I494" s="91">
        <f>IFERROR(__xludf.DUMMYFUNCTION("IFERROR(AVERAGE(filter('Основной эфир'!$AE:$AE, 'Основной эфир'!$B:$B=$A494,'Основной эфир'!$C:$C=$B494,'Основной эфир'!$I:$I=$C494)), 0) "),0.0)</f>
        <v>0</v>
      </c>
      <c r="J494" s="91">
        <f>IFERROR(__xludf.DUMMYFUNCTION("IFERROR(SUM(filter('Основной эфир'!$AL:$AL, 'Основной эфир'!$B:$B=$A494,'Основной эфир'!$C:$C=$B494,'Основной эфир'!$I:$I=$C494)), 0) "),0.0)</f>
        <v>0</v>
      </c>
      <c r="K494" s="91" t="str">
        <f>IFERROR(__xludf.DUMMYFUNCTION("IFERROR(REGEXREPLACE(unique(filter('Основной эфир'!$A:$A, 'Основной эфир'!$B:$B=$A494,'Основной эфир'!$C:$C=$B494,'Основной эфир'!$I:$I=$C494)), ""\d+"", """"),"""")"),"")</f>
        <v/>
      </c>
      <c r="L494" s="91" t="str">
        <f>IFERROR(__xludf.DUMMYFUNCTION("IFERROR(unique(filter('Основной эфир'!$F:$F, 'Основной эфир'!$B:$B=$A494,'Основной эфир'!$C:$C=$B494,'Основной эфир'!$I:$I=$C494)),"""")"),"")</f>
        <v/>
      </c>
      <c r="M494" s="92" t="str">
        <f t="shared" si="1"/>
        <v/>
      </c>
      <c r="N494" s="93">
        <f>IFERROR(__xludf.DUMMYFUNCTION("IFERROR(SWITCH(lower(join("" "",L494:M494)),""а миллионник"", 62.5,""б миллионник"", 75,""а мск"", 50, ""б мск"", 62.5, ""a остальное"", 70, ""б остальное"", 80)/100,0)"),0.0)</f>
        <v>0</v>
      </c>
      <c r="O494" s="91">
        <f t="shared" si="2"/>
        <v>0</v>
      </c>
      <c r="P494" s="91">
        <f>IFERROR(__xludf.DUMMYFUNCTION("IFERROR(sum(filter('Генеральный баннер'!$O:$O, 'Генеральный баннер'!$B:$B=$A494,'Генеральный баннер'!$C:$C=$B494,'Генеральный баннер'!$I:$I=$C494)), 0) "),0.0)</f>
        <v>0</v>
      </c>
      <c r="Q494" s="91">
        <f>IFERROR(__xludf.DUMMYFUNCTION("IFERROR(sum(filter('Генеральный баннер'!$Q:$Q, 'Генеральный баннер'!$B:$B=$A494,'Генеральный баннер'!$C:$C=$B494,'Генеральный баннер'!$I:$I=$C494)), 0) "),0.0)</f>
        <v>0</v>
      </c>
      <c r="R494" s="91">
        <f>IFERROR(__xludf.DUMMYFUNCTION("IFERROR(AVERAGE(filter('Генеральный баннер'!$AA:$AA, 'Генеральный баннер'!$B:$B=$A494,'Генеральный баннер'!$C:$C=$B494,'Генеральный баннер'!$I:$I=$C494)), 0) "),0.0)</f>
        <v>0</v>
      </c>
      <c r="S494" s="91">
        <f>IFERROR(__xludf.DUMMYFUNCTION("IFERROR(SUM(filter('Генеральный баннер'!$AH:$AH, 'Генеральный баннер'!$B:$B=$A494,'Генеральный баннер'!$C:$C=$B494,'Генеральный баннер'!$I:$I=$C494)), 0) "),0.0)</f>
        <v>0</v>
      </c>
      <c r="T494" s="91" t="str">
        <f>IFERROR(__xludf.DUMMYFUNCTION("IFERROR(REGEXREPLACE(unique(filter('Генеральный баннер'!$A:$A, 'Генеральный баннер'!$B:$B=$A494,'Генеральный баннер'!$C:$C=$B494,'Генеральный баннер'!$I:$I=$C494)), ""\d+"", """"),"""")"),"")</f>
        <v/>
      </c>
      <c r="U494" s="91" t="str">
        <f>IFERROR(__xludf.DUMMYFUNCTION("IFERROR(unique(filter('Генеральный баннер'!$F:$F, 'Генеральный баннер'!$B:$B=$A494,'Генеральный баннер'!$C:$C=$B494,'Генеральный баннер'!$I:$I=$C494)),"""")"),"")</f>
        <v/>
      </c>
      <c r="V494" s="92" t="str">
        <f t="shared" si="3"/>
        <v/>
      </c>
      <c r="W494" s="93">
        <f>IFERROR(__xludf.DUMMYFUNCTION("IFERROR(SWITCH(lower(join("" "",U494:V494)),""а миллионник"", 62.5,""б миллионник"", 75,""а мск"", 50, ""б мск"", 62.5, ""a остальное"", 70, ""б остальное"", 80)/100,0)"),0.0)</f>
        <v>0</v>
      </c>
      <c r="X494" s="91">
        <f t="shared" si="4"/>
        <v>0</v>
      </c>
    </row>
    <row r="495">
      <c r="A495" s="12"/>
      <c r="B495" s="12"/>
      <c r="C495" s="12"/>
      <c r="D495" s="91">
        <f>IFERROR(__xludf.DUMMYFUNCTION("IFERROR(sum(filter('Основной эфир'!$AA:$AA, 'Основной эфир'!$B:$B=$A495,'Основной эфир'!$C:$C=$B495,'Основной эфир'!$I:$I=$C495)), 0) "),0.0)</f>
        <v>0</v>
      </c>
      <c r="E495" s="91">
        <f>IFERROR(__xludf.DUMMYFUNCTION("IFERROR(sum(filter('Основной эфир'!$AC:$AC, 'Основной эфир'!$B:$B=$A495,'Основной эфир'!$C:$C=$B495,'Основной эфир'!$I:$I=$C495)), 0) "),0.0)</f>
        <v>0</v>
      </c>
      <c r="F495" s="91">
        <f>IFERROR(__xludf.DUMMYFUNCTION("IFERROR(sum(filter('Основной эфир'!$O:$O, 'Основной эфир'!$B:$B=$A495,'Основной эфир'!$C:$C=$B495,'Основной эфир'!$I:$I=$C495)), 0) "),0.0)</f>
        <v>0</v>
      </c>
      <c r="G495" s="91">
        <f>IFERROR(__xludf.DUMMYFUNCTION("IFERROR(sum(filter('Основной эфир'!$Q:$Q, 'Основной эфир'!$B:$B=$A495,'Основной эфир'!$C:$C=$B495,'Основной эфир'!$I:$I=$C495)), 0) "),0.0)</f>
        <v>0</v>
      </c>
      <c r="H495" s="91">
        <f>IFERROR(__xludf.DUMMYFUNCTION("IFERROR(AVERAGE(filter('Основной эфир'!$Y:$Y, 'Основной эфир'!$B:$B=$A495,'Основной эфир'!$C:$C=$B495,'Основной эфир'!$I:$I=$C495)), 0) "),0.0)</f>
        <v>0</v>
      </c>
      <c r="I495" s="91">
        <f>IFERROR(__xludf.DUMMYFUNCTION("IFERROR(AVERAGE(filter('Основной эфир'!$AE:$AE, 'Основной эфир'!$B:$B=$A495,'Основной эфир'!$C:$C=$B495,'Основной эфир'!$I:$I=$C495)), 0) "),0.0)</f>
        <v>0</v>
      </c>
      <c r="J495" s="91">
        <f>IFERROR(__xludf.DUMMYFUNCTION("IFERROR(SUM(filter('Основной эфир'!$AL:$AL, 'Основной эфир'!$B:$B=$A495,'Основной эфир'!$C:$C=$B495,'Основной эфир'!$I:$I=$C495)), 0) "),0.0)</f>
        <v>0</v>
      </c>
      <c r="K495" s="91" t="str">
        <f>IFERROR(__xludf.DUMMYFUNCTION("IFERROR(REGEXREPLACE(unique(filter('Основной эфир'!$A:$A, 'Основной эфир'!$B:$B=$A495,'Основной эфир'!$C:$C=$B495,'Основной эфир'!$I:$I=$C495)), ""\d+"", """"),"""")"),"")</f>
        <v/>
      </c>
      <c r="L495" s="91" t="str">
        <f>IFERROR(__xludf.DUMMYFUNCTION("IFERROR(unique(filter('Основной эфир'!$F:$F, 'Основной эфир'!$B:$B=$A495,'Основной эфир'!$C:$C=$B495,'Основной эфир'!$I:$I=$C495)),"""")"),"")</f>
        <v/>
      </c>
      <c r="M495" s="92" t="str">
        <f t="shared" si="1"/>
        <v/>
      </c>
      <c r="N495" s="93">
        <f>IFERROR(__xludf.DUMMYFUNCTION("IFERROR(SWITCH(lower(join("" "",L495:M495)),""а миллионник"", 62.5,""б миллионник"", 75,""а мск"", 50, ""б мск"", 62.5, ""a остальное"", 70, ""б остальное"", 80)/100,0)"),0.0)</f>
        <v>0</v>
      </c>
      <c r="O495" s="91">
        <f t="shared" si="2"/>
        <v>0</v>
      </c>
      <c r="P495" s="91">
        <f>IFERROR(__xludf.DUMMYFUNCTION("IFERROR(sum(filter('Генеральный баннер'!$O:$O, 'Генеральный баннер'!$B:$B=$A495,'Генеральный баннер'!$C:$C=$B495,'Генеральный баннер'!$I:$I=$C495)), 0) "),0.0)</f>
        <v>0</v>
      </c>
      <c r="Q495" s="91">
        <f>IFERROR(__xludf.DUMMYFUNCTION("IFERROR(sum(filter('Генеральный баннер'!$Q:$Q, 'Генеральный баннер'!$B:$B=$A495,'Генеральный баннер'!$C:$C=$B495,'Генеральный баннер'!$I:$I=$C495)), 0) "),0.0)</f>
        <v>0</v>
      </c>
      <c r="R495" s="91">
        <f>IFERROR(__xludf.DUMMYFUNCTION("IFERROR(AVERAGE(filter('Генеральный баннер'!$AA:$AA, 'Генеральный баннер'!$B:$B=$A495,'Генеральный баннер'!$C:$C=$B495,'Генеральный баннер'!$I:$I=$C495)), 0) "),0.0)</f>
        <v>0</v>
      </c>
      <c r="S495" s="91">
        <f>IFERROR(__xludf.DUMMYFUNCTION("IFERROR(SUM(filter('Генеральный баннер'!$AH:$AH, 'Генеральный баннер'!$B:$B=$A495,'Генеральный баннер'!$C:$C=$B495,'Генеральный баннер'!$I:$I=$C495)), 0) "),0.0)</f>
        <v>0</v>
      </c>
      <c r="T495" s="91" t="str">
        <f>IFERROR(__xludf.DUMMYFUNCTION("IFERROR(REGEXREPLACE(unique(filter('Генеральный баннер'!$A:$A, 'Генеральный баннер'!$B:$B=$A495,'Генеральный баннер'!$C:$C=$B495,'Генеральный баннер'!$I:$I=$C495)), ""\d+"", """"),"""")"),"")</f>
        <v/>
      </c>
      <c r="U495" s="91" t="str">
        <f>IFERROR(__xludf.DUMMYFUNCTION("IFERROR(unique(filter('Генеральный баннер'!$F:$F, 'Генеральный баннер'!$B:$B=$A495,'Генеральный баннер'!$C:$C=$B495,'Генеральный баннер'!$I:$I=$C495)),"""")"),"")</f>
        <v/>
      </c>
      <c r="V495" s="92" t="str">
        <f t="shared" si="3"/>
        <v/>
      </c>
      <c r="W495" s="93">
        <f>IFERROR(__xludf.DUMMYFUNCTION("IFERROR(SWITCH(lower(join("" "",U495:V495)),""а миллионник"", 62.5,""б миллионник"", 75,""а мск"", 50, ""б мск"", 62.5, ""a остальное"", 70, ""б остальное"", 80)/100,0)"),0.0)</f>
        <v>0</v>
      </c>
      <c r="X495" s="91">
        <f t="shared" si="4"/>
        <v>0</v>
      </c>
    </row>
    <row r="496">
      <c r="A496" s="12"/>
      <c r="B496" s="12"/>
      <c r="C496" s="12"/>
      <c r="D496" s="91">
        <f>IFERROR(__xludf.DUMMYFUNCTION("IFERROR(sum(filter('Основной эфир'!$AA:$AA, 'Основной эфир'!$B:$B=$A496,'Основной эфир'!$C:$C=$B496,'Основной эфир'!$I:$I=$C496)), 0) "),0.0)</f>
        <v>0</v>
      </c>
      <c r="E496" s="91">
        <f>IFERROR(__xludf.DUMMYFUNCTION("IFERROR(sum(filter('Основной эфир'!$AC:$AC, 'Основной эфир'!$B:$B=$A496,'Основной эфир'!$C:$C=$B496,'Основной эфир'!$I:$I=$C496)), 0) "),0.0)</f>
        <v>0</v>
      </c>
      <c r="F496" s="91">
        <f>IFERROR(__xludf.DUMMYFUNCTION("IFERROR(sum(filter('Основной эфир'!$O:$O, 'Основной эфир'!$B:$B=$A496,'Основной эфир'!$C:$C=$B496,'Основной эфир'!$I:$I=$C496)), 0) "),0.0)</f>
        <v>0</v>
      </c>
      <c r="G496" s="91">
        <f>IFERROR(__xludf.DUMMYFUNCTION("IFERROR(sum(filter('Основной эфир'!$Q:$Q, 'Основной эфир'!$B:$B=$A496,'Основной эфир'!$C:$C=$B496,'Основной эфир'!$I:$I=$C496)), 0) "),0.0)</f>
        <v>0</v>
      </c>
      <c r="H496" s="91">
        <f>IFERROR(__xludf.DUMMYFUNCTION("IFERROR(AVERAGE(filter('Основной эфир'!$Y:$Y, 'Основной эфир'!$B:$B=$A496,'Основной эфир'!$C:$C=$B496,'Основной эфир'!$I:$I=$C496)), 0) "),0.0)</f>
        <v>0</v>
      </c>
      <c r="I496" s="91">
        <f>IFERROR(__xludf.DUMMYFUNCTION("IFERROR(AVERAGE(filter('Основной эфир'!$AE:$AE, 'Основной эфир'!$B:$B=$A496,'Основной эфир'!$C:$C=$B496,'Основной эфир'!$I:$I=$C496)), 0) "),0.0)</f>
        <v>0</v>
      </c>
      <c r="J496" s="91">
        <f>IFERROR(__xludf.DUMMYFUNCTION("IFERROR(SUM(filter('Основной эфир'!$AL:$AL, 'Основной эфир'!$B:$B=$A496,'Основной эфир'!$C:$C=$B496,'Основной эфир'!$I:$I=$C496)), 0) "),0.0)</f>
        <v>0</v>
      </c>
      <c r="K496" s="91" t="str">
        <f>IFERROR(__xludf.DUMMYFUNCTION("IFERROR(REGEXREPLACE(unique(filter('Основной эфир'!$A:$A, 'Основной эфир'!$B:$B=$A496,'Основной эфир'!$C:$C=$B496,'Основной эфир'!$I:$I=$C496)), ""\d+"", """"),"""")"),"")</f>
        <v/>
      </c>
      <c r="L496" s="91" t="str">
        <f>IFERROR(__xludf.DUMMYFUNCTION("IFERROR(unique(filter('Основной эфир'!$F:$F, 'Основной эфир'!$B:$B=$A496,'Основной эфир'!$C:$C=$B496,'Основной эфир'!$I:$I=$C496)),"""")"),"")</f>
        <v/>
      </c>
      <c r="M496" s="92" t="str">
        <f t="shared" si="1"/>
        <v/>
      </c>
      <c r="N496" s="93">
        <f>IFERROR(__xludf.DUMMYFUNCTION("IFERROR(SWITCH(lower(join("" "",L496:M496)),""а миллионник"", 62.5,""б миллионник"", 75,""а мск"", 50, ""б мск"", 62.5, ""a остальное"", 70, ""б остальное"", 80)/100,0)"),0.0)</f>
        <v>0</v>
      </c>
      <c r="O496" s="91">
        <f t="shared" si="2"/>
        <v>0</v>
      </c>
      <c r="P496" s="91">
        <f>IFERROR(__xludf.DUMMYFUNCTION("IFERROR(sum(filter('Генеральный баннер'!$O:$O, 'Генеральный баннер'!$B:$B=$A496,'Генеральный баннер'!$C:$C=$B496,'Генеральный баннер'!$I:$I=$C496)), 0) "),0.0)</f>
        <v>0</v>
      </c>
      <c r="Q496" s="91">
        <f>IFERROR(__xludf.DUMMYFUNCTION("IFERROR(sum(filter('Генеральный баннер'!$Q:$Q, 'Генеральный баннер'!$B:$B=$A496,'Генеральный баннер'!$C:$C=$B496,'Генеральный баннер'!$I:$I=$C496)), 0) "),0.0)</f>
        <v>0</v>
      </c>
      <c r="R496" s="91">
        <f>IFERROR(__xludf.DUMMYFUNCTION("IFERROR(AVERAGE(filter('Генеральный баннер'!$AA:$AA, 'Генеральный баннер'!$B:$B=$A496,'Генеральный баннер'!$C:$C=$B496,'Генеральный баннер'!$I:$I=$C496)), 0) "),0.0)</f>
        <v>0</v>
      </c>
      <c r="S496" s="91">
        <f>IFERROR(__xludf.DUMMYFUNCTION("IFERROR(SUM(filter('Генеральный баннер'!$AH:$AH, 'Генеральный баннер'!$B:$B=$A496,'Генеральный баннер'!$C:$C=$B496,'Генеральный баннер'!$I:$I=$C496)), 0) "),0.0)</f>
        <v>0</v>
      </c>
      <c r="T496" s="91" t="str">
        <f>IFERROR(__xludf.DUMMYFUNCTION("IFERROR(REGEXREPLACE(unique(filter('Генеральный баннер'!$A:$A, 'Генеральный баннер'!$B:$B=$A496,'Генеральный баннер'!$C:$C=$B496,'Генеральный баннер'!$I:$I=$C496)), ""\d+"", """"),"""")"),"")</f>
        <v/>
      </c>
      <c r="U496" s="91" t="str">
        <f>IFERROR(__xludf.DUMMYFUNCTION("IFERROR(unique(filter('Генеральный баннер'!$F:$F, 'Генеральный баннер'!$B:$B=$A496,'Генеральный баннер'!$C:$C=$B496,'Генеральный баннер'!$I:$I=$C496)),"""")"),"")</f>
        <v/>
      </c>
      <c r="V496" s="92" t="str">
        <f t="shared" si="3"/>
        <v/>
      </c>
      <c r="W496" s="93">
        <f>IFERROR(__xludf.DUMMYFUNCTION("IFERROR(SWITCH(lower(join("" "",U496:V496)),""а миллионник"", 62.5,""б миллионник"", 75,""а мск"", 50, ""б мск"", 62.5, ""a остальное"", 70, ""б остальное"", 80)/100,0)"),0.0)</f>
        <v>0</v>
      </c>
      <c r="X496" s="91">
        <f t="shared" si="4"/>
        <v>0</v>
      </c>
    </row>
    <row r="497">
      <c r="A497" s="12"/>
      <c r="B497" s="12"/>
      <c r="C497" s="12"/>
      <c r="D497" s="91">
        <f>IFERROR(__xludf.DUMMYFUNCTION("IFERROR(sum(filter('Основной эфир'!$AA:$AA, 'Основной эфир'!$B:$B=$A497,'Основной эфир'!$C:$C=$B497,'Основной эфир'!$I:$I=$C497)), 0) "),0.0)</f>
        <v>0</v>
      </c>
      <c r="E497" s="91">
        <f>IFERROR(__xludf.DUMMYFUNCTION("IFERROR(sum(filter('Основной эфир'!$AC:$AC, 'Основной эфир'!$B:$B=$A497,'Основной эфир'!$C:$C=$B497,'Основной эфир'!$I:$I=$C497)), 0) "),0.0)</f>
        <v>0</v>
      </c>
      <c r="F497" s="91">
        <f>IFERROR(__xludf.DUMMYFUNCTION("IFERROR(sum(filter('Основной эфир'!$O:$O, 'Основной эфир'!$B:$B=$A497,'Основной эфир'!$C:$C=$B497,'Основной эфир'!$I:$I=$C497)), 0) "),0.0)</f>
        <v>0</v>
      </c>
      <c r="G497" s="91">
        <f>IFERROR(__xludf.DUMMYFUNCTION("IFERROR(sum(filter('Основной эфир'!$Q:$Q, 'Основной эфир'!$B:$B=$A497,'Основной эфир'!$C:$C=$B497,'Основной эфир'!$I:$I=$C497)), 0) "),0.0)</f>
        <v>0</v>
      </c>
      <c r="H497" s="91">
        <f>IFERROR(__xludf.DUMMYFUNCTION("IFERROR(AVERAGE(filter('Основной эфир'!$Y:$Y, 'Основной эфир'!$B:$B=$A497,'Основной эфир'!$C:$C=$B497,'Основной эфир'!$I:$I=$C497)), 0) "),0.0)</f>
        <v>0</v>
      </c>
      <c r="I497" s="91">
        <f>IFERROR(__xludf.DUMMYFUNCTION("IFERROR(AVERAGE(filter('Основной эфир'!$AE:$AE, 'Основной эфир'!$B:$B=$A497,'Основной эфир'!$C:$C=$B497,'Основной эфир'!$I:$I=$C497)), 0) "),0.0)</f>
        <v>0</v>
      </c>
      <c r="J497" s="91">
        <f>IFERROR(__xludf.DUMMYFUNCTION("IFERROR(SUM(filter('Основной эфир'!$AL:$AL, 'Основной эфир'!$B:$B=$A497,'Основной эфир'!$C:$C=$B497,'Основной эфир'!$I:$I=$C497)), 0) "),0.0)</f>
        <v>0</v>
      </c>
      <c r="K497" s="91" t="str">
        <f>IFERROR(__xludf.DUMMYFUNCTION("IFERROR(REGEXREPLACE(unique(filter('Основной эфир'!$A:$A, 'Основной эфир'!$B:$B=$A497,'Основной эфир'!$C:$C=$B497,'Основной эфир'!$I:$I=$C497)), ""\d+"", """"),"""")"),"")</f>
        <v/>
      </c>
      <c r="L497" s="91" t="str">
        <f>IFERROR(__xludf.DUMMYFUNCTION("IFERROR(unique(filter('Основной эфир'!$F:$F, 'Основной эфир'!$B:$B=$A497,'Основной эфир'!$C:$C=$B497,'Основной эфир'!$I:$I=$C497)),"""")"),"")</f>
        <v/>
      </c>
      <c r="M497" s="92" t="str">
        <f t="shared" si="1"/>
        <v/>
      </c>
      <c r="N497" s="93">
        <f>IFERROR(__xludf.DUMMYFUNCTION("IFERROR(SWITCH(lower(join("" "",L497:M497)),""а миллионник"", 62.5,""б миллионник"", 75,""а мск"", 50, ""б мск"", 62.5, ""a остальное"", 70, ""б остальное"", 80)/100,0)"),0.0)</f>
        <v>0</v>
      </c>
      <c r="O497" s="91">
        <f t="shared" si="2"/>
        <v>0</v>
      </c>
      <c r="P497" s="91">
        <f>IFERROR(__xludf.DUMMYFUNCTION("IFERROR(sum(filter('Генеральный баннер'!$O:$O, 'Генеральный баннер'!$B:$B=$A497,'Генеральный баннер'!$C:$C=$B497,'Генеральный баннер'!$I:$I=$C497)), 0) "),0.0)</f>
        <v>0</v>
      </c>
      <c r="Q497" s="91">
        <f>IFERROR(__xludf.DUMMYFUNCTION("IFERROR(sum(filter('Генеральный баннер'!$Q:$Q, 'Генеральный баннер'!$B:$B=$A497,'Генеральный баннер'!$C:$C=$B497,'Генеральный баннер'!$I:$I=$C497)), 0) "),0.0)</f>
        <v>0</v>
      </c>
      <c r="R497" s="91">
        <f>IFERROR(__xludf.DUMMYFUNCTION("IFERROR(AVERAGE(filter('Генеральный баннер'!$AA:$AA, 'Генеральный баннер'!$B:$B=$A497,'Генеральный баннер'!$C:$C=$B497,'Генеральный баннер'!$I:$I=$C497)), 0) "),0.0)</f>
        <v>0</v>
      </c>
      <c r="S497" s="91">
        <f>IFERROR(__xludf.DUMMYFUNCTION("IFERROR(SUM(filter('Генеральный баннер'!$AH:$AH, 'Генеральный баннер'!$B:$B=$A497,'Генеральный баннер'!$C:$C=$B497,'Генеральный баннер'!$I:$I=$C497)), 0) "),0.0)</f>
        <v>0</v>
      </c>
      <c r="T497" s="91" t="str">
        <f>IFERROR(__xludf.DUMMYFUNCTION("IFERROR(REGEXREPLACE(unique(filter('Генеральный баннер'!$A:$A, 'Генеральный баннер'!$B:$B=$A497,'Генеральный баннер'!$C:$C=$B497,'Генеральный баннер'!$I:$I=$C497)), ""\d+"", """"),"""")"),"")</f>
        <v/>
      </c>
      <c r="U497" s="91" t="str">
        <f>IFERROR(__xludf.DUMMYFUNCTION("IFERROR(unique(filter('Генеральный баннер'!$F:$F, 'Генеральный баннер'!$B:$B=$A497,'Генеральный баннер'!$C:$C=$B497,'Генеральный баннер'!$I:$I=$C497)),"""")"),"")</f>
        <v/>
      </c>
      <c r="V497" s="92" t="str">
        <f t="shared" si="3"/>
        <v/>
      </c>
      <c r="W497" s="93">
        <f>IFERROR(__xludf.DUMMYFUNCTION("IFERROR(SWITCH(lower(join("" "",U497:V497)),""а миллионник"", 62.5,""б миллионник"", 75,""а мск"", 50, ""б мск"", 62.5, ""a остальное"", 70, ""б остальное"", 80)/100,0)"),0.0)</f>
        <v>0</v>
      </c>
      <c r="X497" s="91">
        <f t="shared" si="4"/>
        <v>0</v>
      </c>
    </row>
    <row r="498">
      <c r="A498" s="12"/>
      <c r="B498" s="12"/>
      <c r="C498" s="12"/>
      <c r="D498" s="91">
        <f>IFERROR(__xludf.DUMMYFUNCTION("IFERROR(sum(filter('Основной эфир'!$AA:$AA, 'Основной эфир'!$B:$B=$A498,'Основной эфир'!$C:$C=$B498,'Основной эфир'!$I:$I=$C498)), 0) "),0.0)</f>
        <v>0</v>
      </c>
      <c r="E498" s="91">
        <f>IFERROR(__xludf.DUMMYFUNCTION("IFERROR(sum(filter('Основной эфир'!$AC:$AC, 'Основной эфир'!$B:$B=$A498,'Основной эфир'!$C:$C=$B498,'Основной эфир'!$I:$I=$C498)), 0) "),0.0)</f>
        <v>0</v>
      </c>
      <c r="F498" s="91">
        <f>IFERROR(__xludf.DUMMYFUNCTION("IFERROR(sum(filter('Основной эфир'!$O:$O, 'Основной эфир'!$B:$B=$A498,'Основной эфир'!$C:$C=$B498,'Основной эфир'!$I:$I=$C498)), 0) "),0.0)</f>
        <v>0</v>
      </c>
      <c r="G498" s="91">
        <f>IFERROR(__xludf.DUMMYFUNCTION("IFERROR(sum(filter('Основной эфир'!$Q:$Q, 'Основной эфир'!$B:$B=$A498,'Основной эфир'!$C:$C=$B498,'Основной эфир'!$I:$I=$C498)), 0) "),0.0)</f>
        <v>0</v>
      </c>
      <c r="H498" s="91">
        <f>IFERROR(__xludf.DUMMYFUNCTION("IFERROR(AVERAGE(filter('Основной эфир'!$Y:$Y, 'Основной эфир'!$B:$B=$A498,'Основной эфир'!$C:$C=$B498,'Основной эфир'!$I:$I=$C498)), 0) "),0.0)</f>
        <v>0</v>
      </c>
      <c r="I498" s="91">
        <f>IFERROR(__xludf.DUMMYFUNCTION("IFERROR(AVERAGE(filter('Основной эфир'!$AE:$AE, 'Основной эфир'!$B:$B=$A498,'Основной эфир'!$C:$C=$B498,'Основной эфир'!$I:$I=$C498)), 0) "),0.0)</f>
        <v>0</v>
      </c>
      <c r="J498" s="91">
        <f>IFERROR(__xludf.DUMMYFUNCTION("IFERROR(SUM(filter('Основной эфир'!$AL:$AL, 'Основной эфир'!$B:$B=$A498,'Основной эфир'!$C:$C=$B498,'Основной эфир'!$I:$I=$C498)), 0) "),0.0)</f>
        <v>0</v>
      </c>
      <c r="K498" s="91" t="str">
        <f>IFERROR(__xludf.DUMMYFUNCTION("IFERROR(REGEXREPLACE(unique(filter('Основной эфир'!$A:$A, 'Основной эфир'!$B:$B=$A498,'Основной эфир'!$C:$C=$B498,'Основной эфир'!$I:$I=$C498)), ""\d+"", """"),"""")"),"")</f>
        <v/>
      </c>
      <c r="L498" s="91" t="str">
        <f>IFERROR(__xludf.DUMMYFUNCTION("IFERROR(unique(filter('Основной эфир'!$F:$F, 'Основной эфир'!$B:$B=$A498,'Основной эфир'!$C:$C=$B498,'Основной эфир'!$I:$I=$C498)),"""")"),"")</f>
        <v/>
      </c>
      <c r="M498" s="92" t="str">
        <f t="shared" si="1"/>
        <v/>
      </c>
      <c r="N498" s="93">
        <f>IFERROR(__xludf.DUMMYFUNCTION("IFERROR(SWITCH(lower(join("" "",L498:M498)),""а миллионник"", 62.5,""б миллионник"", 75,""а мск"", 50, ""б мск"", 62.5, ""a остальное"", 70, ""б остальное"", 80)/100,0)"),0.0)</f>
        <v>0</v>
      </c>
      <c r="O498" s="91">
        <f t="shared" si="2"/>
        <v>0</v>
      </c>
      <c r="P498" s="91">
        <f>IFERROR(__xludf.DUMMYFUNCTION("IFERROR(sum(filter('Генеральный баннер'!$O:$O, 'Генеральный баннер'!$B:$B=$A498,'Генеральный баннер'!$C:$C=$B498,'Генеральный баннер'!$I:$I=$C498)), 0) "),0.0)</f>
        <v>0</v>
      </c>
      <c r="Q498" s="91">
        <f>IFERROR(__xludf.DUMMYFUNCTION("IFERROR(sum(filter('Генеральный баннер'!$Q:$Q, 'Генеральный баннер'!$B:$B=$A498,'Генеральный баннер'!$C:$C=$B498,'Генеральный баннер'!$I:$I=$C498)), 0) "),0.0)</f>
        <v>0</v>
      </c>
      <c r="R498" s="91">
        <f>IFERROR(__xludf.DUMMYFUNCTION("IFERROR(AVERAGE(filter('Генеральный баннер'!$AA:$AA, 'Генеральный баннер'!$B:$B=$A498,'Генеральный баннер'!$C:$C=$B498,'Генеральный баннер'!$I:$I=$C498)), 0) "),0.0)</f>
        <v>0</v>
      </c>
      <c r="S498" s="91">
        <f>IFERROR(__xludf.DUMMYFUNCTION("IFERROR(SUM(filter('Генеральный баннер'!$AH:$AH, 'Генеральный баннер'!$B:$B=$A498,'Генеральный баннер'!$C:$C=$B498,'Генеральный баннер'!$I:$I=$C498)), 0) "),0.0)</f>
        <v>0</v>
      </c>
      <c r="T498" s="91" t="str">
        <f>IFERROR(__xludf.DUMMYFUNCTION("IFERROR(REGEXREPLACE(unique(filter('Генеральный баннер'!$A:$A, 'Генеральный баннер'!$B:$B=$A498,'Генеральный баннер'!$C:$C=$B498,'Генеральный баннер'!$I:$I=$C498)), ""\d+"", """"),"""")"),"")</f>
        <v/>
      </c>
      <c r="U498" s="91" t="str">
        <f>IFERROR(__xludf.DUMMYFUNCTION("IFERROR(unique(filter('Генеральный баннер'!$F:$F, 'Генеральный баннер'!$B:$B=$A498,'Генеральный баннер'!$C:$C=$B498,'Генеральный баннер'!$I:$I=$C498)),"""")"),"")</f>
        <v/>
      </c>
      <c r="V498" s="92" t="str">
        <f t="shared" si="3"/>
        <v/>
      </c>
      <c r="W498" s="93">
        <f>IFERROR(__xludf.DUMMYFUNCTION("IFERROR(SWITCH(lower(join("" "",U498:V498)),""а миллионник"", 62.5,""б миллионник"", 75,""а мск"", 50, ""б мск"", 62.5, ""a остальное"", 70, ""б остальное"", 80)/100,0)"),0.0)</f>
        <v>0</v>
      </c>
      <c r="X498" s="91">
        <f t="shared" si="4"/>
        <v>0</v>
      </c>
    </row>
    <row r="499">
      <c r="A499" s="12"/>
      <c r="B499" s="12"/>
      <c r="C499" s="12"/>
      <c r="D499" s="91">
        <f>IFERROR(__xludf.DUMMYFUNCTION("IFERROR(sum(filter('Основной эфир'!$AA:$AA, 'Основной эфир'!$B:$B=$A499,'Основной эфир'!$C:$C=$B499,'Основной эфир'!$I:$I=$C499)), 0) "),0.0)</f>
        <v>0</v>
      </c>
      <c r="E499" s="91">
        <f>IFERROR(__xludf.DUMMYFUNCTION("IFERROR(sum(filter('Основной эфир'!$AC:$AC, 'Основной эфир'!$B:$B=$A499,'Основной эфир'!$C:$C=$B499,'Основной эфир'!$I:$I=$C499)), 0) "),0.0)</f>
        <v>0</v>
      </c>
      <c r="F499" s="91">
        <f>IFERROR(__xludf.DUMMYFUNCTION("IFERROR(sum(filter('Основной эфир'!$O:$O, 'Основной эфир'!$B:$B=$A499,'Основной эфир'!$C:$C=$B499,'Основной эфир'!$I:$I=$C499)), 0) "),0.0)</f>
        <v>0</v>
      </c>
      <c r="G499" s="91">
        <f>IFERROR(__xludf.DUMMYFUNCTION("IFERROR(sum(filter('Основной эфир'!$Q:$Q, 'Основной эфир'!$B:$B=$A499,'Основной эфир'!$C:$C=$B499,'Основной эфир'!$I:$I=$C499)), 0) "),0.0)</f>
        <v>0</v>
      </c>
      <c r="H499" s="91">
        <f>IFERROR(__xludf.DUMMYFUNCTION("IFERROR(AVERAGE(filter('Основной эфир'!$Y:$Y, 'Основной эфир'!$B:$B=$A499,'Основной эфир'!$C:$C=$B499,'Основной эфир'!$I:$I=$C499)), 0) "),0.0)</f>
        <v>0</v>
      </c>
      <c r="I499" s="91">
        <f>IFERROR(__xludf.DUMMYFUNCTION("IFERROR(AVERAGE(filter('Основной эфир'!$AE:$AE, 'Основной эфир'!$B:$B=$A499,'Основной эфир'!$C:$C=$B499,'Основной эфир'!$I:$I=$C499)), 0) "),0.0)</f>
        <v>0</v>
      </c>
      <c r="J499" s="91">
        <f>IFERROR(__xludf.DUMMYFUNCTION("IFERROR(SUM(filter('Основной эфир'!$AL:$AL, 'Основной эфир'!$B:$B=$A499,'Основной эфир'!$C:$C=$B499,'Основной эфир'!$I:$I=$C499)), 0) "),0.0)</f>
        <v>0</v>
      </c>
      <c r="K499" s="91" t="str">
        <f>IFERROR(__xludf.DUMMYFUNCTION("IFERROR(REGEXREPLACE(unique(filter('Основной эфир'!$A:$A, 'Основной эфир'!$B:$B=$A499,'Основной эфир'!$C:$C=$B499,'Основной эфир'!$I:$I=$C499)), ""\d+"", """"),"""")"),"")</f>
        <v/>
      </c>
      <c r="L499" s="91" t="str">
        <f>IFERROR(__xludf.DUMMYFUNCTION("IFERROR(unique(filter('Основной эфир'!$F:$F, 'Основной эфир'!$B:$B=$A499,'Основной эфир'!$C:$C=$B499,'Основной эфир'!$I:$I=$C499)),"""")"),"")</f>
        <v/>
      </c>
      <c r="M499" s="92" t="str">
        <f t="shared" si="1"/>
        <v/>
      </c>
      <c r="N499" s="93">
        <f>IFERROR(__xludf.DUMMYFUNCTION("IFERROR(SWITCH(lower(join("" "",L499:M499)),""а миллионник"", 62.5,""б миллионник"", 75,""а мск"", 50, ""б мск"", 62.5, ""a остальное"", 70, ""б остальное"", 80)/100,0)"),0.0)</f>
        <v>0</v>
      </c>
      <c r="O499" s="91">
        <f t="shared" si="2"/>
        <v>0</v>
      </c>
      <c r="P499" s="91">
        <f>IFERROR(__xludf.DUMMYFUNCTION("IFERROR(sum(filter('Генеральный баннер'!$O:$O, 'Генеральный баннер'!$B:$B=$A499,'Генеральный баннер'!$C:$C=$B499,'Генеральный баннер'!$I:$I=$C499)), 0) "),0.0)</f>
        <v>0</v>
      </c>
      <c r="Q499" s="91">
        <f>IFERROR(__xludf.DUMMYFUNCTION("IFERROR(sum(filter('Генеральный баннер'!$Q:$Q, 'Генеральный баннер'!$B:$B=$A499,'Генеральный баннер'!$C:$C=$B499,'Генеральный баннер'!$I:$I=$C499)), 0) "),0.0)</f>
        <v>0</v>
      </c>
      <c r="R499" s="91">
        <f>IFERROR(__xludf.DUMMYFUNCTION("IFERROR(AVERAGE(filter('Генеральный баннер'!$AA:$AA, 'Генеральный баннер'!$B:$B=$A499,'Генеральный баннер'!$C:$C=$B499,'Генеральный баннер'!$I:$I=$C499)), 0) "),0.0)</f>
        <v>0</v>
      </c>
      <c r="S499" s="91">
        <f>IFERROR(__xludf.DUMMYFUNCTION("IFERROR(SUM(filter('Генеральный баннер'!$AH:$AH, 'Генеральный баннер'!$B:$B=$A499,'Генеральный баннер'!$C:$C=$B499,'Генеральный баннер'!$I:$I=$C499)), 0) "),0.0)</f>
        <v>0</v>
      </c>
      <c r="T499" s="91" t="str">
        <f>IFERROR(__xludf.DUMMYFUNCTION("IFERROR(REGEXREPLACE(unique(filter('Генеральный баннер'!$A:$A, 'Генеральный баннер'!$B:$B=$A499,'Генеральный баннер'!$C:$C=$B499,'Генеральный баннер'!$I:$I=$C499)), ""\d+"", """"),"""")"),"")</f>
        <v/>
      </c>
      <c r="U499" s="91" t="str">
        <f>IFERROR(__xludf.DUMMYFUNCTION("IFERROR(unique(filter('Генеральный баннер'!$F:$F, 'Генеральный баннер'!$B:$B=$A499,'Генеральный баннер'!$C:$C=$B499,'Генеральный баннер'!$I:$I=$C499)),"""")"),"")</f>
        <v/>
      </c>
      <c r="V499" s="92" t="str">
        <f t="shared" si="3"/>
        <v/>
      </c>
      <c r="W499" s="93">
        <f>IFERROR(__xludf.DUMMYFUNCTION("IFERROR(SWITCH(lower(join("" "",U499:V499)),""а миллионник"", 62.5,""б миллионник"", 75,""а мск"", 50, ""б мск"", 62.5, ""a остальное"", 70, ""б остальное"", 80)/100,0)"),0.0)</f>
        <v>0</v>
      </c>
      <c r="X499" s="91">
        <f t="shared" si="4"/>
        <v>0</v>
      </c>
    </row>
    <row r="500">
      <c r="A500" s="12"/>
      <c r="B500" s="12"/>
      <c r="C500" s="12"/>
      <c r="D500" s="91">
        <f>IFERROR(__xludf.DUMMYFUNCTION("IFERROR(sum(filter('Основной эфир'!$AA:$AA, 'Основной эфир'!$B:$B=$A500,'Основной эфир'!$C:$C=$B500,'Основной эфир'!$I:$I=$C500)), 0) "),0.0)</f>
        <v>0</v>
      </c>
      <c r="E500" s="91">
        <f>IFERROR(__xludf.DUMMYFUNCTION("IFERROR(sum(filter('Основной эфир'!$AC:$AC, 'Основной эфир'!$B:$B=$A500,'Основной эфир'!$C:$C=$B500,'Основной эфир'!$I:$I=$C500)), 0) "),0.0)</f>
        <v>0</v>
      </c>
      <c r="F500" s="91">
        <f>IFERROR(__xludf.DUMMYFUNCTION("IFERROR(sum(filter('Основной эфир'!$O:$O, 'Основной эфир'!$B:$B=$A500,'Основной эфир'!$C:$C=$B500,'Основной эфир'!$I:$I=$C500)), 0) "),0.0)</f>
        <v>0</v>
      </c>
      <c r="G500" s="91">
        <f>IFERROR(__xludf.DUMMYFUNCTION("IFERROR(sum(filter('Основной эфир'!$Q:$Q, 'Основной эфир'!$B:$B=$A500,'Основной эфир'!$C:$C=$B500,'Основной эфир'!$I:$I=$C500)), 0) "),0.0)</f>
        <v>0</v>
      </c>
      <c r="H500" s="91">
        <f>IFERROR(__xludf.DUMMYFUNCTION("IFERROR(AVERAGE(filter('Основной эфир'!$Y:$Y, 'Основной эфир'!$B:$B=$A500,'Основной эфир'!$C:$C=$B500,'Основной эфир'!$I:$I=$C500)), 0) "),0.0)</f>
        <v>0</v>
      </c>
      <c r="I500" s="91">
        <f>IFERROR(__xludf.DUMMYFUNCTION("IFERROR(AVERAGE(filter('Основной эфир'!$AE:$AE, 'Основной эфир'!$B:$B=$A500,'Основной эфир'!$C:$C=$B500,'Основной эфир'!$I:$I=$C500)), 0) "),0.0)</f>
        <v>0</v>
      </c>
      <c r="J500" s="91">
        <f>IFERROR(__xludf.DUMMYFUNCTION("IFERROR(SUM(filter('Основной эфир'!$AL:$AL, 'Основной эфир'!$B:$B=$A500,'Основной эфир'!$C:$C=$B500,'Основной эфир'!$I:$I=$C500)), 0) "),0.0)</f>
        <v>0</v>
      </c>
      <c r="K500" s="91" t="str">
        <f>IFERROR(__xludf.DUMMYFUNCTION("IFERROR(REGEXREPLACE(unique(filter('Основной эфир'!$A:$A, 'Основной эфир'!$B:$B=$A500,'Основной эфир'!$C:$C=$B500,'Основной эфир'!$I:$I=$C500)), ""\d+"", """"),"""")"),"")</f>
        <v/>
      </c>
      <c r="L500" s="91" t="str">
        <f>IFERROR(__xludf.DUMMYFUNCTION("IFERROR(unique(filter('Основной эфир'!$F:$F, 'Основной эфир'!$B:$B=$A500,'Основной эфир'!$C:$C=$B500,'Основной эфир'!$I:$I=$C500)),"""")"),"")</f>
        <v/>
      </c>
      <c r="M500" s="92" t="str">
        <f t="shared" si="1"/>
        <v/>
      </c>
      <c r="N500" s="93">
        <f>IFERROR(__xludf.DUMMYFUNCTION("IFERROR(SWITCH(lower(join("" "",L500:M500)),""а миллионник"", 62.5,""б миллионник"", 75,""а мск"", 50, ""б мск"", 62.5, ""a остальное"", 70, ""б остальное"", 80)/100,0)"),0.0)</f>
        <v>0</v>
      </c>
      <c r="O500" s="91">
        <f t="shared" si="2"/>
        <v>0</v>
      </c>
      <c r="P500" s="91">
        <f>IFERROR(__xludf.DUMMYFUNCTION("IFERROR(sum(filter('Генеральный баннер'!$O:$O, 'Генеральный баннер'!$B:$B=$A500,'Генеральный баннер'!$C:$C=$B500,'Генеральный баннер'!$I:$I=$C500)), 0) "),0.0)</f>
        <v>0</v>
      </c>
      <c r="Q500" s="91">
        <f>IFERROR(__xludf.DUMMYFUNCTION("IFERROR(sum(filter('Генеральный баннер'!$Q:$Q, 'Генеральный баннер'!$B:$B=$A500,'Генеральный баннер'!$C:$C=$B500,'Генеральный баннер'!$I:$I=$C500)), 0) "),0.0)</f>
        <v>0</v>
      </c>
      <c r="R500" s="91">
        <f>IFERROR(__xludf.DUMMYFUNCTION("IFERROR(AVERAGE(filter('Генеральный баннер'!$AA:$AA, 'Генеральный баннер'!$B:$B=$A500,'Генеральный баннер'!$C:$C=$B500,'Генеральный баннер'!$I:$I=$C500)), 0) "),0.0)</f>
        <v>0</v>
      </c>
      <c r="S500" s="91">
        <f>IFERROR(__xludf.DUMMYFUNCTION("IFERROR(SUM(filter('Генеральный баннер'!$AH:$AH, 'Генеральный баннер'!$B:$B=$A500,'Генеральный баннер'!$C:$C=$B500,'Генеральный баннер'!$I:$I=$C500)), 0) "),0.0)</f>
        <v>0</v>
      </c>
      <c r="T500" s="91" t="str">
        <f>IFERROR(__xludf.DUMMYFUNCTION("IFERROR(REGEXREPLACE(unique(filter('Генеральный баннер'!$A:$A, 'Генеральный баннер'!$B:$B=$A500,'Генеральный баннер'!$C:$C=$B500,'Генеральный баннер'!$I:$I=$C500)), ""\d+"", """"),"""")"),"")</f>
        <v/>
      </c>
      <c r="U500" s="91" t="str">
        <f>IFERROR(__xludf.DUMMYFUNCTION("IFERROR(unique(filter('Генеральный баннер'!$F:$F, 'Генеральный баннер'!$B:$B=$A500,'Генеральный баннер'!$C:$C=$B500,'Генеральный баннер'!$I:$I=$C500)),"""")"),"")</f>
        <v/>
      </c>
      <c r="V500" s="92" t="str">
        <f t="shared" si="3"/>
        <v/>
      </c>
      <c r="W500" s="93">
        <f>IFERROR(__xludf.DUMMYFUNCTION("IFERROR(SWITCH(lower(join("" "",U500:V500)),""а миллионник"", 62.5,""б миллионник"", 75,""а мск"", 50, ""б мск"", 62.5, ""a остальное"", 70, ""б остальное"", 80)/100,0)"),0.0)</f>
        <v>0</v>
      </c>
      <c r="X500" s="91">
        <f t="shared" si="4"/>
        <v>0</v>
      </c>
    </row>
    <row r="501">
      <c r="A501" s="12"/>
      <c r="B501" s="12"/>
      <c r="C501" s="12"/>
      <c r="D501" s="91">
        <f>IFERROR(__xludf.DUMMYFUNCTION("IFERROR(sum(filter('Основной эфир'!$AA:$AA, 'Основной эфир'!$B:$B=$A501,'Основной эфир'!$C:$C=$B501,'Основной эфир'!$I:$I=$C501)), 0) "),0.0)</f>
        <v>0</v>
      </c>
      <c r="E501" s="91">
        <f>IFERROR(__xludf.DUMMYFUNCTION("IFERROR(sum(filter('Основной эфир'!$AC:$AC, 'Основной эфир'!$B:$B=$A501,'Основной эфир'!$C:$C=$B501,'Основной эфир'!$I:$I=$C501)), 0) "),0.0)</f>
        <v>0</v>
      </c>
      <c r="F501" s="91">
        <f>IFERROR(__xludf.DUMMYFUNCTION("IFERROR(sum(filter('Основной эфир'!$O:$O, 'Основной эфир'!$B:$B=$A501,'Основной эфир'!$C:$C=$B501,'Основной эфир'!$I:$I=$C501)), 0) "),0.0)</f>
        <v>0</v>
      </c>
      <c r="G501" s="91">
        <f>IFERROR(__xludf.DUMMYFUNCTION("IFERROR(sum(filter('Основной эфир'!$Q:$Q, 'Основной эфир'!$B:$B=$A501,'Основной эфир'!$C:$C=$B501,'Основной эфир'!$I:$I=$C501)), 0) "),0.0)</f>
        <v>0</v>
      </c>
      <c r="H501" s="91">
        <f>IFERROR(__xludf.DUMMYFUNCTION("IFERROR(AVERAGE(filter('Основной эфир'!$Y:$Y, 'Основной эфир'!$B:$B=$A501,'Основной эфир'!$C:$C=$B501,'Основной эфир'!$I:$I=$C501)), 0) "),0.0)</f>
        <v>0</v>
      </c>
      <c r="I501" s="91">
        <f>IFERROR(__xludf.DUMMYFUNCTION("IFERROR(AVERAGE(filter('Основной эфир'!$AE:$AE, 'Основной эфир'!$B:$B=$A501,'Основной эфир'!$C:$C=$B501,'Основной эфир'!$I:$I=$C501)), 0) "),0.0)</f>
        <v>0</v>
      </c>
      <c r="J501" s="91">
        <f>IFERROR(__xludf.DUMMYFUNCTION("IFERROR(SUM(filter('Основной эфир'!$AL:$AL, 'Основной эфир'!$B:$B=$A501,'Основной эфир'!$C:$C=$B501,'Основной эфир'!$I:$I=$C501)), 0) "),0.0)</f>
        <v>0</v>
      </c>
      <c r="K501" s="91" t="str">
        <f>IFERROR(__xludf.DUMMYFUNCTION("IFERROR(REGEXREPLACE(unique(filter('Основной эфир'!$A:$A, 'Основной эфир'!$B:$B=$A501,'Основной эфир'!$C:$C=$B501,'Основной эфир'!$I:$I=$C501)), ""\d+"", """"),"""")"),"")</f>
        <v/>
      </c>
      <c r="L501" s="91" t="str">
        <f>IFERROR(__xludf.DUMMYFUNCTION("IFERROR(unique(filter('Основной эфир'!$F:$F, 'Основной эфир'!$B:$B=$A501,'Основной эфир'!$C:$C=$B501,'Основной эфир'!$I:$I=$C501)),"""")"),"")</f>
        <v/>
      </c>
      <c r="M501" s="92" t="str">
        <f t="shared" si="1"/>
        <v/>
      </c>
      <c r="N501" s="93">
        <f>IFERROR(__xludf.DUMMYFUNCTION("IFERROR(SWITCH(lower(join("" "",L501:M501)),""а миллионник"", 62.5,""б миллионник"", 75,""а мск"", 50, ""б мск"", 62.5, ""a остальное"", 70, ""б остальное"", 80)/100,0)"),0.0)</f>
        <v>0</v>
      </c>
      <c r="O501" s="91">
        <f t="shared" si="2"/>
        <v>0</v>
      </c>
      <c r="P501" s="91">
        <f>IFERROR(__xludf.DUMMYFUNCTION("IFERROR(sum(filter('Генеральный баннер'!$O:$O, 'Генеральный баннер'!$B:$B=$A501,'Генеральный баннер'!$C:$C=$B501,'Генеральный баннер'!$I:$I=$C501)), 0) "),0.0)</f>
        <v>0</v>
      </c>
      <c r="Q501" s="91">
        <f>IFERROR(__xludf.DUMMYFUNCTION("IFERROR(sum(filter('Генеральный баннер'!$Q:$Q, 'Генеральный баннер'!$B:$B=$A501,'Генеральный баннер'!$C:$C=$B501,'Генеральный баннер'!$I:$I=$C501)), 0) "),0.0)</f>
        <v>0</v>
      </c>
      <c r="R501" s="91">
        <f>IFERROR(__xludf.DUMMYFUNCTION("IFERROR(AVERAGE(filter('Генеральный баннер'!$AA:$AA, 'Генеральный баннер'!$B:$B=$A501,'Генеральный баннер'!$C:$C=$B501,'Генеральный баннер'!$I:$I=$C501)), 0) "),0.0)</f>
        <v>0</v>
      </c>
      <c r="S501" s="91">
        <f>IFERROR(__xludf.DUMMYFUNCTION("IFERROR(SUM(filter('Генеральный баннер'!$AH:$AH, 'Генеральный баннер'!$B:$B=$A501,'Генеральный баннер'!$C:$C=$B501,'Генеральный баннер'!$I:$I=$C501)), 0) "),0.0)</f>
        <v>0</v>
      </c>
      <c r="T501" s="91" t="str">
        <f>IFERROR(__xludf.DUMMYFUNCTION("IFERROR(REGEXREPLACE(unique(filter('Генеральный баннер'!$A:$A, 'Генеральный баннер'!$B:$B=$A501,'Генеральный баннер'!$C:$C=$B501,'Генеральный баннер'!$I:$I=$C501)), ""\d+"", """"),"""")"),"")</f>
        <v/>
      </c>
      <c r="U501" s="91" t="str">
        <f>IFERROR(__xludf.DUMMYFUNCTION("IFERROR(unique(filter('Генеральный баннер'!$F:$F, 'Генеральный баннер'!$B:$B=$A501,'Генеральный баннер'!$C:$C=$B501,'Генеральный баннер'!$I:$I=$C501)),"""")"),"")</f>
        <v/>
      </c>
      <c r="V501" s="92" t="str">
        <f t="shared" si="3"/>
        <v/>
      </c>
      <c r="W501" s="93">
        <f>IFERROR(__xludf.DUMMYFUNCTION("IFERROR(SWITCH(lower(join("" "",U501:V501)),""а миллионник"", 62.5,""б миллионник"", 75,""а мск"", 50, ""б мск"", 62.5, ""a остальное"", 70, ""б остальное"", 80)/100,0)"),0.0)</f>
        <v>0</v>
      </c>
      <c r="X501" s="91">
        <f t="shared" si="4"/>
        <v>0</v>
      </c>
    </row>
    <row r="502">
      <c r="A502" s="12"/>
      <c r="B502" s="12"/>
      <c r="C502" s="12"/>
      <c r="D502" s="91">
        <f>IFERROR(__xludf.DUMMYFUNCTION("IFERROR(sum(filter('Основной эфир'!$AA:$AA, 'Основной эфир'!$B:$B=$A502,'Основной эфир'!$C:$C=$B502,'Основной эфир'!$I:$I=$C502)), 0) "),0.0)</f>
        <v>0</v>
      </c>
      <c r="E502" s="91">
        <f>IFERROR(__xludf.DUMMYFUNCTION("IFERROR(sum(filter('Основной эфир'!$AC:$AC, 'Основной эфир'!$B:$B=$A502,'Основной эфир'!$C:$C=$B502,'Основной эфир'!$I:$I=$C502)), 0) "),0.0)</f>
        <v>0</v>
      </c>
      <c r="F502" s="91">
        <f>IFERROR(__xludf.DUMMYFUNCTION("IFERROR(sum(filter('Основной эфир'!$O:$O, 'Основной эфир'!$B:$B=$A502,'Основной эфир'!$C:$C=$B502,'Основной эфир'!$I:$I=$C502)), 0) "),0.0)</f>
        <v>0</v>
      </c>
      <c r="G502" s="91">
        <f>IFERROR(__xludf.DUMMYFUNCTION("IFERROR(sum(filter('Основной эфир'!$Q:$Q, 'Основной эфир'!$B:$B=$A502,'Основной эфир'!$C:$C=$B502,'Основной эфир'!$I:$I=$C502)), 0) "),0.0)</f>
        <v>0</v>
      </c>
      <c r="H502" s="91">
        <f>IFERROR(__xludf.DUMMYFUNCTION("IFERROR(AVERAGE(filter('Основной эфир'!$Y:$Y, 'Основной эфир'!$B:$B=$A502,'Основной эфир'!$C:$C=$B502,'Основной эфир'!$I:$I=$C502)), 0) "),0.0)</f>
        <v>0</v>
      </c>
      <c r="I502" s="91">
        <f>IFERROR(__xludf.DUMMYFUNCTION("IFERROR(AVERAGE(filter('Основной эфир'!$AE:$AE, 'Основной эфир'!$B:$B=$A502,'Основной эфир'!$C:$C=$B502,'Основной эфир'!$I:$I=$C502)), 0) "),0.0)</f>
        <v>0</v>
      </c>
      <c r="J502" s="91">
        <f>IFERROR(__xludf.DUMMYFUNCTION("IFERROR(SUM(filter('Основной эфир'!$AL:$AL, 'Основной эфир'!$B:$B=$A502,'Основной эфир'!$C:$C=$B502,'Основной эфир'!$I:$I=$C502)), 0) "),0.0)</f>
        <v>0</v>
      </c>
      <c r="K502" s="91" t="str">
        <f>IFERROR(__xludf.DUMMYFUNCTION("IFERROR(REGEXREPLACE(unique(filter('Основной эфир'!$A:$A, 'Основной эфир'!$B:$B=$A502,'Основной эфир'!$C:$C=$B502,'Основной эфир'!$I:$I=$C502)), ""\d+"", """"),"""")"),"")</f>
        <v/>
      </c>
      <c r="L502" s="91" t="str">
        <f>IFERROR(__xludf.DUMMYFUNCTION("IFERROR(unique(filter('Основной эфир'!$F:$F, 'Основной эфир'!$B:$B=$A502,'Основной эфир'!$C:$C=$B502,'Основной эфир'!$I:$I=$C502)),"""")"),"")</f>
        <v/>
      </c>
      <c r="M502" s="92" t="str">
        <f t="shared" si="1"/>
        <v/>
      </c>
      <c r="N502" s="93">
        <f>IFERROR(__xludf.DUMMYFUNCTION("IFERROR(SWITCH(lower(join("" "",L502:M502)),""а миллионник"", 62.5,""б миллионник"", 75,""а мск"", 50, ""б мск"", 62.5, ""a остальное"", 70, ""б остальное"", 80)/100,0)"),0.0)</f>
        <v>0</v>
      </c>
      <c r="O502" s="91">
        <f t="shared" si="2"/>
        <v>0</v>
      </c>
      <c r="P502" s="91">
        <f>IFERROR(__xludf.DUMMYFUNCTION("IFERROR(sum(filter('Генеральный баннер'!$O:$O, 'Генеральный баннер'!$B:$B=$A502,'Генеральный баннер'!$C:$C=$B502,'Генеральный баннер'!$I:$I=$C502)), 0) "),0.0)</f>
        <v>0</v>
      </c>
      <c r="Q502" s="91">
        <f>IFERROR(__xludf.DUMMYFUNCTION("IFERROR(sum(filter('Генеральный баннер'!$Q:$Q, 'Генеральный баннер'!$B:$B=$A502,'Генеральный баннер'!$C:$C=$B502,'Генеральный баннер'!$I:$I=$C502)), 0) "),0.0)</f>
        <v>0</v>
      </c>
      <c r="R502" s="91">
        <f>IFERROR(__xludf.DUMMYFUNCTION("IFERROR(AVERAGE(filter('Генеральный баннер'!$AA:$AA, 'Генеральный баннер'!$B:$B=$A502,'Генеральный баннер'!$C:$C=$B502,'Генеральный баннер'!$I:$I=$C502)), 0) "),0.0)</f>
        <v>0</v>
      </c>
      <c r="S502" s="91">
        <f>IFERROR(__xludf.DUMMYFUNCTION("IFERROR(SUM(filter('Генеральный баннер'!$AH:$AH, 'Генеральный баннер'!$B:$B=$A502,'Генеральный баннер'!$C:$C=$B502,'Генеральный баннер'!$I:$I=$C502)), 0) "),0.0)</f>
        <v>0</v>
      </c>
      <c r="T502" s="91" t="str">
        <f>IFERROR(__xludf.DUMMYFUNCTION("IFERROR(REGEXREPLACE(unique(filter('Генеральный баннер'!$A:$A, 'Генеральный баннер'!$B:$B=$A502,'Генеральный баннер'!$C:$C=$B502,'Генеральный баннер'!$I:$I=$C502)), ""\d+"", """"),"""")"),"")</f>
        <v/>
      </c>
      <c r="U502" s="91" t="str">
        <f>IFERROR(__xludf.DUMMYFUNCTION("IFERROR(unique(filter('Генеральный баннер'!$F:$F, 'Генеральный баннер'!$B:$B=$A502,'Генеральный баннер'!$C:$C=$B502,'Генеральный баннер'!$I:$I=$C502)),"""")"),"")</f>
        <v/>
      </c>
      <c r="V502" s="92" t="str">
        <f t="shared" si="3"/>
        <v/>
      </c>
      <c r="W502" s="93">
        <f>IFERROR(__xludf.DUMMYFUNCTION("IFERROR(SWITCH(lower(join("" "",U502:V502)),""а миллионник"", 62.5,""б миллионник"", 75,""а мск"", 50, ""б мск"", 62.5, ""a остальное"", 70, ""б остальное"", 80)/100,0)"),0.0)</f>
        <v>0</v>
      </c>
      <c r="X502" s="91">
        <f t="shared" si="4"/>
        <v>0</v>
      </c>
    </row>
    <row r="503">
      <c r="A503" s="12"/>
      <c r="B503" s="12"/>
      <c r="C503" s="12"/>
      <c r="D503" s="91">
        <f>IFERROR(__xludf.DUMMYFUNCTION("IFERROR(sum(filter('Основной эфир'!$AA:$AA, 'Основной эфир'!$B:$B=$A503,'Основной эфир'!$C:$C=$B503,'Основной эфир'!$I:$I=$C503)), 0) "),0.0)</f>
        <v>0</v>
      </c>
      <c r="E503" s="91">
        <f>IFERROR(__xludf.DUMMYFUNCTION("IFERROR(sum(filter('Основной эфир'!$AC:$AC, 'Основной эфир'!$B:$B=$A503,'Основной эфир'!$C:$C=$B503,'Основной эфир'!$I:$I=$C503)), 0) "),0.0)</f>
        <v>0</v>
      </c>
      <c r="F503" s="91">
        <f>IFERROR(__xludf.DUMMYFUNCTION("IFERROR(sum(filter('Основной эфир'!$O:$O, 'Основной эфир'!$B:$B=$A503,'Основной эфир'!$C:$C=$B503,'Основной эфир'!$I:$I=$C503)), 0) "),0.0)</f>
        <v>0</v>
      </c>
      <c r="G503" s="91">
        <f>IFERROR(__xludf.DUMMYFUNCTION("IFERROR(sum(filter('Основной эфир'!$Q:$Q, 'Основной эфир'!$B:$B=$A503,'Основной эфир'!$C:$C=$B503,'Основной эфир'!$I:$I=$C503)), 0) "),0.0)</f>
        <v>0</v>
      </c>
      <c r="H503" s="91">
        <f>IFERROR(__xludf.DUMMYFUNCTION("IFERROR(AVERAGE(filter('Основной эфир'!$Y:$Y, 'Основной эфир'!$B:$B=$A503,'Основной эфир'!$C:$C=$B503,'Основной эфир'!$I:$I=$C503)), 0) "),0.0)</f>
        <v>0</v>
      </c>
      <c r="I503" s="91">
        <f>IFERROR(__xludf.DUMMYFUNCTION("IFERROR(AVERAGE(filter('Основной эфир'!$AE:$AE, 'Основной эфир'!$B:$B=$A503,'Основной эфир'!$C:$C=$B503,'Основной эфир'!$I:$I=$C503)), 0) "),0.0)</f>
        <v>0</v>
      </c>
      <c r="J503" s="91">
        <f>IFERROR(__xludf.DUMMYFUNCTION("IFERROR(SUM(filter('Основной эфир'!$AL:$AL, 'Основной эфир'!$B:$B=$A503,'Основной эфир'!$C:$C=$B503,'Основной эфир'!$I:$I=$C503)), 0) "),0.0)</f>
        <v>0</v>
      </c>
      <c r="K503" s="91" t="str">
        <f>IFERROR(__xludf.DUMMYFUNCTION("IFERROR(REGEXREPLACE(unique(filter('Основной эфир'!$A:$A, 'Основной эфир'!$B:$B=$A503,'Основной эфир'!$C:$C=$B503,'Основной эфир'!$I:$I=$C503)), ""\d+"", """"),"""")"),"")</f>
        <v/>
      </c>
      <c r="L503" s="91" t="str">
        <f>IFERROR(__xludf.DUMMYFUNCTION("IFERROR(unique(filter('Основной эфир'!$F:$F, 'Основной эфир'!$B:$B=$A503,'Основной эфир'!$C:$C=$B503,'Основной эфир'!$I:$I=$C503)),"""")"),"")</f>
        <v/>
      </c>
      <c r="M503" s="92" t="str">
        <f t="shared" si="1"/>
        <v/>
      </c>
      <c r="N503" s="93">
        <f>IFERROR(__xludf.DUMMYFUNCTION("IFERROR(SWITCH(lower(join("" "",L503:M503)),""а миллионник"", 62.5,""б миллионник"", 75,""а мск"", 50, ""б мск"", 62.5, ""a остальное"", 70, ""б остальное"", 80)/100,0)"),0.0)</f>
        <v>0</v>
      </c>
      <c r="O503" s="91">
        <f t="shared" si="2"/>
        <v>0</v>
      </c>
      <c r="P503" s="91">
        <f>IFERROR(__xludf.DUMMYFUNCTION("IFERROR(sum(filter('Генеральный баннер'!$O:$O, 'Генеральный баннер'!$B:$B=$A503,'Генеральный баннер'!$C:$C=$B503,'Генеральный баннер'!$I:$I=$C503)), 0) "),0.0)</f>
        <v>0</v>
      </c>
      <c r="Q503" s="91">
        <f>IFERROR(__xludf.DUMMYFUNCTION("IFERROR(sum(filter('Генеральный баннер'!$Q:$Q, 'Генеральный баннер'!$B:$B=$A503,'Генеральный баннер'!$C:$C=$B503,'Генеральный баннер'!$I:$I=$C503)), 0) "),0.0)</f>
        <v>0</v>
      </c>
      <c r="R503" s="91">
        <f>IFERROR(__xludf.DUMMYFUNCTION("IFERROR(AVERAGE(filter('Генеральный баннер'!$AA:$AA, 'Генеральный баннер'!$B:$B=$A503,'Генеральный баннер'!$C:$C=$B503,'Генеральный баннер'!$I:$I=$C503)), 0) "),0.0)</f>
        <v>0</v>
      </c>
      <c r="S503" s="91">
        <f>IFERROR(__xludf.DUMMYFUNCTION("IFERROR(SUM(filter('Генеральный баннер'!$AH:$AH, 'Генеральный баннер'!$B:$B=$A503,'Генеральный баннер'!$C:$C=$B503,'Генеральный баннер'!$I:$I=$C503)), 0) "),0.0)</f>
        <v>0</v>
      </c>
      <c r="T503" s="91" t="str">
        <f>IFERROR(__xludf.DUMMYFUNCTION("IFERROR(REGEXREPLACE(unique(filter('Генеральный баннер'!$A:$A, 'Генеральный баннер'!$B:$B=$A503,'Генеральный баннер'!$C:$C=$B503,'Генеральный баннер'!$I:$I=$C503)), ""\d+"", """"),"""")"),"")</f>
        <v/>
      </c>
      <c r="U503" s="91" t="str">
        <f>IFERROR(__xludf.DUMMYFUNCTION("IFERROR(unique(filter('Генеральный баннер'!$F:$F, 'Генеральный баннер'!$B:$B=$A503,'Генеральный баннер'!$C:$C=$B503,'Генеральный баннер'!$I:$I=$C503)),"""")"),"")</f>
        <v/>
      </c>
      <c r="V503" s="92" t="str">
        <f t="shared" si="3"/>
        <v/>
      </c>
      <c r="W503" s="93">
        <f>IFERROR(__xludf.DUMMYFUNCTION("IFERROR(SWITCH(lower(join("" "",U503:V503)),""а миллионник"", 62.5,""б миллионник"", 75,""а мск"", 50, ""б мск"", 62.5, ""a остальное"", 70, ""б остальное"", 80)/100,0)"),0.0)</f>
        <v>0</v>
      </c>
      <c r="X503" s="91">
        <f t="shared" si="4"/>
        <v>0</v>
      </c>
    </row>
    <row r="504">
      <c r="A504" s="12"/>
      <c r="B504" s="12"/>
      <c r="C504" s="12"/>
      <c r="D504" s="91">
        <f>IFERROR(__xludf.DUMMYFUNCTION("IFERROR(sum(filter('Основной эфир'!$AA:$AA, 'Основной эфир'!$B:$B=$A504,'Основной эфир'!$C:$C=$B504,'Основной эфир'!$I:$I=$C504)), 0) "),0.0)</f>
        <v>0</v>
      </c>
      <c r="E504" s="91">
        <f>IFERROR(__xludf.DUMMYFUNCTION("IFERROR(sum(filter('Основной эфир'!$AC:$AC, 'Основной эфир'!$B:$B=$A504,'Основной эфир'!$C:$C=$B504,'Основной эфир'!$I:$I=$C504)), 0) "),0.0)</f>
        <v>0</v>
      </c>
      <c r="F504" s="91">
        <f>IFERROR(__xludf.DUMMYFUNCTION("IFERROR(sum(filter('Основной эфир'!$O:$O, 'Основной эфир'!$B:$B=$A504,'Основной эфир'!$C:$C=$B504,'Основной эфир'!$I:$I=$C504)), 0) "),0.0)</f>
        <v>0</v>
      </c>
      <c r="G504" s="91">
        <f>IFERROR(__xludf.DUMMYFUNCTION("IFERROR(sum(filter('Основной эфир'!$Q:$Q, 'Основной эфир'!$B:$B=$A504,'Основной эфир'!$C:$C=$B504,'Основной эфир'!$I:$I=$C504)), 0) "),0.0)</f>
        <v>0</v>
      </c>
      <c r="H504" s="91">
        <f>IFERROR(__xludf.DUMMYFUNCTION("IFERROR(AVERAGE(filter('Основной эфир'!$Y:$Y, 'Основной эфир'!$B:$B=$A504,'Основной эфир'!$C:$C=$B504,'Основной эфир'!$I:$I=$C504)), 0) "),0.0)</f>
        <v>0</v>
      </c>
      <c r="I504" s="91">
        <f>IFERROR(__xludf.DUMMYFUNCTION("IFERROR(AVERAGE(filter('Основной эфир'!$AE:$AE, 'Основной эфир'!$B:$B=$A504,'Основной эфир'!$C:$C=$B504,'Основной эфир'!$I:$I=$C504)), 0) "),0.0)</f>
        <v>0</v>
      </c>
      <c r="J504" s="91">
        <f>IFERROR(__xludf.DUMMYFUNCTION("IFERROR(SUM(filter('Основной эфир'!$AL:$AL, 'Основной эфир'!$B:$B=$A504,'Основной эфир'!$C:$C=$B504,'Основной эфир'!$I:$I=$C504)), 0) "),0.0)</f>
        <v>0</v>
      </c>
      <c r="K504" s="91" t="str">
        <f>IFERROR(__xludf.DUMMYFUNCTION("IFERROR(REGEXREPLACE(unique(filter('Основной эфир'!$A:$A, 'Основной эфир'!$B:$B=$A504,'Основной эфир'!$C:$C=$B504,'Основной эфир'!$I:$I=$C504)), ""\d+"", """"),"""")"),"")</f>
        <v/>
      </c>
      <c r="L504" s="91" t="str">
        <f>IFERROR(__xludf.DUMMYFUNCTION("IFERROR(unique(filter('Основной эфир'!$F:$F, 'Основной эфир'!$B:$B=$A504,'Основной эфир'!$C:$C=$B504,'Основной эфир'!$I:$I=$C504)),"""")"),"")</f>
        <v/>
      </c>
      <c r="M504" s="92" t="str">
        <f t="shared" si="1"/>
        <v/>
      </c>
      <c r="N504" s="93">
        <f>IFERROR(__xludf.DUMMYFUNCTION("IFERROR(SWITCH(lower(join("" "",L504:M504)),""а миллионник"", 62.5,""б миллионник"", 75,""а мск"", 50, ""б мск"", 62.5, ""a остальное"", 70, ""б остальное"", 80)/100,0)"),0.0)</f>
        <v>0</v>
      </c>
      <c r="O504" s="91">
        <f t="shared" si="2"/>
        <v>0</v>
      </c>
      <c r="P504" s="91">
        <f>IFERROR(__xludf.DUMMYFUNCTION("IFERROR(sum(filter('Генеральный баннер'!$O:$O, 'Генеральный баннер'!$B:$B=$A504,'Генеральный баннер'!$C:$C=$B504,'Генеральный баннер'!$I:$I=$C504)), 0) "),0.0)</f>
        <v>0</v>
      </c>
      <c r="Q504" s="91">
        <f>IFERROR(__xludf.DUMMYFUNCTION("IFERROR(sum(filter('Генеральный баннер'!$Q:$Q, 'Генеральный баннер'!$B:$B=$A504,'Генеральный баннер'!$C:$C=$B504,'Генеральный баннер'!$I:$I=$C504)), 0) "),0.0)</f>
        <v>0</v>
      </c>
      <c r="R504" s="91">
        <f>IFERROR(__xludf.DUMMYFUNCTION("IFERROR(AVERAGE(filter('Генеральный баннер'!$AA:$AA, 'Генеральный баннер'!$B:$B=$A504,'Генеральный баннер'!$C:$C=$B504,'Генеральный баннер'!$I:$I=$C504)), 0) "),0.0)</f>
        <v>0</v>
      </c>
      <c r="S504" s="91">
        <f>IFERROR(__xludf.DUMMYFUNCTION("IFERROR(SUM(filter('Генеральный баннер'!$AH:$AH, 'Генеральный баннер'!$B:$B=$A504,'Генеральный баннер'!$C:$C=$B504,'Генеральный баннер'!$I:$I=$C504)), 0) "),0.0)</f>
        <v>0</v>
      </c>
      <c r="T504" s="91" t="str">
        <f>IFERROR(__xludf.DUMMYFUNCTION("IFERROR(REGEXREPLACE(unique(filter('Генеральный баннер'!$A:$A, 'Генеральный баннер'!$B:$B=$A504,'Генеральный баннер'!$C:$C=$B504,'Генеральный баннер'!$I:$I=$C504)), ""\d+"", """"),"""")"),"")</f>
        <v/>
      </c>
      <c r="U504" s="91" t="str">
        <f>IFERROR(__xludf.DUMMYFUNCTION("IFERROR(unique(filter('Генеральный баннер'!$F:$F, 'Генеральный баннер'!$B:$B=$A504,'Генеральный баннер'!$C:$C=$B504,'Генеральный баннер'!$I:$I=$C504)),"""")"),"")</f>
        <v/>
      </c>
      <c r="V504" s="92" t="str">
        <f t="shared" si="3"/>
        <v/>
      </c>
      <c r="W504" s="93">
        <f>IFERROR(__xludf.DUMMYFUNCTION("IFERROR(SWITCH(lower(join("" "",U504:V504)),""а миллионник"", 62.5,""б миллионник"", 75,""а мск"", 50, ""б мск"", 62.5, ""a остальное"", 70, ""б остальное"", 80)/100,0)"),0.0)</f>
        <v>0</v>
      </c>
      <c r="X504" s="91">
        <f t="shared" si="4"/>
        <v>0</v>
      </c>
    </row>
    <row r="505">
      <c r="A505" s="12"/>
      <c r="B505" s="12"/>
      <c r="C505" s="12"/>
      <c r="D505" s="91">
        <f>IFERROR(__xludf.DUMMYFUNCTION("IFERROR(sum(filter('Основной эфир'!$AA:$AA, 'Основной эфир'!$B:$B=$A505,'Основной эфир'!$C:$C=$B505,'Основной эфир'!$I:$I=$C505)), 0) "),0.0)</f>
        <v>0</v>
      </c>
      <c r="E505" s="91">
        <f>IFERROR(__xludf.DUMMYFUNCTION("IFERROR(sum(filter('Основной эфир'!$AC:$AC, 'Основной эфир'!$B:$B=$A505,'Основной эфир'!$C:$C=$B505,'Основной эфир'!$I:$I=$C505)), 0) "),0.0)</f>
        <v>0</v>
      </c>
      <c r="F505" s="91">
        <f>IFERROR(__xludf.DUMMYFUNCTION("IFERROR(sum(filter('Основной эфир'!$O:$O, 'Основной эфир'!$B:$B=$A505,'Основной эфир'!$C:$C=$B505,'Основной эфир'!$I:$I=$C505)), 0) "),0.0)</f>
        <v>0</v>
      </c>
      <c r="G505" s="91">
        <f>IFERROR(__xludf.DUMMYFUNCTION("IFERROR(sum(filter('Основной эфир'!$Q:$Q, 'Основной эфир'!$B:$B=$A505,'Основной эфир'!$C:$C=$B505,'Основной эфир'!$I:$I=$C505)), 0) "),0.0)</f>
        <v>0</v>
      </c>
      <c r="H505" s="91">
        <f>IFERROR(__xludf.DUMMYFUNCTION("IFERROR(AVERAGE(filter('Основной эфир'!$Y:$Y, 'Основной эфир'!$B:$B=$A505,'Основной эфир'!$C:$C=$B505,'Основной эфир'!$I:$I=$C505)), 0) "),0.0)</f>
        <v>0</v>
      </c>
      <c r="I505" s="91">
        <f>IFERROR(__xludf.DUMMYFUNCTION("IFERROR(AVERAGE(filter('Основной эфир'!$AE:$AE, 'Основной эфир'!$B:$B=$A505,'Основной эфир'!$C:$C=$B505,'Основной эфир'!$I:$I=$C505)), 0) "),0.0)</f>
        <v>0</v>
      </c>
      <c r="J505" s="91">
        <f>IFERROR(__xludf.DUMMYFUNCTION("IFERROR(SUM(filter('Основной эфир'!$AL:$AL, 'Основной эфир'!$B:$B=$A505,'Основной эфир'!$C:$C=$B505,'Основной эфир'!$I:$I=$C505)), 0) "),0.0)</f>
        <v>0</v>
      </c>
      <c r="K505" s="91" t="str">
        <f>IFERROR(__xludf.DUMMYFUNCTION("IFERROR(REGEXREPLACE(unique(filter('Основной эфир'!$A:$A, 'Основной эфир'!$B:$B=$A505,'Основной эфир'!$C:$C=$B505,'Основной эфир'!$I:$I=$C505)), ""\d+"", """"),"""")"),"")</f>
        <v/>
      </c>
      <c r="L505" s="91" t="str">
        <f>IFERROR(__xludf.DUMMYFUNCTION("IFERROR(unique(filter('Основной эфир'!$F:$F, 'Основной эфир'!$B:$B=$A505,'Основной эфир'!$C:$C=$B505,'Основной эфир'!$I:$I=$C505)),"""")"),"")</f>
        <v/>
      </c>
      <c r="M505" s="92" t="str">
        <f t="shared" si="1"/>
        <v/>
      </c>
      <c r="N505" s="93">
        <f>IFERROR(__xludf.DUMMYFUNCTION("IFERROR(SWITCH(lower(join("" "",L505:M505)),""а миллионник"", 62.5,""б миллионник"", 75,""а мск"", 50, ""б мск"", 62.5, ""a остальное"", 70, ""б остальное"", 80)/100,0)"),0.0)</f>
        <v>0</v>
      </c>
      <c r="O505" s="91">
        <f t="shared" si="2"/>
        <v>0</v>
      </c>
      <c r="P505" s="91">
        <f>IFERROR(__xludf.DUMMYFUNCTION("IFERROR(sum(filter('Генеральный баннер'!$O:$O, 'Генеральный баннер'!$B:$B=$A505,'Генеральный баннер'!$C:$C=$B505,'Генеральный баннер'!$I:$I=$C505)), 0) "),0.0)</f>
        <v>0</v>
      </c>
      <c r="Q505" s="91">
        <f>IFERROR(__xludf.DUMMYFUNCTION("IFERROR(sum(filter('Генеральный баннер'!$Q:$Q, 'Генеральный баннер'!$B:$B=$A505,'Генеральный баннер'!$C:$C=$B505,'Генеральный баннер'!$I:$I=$C505)), 0) "),0.0)</f>
        <v>0</v>
      </c>
      <c r="R505" s="91">
        <f>IFERROR(__xludf.DUMMYFUNCTION("IFERROR(AVERAGE(filter('Генеральный баннер'!$AA:$AA, 'Генеральный баннер'!$B:$B=$A505,'Генеральный баннер'!$C:$C=$B505,'Генеральный баннер'!$I:$I=$C505)), 0) "),0.0)</f>
        <v>0</v>
      </c>
      <c r="S505" s="91">
        <f>IFERROR(__xludf.DUMMYFUNCTION("IFERROR(SUM(filter('Генеральный баннер'!$AH:$AH, 'Генеральный баннер'!$B:$B=$A505,'Генеральный баннер'!$C:$C=$B505,'Генеральный баннер'!$I:$I=$C505)), 0) "),0.0)</f>
        <v>0</v>
      </c>
      <c r="T505" s="91" t="str">
        <f>IFERROR(__xludf.DUMMYFUNCTION("IFERROR(REGEXREPLACE(unique(filter('Генеральный баннер'!$A:$A, 'Генеральный баннер'!$B:$B=$A505,'Генеральный баннер'!$C:$C=$B505,'Генеральный баннер'!$I:$I=$C505)), ""\d+"", """"),"""")"),"")</f>
        <v/>
      </c>
      <c r="U505" s="91" t="str">
        <f>IFERROR(__xludf.DUMMYFUNCTION("IFERROR(unique(filter('Генеральный баннер'!$F:$F, 'Генеральный баннер'!$B:$B=$A505,'Генеральный баннер'!$C:$C=$B505,'Генеральный баннер'!$I:$I=$C505)),"""")"),"")</f>
        <v/>
      </c>
      <c r="V505" s="92" t="str">
        <f t="shared" si="3"/>
        <v/>
      </c>
      <c r="W505" s="93">
        <f>IFERROR(__xludf.DUMMYFUNCTION("IFERROR(SWITCH(lower(join("" "",U505:V505)),""а миллионник"", 62.5,""б миллионник"", 75,""а мск"", 50, ""б мск"", 62.5, ""a остальное"", 70, ""б остальное"", 80)/100,0)"),0.0)</f>
        <v>0</v>
      </c>
      <c r="X505" s="91">
        <f t="shared" si="4"/>
        <v>0</v>
      </c>
    </row>
    <row r="506">
      <c r="A506" s="12"/>
      <c r="B506" s="12"/>
      <c r="C506" s="12"/>
      <c r="D506" s="91">
        <f>IFERROR(__xludf.DUMMYFUNCTION("IFERROR(sum(filter('Основной эфир'!$AA:$AA, 'Основной эфир'!$B:$B=$A506,'Основной эфир'!$C:$C=$B506,'Основной эфир'!$I:$I=$C506)), 0) "),0.0)</f>
        <v>0</v>
      </c>
      <c r="E506" s="91">
        <f>IFERROR(__xludf.DUMMYFUNCTION("IFERROR(sum(filter('Основной эфир'!$AC:$AC, 'Основной эфир'!$B:$B=$A506,'Основной эфир'!$C:$C=$B506,'Основной эфир'!$I:$I=$C506)), 0) "),0.0)</f>
        <v>0</v>
      </c>
      <c r="F506" s="91">
        <f>IFERROR(__xludf.DUMMYFUNCTION("IFERROR(sum(filter('Основной эфир'!$O:$O, 'Основной эфир'!$B:$B=$A506,'Основной эфир'!$C:$C=$B506,'Основной эфир'!$I:$I=$C506)), 0) "),0.0)</f>
        <v>0</v>
      </c>
      <c r="G506" s="91">
        <f>IFERROR(__xludf.DUMMYFUNCTION("IFERROR(sum(filter('Основной эфир'!$Q:$Q, 'Основной эфир'!$B:$B=$A506,'Основной эфир'!$C:$C=$B506,'Основной эфир'!$I:$I=$C506)), 0) "),0.0)</f>
        <v>0</v>
      </c>
      <c r="H506" s="91">
        <f>IFERROR(__xludf.DUMMYFUNCTION("IFERROR(AVERAGE(filter('Основной эфир'!$Y:$Y, 'Основной эфир'!$B:$B=$A506,'Основной эфир'!$C:$C=$B506,'Основной эфир'!$I:$I=$C506)), 0) "),0.0)</f>
        <v>0</v>
      </c>
      <c r="I506" s="91">
        <f>IFERROR(__xludf.DUMMYFUNCTION("IFERROR(AVERAGE(filter('Основной эфир'!$AE:$AE, 'Основной эфир'!$B:$B=$A506,'Основной эфир'!$C:$C=$B506,'Основной эфир'!$I:$I=$C506)), 0) "),0.0)</f>
        <v>0</v>
      </c>
      <c r="J506" s="91">
        <f>IFERROR(__xludf.DUMMYFUNCTION("IFERROR(SUM(filter('Основной эфир'!$AL:$AL, 'Основной эфир'!$B:$B=$A506,'Основной эфир'!$C:$C=$B506,'Основной эфир'!$I:$I=$C506)), 0) "),0.0)</f>
        <v>0</v>
      </c>
      <c r="K506" s="91" t="str">
        <f>IFERROR(__xludf.DUMMYFUNCTION("IFERROR(REGEXREPLACE(unique(filter('Основной эфир'!$A:$A, 'Основной эфир'!$B:$B=$A506,'Основной эфир'!$C:$C=$B506,'Основной эфир'!$I:$I=$C506)), ""\d+"", """"),"""")"),"")</f>
        <v/>
      </c>
      <c r="L506" s="91" t="str">
        <f>IFERROR(__xludf.DUMMYFUNCTION("IFERROR(unique(filter('Основной эфир'!$F:$F, 'Основной эфир'!$B:$B=$A506,'Основной эфир'!$C:$C=$B506,'Основной эфир'!$I:$I=$C506)),"""")"),"")</f>
        <v/>
      </c>
      <c r="M506" s="92" t="str">
        <f t="shared" si="1"/>
        <v/>
      </c>
      <c r="N506" s="93">
        <f>IFERROR(__xludf.DUMMYFUNCTION("IFERROR(SWITCH(lower(join("" "",L506:M506)),""а миллионник"", 62.5,""б миллионник"", 75,""а мск"", 50, ""б мск"", 62.5, ""a остальное"", 70, ""б остальное"", 80)/100,0)"),0.0)</f>
        <v>0</v>
      </c>
      <c r="O506" s="91">
        <f t="shared" si="2"/>
        <v>0</v>
      </c>
      <c r="P506" s="91">
        <f>IFERROR(__xludf.DUMMYFUNCTION("IFERROR(sum(filter('Генеральный баннер'!$O:$O, 'Генеральный баннер'!$B:$B=$A506,'Генеральный баннер'!$C:$C=$B506,'Генеральный баннер'!$I:$I=$C506)), 0) "),0.0)</f>
        <v>0</v>
      </c>
      <c r="Q506" s="91">
        <f>IFERROR(__xludf.DUMMYFUNCTION("IFERROR(sum(filter('Генеральный баннер'!$Q:$Q, 'Генеральный баннер'!$B:$B=$A506,'Генеральный баннер'!$C:$C=$B506,'Генеральный баннер'!$I:$I=$C506)), 0) "),0.0)</f>
        <v>0</v>
      </c>
      <c r="R506" s="91">
        <f>IFERROR(__xludf.DUMMYFUNCTION("IFERROR(AVERAGE(filter('Генеральный баннер'!$AA:$AA, 'Генеральный баннер'!$B:$B=$A506,'Генеральный баннер'!$C:$C=$B506,'Генеральный баннер'!$I:$I=$C506)), 0) "),0.0)</f>
        <v>0</v>
      </c>
      <c r="S506" s="91">
        <f>IFERROR(__xludf.DUMMYFUNCTION("IFERROR(SUM(filter('Генеральный баннер'!$AH:$AH, 'Генеральный баннер'!$B:$B=$A506,'Генеральный баннер'!$C:$C=$B506,'Генеральный баннер'!$I:$I=$C506)), 0) "),0.0)</f>
        <v>0</v>
      </c>
      <c r="T506" s="91" t="str">
        <f>IFERROR(__xludf.DUMMYFUNCTION("IFERROR(REGEXREPLACE(unique(filter('Генеральный баннер'!$A:$A, 'Генеральный баннер'!$B:$B=$A506,'Генеральный баннер'!$C:$C=$B506,'Генеральный баннер'!$I:$I=$C506)), ""\d+"", """"),"""")"),"")</f>
        <v/>
      </c>
      <c r="U506" s="91" t="str">
        <f>IFERROR(__xludf.DUMMYFUNCTION("IFERROR(unique(filter('Генеральный баннер'!$F:$F, 'Генеральный баннер'!$B:$B=$A506,'Генеральный баннер'!$C:$C=$B506,'Генеральный баннер'!$I:$I=$C506)),"""")"),"")</f>
        <v/>
      </c>
      <c r="V506" s="92" t="str">
        <f t="shared" si="3"/>
        <v/>
      </c>
      <c r="W506" s="93">
        <f>IFERROR(__xludf.DUMMYFUNCTION("IFERROR(SWITCH(lower(join("" "",U506:V506)),""а миллионник"", 62.5,""б миллионник"", 75,""а мск"", 50, ""б мск"", 62.5, ""a остальное"", 70, ""б остальное"", 80)/100,0)"),0.0)</f>
        <v>0</v>
      </c>
      <c r="X506" s="91">
        <f t="shared" si="4"/>
        <v>0</v>
      </c>
    </row>
    <row r="507">
      <c r="A507" s="12"/>
      <c r="B507" s="12"/>
      <c r="C507" s="12"/>
      <c r="D507" s="91">
        <f>IFERROR(__xludf.DUMMYFUNCTION("IFERROR(sum(filter('Основной эфир'!$AA:$AA, 'Основной эфир'!$B:$B=$A507,'Основной эфир'!$C:$C=$B507,'Основной эфир'!$I:$I=$C507)), 0) "),0.0)</f>
        <v>0</v>
      </c>
      <c r="E507" s="91">
        <f>IFERROR(__xludf.DUMMYFUNCTION("IFERROR(sum(filter('Основной эфир'!$AC:$AC, 'Основной эфир'!$B:$B=$A507,'Основной эфир'!$C:$C=$B507,'Основной эфир'!$I:$I=$C507)), 0) "),0.0)</f>
        <v>0</v>
      </c>
      <c r="F507" s="91">
        <f>IFERROR(__xludf.DUMMYFUNCTION("IFERROR(sum(filter('Основной эфир'!$O:$O, 'Основной эфир'!$B:$B=$A507,'Основной эфир'!$C:$C=$B507,'Основной эфир'!$I:$I=$C507)), 0) "),0.0)</f>
        <v>0</v>
      </c>
      <c r="G507" s="91">
        <f>IFERROR(__xludf.DUMMYFUNCTION("IFERROR(sum(filter('Основной эфир'!$Q:$Q, 'Основной эфир'!$B:$B=$A507,'Основной эфир'!$C:$C=$B507,'Основной эфир'!$I:$I=$C507)), 0) "),0.0)</f>
        <v>0</v>
      </c>
      <c r="H507" s="91">
        <f>IFERROR(__xludf.DUMMYFUNCTION("IFERROR(AVERAGE(filter('Основной эфир'!$Y:$Y, 'Основной эфир'!$B:$B=$A507,'Основной эфир'!$C:$C=$B507,'Основной эфир'!$I:$I=$C507)), 0) "),0.0)</f>
        <v>0</v>
      </c>
      <c r="I507" s="91">
        <f>IFERROR(__xludf.DUMMYFUNCTION("IFERROR(AVERAGE(filter('Основной эфир'!$AE:$AE, 'Основной эфир'!$B:$B=$A507,'Основной эфир'!$C:$C=$B507,'Основной эфир'!$I:$I=$C507)), 0) "),0.0)</f>
        <v>0</v>
      </c>
      <c r="J507" s="91">
        <f>IFERROR(__xludf.DUMMYFUNCTION("IFERROR(SUM(filter('Основной эфир'!$AL:$AL, 'Основной эфир'!$B:$B=$A507,'Основной эфир'!$C:$C=$B507,'Основной эфир'!$I:$I=$C507)), 0) "),0.0)</f>
        <v>0</v>
      </c>
      <c r="K507" s="91" t="str">
        <f>IFERROR(__xludf.DUMMYFUNCTION("IFERROR(REGEXREPLACE(unique(filter('Основной эфир'!$A:$A, 'Основной эфир'!$B:$B=$A507,'Основной эфир'!$C:$C=$B507,'Основной эфир'!$I:$I=$C507)), ""\d+"", """"),"""")"),"")</f>
        <v/>
      </c>
      <c r="L507" s="91" t="str">
        <f>IFERROR(__xludf.DUMMYFUNCTION("IFERROR(unique(filter('Основной эфир'!$F:$F, 'Основной эфир'!$B:$B=$A507,'Основной эфир'!$C:$C=$B507,'Основной эфир'!$I:$I=$C507)),"""")"),"")</f>
        <v/>
      </c>
      <c r="M507" s="92" t="str">
        <f t="shared" si="1"/>
        <v/>
      </c>
      <c r="N507" s="93">
        <f>IFERROR(__xludf.DUMMYFUNCTION("IFERROR(SWITCH(lower(join("" "",L507:M507)),""а миллионник"", 62.5,""б миллионник"", 75,""а мск"", 50, ""б мск"", 62.5, ""a остальное"", 70, ""б остальное"", 80)/100,0)"),0.0)</f>
        <v>0</v>
      </c>
      <c r="O507" s="91">
        <f t="shared" si="2"/>
        <v>0</v>
      </c>
      <c r="P507" s="91">
        <f>IFERROR(__xludf.DUMMYFUNCTION("IFERROR(sum(filter('Генеральный баннер'!$O:$O, 'Генеральный баннер'!$B:$B=$A507,'Генеральный баннер'!$C:$C=$B507,'Генеральный баннер'!$I:$I=$C507)), 0) "),0.0)</f>
        <v>0</v>
      </c>
      <c r="Q507" s="91">
        <f>IFERROR(__xludf.DUMMYFUNCTION("IFERROR(sum(filter('Генеральный баннер'!$Q:$Q, 'Генеральный баннер'!$B:$B=$A507,'Генеральный баннер'!$C:$C=$B507,'Генеральный баннер'!$I:$I=$C507)), 0) "),0.0)</f>
        <v>0</v>
      </c>
      <c r="R507" s="91">
        <f>IFERROR(__xludf.DUMMYFUNCTION("IFERROR(AVERAGE(filter('Генеральный баннер'!$AA:$AA, 'Генеральный баннер'!$B:$B=$A507,'Генеральный баннер'!$C:$C=$B507,'Генеральный баннер'!$I:$I=$C507)), 0) "),0.0)</f>
        <v>0</v>
      </c>
      <c r="S507" s="91">
        <f>IFERROR(__xludf.DUMMYFUNCTION("IFERROR(SUM(filter('Генеральный баннер'!$AH:$AH, 'Генеральный баннер'!$B:$B=$A507,'Генеральный баннер'!$C:$C=$B507,'Генеральный баннер'!$I:$I=$C507)), 0) "),0.0)</f>
        <v>0</v>
      </c>
      <c r="T507" s="91" t="str">
        <f>IFERROR(__xludf.DUMMYFUNCTION("IFERROR(REGEXREPLACE(unique(filter('Генеральный баннер'!$A:$A, 'Генеральный баннер'!$B:$B=$A507,'Генеральный баннер'!$C:$C=$B507,'Генеральный баннер'!$I:$I=$C507)), ""\d+"", """"),"""")"),"")</f>
        <v/>
      </c>
      <c r="U507" s="91" t="str">
        <f>IFERROR(__xludf.DUMMYFUNCTION("IFERROR(unique(filter('Генеральный баннер'!$F:$F, 'Генеральный баннер'!$B:$B=$A507,'Генеральный баннер'!$C:$C=$B507,'Генеральный баннер'!$I:$I=$C507)),"""")"),"")</f>
        <v/>
      </c>
      <c r="V507" s="92" t="str">
        <f t="shared" si="3"/>
        <v/>
      </c>
      <c r="W507" s="93">
        <f>IFERROR(__xludf.DUMMYFUNCTION("IFERROR(SWITCH(lower(join("" "",U507:V507)),""а миллионник"", 62.5,""б миллионник"", 75,""а мск"", 50, ""б мск"", 62.5, ""a остальное"", 70, ""б остальное"", 80)/100,0)"),0.0)</f>
        <v>0</v>
      </c>
      <c r="X507" s="91">
        <f t="shared" si="4"/>
        <v>0</v>
      </c>
    </row>
    <row r="508">
      <c r="A508" s="12"/>
      <c r="B508" s="12"/>
      <c r="C508" s="12"/>
      <c r="D508" s="91">
        <f>IFERROR(__xludf.DUMMYFUNCTION("IFERROR(sum(filter('Основной эфир'!$AA:$AA, 'Основной эфир'!$B:$B=$A508,'Основной эфир'!$C:$C=$B508,'Основной эфир'!$I:$I=$C508)), 0) "),0.0)</f>
        <v>0</v>
      </c>
      <c r="E508" s="91">
        <f>IFERROR(__xludf.DUMMYFUNCTION("IFERROR(sum(filter('Основной эфир'!$AC:$AC, 'Основной эфир'!$B:$B=$A508,'Основной эфир'!$C:$C=$B508,'Основной эфир'!$I:$I=$C508)), 0) "),0.0)</f>
        <v>0</v>
      </c>
      <c r="F508" s="91">
        <f>IFERROR(__xludf.DUMMYFUNCTION("IFERROR(sum(filter('Основной эфир'!$O:$O, 'Основной эфир'!$B:$B=$A508,'Основной эфир'!$C:$C=$B508,'Основной эфир'!$I:$I=$C508)), 0) "),0.0)</f>
        <v>0</v>
      </c>
      <c r="G508" s="91">
        <f>IFERROR(__xludf.DUMMYFUNCTION("IFERROR(sum(filter('Основной эфир'!$Q:$Q, 'Основной эфир'!$B:$B=$A508,'Основной эфир'!$C:$C=$B508,'Основной эфир'!$I:$I=$C508)), 0) "),0.0)</f>
        <v>0</v>
      </c>
      <c r="H508" s="91">
        <f>IFERROR(__xludf.DUMMYFUNCTION("IFERROR(AVERAGE(filter('Основной эфир'!$Y:$Y, 'Основной эфир'!$B:$B=$A508,'Основной эфир'!$C:$C=$B508,'Основной эфир'!$I:$I=$C508)), 0) "),0.0)</f>
        <v>0</v>
      </c>
      <c r="I508" s="91">
        <f>IFERROR(__xludf.DUMMYFUNCTION("IFERROR(AVERAGE(filter('Основной эфир'!$AE:$AE, 'Основной эфир'!$B:$B=$A508,'Основной эфир'!$C:$C=$B508,'Основной эфир'!$I:$I=$C508)), 0) "),0.0)</f>
        <v>0</v>
      </c>
      <c r="J508" s="91">
        <f>IFERROR(__xludf.DUMMYFUNCTION("IFERROR(SUM(filter('Основной эфир'!$AL:$AL, 'Основной эфир'!$B:$B=$A508,'Основной эфир'!$C:$C=$B508,'Основной эфир'!$I:$I=$C508)), 0) "),0.0)</f>
        <v>0</v>
      </c>
      <c r="K508" s="91" t="str">
        <f>IFERROR(__xludf.DUMMYFUNCTION("IFERROR(REGEXREPLACE(unique(filter('Основной эфир'!$A:$A, 'Основной эфир'!$B:$B=$A508,'Основной эфир'!$C:$C=$B508,'Основной эфир'!$I:$I=$C508)), ""\d+"", """"),"""")"),"")</f>
        <v/>
      </c>
      <c r="L508" s="91" t="str">
        <f>IFERROR(__xludf.DUMMYFUNCTION("IFERROR(unique(filter('Основной эфир'!$F:$F, 'Основной эфир'!$B:$B=$A508,'Основной эфир'!$C:$C=$B508,'Основной эфир'!$I:$I=$C508)),"""")"),"")</f>
        <v/>
      </c>
      <c r="M508" s="92" t="str">
        <f t="shared" si="1"/>
        <v/>
      </c>
      <c r="N508" s="93">
        <f>IFERROR(__xludf.DUMMYFUNCTION("IFERROR(SWITCH(lower(join("" "",L508:M508)),""а миллионник"", 62.5,""б миллионник"", 75,""а мск"", 50, ""б мск"", 62.5, ""a остальное"", 70, ""б остальное"", 80)/100,0)"),0.0)</f>
        <v>0</v>
      </c>
      <c r="O508" s="91">
        <f t="shared" si="2"/>
        <v>0</v>
      </c>
      <c r="P508" s="91">
        <f>IFERROR(__xludf.DUMMYFUNCTION("IFERROR(sum(filter('Генеральный баннер'!$O:$O, 'Генеральный баннер'!$B:$B=$A508,'Генеральный баннер'!$C:$C=$B508,'Генеральный баннер'!$I:$I=$C508)), 0) "),0.0)</f>
        <v>0</v>
      </c>
      <c r="Q508" s="91">
        <f>IFERROR(__xludf.DUMMYFUNCTION("IFERROR(sum(filter('Генеральный баннер'!$Q:$Q, 'Генеральный баннер'!$B:$B=$A508,'Генеральный баннер'!$C:$C=$B508,'Генеральный баннер'!$I:$I=$C508)), 0) "),0.0)</f>
        <v>0</v>
      </c>
      <c r="R508" s="91">
        <f>IFERROR(__xludf.DUMMYFUNCTION("IFERROR(AVERAGE(filter('Генеральный баннер'!$AA:$AA, 'Генеральный баннер'!$B:$B=$A508,'Генеральный баннер'!$C:$C=$B508,'Генеральный баннер'!$I:$I=$C508)), 0) "),0.0)</f>
        <v>0</v>
      </c>
      <c r="S508" s="91">
        <f>IFERROR(__xludf.DUMMYFUNCTION("IFERROR(SUM(filter('Генеральный баннер'!$AH:$AH, 'Генеральный баннер'!$B:$B=$A508,'Генеральный баннер'!$C:$C=$B508,'Генеральный баннер'!$I:$I=$C508)), 0) "),0.0)</f>
        <v>0</v>
      </c>
      <c r="T508" s="91" t="str">
        <f>IFERROR(__xludf.DUMMYFUNCTION("IFERROR(REGEXREPLACE(unique(filter('Генеральный баннер'!$A:$A, 'Генеральный баннер'!$B:$B=$A508,'Генеральный баннер'!$C:$C=$B508,'Генеральный баннер'!$I:$I=$C508)), ""\d+"", """"),"""")"),"")</f>
        <v/>
      </c>
      <c r="U508" s="91" t="str">
        <f>IFERROR(__xludf.DUMMYFUNCTION("IFERROR(unique(filter('Генеральный баннер'!$F:$F, 'Генеральный баннер'!$B:$B=$A508,'Генеральный баннер'!$C:$C=$B508,'Генеральный баннер'!$I:$I=$C508)),"""")"),"")</f>
        <v/>
      </c>
      <c r="V508" s="92" t="str">
        <f t="shared" si="3"/>
        <v/>
      </c>
      <c r="W508" s="93">
        <f>IFERROR(__xludf.DUMMYFUNCTION("IFERROR(SWITCH(lower(join("" "",U508:V508)),""а миллионник"", 62.5,""б миллионник"", 75,""а мск"", 50, ""б мск"", 62.5, ""a остальное"", 70, ""б остальное"", 80)/100,0)"),0.0)</f>
        <v>0</v>
      </c>
      <c r="X508" s="91">
        <f t="shared" si="4"/>
        <v>0</v>
      </c>
    </row>
    <row r="509">
      <c r="A509" s="12"/>
      <c r="B509" s="12"/>
      <c r="C509" s="12"/>
      <c r="D509" s="91">
        <f>IFERROR(__xludf.DUMMYFUNCTION("IFERROR(sum(filter('Основной эфир'!$AA:$AA, 'Основной эфир'!$B:$B=$A509,'Основной эфир'!$C:$C=$B509,'Основной эфир'!$I:$I=$C509)), 0) "),0.0)</f>
        <v>0</v>
      </c>
      <c r="E509" s="91">
        <f>IFERROR(__xludf.DUMMYFUNCTION("IFERROR(sum(filter('Основной эфир'!$AC:$AC, 'Основной эфир'!$B:$B=$A509,'Основной эфир'!$C:$C=$B509,'Основной эфир'!$I:$I=$C509)), 0) "),0.0)</f>
        <v>0</v>
      </c>
      <c r="F509" s="91">
        <f>IFERROR(__xludf.DUMMYFUNCTION("IFERROR(sum(filter('Основной эфир'!$O:$O, 'Основной эфир'!$B:$B=$A509,'Основной эфир'!$C:$C=$B509,'Основной эфир'!$I:$I=$C509)), 0) "),0.0)</f>
        <v>0</v>
      </c>
      <c r="G509" s="91">
        <f>IFERROR(__xludf.DUMMYFUNCTION("IFERROR(sum(filter('Основной эфир'!$Q:$Q, 'Основной эфир'!$B:$B=$A509,'Основной эфир'!$C:$C=$B509,'Основной эфир'!$I:$I=$C509)), 0) "),0.0)</f>
        <v>0</v>
      </c>
      <c r="H509" s="91">
        <f>IFERROR(__xludf.DUMMYFUNCTION("IFERROR(AVERAGE(filter('Основной эфир'!$Y:$Y, 'Основной эфир'!$B:$B=$A509,'Основной эфир'!$C:$C=$B509,'Основной эфир'!$I:$I=$C509)), 0) "),0.0)</f>
        <v>0</v>
      </c>
      <c r="I509" s="91">
        <f>IFERROR(__xludf.DUMMYFUNCTION("IFERROR(AVERAGE(filter('Основной эфир'!$AE:$AE, 'Основной эфир'!$B:$B=$A509,'Основной эфир'!$C:$C=$B509,'Основной эфир'!$I:$I=$C509)), 0) "),0.0)</f>
        <v>0</v>
      </c>
      <c r="J509" s="91">
        <f>IFERROR(__xludf.DUMMYFUNCTION("IFERROR(SUM(filter('Основной эфир'!$AL:$AL, 'Основной эфир'!$B:$B=$A509,'Основной эфир'!$C:$C=$B509,'Основной эфир'!$I:$I=$C509)), 0) "),0.0)</f>
        <v>0</v>
      </c>
      <c r="K509" s="91" t="str">
        <f>IFERROR(__xludf.DUMMYFUNCTION("IFERROR(REGEXREPLACE(unique(filter('Основной эфир'!$A:$A, 'Основной эфир'!$B:$B=$A509,'Основной эфир'!$C:$C=$B509,'Основной эфир'!$I:$I=$C509)), ""\d+"", """"),"""")"),"")</f>
        <v/>
      </c>
      <c r="L509" s="91" t="str">
        <f>IFERROR(__xludf.DUMMYFUNCTION("IFERROR(unique(filter('Основной эфир'!$F:$F, 'Основной эфир'!$B:$B=$A509,'Основной эфир'!$C:$C=$B509,'Основной эфир'!$I:$I=$C509)),"""")"),"")</f>
        <v/>
      </c>
      <c r="M509" s="92" t="str">
        <f t="shared" si="1"/>
        <v/>
      </c>
      <c r="N509" s="93">
        <f>IFERROR(__xludf.DUMMYFUNCTION("IFERROR(SWITCH(lower(join("" "",L509:M509)),""а миллионник"", 62.5,""б миллионник"", 75,""а мск"", 50, ""б мск"", 62.5, ""a остальное"", 70, ""б остальное"", 80)/100,0)"),0.0)</f>
        <v>0</v>
      </c>
      <c r="O509" s="91">
        <f t="shared" si="2"/>
        <v>0</v>
      </c>
      <c r="P509" s="91">
        <f>IFERROR(__xludf.DUMMYFUNCTION("IFERROR(sum(filter('Генеральный баннер'!$O:$O, 'Генеральный баннер'!$B:$B=$A509,'Генеральный баннер'!$C:$C=$B509,'Генеральный баннер'!$I:$I=$C509)), 0) "),0.0)</f>
        <v>0</v>
      </c>
      <c r="Q509" s="91">
        <f>IFERROR(__xludf.DUMMYFUNCTION("IFERROR(sum(filter('Генеральный баннер'!$Q:$Q, 'Генеральный баннер'!$B:$B=$A509,'Генеральный баннер'!$C:$C=$B509,'Генеральный баннер'!$I:$I=$C509)), 0) "),0.0)</f>
        <v>0</v>
      </c>
      <c r="R509" s="91">
        <f>IFERROR(__xludf.DUMMYFUNCTION("IFERROR(AVERAGE(filter('Генеральный баннер'!$AA:$AA, 'Генеральный баннер'!$B:$B=$A509,'Генеральный баннер'!$C:$C=$B509,'Генеральный баннер'!$I:$I=$C509)), 0) "),0.0)</f>
        <v>0</v>
      </c>
      <c r="S509" s="91">
        <f>IFERROR(__xludf.DUMMYFUNCTION("IFERROR(SUM(filter('Генеральный баннер'!$AH:$AH, 'Генеральный баннер'!$B:$B=$A509,'Генеральный баннер'!$C:$C=$B509,'Генеральный баннер'!$I:$I=$C509)), 0) "),0.0)</f>
        <v>0</v>
      </c>
      <c r="T509" s="91" t="str">
        <f>IFERROR(__xludf.DUMMYFUNCTION("IFERROR(REGEXREPLACE(unique(filter('Генеральный баннер'!$A:$A, 'Генеральный баннер'!$B:$B=$A509,'Генеральный баннер'!$C:$C=$B509,'Генеральный баннер'!$I:$I=$C509)), ""\d+"", """"),"""")"),"")</f>
        <v/>
      </c>
      <c r="U509" s="91" t="str">
        <f>IFERROR(__xludf.DUMMYFUNCTION("IFERROR(unique(filter('Генеральный баннер'!$F:$F, 'Генеральный баннер'!$B:$B=$A509,'Генеральный баннер'!$C:$C=$B509,'Генеральный баннер'!$I:$I=$C509)),"""")"),"")</f>
        <v/>
      </c>
      <c r="V509" s="92" t="str">
        <f t="shared" si="3"/>
        <v/>
      </c>
      <c r="W509" s="93">
        <f>IFERROR(__xludf.DUMMYFUNCTION("IFERROR(SWITCH(lower(join("" "",U509:V509)),""а миллионник"", 62.5,""б миллионник"", 75,""а мск"", 50, ""б мск"", 62.5, ""a остальное"", 70, ""б остальное"", 80)/100,0)"),0.0)</f>
        <v>0</v>
      </c>
      <c r="X509" s="91">
        <f t="shared" si="4"/>
        <v>0</v>
      </c>
    </row>
    <row r="510">
      <c r="A510" s="12"/>
      <c r="B510" s="12"/>
      <c r="C510" s="12"/>
      <c r="D510" s="91">
        <f>IFERROR(__xludf.DUMMYFUNCTION("IFERROR(sum(filter('Основной эфир'!$AA:$AA, 'Основной эфир'!$B:$B=$A510,'Основной эфир'!$C:$C=$B510,'Основной эфир'!$I:$I=$C510)), 0) "),0.0)</f>
        <v>0</v>
      </c>
      <c r="E510" s="91">
        <f>IFERROR(__xludf.DUMMYFUNCTION("IFERROR(sum(filter('Основной эфир'!$AC:$AC, 'Основной эфир'!$B:$B=$A510,'Основной эфир'!$C:$C=$B510,'Основной эфир'!$I:$I=$C510)), 0) "),0.0)</f>
        <v>0</v>
      </c>
      <c r="F510" s="91">
        <f>IFERROR(__xludf.DUMMYFUNCTION("IFERROR(sum(filter('Основной эфир'!$O:$O, 'Основной эфир'!$B:$B=$A510,'Основной эфир'!$C:$C=$B510,'Основной эфир'!$I:$I=$C510)), 0) "),0.0)</f>
        <v>0</v>
      </c>
      <c r="G510" s="91">
        <f>IFERROR(__xludf.DUMMYFUNCTION("IFERROR(sum(filter('Основной эфир'!$Q:$Q, 'Основной эфир'!$B:$B=$A510,'Основной эфир'!$C:$C=$B510,'Основной эфир'!$I:$I=$C510)), 0) "),0.0)</f>
        <v>0</v>
      </c>
      <c r="H510" s="91">
        <f>IFERROR(__xludf.DUMMYFUNCTION("IFERROR(AVERAGE(filter('Основной эфир'!$Y:$Y, 'Основной эфир'!$B:$B=$A510,'Основной эфир'!$C:$C=$B510,'Основной эфир'!$I:$I=$C510)), 0) "),0.0)</f>
        <v>0</v>
      </c>
      <c r="I510" s="91">
        <f>IFERROR(__xludf.DUMMYFUNCTION("IFERROR(AVERAGE(filter('Основной эфир'!$AE:$AE, 'Основной эфир'!$B:$B=$A510,'Основной эфир'!$C:$C=$B510,'Основной эфир'!$I:$I=$C510)), 0) "),0.0)</f>
        <v>0</v>
      </c>
      <c r="J510" s="91">
        <f>IFERROR(__xludf.DUMMYFUNCTION("IFERROR(SUM(filter('Основной эфир'!$AL:$AL, 'Основной эфир'!$B:$B=$A510,'Основной эфир'!$C:$C=$B510,'Основной эфир'!$I:$I=$C510)), 0) "),0.0)</f>
        <v>0</v>
      </c>
      <c r="K510" s="91" t="str">
        <f>IFERROR(__xludf.DUMMYFUNCTION("IFERROR(REGEXREPLACE(unique(filter('Основной эфир'!$A:$A, 'Основной эфир'!$B:$B=$A510,'Основной эфир'!$C:$C=$B510,'Основной эфир'!$I:$I=$C510)), ""\d+"", """"),"""")"),"")</f>
        <v/>
      </c>
      <c r="L510" s="91" t="str">
        <f>IFERROR(__xludf.DUMMYFUNCTION("IFERROR(unique(filter('Основной эфир'!$F:$F, 'Основной эфир'!$B:$B=$A510,'Основной эфир'!$C:$C=$B510,'Основной эфир'!$I:$I=$C510)),"""")"),"")</f>
        <v/>
      </c>
      <c r="M510" s="92" t="str">
        <f t="shared" si="1"/>
        <v/>
      </c>
      <c r="N510" s="93">
        <f>IFERROR(__xludf.DUMMYFUNCTION("IFERROR(SWITCH(lower(join("" "",L510:M510)),""а миллионник"", 62.5,""б миллионник"", 75,""а мск"", 50, ""б мск"", 62.5, ""a остальное"", 70, ""б остальное"", 80)/100,0)"),0.0)</f>
        <v>0</v>
      </c>
      <c r="O510" s="91">
        <f t="shared" si="2"/>
        <v>0</v>
      </c>
      <c r="P510" s="91">
        <f>IFERROR(__xludf.DUMMYFUNCTION("IFERROR(sum(filter('Генеральный баннер'!$O:$O, 'Генеральный баннер'!$B:$B=$A510,'Генеральный баннер'!$C:$C=$B510,'Генеральный баннер'!$I:$I=$C510)), 0) "),0.0)</f>
        <v>0</v>
      </c>
      <c r="Q510" s="91">
        <f>IFERROR(__xludf.DUMMYFUNCTION("IFERROR(sum(filter('Генеральный баннер'!$Q:$Q, 'Генеральный баннер'!$B:$B=$A510,'Генеральный баннер'!$C:$C=$B510,'Генеральный баннер'!$I:$I=$C510)), 0) "),0.0)</f>
        <v>0</v>
      </c>
      <c r="R510" s="91">
        <f>IFERROR(__xludf.DUMMYFUNCTION("IFERROR(AVERAGE(filter('Генеральный баннер'!$AA:$AA, 'Генеральный баннер'!$B:$B=$A510,'Генеральный баннер'!$C:$C=$B510,'Генеральный баннер'!$I:$I=$C510)), 0) "),0.0)</f>
        <v>0</v>
      </c>
      <c r="S510" s="91">
        <f>IFERROR(__xludf.DUMMYFUNCTION("IFERROR(SUM(filter('Генеральный баннер'!$AH:$AH, 'Генеральный баннер'!$B:$B=$A510,'Генеральный баннер'!$C:$C=$B510,'Генеральный баннер'!$I:$I=$C510)), 0) "),0.0)</f>
        <v>0</v>
      </c>
      <c r="T510" s="91" t="str">
        <f>IFERROR(__xludf.DUMMYFUNCTION("IFERROR(REGEXREPLACE(unique(filter('Генеральный баннер'!$A:$A, 'Генеральный баннер'!$B:$B=$A510,'Генеральный баннер'!$C:$C=$B510,'Генеральный баннер'!$I:$I=$C510)), ""\d+"", """"),"""")"),"")</f>
        <v/>
      </c>
      <c r="U510" s="91" t="str">
        <f>IFERROR(__xludf.DUMMYFUNCTION("IFERROR(unique(filter('Генеральный баннер'!$F:$F, 'Генеральный баннер'!$B:$B=$A510,'Генеральный баннер'!$C:$C=$B510,'Генеральный баннер'!$I:$I=$C510)),"""")"),"")</f>
        <v/>
      </c>
      <c r="V510" s="92" t="str">
        <f t="shared" si="3"/>
        <v/>
      </c>
      <c r="W510" s="93">
        <f>IFERROR(__xludf.DUMMYFUNCTION("IFERROR(SWITCH(lower(join("" "",U510:V510)),""а миллионник"", 62.5,""б миллионник"", 75,""а мск"", 50, ""б мск"", 62.5, ""a остальное"", 70, ""б остальное"", 80)/100,0)"),0.0)</f>
        <v>0</v>
      </c>
      <c r="X510" s="91">
        <f t="shared" si="4"/>
        <v>0</v>
      </c>
    </row>
    <row r="511">
      <c r="A511" s="12"/>
      <c r="B511" s="12"/>
      <c r="C511" s="12"/>
      <c r="D511" s="91">
        <f>IFERROR(__xludf.DUMMYFUNCTION("IFERROR(sum(filter('Основной эфир'!$AA:$AA, 'Основной эфир'!$B:$B=$A511,'Основной эфир'!$C:$C=$B511,'Основной эфир'!$I:$I=$C511)), 0) "),0.0)</f>
        <v>0</v>
      </c>
      <c r="E511" s="91">
        <f>IFERROR(__xludf.DUMMYFUNCTION("IFERROR(sum(filter('Основной эфир'!$AC:$AC, 'Основной эфир'!$B:$B=$A511,'Основной эфир'!$C:$C=$B511,'Основной эфир'!$I:$I=$C511)), 0) "),0.0)</f>
        <v>0</v>
      </c>
      <c r="F511" s="91">
        <f>IFERROR(__xludf.DUMMYFUNCTION("IFERROR(sum(filter('Основной эфир'!$O:$O, 'Основной эфир'!$B:$B=$A511,'Основной эфир'!$C:$C=$B511,'Основной эфир'!$I:$I=$C511)), 0) "),0.0)</f>
        <v>0</v>
      </c>
      <c r="G511" s="91">
        <f>IFERROR(__xludf.DUMMYFUNCTION("IFERROR(sum(filter('Основной эфир'!$Q:$Q, 'Основной эфир'!$B:$B=$A511,'Основной эфир'!$C:$C=$B511,'Основной эфир'!$I:$I=$C511)), 0) "),0.0)</f>
        <v>0</v>
      </c>
      <c r="H511" s="91">
        <f>IFERROR(__xludf.DUMMYFUNCTION("IFERROR(AVERAGE(filter('Основной эфир'!$Y:$Y, 'Основной эфир'!$B:$B=$A511,'Основной эфир'!$C:$C=$B511,'Основной эфир'!$I:$I=$C511)), 0) "),0.0)</f>
        <v>0</v>
      </c>
      <c r="I511" s="91">
        <f>IFERROR(__xludf.DUMMYFUNCTION("IFERROR(AVERAGE(filter('Основной эфир'!$AE:$AE, 'Основной эфир'!$B:$B=$A511,'Основной эфир'!$C:$C=$B511,'Основной эфир'!$I:$I=$C511)), 0) "),0.0)</f>
        <v>0</v>
      </c>
      <c r="J511" s="91">
        <f>IFERROR(__xludf.DUMMYFUNCTION("IFERROR(SUM(filter('Основной эфир'!$AL:$AL, 'Основной эфир'!$B:$B=$A511,'Основной эфир'!$C:$C=$B511,'Основной эфир'!$I:$I=$C511)), 0) "),0.0)</f>
        <v>0</v>
      </c>
      <c r="K511" s="91" t="str">
        <f>IFERROR(__xludf.DUMMYFUNCTION("IFERROR(REGEXREPLACE(unique(filter('Основной эфир'!$A:$A, 'Основной эфир'!$B:$B=$A511,'Основной эфир'!$C:$C=$B511,'Основной эфир'!$I:$I=$C511)), ""\d+"", """"),"""")"),"")</f>
        <v/>
      </c>
      <c r="L511" s="91" t="str">
        <f>IFERROR(__xludf.DUMMYFUNCTION("IFERROR(unique(filter('Основной эфир'!$F:$F, 'Основной эфир'!$B:$B=$A511,'Основной эфир'!$C:$C=$B511,'Основной эфир'!$I:$I=$C511)),"""")"),"")</f>
        <v/>
      </c>
      <c r="M511" s="92" t="str">
        <f t="shared" si="1"/>
        <v/>
      </c>
      <c r="N511" s="93">
        <f>IFERROR(__xludf.DUMMYFUNCTION("IFERROR(SWITCH(lower(join("" "",L511:M511)),""а миллионник"", 62.5,""б миллионник"", 75,""а мск"", 50, ""б мск"", 62.5, ""a остальное"", 70, ""б остальное"", 80)/100,0)"),0.0)</f>
        <v>0</v>
      </c>
      <c r="O511" s="91">
        <f t="shared" si="2"/>
        <v>0</v>
      </c>
      <c r="P511" s="91">
        <f>IFERROR(__xludf.DUMMYFUNCTION("IFERROR(sum(filter('Генеральный баннер'!$O:$O, 'Генеральный баннер'!$B:$B=$A511,'Генеральный баннер'!$C:$C=$B511,'Генеральный баннер'!$I:$I=$C511)), 0) "),0.0)</f>
        <v>0</v>
      </c>
      <c r="Q511" s="91">
        <f>IFERROR(__xludf.DUMMYFUNCTION("IFERROR(sum(filter('Генеральный баннер'!$Q:$Q, 'Генеральный баннер'!$B:$B=$A511,'Генеральный баннер'!$C:$C=$B511,'Генеральный баннер'!$I:$I=$C511)), 0) "),0.0)</f>
        <v>0</v>
      </c>
      <c r="R511" s="91">
        <f>IFERROR(__xludf.DUMMYFUNCTION("IFERROR(AVERAGE(filter('Генеральный баннер'!$AA:$AA, 'Генеральный баннер'!$B:$B=$A511,'Генеральный баннер'!$C:$C=$B511,'Генеральный баннер'!$I:$I=$C511)), 0) "),0.0)</f>
        <v>0</v>
      </c>
      <c r="S511" s="91">
        <f>IFERROR(__xludf.DUMMYFUNCTION("IFERROR(SUM(filter('Генеральный баннер'!$AH:$AH, 'Генеральный баннер'!$B:$B=$A511,'Генеральный баннер'!$C:$C=$B511,'Генеральный баннер'!$I:$I=$C511)), 0) "),0.0)</f>
        <v>0</v>
      </c>
      <c r="T511" s="91" t="str">
        <f>IFERROR(__xludf.DUMMYFUNCTION("IFERROR(REGEXREPLACE(unique(filter('Генеральный баннер'!$A:$A, 'Генеральный баннер'!$B:$B=$A511,'Генеральный баннер'!$C:$C=$B511,'Генеральный баннер'!$I:$I=$C511)), ""\d+"", """"),"""")"),"")</f>
        <v/>
      </c>
      <c r="U511" s="91" t="str">
        <f>IFERROR(__xludf.DUMMYFUNCTION("IFERROR(unique(filter('Генеральный баннер'!$F:$F, 'Генеральный баннер'!$B:$B=$A511,'Генеральный баннер'!$C:$C=$B511,'Генеральный баннер'!$I:$I=$C511)),"""")"),"")</f>
        <v/>
      </c>
      <c r="V511" s="92" t="str">
        <f t="shared" si="3"/>
        <v/>
      </c>
      <c r="W511" s="93">
        <f>IFERROR(__xludf.DUMMYFUNCTION("IFERROR(SWITCH(lower(join("" "",U511:V511)),""а миллионник"", 62.5,""б миллионник"", 75,""а мск"", 50, ""б мск"", 62.5, ""a остальное"", 70, ""б остальное"", 80)/100,0)"),0.0)</f>
        <v>0</v>
      </c>
      <c r="X511" s="91">
        <f t="shared" si="4"/>
        <v>0</v>
      </c>
    </row>
    <row r="512">
      <c r="A512" s="12"/>
      <c r="B512" s="12"/>
      <c r="C512" s="12"/>
      <c r="D512" s="91">
        <f>IFERROR(__xludf.DUMMYFUNCTION("IFERROR(sum(filter('Основной эфир'!$AA:$AA, 'Основной эфир'!$B:$B=$A512,'Основной эфир'!$C:$C=$B512,'Основной эфир'!$I:$I=$C512)), 0) "),0.0)</f>
        <v>0</v>
      </c>
      <c r="E512" s="91">
        <f>IFERROR(__xludf.DUMMYFUNCTION("IFERROR(sum(filter('Основной эфир'!$AC:$AC, 'Основной эфир'!$B:$B=$A512,'Основной эфир'!$C:$C=$B512,'Основной эфир'!$I:$I=$C512)), 0) "),0.0)</f>
        <v>0</v>
      </c>
      <c r="F512" s="91">
        <f>IFERROR(__xludf.DUMMYFUNCTION("IFERROR(sum(filter('Основной эфир'!$O:$O, 'Основной эфир'!$B:$B=$A512,'Основной эфир'!$C:$C=$B512,'Основной эфир'!$I:$I=$C512)), 0) "),0.0)</f>
        <v>0</v>
      </c>
      <c r="G512" s="91">
        <f>IFERROR(__xludf.DUMMYFUNCTION("IFERROR(sum(filter('Основной эфир'!$Q:$Q, 'Основной эфир'!$B:$B=$A512,'Основной эфир'!$C:$C=$B512,'Основной эфир'!$I:$I=$C512)), 0) "),0.0)</f>
        <v>0</v>
      </c>
      <c r="H512" s="91">
        <f>IFERROR(__xludf.DUMMYFUNCTION("IFERROR(AVERAGE(filter('Основной эфир'!$Y:$Y, 'Основной эфир'!$B:$B=$A512,'Основной эфир'!$C:$C=$B512,'Основной эфир'!$I:$I=$C512)), 0) "),0.0)</f>
        <v>0</v>
      </c>
      <c r="I512" s="91">
        <f>IFERROR(__xludf.DUMMYFUNCTION("IFERROR(AVERAGE(filter('Основной эфир'!$AE:$AE, 'Основной эфир'!$B:$B=$A512,'Основной эфир'!$C:$C=$B512,'Основной эфир'!$I:$I=$C512)), 0) "),0.0)</f>
        <v>0</v>
      </c>
      <c r="J512" s="91">
        <f>IFERROR(__xludf.DUMMYFUNCTION("IFERROR(SUM(filter('Основной эфир'!$AL:$AL, 'Основной эфир'!$B:$B=$A512,'Основной эфир'!$C:$C=$B512,'Основной эфир'!$I:$I=$C512)), 0) "),0.0)</f>
        <v>0</v>
      </c>
      <c r="K512" s="91" t="str">
        <f>IFERROR(__xludf.DUMMYFUNCTION("IFERROR(REGEXREPLACE(unique(filter('Основной эфир'!$A:$A, 'Основной эфир'!$B:$B=$A512,'Основной эфир'!$C:$C=$B512,'Основной эфир'!$I:$I=$C512)), ""\d+"", """"),"""")"),"")</f>
        <v/>
      </c>
      <c r="L512" s="91" t="str">
        <f>IFERROR(__xludf.DUMMYFUNCTION("IFERROR(unique(filter('Основной эфир'!$F:$F, 'Основной эфир'!$B:$B=$A512,'Основной эфир'!$C:$C=$B512,'Основной эфир'!$I:$I=$C512)),"""")"),"")</f>
        <v/>
      </c>
      <c r="M512" s="92" t="str">
        <f t="shared" si="1"/>
        <v/>
      </c>
      <c r="N512" s="93">
        <f>IFERROR(__xludf.DUMMYFUNCTION("IFERROR(SWITCH(lower(join("" "",L512:M512)),""а миллионник"", 62.5,""б миллионник"", 75,""а мск"", 50, ""б мск"", 62.5, ""a остальное"", 70, ""б остальное"", 80)/100,0)"),0.0)</f>
        <v>0</v>
      </c>
      <c r="O512" s="91">
        <f t="shared" si="2"/>
        <v>0</v>
      </c>
      <c r="P512" s="91">
        <f>IFERROR(__xludf.DUMMYFUNCTION("IFERROR(sum(filter('Генеральный баннер'!$O:$O, 'Генеральный баннер'!$B:$B=$A512,'Генеральный баннер'!$C:$C=$B512,'Генеральный баннер'!$I:$I=$C512)), 0) "),0.0)</f>
        <v>0</v>
      </c>
      <c r="Q512" s="91">
        <f>IFERROR(__xludf.DUMMYFUNCTION("IFERROR(sum(filter('Генеральный баннер'!$Q:$Q, 'Генеральный баннер'!$B:$B=$A512,'Генеральный баннер'!$C:$C=$B512,'Генеральный баннер'!$I:$I=$C512)), 0) "),0.0)</f>
        <v>0</v>
      </c>
      <c r="R512" s="91">
        <f>IFERROR(__xludf.DUMMYFUNCTION("IFERROR(AVERAGE(filter('Генеральный баннер'!$AA:$AA, 'Генеральный баннер'!$B:$B=$A512,'Генеральный баннер'!$C:$C=$B512,'Генеральный баннер'!$I:$I=$C512)), 0) "),0.0)</f>
        <v>0</v>
      </c>
      <c r="S512" s="91">
        <f>IFERROR(__xludf.DUMMYFUNCTION("IFERROR(SUM(filter('Генеральный баннер'!$AH:$AH, 'Генеральный баннер'!$B:$B=$A512,'Генеральный баннер'!$C:$C=$B512,'Генеральный баннер'!$I:$I=$C512)), 0) "),0.0)</f>
        <v>0</v>
      </c>
      <c r="T512" s="91" t="str">
        <f>IFERROR(__xludf.DUMMYFUNCTION("IFERROR(REGEXREPLACE(unique(filter('Генеральный баннер'!$A:$A, 'Генеральный баннер'!$B:$B=$A512,'Генеральный баннер'!$C:$C=$B512,'Генеральный баннер'!$I:$I=$C512)), ""\d+"", """"),"""")"),"")</f>
        <v/>
      </c>
      <c r="U512" s="91" t="str">
        <f>IFERROR(__xludf.DUMMYFUNCTION("IFERROR(unique(filter('Генеральный баннер'!$F:$F, 'Генеральный баннер'!$B:$B=$A512,'Генеральный баннер'!$C:$C=$B512,'Генеральный баннер'!$I:$I=$C512)),"""")"),"")</f>
        <v/>
      </c>
      <c r="V512" s="92" t="str">
        <f t="shared" si="3"/>
        <v/>
      </c>
      <c r="W512" s="93">
        <f>IFERROR(__xludf.DUMMYFUNCTION("IFERROR(SWITCH(lower(join("" "",U512:V512)),""а миллионник"", 62.5,""б миллионник"", 75,""а мск"", 50, ""б мск"", 62.5, ""a остальное"", 70, ""б остальное"", 80)/100,0)"),0.0)</f>
        <v>0</v>
      </c>
      <c r="X512" s="91">
        <f t="shared" si="4"/>
        <v>0</v>
      </c>
    </row>
    <row r="513">
      <c r="A513" s="12"/>
      <c r="B513" s="12"/>
      <c r="C513" s="12"/>
      <c r="D513" s="91">
        <f>IFERROR(__xludf.DUMMYFUNCTION("IFERROR(sum(filter('Основной эфир'!$AA:$AA, 'Основной эфир'!$B:$B=$A513,'Основной эфир'!$C:$C=$B513,'Основной эфир'!$I:$I=$C513)), 0) "),0.0)</f>
        <v>0</v>
      </c>
      <c r="E513" s="91">
        <f>IFERROR(__xludf.DUMMYFUNCTION("IFERROR(sum(filter('Основной эфир'!$AC:$AC, 'Основной эфир'!$B:$B=$A513,'Основной эфир'!$C:$C=$B513,'Основной эфир'!$I:$I=$C513)), 0) "),0.0)</f>
        <v>0</v>
      </c>
      <c r="F513" s="91">
        <f>IFERROR(__xludf.DUMMYFUNCTION("IFERROR(sum(filter('Основной эфир'!$O:$O, 'Основной эфир'!$B:$B=$A513,'Основной эфир'!$C:$C=$B513,'Основной эфир'!$I:$I=$C513)), 0) "),0.0)</f>
        <v>0</v>
      </c>
      <c r="G513" s="91">
        <f>IFERROR(__xludf.DUMMYFUNCTION("IFERROR(sum(filter('Основной эфир'!$Q:$Q, 'Основной эфир'!$B:$B=$A513,'Основной эфир'!$C:$C=$B513,'Основной эфир'!$I:$I=$C513)), 0) "),0.0)</f>
        <v>0</v>
      </c>
      <c r="H513" s="91">
        <f>IFERROR(__xludf.DUMMYFUNCTION("IFERROR(AVERAGE(filter('Основной эфир'!$Y:$Y, 'Основной эфир'!$B:$B=$A513,'Основной эфир'!$C:$C=$B513,'Основной эфир'!$I:$I=$C513)), 0) "),0.0)</f>
        <v>0</v>
      </c>
      <c r="I513" s="91">
        <f>IFERROR(__xludf.DUMMYFUNCTION("IFERROR(AVERAGE(filter('Основной эфир'!$AE:$AE, 'Основной эфир'!$B:$B=$A513,'Основной эфир'!$C:$C=$B513,'Основной эфир'!$I:$I=$C513)), 0) "),0.0)</f>
        <v>0</v>
      </c>
      <c r="J513" s="91">
        <f>IFERROR(__xludf.DUMMYFUNCTION("IFERROR(SUM(filter('Основной эфир'!$AL:$AL, 'Основной эфир'!$B:$B=$A513,'Основной эфир'!$C:$C=$B513,'Основной эфир'!$I:$I=$C513)), 0) "),0.0)</f>
        <v>0</v>
      </c>
      <c r="K513" s="91" t="str">
        <f>IFERROR(__xludf.DUMMYFUNCTION("IFERROR(REGEXREPLACE(unique(filter('Основной эфир'!$A:$A, 'Основной эфир'!$B:$B=$A513,'Основной эфир'!$C:$C=$B513,'Основной эфир'!$I:$I=$C513)), ""\d+"", """"),"""")"),"")</f>
        <v/>
      </c>
      <c r="L513" s="91" t="str">
        <f>IFERROR(__xludf.DUMMYFUNCTION("IFERROR(unique(filter('Основной эфир'!$F:$F, 'Основной эфир'!$B:$B=$A513,'Основной эфир'!$C:$C=$B513,'Основной эфир'!$I:$I=$C513)),"""")"),"")</f>
        <v/>
      </c>
      <c r="M513" s="92" t="str">
        <f t="shared" si="1"/>
        <v/>
      </c>
      <c r="N513" s="93">
        <f>IFERROR(__xludf.DUMMYFUNCTION("IFERROR(SWITCH(lower(join("" "",L513:M513)),""а миллионник"", 62.5,""б миллионник"", 75,""а мск"", 50, ""б мск"", 62.5, ""a остальное"", 70, ""б остальное"", 80)/100,0)"),0.0)</f>
        <v>0</v>
      </c>
      <c r="O513" s="91">
        <f t="shared" si="2"/>
        <v>0</v>
      </c>
      <c r="P513" s="91">
        <f>IFERROR(__xludf.DUMMYFUNCTION("IFERROR(sum(filter('Генеральный баннер'!$O:$O, 'Генеральный баннер'!$B:$B=$A513,'Генеральный баннер'!$C:$C=$B513,'Генеральный баннер'!$I:$I=$C513)), 0) "),0.0)</f>
        <v>0</v>
      </c>
      <c r="Q513" s="91">
        <f>IFERROR(__xludf.DUMMYFUNCTION("IFERROR(sum(filter('Генеральный баннер'!$Q:$Q, 'Генеральный баннер'!$B:$B=$A513,'Генеральный баннер'!$C:$C=$B513,'Генеральный баннер'!$I:$I=$C513)), 0) "),0.0)</f>
        <v>0</v>
      </c>
      <c r="R513" s="91">
        <f>IFERROR(__xludf.DUMMYFUNCTION("IFERROR(AVERAGE(filter('Генеральный баннер'!$AA:$AA, 'Генеральный баннер'!$B:$B=$A513,'Генеральный баннер'!$C:$C=$B513,'Генеральный баннер'!$I:$I=$C513)), 0) "),0.0)</f>
        <v>0</v>
      </c>
      <c r="S513" s="91">
        <f>IFERROR(__xludf.DUMMYFUNCTION("IFERROR(SUM(filter('Генеральный баннер'!$AH:$AH, 'Генеральный баннер'!$B:$B=$A513,'Генеральный баннер'!$C:$C=$B513,'Генеральный баннер'!$I:$I=$C513)), 0) "),0.0)</f>
        <v>0</v>
      </c>
      <c r="T513" s="91" t="str">
        <f>IFERROR(__xludf.DUMMYFUNCTION("IFERROR(REGEXREPLACE(unique(filter('Генеральный баннер'!$A:$A, 'Генеральный баннер'!$B:$B=$A513,'Генеральный баннер'!$C:$C=$B513,'Генеральный баннер'!$I:$I=$C513)), ""\d+"", """"),"""")"),"")</f>
        <v/>
      </c>
      <c r="U513" s="91" t="str">
        <f>IFERROR(__xludf.DUMMYFUNCTION("IFERROR(unique(filter('Генеральный баннер'!$F:$F, 'Генеральный баннер'!$B:$B=$A513,'Генеральный баннер'!$C:$C=$B513,'Генеральный баннер'!$I:$I=$C513)),"""")"),"")</f>
        <v/>
      </c>
      <c r="V513" s="92" t="str">
        <f t="shared" si="3"/>
        <v/>
      </c>
      <c r="W513" s="93">
        <f>IFERROR(__xludf.DUMMYFUNCTION("IFERROR(SWITCH(lower(join("" "",U513:V513)),""а миллионник"", 62.5,""б миллионник"", 75,""а мск"", 50, ""б мск"", 62.5, ""a остальное"", 70, ""б остальное"", 80)/100,0)"),0.0)</f>
        <v>0</v>
      </c>
      <c r="X513" s="91">
        <f t="shared" si="4"/>
        <v>0</v>
      </c>
    </row>
    <row r="514">
      <c r="A514" s="12"/>
      <c r="B514" s="12"/>
      <c r="C514" s="12"/>
      <c r="D514" s="91">
        <f>IFERROR(__xludf.DUMMYFUNCTION("IFERROR(sum(filter('Основной эфир'!$AA:$AA, 'Основной эфир'!$B:$B=$A514,'Основной эфир'!$C:$C=$B514,'Основной эфир'!$I:$I=$C514)), 0) "),0.0)</f>
        <v>0</v>
      </c>
      <c r="E514" s="91">
        <f>IFERROR(__xludf.DUMMYFUNCTION("IFERROR(sum(filter('Основной эфир'!$AC:$AC, 'Основной эфир'!$B:$B=$A514,'Основной эфир'!$C:$C=$B514,'Основной эфир'!$I:$I=$C514)), 0) "),0.0)</f>
        <v>0</v>
      </c>
      <c r="F514" s="91">
        <f>IFERROR(__xludf.DUMMYFUNCTION("IFERROR(sum(filter('Основной эфир'!$O:$O, 'Основной эфир'!$B:$B=$A514,'Основной эфир'!$C:$C=$B514,'Основной эфир'!$I:$I=$C514)), 0) "),0.0)</f>
        <v>0</v>
      </c>
      <c r="G514" s="91">
        <f>IFERROR(__xludf.DUMMYFUNCTION("IFERROR(sum(filter('Основной эфир'!$Q:$Q, 'Основной эфир'!$B:$B=$A514,'Основной эфир'!$C:$C=$B514,'Основной эфир'!$I:$I=$C514)), 0) "),0.0)</f>
        <v>0</v>
      </c>
      <c r="H514" s="91">
        <f>IFERROR(__xludf.DUMMYFUNCTION("IFERROR(AVERAGE(filter('Основной эфир'!$Y:$Y, 'Основной эфир'!$B:$B=$A514,'Основной эфир'!$C:$C=$B514,'Основной эфир'!$I:$I=$C514)), 0) "),0.0)</f>
        <v>0</v>
      </c>
      <c r="I514" s="91">
        <f>IFERROR(__xludf.DUMMYFUNCTION("IFERROR(AVERAGE(filter('Основной эфир'!$AE:$AE, 'Основной эфир'!$B:$B=$A514,'Основной эфир'!$C:$C=$B514,'Основной эфир'!$I:$I=$C514)), 0) "),0.0)</f>
        <v>0</v>
      </c>
      <c r="J514" s="91">
        <f>IFERROR(__xludf.DUMMYFUNCTION("IFERROR(SUM(filter('Основной эфир'!$AL:$AL, 'Основной эфир'!$B:$B=$A514,'Основной эфир'!$C:$C=$B514,'Основной эфир'!$I:$I=$C514)), 0) "),0.0)</f>
        <v>0</v>
      </c>
      <c r="K514" s="91" t="str">
        <f>IFERROR(__xludf.DUMMYFUNCTION("IFERROR(REGEXREPLACE(unique(filter('Основной эфир'!$A:$A, 'Основной эфир'!$B:$B=$A514,'Основной эфир'!$C:$C=$B514,'Основной эфир'!$I:$I=$C514)), ""\d+"", """"),"""")"),"")</f>
        <v/>
      </c>
      <c r="L514" s="91" t="str">
        <f>IFERROR(__xludf.DUMMYFUNCTION("IFERROR(unique(filter('Основной эфир'!$F:$F, 'Основной эфир'!$B:$B=$A514,'Основной эфир'!$C:$C=$B514,'Основной эфир'!$I:$I=$C514)),"""")"),"")</f>
        <v/>
      </c>
      <c r="M514" s="92" t="str">
        <f t="shared" si="1"/>
        <v/>
      </c>
      <c r="N514" s="93">
        <f>IFERROR(__xludf.DUMMYFUNCTION("IFERROR(SWITCH(lower(join("" "",L514:M514)),""а миллионник"", 62.5,""б миллионник"", 75,""а мск"", 50, ""б мск"", 62.5, ""a остальное"", 70, ""б остальное"", 80)/100,0)"),0.0)</f>
        <v>0</v>
      </c>
      <c r="O514" s="91">
        <f t="shared" si="2"/>
        <v>0</v>
      </c>
      <c r="P514" s="91">
        <f>IFERROR(__xludf.DUMMYFUNCTION("IFERROR(sum(filter('Генеральный баннер'!$O:$O, 'Генеральный баннер'!$B:$B=$A514,'Генеральный баннер'!$C:$C=$B514,'Генеральный баннер'!$I:$I=$C514)), 0) "),0.0)</f>
        <v>0</v>
      </c>
      <c r="Q514" s="91">
        <f>IFERROR(__xludf.DUMMYFUNCTION("IFERROR(sum(filter('Генеральный баннер'!$Q:$Q, 'Генеральный баннер'!$B:$B=$A514,'Генеральный баннер'!$C:$C=$B514,'Генеральный баннер'!$I:$I=$C514)), 0) "),0.0)</f>
        <v>0</v>
      </c>
      <c r="R514" s="91">
        <f>IFERROR(__xludf.DUMMYFUNCTION("IFERROR(AVERAGE(filter('Генеральный баннер'!$AA:$AA, 'Генеральный баннер'!$B:$B=$A514,'Генеральный баннер'!$C:$C=$B514,'Генеральный баннер'!$I:$I=$C514)), 0) "),0.0)</f>
        <v>0</v>
      </c>
      <c r="S514" s="91">
        <f>IFERROR(__xludf.DUMMYFUNCTION("IFERROR(SUM(filter('Генеральный баннер'!$AH:$AH, 'Генеральный баннер'!$B:$B=$A514,'Генеральный баннер'!$C:$C=$B514,'Генеральный баннер'!$I:$I=$C514)), 0) "),0.0)</f>
        <v>0</v>
      </c>
      <c r="T514" s="91" t="str">
        <f>IFERROR(__xludf.DUMMYFUNCTION("IFERROR(REGEXREPLACE(unique(filter('Генеральный баннер'!$A:$A, 'Генеральный баннер'!$B:$B=$A514,'Генеральный баннер'!$C:$C=$B514,'Генеральный баннер'!$I:$I=$C514)), ""\d+"", """"),"""")"),"")</f>
        <v/>
      </c>
      <c r="U514" s="91" t="str">
        <f>IFERROR(__xludf.DUMMYFUNCTION("IFERROR(unique(filter('Генеральный баннер'!$F:$F, 'Генеральный баннер'!$B:$B=$A514,'Генеральный баннер'!$C:$C=$B514,'Генеральный баннер'!$I:$I=$C514)),"""")"),"")</f>
        <v/>
      </c>
      <c r="V514" s="92" t="str">
        <f t="shared" si="3"/>
        <v/>
      </c>
      <c r="W514" s="93">
        <f>IFERROR(__xludf.DUMMYFUNCTION("IFERROR(SWITCH(lower(join("" "",U514:V514)),""а миллионник"", 62.5,""б миллионник"", 75,""а мск"", 50, ""б мск"", 62.5, ""a остальное"", 70, ""б остальное"", 80)/100,0)"),0.0)</f>
        <v>0</v>
      </c>
      <c r="X514" s="91">
        <f t="shared" si="4"/>
        <v>0</v>
      </c>
    </row>
    <row r="515">
      <c r="A515" s="12"/>
      <c r="B515" s="12"/>
      <c r="C515" s="12"/>
      <c r="D515" s="91">
        <f>IFERROR(__xludf.DUMMYFUNCTION("IFERROR(sum(filter('Основной эфир'!$AA:$AA, 'Основной эфир'!$B:$B=$A515,'Основной эфир'!$C:$C=$B515,'Основной эфир'!$I:$I=$C515)), 0) "),0.0)</f>
        <v>0</v>
      </c>
      <c r="E515" s="91">
        <f>IFERROR(__xludf.DUMMYFUNCTION("IFERROR(sum(filter('Основной эфир'!$AC:$AC, 'Основной эфир'!$B:$B=$A515,'Основной эфир'!$C:$C=$B515,'Основной эфир'!$I:$I=$C515)), 0) "),0.0)</f>
        <v>0</v>
      </c>
      <c r="F515" s="91">
        <f>IFERROR(__xludf.DUMMYFUNCTION("IFERROR(sum(filter('Основной эфир'!$O:$O, 'Основной эфир'!$B:$B=$A515,'Основной эфир'!$C:$C=$B515,'Основной эфир'!$I:$I=$C515)), 0) "),0.0)</f>
        <v>0</v>
      </c>
      <c r="G515" s="91">
        <f>IFERROR(__xludf.DUMMYFUNCTION("IFERROR(sum(filter('Основной эфир'!$Q:$Q, 'Основной эфир'!$B:$B=$A515,'Основной эфир'!$C:$C=$B515,'Основной эфир'!$I:$I=$C515)), 0) "),0.0)</f>
        <v>0</v>
      </c>
      <c r="H515" s="91">
        <f>IFERROR(__xludf.DUMMYFUNCTION("IFERROR(AVERAGE(filter('Основной эфир'!$Y:$Y, 'Основной эфир'!$B:$B=$A515,'Основной эфир'!$C:$C=$B515,'Основной эфир'!$I:$I=$C515)), 0) "),0.0)</f>
        <v>0</v>
      </c>
      <c r="I515" s="91">
        <f>IFERROR(__xludf.DUMMYFUNCTION("IFERROR(AVERAGE(filter('Основной эфир'!$AE:$AE, 'Основной эфир'!$B:$B=$A515,'Основной эфир'!$C:$C=$B515,'Основной эфир'!$I:$I=$C515)), 0) "),0.0)</f>
        <v>0</v>
      </c>
      <c r="J515" s="91">
        <f>IFERROR(__xludf.DUMMYFUNCTION("IFERROR(SUM(filter('Основной эфир'!$AL:$AL, 'Основной эфир'!$B:$B=$A515,'Основной эфир'!$C:$C=$B515,'Основной эфир'!$I:$I=$C515)), 0) "),0.0)</f>
        <v>0</v>
      </c>
      <c r="K515" s="91" t="str">
        <f>IFERROR(__xludf.DUMMYFUNCTION("IFERROR(REGEXREPLACE(unique(filter('Основной эфир'!$A:$A, 'Основной эфир'!$B:$B=$A515,'Основной эфир'!$C:$C=$B515,'Основной эфир'!$I:$I=$C515)), ""\d+"", """"),"""")"),"")</f>
        <v/>
      </c>
      <c r="L515" s="91" t="str">
        <f>IFERROR(__xludf.DUMMYFUNCTION("IFERROR(unique(filter('Основной эфир'!$F:$F, 'Основной эфир'!$B:$B=$A515,'Основной эфир'!$C:$C=$B515,'Основной эфир'!$I:$I=$C515)),"""")"),"")</f>
        <v/>
      </c>
      <c r="M515" s="92" t="str">
        <f t="shared" si="1"/>
        <v/>
      </c>
      <c r="N515" s="93">
        <f>IFERROR(__xludf.DUMMYFUNCTION("IFERROR(SWITCH(lower(join("" "",L515:M515)),""а миллионник"", 62.5,""б миллионник"", 75,""а мск"", 50, ""б мск"", 62.5, ""a остальное"", 70, ""б остальное"", 80)/100,0)"),0.0)</f>
        <v>0</v>
      </c>
      <c r="O515" s="91">
        <f t="shared" si="2"/>
        <v>0</v>
      </c>
      <c r="P515" s="91">
        <f>IFERROR(__xludf.DUMMYFUNCTION("IFERROR(sum(filter('Генеральный баннер'!$O:$O, 'Генеральный баннер'!$B:$B=$A515,'Генеральный баннер'!$C:$C=$B515,'Генеральный баннер'!$I:$I=$C515)), 0) "),0.0)</f>
        <v>0</v>
      </c>
      <c r="Q515" s="91">
        <f>IFERROR(__xludf.DUMMYFUNCTION("IFERROR(sum(filter('Генеральный баннер'!$Q:$Q, 'Генеральный баннер'!$B:$B=$A515,'Генеральный баннер'!$C:$C=$B515,'Генеральный баннер'!$I:$I=$C515)), 0) "),0.0)</f>
        <v>0</v>
      </c>
      <c r="R515" s="91">
        <f>IFERROR(__xludf.DUMMYFUNCTION("IFERROR(AVERAGE(filter('Генеральный баннер'!$AA:$AA, 'Генеральный баннер'!$B:$B=$A515,'Генеральный баннер'!$C:$C=$B515,'Генеральный баннер'!$I:$I=$C515)), 0) "),0.0)</f>
        <v>0</v>
      </c>
      <c r="S515" s="91">
        <f>IFERROR(__xludf.DUMMYFUNCTION("IFERROR(SUM(filter('Генеральный баннер'!$AH:$AH, 'Генеральный баннер'!$B:$B=$A515,'Генеральный баннер'!$C:$C=$B515,'Генеральный баннер'!$I:$I=$C515)), 0) "),0.0)</f>
        <v>0</v>
      </c>
      <c r="T515" s="91" t="str">
        <f>IFERROR(__xludf.DUMMYFUNCTION("IFERROR(REGEXREPLACE(unique(filter('Генеральный баннер'!$A:$A, 'Генеральный баннер'!$B:$B=$A515,'Генеральный баннер'!$C:$C=$B515,'Генеральный баннер'!$I:$I=$C515)), ""\d+"", """"),"""")"),"")</f>
        <v/>
      </c>
      <c r="U515" s="91" t="str">
        <f>IFERROR(__xludf.DUMMYFUNCTION("IFERROR(unique(filter('Генеральный баннер'!$F:$F, 'Генеральный баннер'!$B:$B=$A515,'Генеральный баннер'!$C:$C=$B515,'Генеральный баннер'!$I:$I=$C515)),"""")"),"")</f>
        <v/>
      </c>
      <c r="V515" s="92" t="str">
        <f t="shared" si="3"/>
        <v/>
      </c>
      <c r="W515" s="93">
        <f>IFERROR(__xludf.DUMMYFUNCTION("IFERROR(SWITCH(lower(join("" "",U515:V515)),""а миллионник"", 62.5,""б миллионник"", 75,""а мск"", 50, ""б мск"", 62.5, ""a остальное"", 70, ""б остальное"", 80)/100,0)"),0.0)</f>
        <v>0</v>
      </c>
      <c r="X515" s="91">
        <f t="shared" si="4"/>
        <v>0</v>
      </c>
    </row>
    <row r="516">
      <c r="A516" s="12"/>
      <c r="B516" s="12"/>
      <c r="C516" s="12"/>
      <c r="D516" s="91">
        <f>IFERROR(__xludf.DUMMYFUNCTION("IFERROR(sum(filter('Основной эфир'!$AA:$AA, 'Основной эфир'!$B:$B=$A516,'Основной эфир'!$C:$C=$B516,'Основной эфир'!$I:$I=$C516)), 0) "),0.0)</f>
        <v>0</v>
      </c>
      <c r="E516" s="91">
        <f>IFERROR(__xludf.DUMMYFUNCTION("IFERROR(sum(filter('Основной эфир'!$AC:$AC, 'Основной эфир'!$B:$B=$A516,'Основной эфир'!$C:$C=$B516,'Основной эфир'!$I:$I=$C516)), 0) "),0.0)</f>
        <v>0</v>
      </c>
      <c r="F516" s="91">
        <f>IFERROR(__xludf.DUMMYFUNCTION("IFERROR(sum(filter('Основной эфир'!$O:$O, 'Основной эфир'!$B:$B=$A516,'Основной эфир'!$C:$C=$B516,'Основной эфир'!$I:$I=$C516)), 0) "),0.0)</f>
        <v>0</v>
      </c>
      <c r="G516" s="91">
        <f>IFERROR(__xludf.DUMMYFUNCTION("IFERROR(sum(filter('Основной эфир'!$Q:$Q, 'Основной эфир'!$B:$B=$A516,'Основной эфир'!$C:$C=$B516,'Основной эфир'!$I:$I=$C516)), 0) "),0.0)</f>
        <v>0</v>
      </c>
      <c r="H516" s="91">
        <f>IFERROR(__xludf.DUMMYFUNCTION("IFERROR(AVERAGE(filter('Основной эфир'!$Y:$Y, 'Основной эфир'!$B:$B=$A516,'Основной эфир'!$C:$C=$B516,'Основной эфир'!$I:$I=$C516)), 0) "),0.0)</f>
        <v>0</v>
      </c>
      <c r="I516" s="91">
        <f>IFERROR(__xludf.DUMMYFUNCTION("IFERROR(AVERAGE(filter('Основной эфир'!$AE:$AE, 'Основной эфир'!$B:$B=$A516,'Основной эфир'!$C:$C=$B516,'Основной эфир'!$I:$I=$C516)), 0) "),0.0)</f>
        <v>0</v>
      </c>
      <c r="J516" s="91">
        <f>IFERROR(__xludf.DUMMYFUNCTION("IFERROR(SUM(filter('Основной эфир'!$AL:$AL, 'Основной эфир'!$B:$B=$A516,'Основной эфир'!$C:$C=$B516,'Основной эфир'!$I:$I=$C516)), 0) "),0.0)</f>
        <v>0</v>
      </c>
      <c r="K516" s="91" t="str">
        <f>IFERROR(__xludf.DUMMYFUNCTION("IFERROR(REGEXREPLACE(unique(filter('Основной эфир'!$A:$A, 'Основной эфир'!$B:$B=$A516,'Основной эфир'!$C:$C=$B516,'Основной эфир'!$I:$I=$C516)), ""\d+"", """"),"""")"),"")</f>
        <v/>
      </c>
      <c r="L516" s="91" t="str">
        <f>IFERROR(__xludf.DUMMYFUNCTION("IFERROR(unique(filter('Основной эфир'!$F:$F, 'Основной эфир'!$B:$B=$A516,'Основной эфир'!$C:$C=$B516,'Основной эфир'!$I:$I=$C516)),"""")"),"")</f>
        <v/>
      </c>
      <c r="M516" s="92" t="str">
        <f t="shared" si="1"/>
        <v/>
      </c>
      <c r="N516" s="93">
        <f>IFERROR(__xludf.DUMMYFUNCTION("IFERROR(SWITCH(lower(join("" "",L516:M516)),""а миллионник"", 62.5,""б миллионник"", 75,""а мск"", 50, ""б мск"", 62.5, ""a остальное"", 70, ""б остальное"", 80)/100,0)"),0.0)</f>
        <v>0</v>
      </c>
      <c r="O516" s="91">
        <f t="shared" si="2"/>
        <v>0</v>
      </c>
      <c r="P516" s="91">
        <f>IFERROR(__xludf.DUMMYFUNCTION("IFERROR(sum(filter('Генеральный баннер'!$O:$O, 'Генеральный баннер'!$B:$B=$A516,'Генеральный баннер'!$C:$C=$B516,'Генеральный баннер'!$I:$I=$C516)), 0) "),0.0)</f>
        <v>0</v>
      </c>
      <c r="Q516" s="91">
        <f>IFERROR(__xludf.DUMMYFUNCTION("IFERROR(sum(filter('Генеральный баннер'!$Q:$Q, 'Генеральный баннер'!$B:$B=$A516,'Генеральный баннер'!$C:$C=$B516,'Генеральный баннер'!$I:$I=$C516)), 0) "),0.0)</f>
        <v>0</v>
      </c>
      <c r="R516" s="91">
        <f>IFERROR(__xludf.DUMMYFUNCTION("IFERROR(AVERAGE(filter('Генеральный баннер'!$AA:$AA, 'Генеральный баннер'!$B:$B=$A516,'Генеральный баннер'!$C:$C=$B516,'Генеральный баннер'!$I:$I=$C516)), 0) "),0.0)</f>
        <v>0</v>
      </c>
      <c r="S516" s="91">
        <f>IFERROR(__xludf.DUMMYFUNCTION("IFERROR(SUM(filter('Генеральный баннер'!$AH:$AH, 'Генеральный баннер'!$B:$B=$A516,'Генеральный баннер'!$C:$C=$B516,'Генеральный баннер'!$I:$I=$C516)), 0) "),0.0)</f>
        <v>0</v>
      </c>
      <c r="T516" s="91" t="str">
        <f>IFERROR(__xludf.DUMMYFUNCTION("IFERROR(REGEXREPLACE(unique(filter('Генеральный баннер'!$A:$A, 'Генеральный баннер'!$B:$B=$A516,'Генеральный баннер'!$C:$C=$B516,'Генеральный баннер'!$I:$I=$C516)), ""\d+"", """"),"""")"),"")</f>
        <v/>
      </c>
      <c r="U516" s="91" t="str">
        <f>IFERROR(__xludf.DUMMYFUNCTION("IFERROR(unique(filter('Генеральный баннер'!$F:$F, 'Генеральный баннер'!$B:$B=$A516,'Генеральный баннер'!$C:$C=$B516,'Генеральный баннер'!$I:$I=$C516)),"""")"),"")</f>
        <v/>
      </c>
      <c r="V516" s="92" t="str">
        <f t="shared" si="3"/>
        <v/>
      </c>
      <c r="W516" s="93">
        <f>IFERROR(__xludf.DUMMYFUNCTION("IFERROR(SWITCH(lower(join("" "",U516:V516)),""а миллионник"", 62.5,""б миллионник"", 75,""а мск"", 50, ""б мск"", 62.5, ""a остальное"", 70, ""б остальное"", 80)/100,0)"),0.0)</f>
        <v>0</v>
      </c>
      <c r="X516" s="91">
        <f t="shared" si="4"/>
        <v>0</v>
      </c>
    </row>
    <row r="517">
      <c r="A517" s="12"/>
      <c r="B517" s="12"/>
      <c r="C517" s="12"/>
      <c r="D517" s="91">
        <f>IFERROR(__xludf.DUMMYFUNCTION("IFERROR(sum(filter('Основной эфир'!$AA:$AA, 'Основной эфир'!$B:$B=$A517,'Основной эфир'!$C:$C=$B517,'Основной эфир'!$I:$I=$C517)), 0) "),0.0)</f>
        <v>0</v>
      </c>
      <c r="E517" s="91">
        <f>IFERROR(__xludf.DUMMYFUNCTION("IFERROR(sum(filter('Основной эфир'!$AC:$AC, 'Основной эфир'!$B:$B=$A517,'Основной эфир'!$C:$C=$B517,'Основной эфир'!$I:$I=$C517)), 0) "),0.0)</f>
        <v>0</v>
      </c>
      <c r="F517" s="91">
        <f>IFERROR(__xludf.DUMMYFUNCTION("IFERROR(sum(filter('Основной эфир'!$O:$O, 'Основной эфир'!$B:$B=$A517,'Основной эфир'!$C:$C=$B517,'Основной эфир'!$I:$I=$C517)), 0) "),0.0)</f>
        <v>0</v>
      </c>
      <c r="G517" s="91">
        <f>IFERROR(__xludf.DUMMYFUNCTION("IFERROR(sum(filter('Основной эфир'!$Q:$Q, 'Основной эфир'!$B:$B=$A517,'Основной эфир'!$C:$C=$B517,'Основной эфир'!$I:$I=$C517)), 0) "),0.0)</f>
        <v>0</v>
      </c>
      <c r="H517" s="91">
        <f>IFERROR(__xludf.DUMMYFUNCTION("IFERROR(AVERAGE(filter('Основной эфир'!$Y:$Y, 'Основной эфир'!$B:$B=$A517,'Основной эфир'!$C:$C=$B517,'Основной эфир'!$I:$I=$C517)), 0) "),0.0)</f>
        <v>0</v>
      </c>
      <c r="I517" s="91">
        <f>IFERROR(__xludf.DUMMYFUNCTION("IFERROR(AVERAGE(filter('Основной эфир'!$AE:$AE, 'Основной эфир'!$B:$B=$A517,'Основной эфир'!$C:$C=$B517,'Основной эфир'!$I:$I=$C517)), 0) "),0.0)</f>
        <v>0</v>
      </c>
      <c r="J517" s="91">
        <f>IFERROR(__xludf.DUMMYFUNCTION("IFERROR(SUM(filter('Основной эфир'!$AL:$AL, 'Основной эфир'!$B:$B=$A517,'Основной эфир'!$C:$C=$B517,'Основной эфир'!$I:$I=$C517)), 0) "),0.0)</f>
        <v>0</v>
      </c>
      <c r="K517" s="91" t="str">
        <f>IFERROR(__xludf.DUMMYFUNCTION("IFERROR(REGEXREPLACE(unique(filter('Основной эфир'!$A:$A, 'Основной эфир'!$B:$B=$A517,'Основной эфир'!$C:$C=$B517,'Основной эфир'!$I:$I=$C517)), ""\d+"", """"),"""")"),"")</f>
        <v/>
      </c>
      <c r="L517" s="91" t="str">
        <f>IFERROR(__xludf.DUMMYFUNCTION("IFERROR(unique(filter('Основной эфир'!$F:$F, 'Основной эфир'!$B:$B=$A517,'Основной эфир'!$C:$C=$B517,'Основной эфир'!$I:$I=$C517)),"""")"),"")</f>
        <v/>
      </c>
      <c r="M517" s="92" t="str">
        <f t="shared" si="1"/>
        <v/>
      </c>
      <c r="N517" s="93">
        <f>IFERROR(__xludf.DUMMYFUNCTION("IFERROR(SWITCH(lower(join("" "",L517:M517)),""а миллионник"", 62.5,""б миллионник"", 75,""а мск"", 50, ""б мск"", 62.5, ""a остальное"", 70, ""б остальное"", 80)/100,0)"),0.0)</f>
        <v>0</v>
      </c>
      <c r="O517" s="91">
        <f t="shared" si="2"/>
        <v>0</v>
      </c>
      <c r="P517" s="91">
        <f>IFERROR(__xludf.DUMMYFUNCTION("IFERROR(sum(filter('Генеральный баннер'!$O:$O, 'Генеральный баннер'!$B:$B=$A517,'Генеральный баннер'!$C:$C=$B517,'Генеральный баннер'!$I:$I=$C517)), 0) "),0.0)</f>
        <v>0</v>
      </c>
      <c r="Q517" s="91">
        <f>IFERROR(__xludf.DUMMYFUNCTION("IFERROR(sum(filter('Генеральный баннер'!$Q:$Q, 'Генеральный баннер'!$B:$B=$A517,'Генеральный баннер'!$C:$C=$B517,'Генеральный баннер'!$I:$I=$C517)), 0) "),0.0)</f>
        <v>0</v>
      </c>
      <c r="R517" s="91">
        <f>IFERROR(__xludf.DUMMYFUNCTION("IFERROR(AVERAGE(filter('Генеральный баннер'!$AA:$AA, 'Генеральный баннер'!$B:$B=$A517,'Генеральный баннер'!$C:$C=$B517,'Генеральный баннер'!$I:$I=$C517)), 0) "),0.0)</f>
        <v>0</v>
      </c>
      <c r="S517" s="91">
        <f>IFERROR(__xludf.DUMMYFUNCTION("IFERROR(SUM(filter('Генеральный баннер'!$AH:$AH, 'Генеральный баннер'!$B:$B=$A517,'Генеральный баннер'!$C:$C=$B517,'Генеральный баннер'!$I:$I=$C517)), 0) "),0.0)</f>
        <v>0</v>
      </c>
      <c r="T517" s="91" t="str">
        <f>IFERROR(__xludf.DUMMYFUNCTION("IFERROR(REGEXREPLACE(unique(filter('Генеральный баннер'!$A:$A, 'Генеральный баннер'!$B:$B=$A517,'Генеральный баннер'!$C:$C=$B517,'Генеральный баннер'!$I:$I=$C517)), ""\d+"", """"),"""")"),"")</f>
        <v/>
      </c>
      <c r="U517" s="91" t="str">
        <f>IFERROR(__xludf.DUMMYFUNCTION("IFERROR(unique(filter('Генеральный баннер'!$F:$F, 'Генеральный баннер'!$B:$B=$A517,'Генеральный баннер'!$C:$C=$B517,'Генеральный баннер'!$I:$I=$C517)),"""")"),"")</f>
        <v/>
      </c>
      <c r="V517" s="92" t="str">
        <f t="shared" si="3"/>
        <v/>
      </c>
      <c r="W517" s="93">
        <f>IFERROR(__xludf.DUMMYFUNCTION("IFERROR(SWITCH(lower(join("" "",U517:V517)),""а миллионник"", 62.5,""б миллионник"", 75,""а мск"", 50, ""б мск"", 62.5, ""a остальное"", 70, ""б остальное"", 80)/100,0)"),0.0)</f>
        <v>0</v>
      </c>
      <c r="X517" s="91">
        <f t="shared" si="4"/>
        <v>0</v>
      </c>
    </row>
    <row r="518">
      <c r="A518" s="12"/>
      <c r="B518" s="12"/>
      <c r="C518" s="12"/>
      <c r="D518" s="91">
        <f>IFERROR(__xludf.DUMMYFUNCTION("IFERROR(sum(filter('Основной эфир'!$AA:$AA, 'Основной эфир'!$B:$B=$A518,'Основной эфир'!$C:$C=$B518,'Основной эфир'!$I:$I=$C518)), 0) "),0.0)</f>
        <v>0</v>
      </c>
      <c r="E518" s="91">
        <f>IFERROR(__xludf.DUMMYFUNCTION("IFERROR(sum(filter('Основной эфир'!$AC:$AC, 'Основной эфир'!$B:$B=$A518,'Основной эфир'!$C:$C=$B518,'Основной эфир'!$I:$I=$C518)), 0) "),0.0)</f>
        <v>0</v>
      </c>
      <c r="F518" s="91">
        <f>IFERROR(__xludf.DUMMYFUNCTION("IFERROR(sum(filter('Основной эфир'!$O:$O, 'Основной эфир'!$B:$B=$A518,'Основной эфир'!$C:$C=$B518,'Основной эфир'!$I:$I=$C518)), 0) "),0.0)</f>
        <v>0</v>
      </c>
      <c r="G518" s="91">
        <f>IFERROR(__xludf.DUMMYFUNCTION("IFERROR(sum(filter('Основной эфир'!$Q:$Q, 'Основной эфир'!$B:$B=$A518,'Основной эфир'!$C:$C=$B518,'Основной эфир'!$I:$I=$C518)), 0) "),0.0)</f>
        <v>0</v>
      </c>
      <c r="H518" s="91">
        <f>IFERROR(__xludf.DUMMYFUNCTION("IFERROR(AVERAGE(filter('Основной эфир'!$Y:$Y, 'Основной эфир'!$B:$B=$A518,'Основной эфир'!$C:$C=$B518,'Основной эфир'!$I:$I=$C518)), 0) "),0.0)</f>
        <v>0</v>
      </c>
      <c r="I518" s="91">
        <f>IFERROR(__xludf.DUMMYFUNCTION("IFERROR(AVERAGE(filter('Основной эфир'!$AE:$AE, 'Основной эфир'!$B:$B=$A518,'Основной эфир'!$C:$C=$B518,'Основной эфир'!$I:$I=$C518)), 0) "),0.0)</f>
        <v>0</v>
      </c>
      <c r="J518" s="91">
        <f>IFERROR(__xludf.DUMMYFUNCTION("IFERROR(SUM(filter('Основной эфир'!$AL:$AL, 'Основной эфир'!$B:$B=$A518,'Основной эфир'!$C:$C=$B518,'Основной эфир'!$I:$I=$C518)), 0) "),0.0)</f>
        <v>0</v>
      </c>
      <c r="K518" s="91" t="str">
        <f>IFERROR(__xludf.DUMMYFUNCTION("IFERROR(REGEXREPLACE(unique(filter('Основной эфир'!$A:$A, 'Основной эфир'!$B:$B=$A518,'Основной эфир'!$C:$C=$B518,'Основной эфир'!$I:$I=$C518)), ""\d+"", """"),"""")"),"")</f>
        <v/>
      </c>
      <c r="L518" s="91" t="str">
        <f>IFERROR(__xludf.DUMMYFUNCTION("IFERROR(unique(filter('Основной эфир'!$F:$F, 'Основной эфир'!$B:$B=$A518,'Основной эфир'!$C:$C=$B518,'Основной эфир'!$I:$I=$C518)),"""")"),"")</f>
        <v/>
      </c>
      <c r="M518" s="92" t="str">
        <f t="shared" si="1"/>
        <v/>
      </c>
      <c r="N518" s="93">
        <f>IFERROR(__xludf.DUMMYFUNCTION("IFERROR(SWITCH(lower(join("" "",L518:M518)),""а миллионник"", 62.5,""б миллионник"", 75,""а мск"", 50, ""б мск"", 62.5, ""a остальное"", 70, ""б остальное"", 80)/100,0)"),0.0)</f>
        <v>0</v>
      </c>
      <c r="O518" s="91">
        <f t="shared" si="2"/>
        <v>0</v>
      </c>
      <c r="P518" s="91">
        <f>IFERROR(__xludf.DUMMYFUNCTION("IFERROR(sum(filter('Генеральный баннер'!$O:$O, 'Генеральный баннер'!$B:$B=$A518,'Генеральный баннер'!$C:$C=$B518,'Генеральный баннер'!$I:$I=$C518)), 0) "),0.0)</f>
        <v>0</v>
      </c>
      <c r="Q518" s="91">
        <f>IFERROR(__xludf.DUMMYFUNCTION("IFERROR(sum(filter('Генеральный баннер'!$Q:$Q, 'Генеральный баннер'!$B:$B=$A518,'Генеральный баннер'!$C:$C=$B518,'Генеральный баннер'!$I:$I=$C518)), 0) "),0.0)</f>
        <v>0</v>
      </c>
      <c r="R518" s="91">
        <f>IFERROR(__xludf.DUMMYFUNCTION("IFERROR(AVERAGE(filter('Генеральный баннер'!$AA:$AA, 'Генеральный баннер'!$B:$B=$A518,'Генеральный баннер'!$C:$C=$B518,'Генеральный баннер'!$I:$I=$C518)), 0) "),0.0)</f>
        <v>0</v>
      </c>
      <c r="S518" s="91">
        <f>IFERROR(__xludf.DUMMYFUNCTION("IFERROR(SUM(filter('Генеральный баннер'!$AH:$AH, 'Генеральный баннер'!$B:$B=$A518,'Генеральный баннер'!$C:$C=$B518,'Генеральный баннер'!$I:$I=$C518)), 0) "),0.0)</f>
        <v>0</v>
      </c>
      <c r="T518" s="91" t="str">
        <f>IFERROR(__xludf.DUMMYFUNCTION("IFERROR(REGEXREPLACE(unique(filter('Генеральный баннер'!$A:$A, 'Генеральный баннер'!$B:$B=$A518,'Генеральный баннер'!$C:$C=$B518,'Генеральный баннер'!$I:$I=$C518)), ""\d+"", """"),"""")"),"")</f>
        <v/>
      </c>
      <c r="U518" s="91" t="str">
        <f>IFERROR(__xludf.DUMMYFUNCTION("IFERROR(unique(filter('Генеральный баннер'!$F:$F, 'Генеральный баннер'!$B:$B=$A518,'Генеральный баннер'!$C:$C=$B518,'Генеральный баннер'!$I:$I=$C518)),"""")"),"")</f>
        <v/>
      </c>
      <c r="V518" s="92" t="str">
        <f t="shared" si="3"/>
        <v/>
      </c>
      <c r="W518" s="93">
        <f>IFERROR(__xludf.DUMMYFUNCTION("IFERROR(SWITCH(lower(join("" "",U518:V518)),""а миллионник"", 62.5,""б миллионник"", 75,""а мск"", 50, ""б мск"", 62.5, ""a остальное"", 70, ""б остальное"", 80)/100,0)"),0.0)</f>
        <v>0</v>
      </c>
      <c r="X518" s="91">
        <f t="shared" si="4"/>
        <v>0</v>
      </c>
    </row>
    <row r="519">
      <c r="A519" s="12"/>
      <c r="B519" s="12"/>
      <c r="C519" s="12"/>
      <c r="D519" s="91">
        <f>IFERROR(__xludf.DUMMYFUNCTION("IFERROR(sum(filter('Основной эфир'!$AA:$AA, 'Основной эфир'!$B:$B=$A519,'Основной эфир'!$C:$C=$B519,'Основной эфир'!$I:$I=$C519)), 0) "),0.0)</f>
        <v>0</v>
      </c>
      <c r="E519" s="91">
        <f>IFERROR(__xludf.DUMMYFUNCTION("IFERROR(sum(filter('Основной эфир'!$AC:$AC, 'Основной эфир'!$B:$B=$A519,'Основной эфир'!$C:$C=$B519,'Основной эфир'!$I:$I=$C519)), 0) "),0.0)</f>
        <v>0</v>
      </c>
      <c r="F519" s="91">
        <f>IFERROR(__xludf.DUMMYFUNCTION("IFERROR(sum(filter('Основной эфир'!$O:$O, 'Основной эфир'!$B:$B=$A519,'Основной эфир'!$C:$C=$B519,'Основной эфир'!$I:$I=$C519)), 0) "),0.0)</f>
        <v>0</v>
      </c>
      <c r="G519" s="91">
        <f>IFERROR(__xludf.DUMMYFUNCTION("IFERROR(sum(filter('Основной эфир'!$Q:$Q, 'Основной эфир'!$B:$B=$A519,'Основной эфир'!$C:$C=$B519,'Основной эфир'!$I:$I=$C519)), 0) "),0.0)</f>
        <v>0</v>
      </c>
      <c r="H519" s="91">
        <f>IFERROR(__xludf.DUMMYFUNCTION("IFERROR(AVERAGE(filter('Основной эфир'!$Y:$Y, 'Основной эфир'!$B:$B=$A519,'Основной эфир'!$C:$C=$B519,'Основной эфир'!$I:$I=$C519)), 0) "),0.0)</f>
        <v>0</v>
      </c>
      <c r="I519" s="91">
        <f>IFERROR(__xludf.DUMMYFUNCTION("IFERROR(AVERAGE(filter('Основной эфир'!$AE:$AE, 'Основной эфир'!$B:$B=$A519,'Основной эфир'!$C:$C=$B519,'Основной эфир'!$I:$I=$C519)), 0) "),0.0)</f>
        <v>0</v>
      </c>
      <c r="J519" s="91">
        <f>IFERROR(__xludf.DUMMYFUNCTION("IFERROR(SUM(filter('Основной эфир'!$AL:$AL, 'Основной эфир'!$B:$B=$A519,'Основной эфир'!$C:$C=$B519,'Основной эфир'!$I:$I=$C519)), 0) "),0.0)</f>
        <v>0</v>
      </c>
      <c r="K519" s="91" t="str">
        <f>IFERROR(__xludf.DUMMYFUNCTION("IFERROR(REGEXREPLACE(unique(filter('Основной эфир'!$A:$A, 'Основной эфир'!$B:$B=$A519,'Основной эфир'!$C:$C=$B519,'Основной эфир'!$I:$I=$C519)), ""\d+"", """"),"""")"),"")</f>
        <v/>
      </c>
      <c r="L519" s="91" t="str">
        <f>IFERROR(__xludf.DUMMYFUNCTION("IFERROR(unique(filter('Основной эфир'!$F:$F, 'Основной эфир'!$B:$B=$A519,'Основной эфир'!$C:$C=$B519,'Основной эфир'!$I:$I=$C519)),"""")"),"")</f>
        <v/>
      </c>
      <c r="M519" s="92" t="str">
        <f t="shared" si="1"/>
        <v/>
      </c>
      <c r="N519" s="93">
        <f>IFERROR(__xludf.DUMMYFUNCTION("IFERROR(SWITCH(lower(join("" "",L519:M519)),""а миллионник"", 62.5,""б миллионник"", 75,""а мск"", 50, ""б мск"", 62.5, ""a остальное"", 70, ""б остальное"", 80)/100,0)"),0.0)</f>
        <v>0</v>
      </c>
      <c r="O519" s="91">
        <f t="shared" si="2"/>
        <v>0</v>
      </c>
      <c r="P519" s="91">
        <f>IFERROR(__xludf.DUMMYFUNCTION("IFERROR(sum(filter('Генеральный баннер'!$O:$O, 'Генеральный баннер'!$B:$B=$A519,'Генеральный баннер'!$C:$C=$B519,'Генеральный баннер'!$I:$I=$C519)), 0) "),0.0)</f>
        <v>0</v>
      </c>
      <c r="Q519" s="91">
        <f>IFERROR(__xludf.DUMMYFUNCTION("IFERROR(sum(filter('Генеральный баннер'!$Q:$Q, 'Генеральный баннер'!$B:$B=$A519,'Генеральный баннер'!$C:$C=$B519,'Генеральный баннер'!$I:$I=$C519)), 0) "),0.0)</f>
        <v>0</v>
      </c>
      <c r="R519" s="91">
        <f>IFERROR(__xludf.DUMMYFUNCTION("IFERROR(AVERAGE(filter('Генеральный баннер'!$AA:$AA, 'Генеральный баннер'!$B:$B=$A519,'Генеральный баннер'!$C:$C=$B519,'Генеральный баннер'!$I:$I=$C519)), 0) "),0.0)</f>
        <v>0</v>
      </c>
      <c r="S519" s="91">
        <f>IFERROR(__xludf.DUMMYFUNCTION("IFERROR(SUM(filter('Генеральный баннер'!$AH:$AH, 'Генеральный баннер'!$B:$B=$A519,'Генеральный баннер'!$C:$C=$B519,'Генеральный баннер'!$I:$I=$C519)), 0) "),0.0)</f>
        <v>0</v>
      </c>
      <c r="T519" s="91" t="str">
        <f>IFERROR(__xludf.DUMMYFUNCTION("IFERROR(REGEXREPLACE(unique(filter('Генеральный баннер'!$A:$A, 'Генеральный баннер'!$B:$B=$A519,'Генеральный баннер'!$C:$C=$B519,'Генеральный баннер'!$I:$I=$C519)), ""\d+"", """"),"""")"),"")</f>
        <v/>
      </c>
      <c r="U519" s="91" t="str">
        <f>IFERROR(__xludf.DUMMYFUNCTION("IFERROR(unique(filter('Генеральный баннер'!$F:$F, 'Генеральный баннер'!$B:$B=$A519,'Генеральный баннер'!$C:$C=$B519,'Генеральный баннер'!$I:$I=$C519)),"""")"),"")</f>
        <v/>
      </c>
      <c r="V519" s="92" t="str">
        <f t="shared" si="3"/>
        <v/>
      </c>
      <c r="W519" s="93">
        <f>IFERROR(__xludf.DUMMYFUNCTION("IFERROR(SWITCH(lower(join("" "",U519:V519)),""а миллионник"", 62.5,""б миллионник"", 75,""а мск"", 50, ""б мск"", 62.5, ""a остальное"", 70, ""б остальное"", 80)/100,0)"),0.0)</f>
        <v>0</v>
      </c>
      <c r="X519" s="91">
        <f t="shared" si="4"/>
        <v>0</v>
      </c>
    </row>
    <row r="520">
      <c r="A520" s="12"/>
      <c r="B520" s="12"/>
      <c r="C520" s="12"/>
      <c r="D520" s="91">
        <f>IFERROR(__xludf.DUMMYFUNCTION("IFERROR(sum(filter('Основной эфир'!$AA:$AA, 'Основной эфир'!$B:$B=$A520,'Основной эфир'!$C:$C=$B520,'Основной эфир'!$I:$I=$C520)), 0) "),0.0)</f>
        <v>0</v>
      </c>
      <c r="E520" s="91">
        <f>IFERROR(__xludf.DUMMYFUNCTION("IFERROR(sum(filter('Основной эфир'!$AC:$AC, 'Основной эфир'!$B:$B=$A520,'Основной эфир'!$C:$C=$B520,'Основной эфир'!$I:$I=$C520)), 0) "),0.0)</f>
        <v>0</v>
      </c>
      <c r="F520" s="91">
        <f>IFERROR(__xludf.DUMMYFUNCTION("IFERROR(sum(filter('Основной эфир'!$O:$O, 'Основной эфир'!$B:$B=$A520,'Основной эфир'!$C:$C=$B520,'Основной эфир'!$I:$I=$C520)), 0) "),0.0)</f>
        <v>0</v>
      </c>
      <c r="G520" s="91">
        <f>IFERROR(__xludf.DUMMYFUNCTION("IFERROR(sum(filter('Основной эфир'!$Q:$Q, 'Основной эфир'!$B:$B=$A520,'Основной эфир'!$C:$C=$B520,'Основной эфир'!$I:$I=$C520)), 0) "),0.0)</f>
        <v>0</v>
      </c>
      <c r="H520" s="91">
        <f>IFERROR(__xludf.DUMMYFUNCTION("IFERROR(AVERAGE(filter('Основной эфир'!$Y:$Y, 'Основной эфир'!$B:$B=$A520,'Основной эфир'!$C:$C=$B520,'Основной эфир'!$I:$I=$C520)), 0) "),0.0)</f>
        <v>0</v>
      </c>
      <c r="I520" s="91">
        <f>IFERROR(__xludf.DUMMYFUNCTION("IFERROR(AVERAGE(filter('Основной эфир'!$AE:$AE, 'Основной эфир'!$B:$B=$A520,'Основной эфир'!$C:$C=$B520,'Основной эфир'!$I:$I=$C520)), 0) "),0.0)</f>
        <v>0</v>
      </c>
      <c r="J520" s="91">
        <f>IFERROR(__xludf.DUMMYFUNCTION("IFERROR(SUM(filter('Основной эфир'!$AL:$AL, 'Основной эфир'!$B:$B=$A520,'Основной эфир'!$C:$C=$B520,'Основной эфир'!$I:$I=$C520)), 0) "),0.0)</f>
        <v>0</v>
      </c>
      <c r="K520" s="91" t="str">
        <f>IFERROR(__xludf.DUMMYFUNCTION("IFERROR(REGEXREPLACE(unique(filter('Основной эфир'!$A:$A, 'Основной эфир'!$B:$B=$A520,'Основной эфир'!$C:$C=$B520,'Основной эфир'!$I:$I=$C520)), ""\d+"", """"),"""")"),"")</f>
        <v/>
      </c>
      <c r="L520" s="91" t="str">
        <f>IFERROR(__xludf.DUMMYFUNCTION("IFERROR(unique(filter('Основной эфир'!$F:$F, 'Основной эфир'!$B:$B=$A520,'Основной эфир'!$C:$C=$B520,'Основной эфир'!$I:$I=$C520)),"""")"),"")</f>
        <v/>
      </c>
      <c r="M520" s="92" t="str">
        <f t="shared" si="1"/>
        <v/>
      </c>
      <c r="N520" s="93">
        <f>IFERROR(__xludf.DUMMYFUNCTION("IFERROR(SWITCH(lower(join("" "",L520:M520)),""а миллионник"", 62.5,""б миллионник"", 75,""а мск"", 50, ""б мск"", 62.5, ""a остальное"", 70, ""б остальное"", 80)/100,0)"),0.0)</f>
        <v>0</v>
      </c>
      <c r="O520" s="91">
        <f t="shared" si="2"/>
        <v>0</v>
      </c>
      <c r="P520" s="91">
        <f>IFERROR(__xludf.DUMMYFUNCTION("IFERROR(sum(filter('Генеральный баннер'!$O:$O, 'Генеральный баннер'!$B:$B=$A520,'Генеральный баннер'!$C:$C=$B520,'Генеральный баннер'!$I:$I=$C520)), 0) "),0.0)</f>
        <v>0</v>
      </c>
      <c r="Q520" s="91">
        <f>IFERROR(__xludf.DUMMYFUNCTION("IFERROR(sum(filter('Генеральный баннер'!$Q:$Q, 'Генеральный баннер'!$B:$B=$A520,'Генеральный баннер'!$C:$C=$B520,'Генеральный баннер'!$I:$I=$C520)), 0) "),0.0)</f>
        <v>0</v>
      </c>
      <c r="R520" s="91">
        <f>IFERROR(__xludf.DUMMYFUNCTION("IFERROR(AVERAGE(filter('Генеральный баннер'!$AA:$AA, 'Генеральный баннер'!$B:$B=$A520,'Генеральный баннер'!$C:$C=$B520,'Генеральный баннер'!$I:$I=$C520)), 0) "),0.0)</f>
        <v>0</v>
      </c>
      <c r="S520" s="91">
        <f>IFERROR(__xludf.DUMMYFUNCTION("IFERROR(SUM(filter('Генеральный баннер'!$AH:$AH, 'Генеральный баннер'!$B:$B=$A520,'Генеральный баннер'!$C:$C=$B520,'Генеральный баннер'!$I:$I=$C520)), 0) "),0.0)</f>
        <v>0</v>
      </c>
      <c r="T520" s="91" t="str">
        <f>IFERROR(__xludf.DUMMYFUNCTION("IFERROR(REGEXREPLACE(unique(filter('Генеральный баннер'!$A:$A, 'Генеральный баннер'!$B:$B=$A520,'Генеральный баннер'!$C:$C=$B520,'Генеральный баннер'!$I:$I=$C520)), ""\d+"", """"),"""")"),"")</f>
        <v/>
      </c>
      <c r="U520" s="91" t="str">
        <f>IFERROR(__xludf.DUMMYFUNCTION("IFERROR(unique(filter('Генеральный баннер'!$F:$F, 'Генеральный баннер'!$B:$B=$A520,'Генеральный баннер'!$C:$C=$B520,'Генеральный баннер'!$I:$I=$C520)),"""")"),"")</f>
        <v/>
      </c>
      <c r="V520" s="92" t="str">
        <f t="shared" si="3"/>
        <v/>
      </c>
      <c r="W520" s="93">
        <f>IFERROR(__xludf.DUMMYFUNCTION("IFERROR(SWITCH(lower(join("" "",U520:V520)),""а миллионник"", 62.5,""б миллионник"", 75,""а мск"", 50, ""б мск"", 62.5, ""a остальное"", 70, ""б остальное"", 80)/100,0)"),0.0)</f>
        <v>0</v>
      </c>
      <c r="X520" s="91">
        <f t="shared" si="4"/>
        <v>0</v>
      </c>
    </row>
    <row r="521">
      <c r="A521" s="12"/>
      <c r="B521" s="12"/>
      <c r="C521" s="12"/>
      <c r="D521" s="91">
        <f>IFERROR(__xludf.DUMMYFUNCTION("IFERROR(sum(filter('Основной эфир'!$AA:$AA, 'Основной эфир'!$B:$B=$A521,'Основной эфир'!$C:$C=$B521,'Основной эфир'!$I:$I=$C521)), 0) "),0.0)</f>
        <v>0</v>
      </c>
      <c r="E521" s="91">
        <f>IFERROR(__xludf.DUMMYFUNCTION("IFERROR(sum(filter('Основной эфир'!$AC:$AC, 'Основной эфир'!$B:$B=$A521,'Основной эфир'!$C:$C=$B521,'Основной эфир'!$I:$I=$C521)), 0) "),0.0)</f>
        <v>0</v>
      </c>
      <c r="F521" s="91">
        <f>IFERROR(__xludf.DUMMYFUNCTION("IFERROR(sum(filter('Основной эфир'!$O:$O, 'Основной эфир'!$B:$B=$A521,'Основной эфир'!$C:$C=$B521,'Основной эфир'!$I:$I=$C521)), 0) "),0.0)</f>
        <v>0</v>
      </c>
      <c r="G521" s="91">
        <f>IFERROR(__xludf.DUMMYFUNCTION("IFERROR(sum(filter('Основной эфир'!$Q:$Q, 'Основной эфир'!$B:$B=$A521,'Основной эфир'!$C:$C=$B521,'Основной эфир'!$I:$I=$C521)), 0) "),0.0)</f>
        <v>0</v>
      </c>
      <c r="H521" s="91">
        <f>IFERROR(__xludf.DUMMYFUNCTION("IFERROR(AVERAGE(filter('Основной эфир'!$Y:$Y, 'Основной эфир'!$B:$B=$A521,'Основной эфир'!$C:$C=$B521,'Основной эфир'!$I:$I=$C521)), 0) "),0.0)</f>
        <v>0</v>
      </c>
      <c r="I521" s="91">
        <f>IFERROR(__xludf.DUMMYFUNCTION("IFERROR(AVERAGE(filter('Основной эфир'!$AE:$AE, 'Основной эфир'!$B:$B=$A521,'Основной эфир'!$C:$C=$B521,'Основной эфир'!$I:$I=$C521)), 0) "),0.0)</f>
        <v>0</v>
      </c>
      <c r="J521" s="91">
        <f>IFERROR(__xludf.DUMMYFUNCTION("IFERROR(SUM(filter('Основной эфир'!$AL:$AL, 'Основной эфир'!$B:$B=$A521,'Основной эфир'!$C:$C=$B521,'Основной эфир'!$I:$I=$C521)), 0) "),0.0)</f>
        <v>0</v>
      </c>
      <c r="K521" s="91" t="str">
        <f>IFERROR(__xludf.DUMMYFUNCTION("IFERROR(REGEXREPLACE(unique(filter('Основной эфир'!$A:$A, 'Основной эфир'!$B:$B=$A521,'Основной эфир'!$C:$C=$B521,'Основной эфир'!$I:$I=$C521)), ""\d+"", """"),"""")"),"")</f>
        <v/>
      </c>
      <c r="L521" s="91" t="str">
        <f>IFERROR(__xludf.DUMMYFUNCTION("IFERROR(unique(filter('Основной эфир'!$F:$F, 'Основной эфир'!$B:$B=$A521,'Основной эфир'!$C:$C=$B521,'Основной эфир'!$I:$I=$C521)),"""")"),"")</f>
        <v/>
      </c>
      <c r="M521" s="92" t="str">
        <f t="shared" si="1"/>
        <v/>
      </c>
      <c r="N521" s="93">
        <f>IFERROR(__xludf.DUMMYFUNCTION("IFERROR(SWITCH(lower(join("" "",L521:M521)),""а миллионник"", 62.5,""б миллионник"", 75,""а мск"", 50, ""б мск"", 62.5, ""a остальное"", 70, ""б остальное"", 80)/100,0)"),0.0)</f>
        <v>0</v>
      </c>
      <c r="O521" s="91">
        <f t="shared" si="2"/>
        <v>0</v>
      </c>
      <c r="P521" s="91">
        <f>IFERROR(__xludf.DUMMYFUNCTION("IFERROR(sum(filter('Генеральный баннер'!$O:$O, 'Генеральный баннер'!$B:$B=$A521,'Генеральный баннер'!$C:$C=$B521,'Генеральный баннер'!$I:$I=$C521)), 0) "),0.0)</f>
        <v>0</v>
      </c>
      <c r="Q521" s="91">
        <f>IFERROR(__xludf.DUMMYFUNCTION("IFERROR(sum(filter('Генеральный баннер'!$Q:$Q, 'Генеральный баннер'!$B:$B=$A521,'Генеральный баннер'!$C:$C=$B521,'Генеральный баннер'!$I:$I=$C521)), 0) "),0.0)</f>
        <v>0</v>
      </c>
      <c r="R521" s="91">
        <f>IFERROR(__xludf.DUMMYFUNCTION("IFERROR(AVERAGE(filter('Генеральный баннер'!$AA:$AA, 'Генеральный баннер'!$B:$B=$A521,'Генеральный баннер'!$C:$C=$B521,'Генеральный баннер'!$I:$I=$C521)), 0) "),0.0)</f>
        <v>0</v>
      </c>
      <c r="S521" s="91">
        <f>IFERROR(__xludf.DUMMYFUNCTION("IFERROR(SUM(filter('Генеральный баннер'!$AH:$AH, 'Генеральный баннер'!$B:$B=$A521,'Генеральный баннер'!$C:$C=$B521,'Генеральный баннер'!$I:$I=$C521)), 0) "),0.0)</f>
        <v>0</v>
      </c>
      <c r="T521" s="91" t="str">
        <f>IFERROR(__xludf.DUMMYFUNCTION("IFERROR(REGEXREPLACE(unique(filter('Генеральный баннер'!$A:$A, 'Генеральный баннер'!$B:$B=$A521,'Генеральный баннер'!$C:$C=$B521,'Генеральный баннер'!$I:$I=$C521)), ""\d+"", """"),"""")"),"")</f>
        <v/>
      </c>
      <c r="U521" s="91" t="str">
        <f>IFERROR(__xludf.DUMMYFUNCTION("IFERROR(unique(filter('Генеральный баннер'!$F:$F, 'Генеральный баннер'!$B:$B=$A521,'Генеральный баннер'!$C:$C=$B521,'Генеральный баннер'!$I:$I=$C521)),"""")"),"")</f>
        <v/>
      </c>
      <c r="V521" s="92" t="str">
        <f t="shared" si="3"/>
        <v/>
      </c>
      <c r="W521" s="93">
        <f>IFERROR(__xludf.DUMMYFUNCTION("IFERROR(SWITCH(lower(join("" "",U521:V521)),""а миллионник"", 62.5,""б миллионник"", 75,""а мск"", 50, ""б мск"", 62.5, ""a остальное"", 70, ""б остальное"", 80)/100,0)"),0.0)</f>
        <v>0</v>
      </c>
      <c r="X521" s="91">
        <f t="shared" si="4"/>
        <v>0</v>
      </c>
    </row>
    <row r="522">
      <c r="A522" s="12"/>
      <c r="B522" s="12"/>
      <c r="C522" s="12"/>
      <c r="D522" s="91">
        <f>IFERROR(__xludf.DUMMYFUNCTION("IFERROR(sum(filter('Основной эфир'!$AA:$AA, 'Основной эфир'!$B:$B=$A522,'Основной эфир'!$C:$C=$B522,'Основной эфир'!$I:$I=$C522)), 0) "),0.0)</f>
        <v>0</v>
      </c>
      <c r="E522" s="91">
        <f>IFERROR(__xludf.DUMMYFUNCTION("IFERROR(sum(filter('Основной эфир'!$AC:$AC, 'Основной эфир'!$B:$B=$A522,'Основной эфир'!$C:$C=$B522,'Основной эфир'!$I:$I=$C522)), 0) "),0.0)</f>
        <v>0</v>
      </c>
      <c r="F522" s="91">
        <f>IFERROR(__xludf.DUMMYFUNCTION("IFERROR(sum(filter('Основной эфир'!$O:$O, 'Основной эфир'!$B:$B=$A522,'Основной эфир'!$C:$C=$B522,'Основной эфир'!$I:$I=$C522)), 0) "),0.0)</f>
        <v>0</v>
      </c>
      <c r="G522" s="91">
        <f>IFERROR(__xludf.DUMMYFUNCTION("IFERROR(sum(filter('Основной эфир'!$Q:$Q, 'Основной эфир'!$B:$B=$A522,'Основной эфир'!$C:$C=$B522,'Основной эфир'!$I:$I=$C522)), 0) "),0.0)</f>
        <v>0</v>
      </c>
      <c r="H522" s="91">
        <f>IFERROR(__xludf.DUMMYFUNCTION("IFERROR(AVERAGE(filter('Основной эфир'!$Y:$Y, 'Основной эфир'!$B:$B=$A522,'Основной эфир'!$C:$C=$B522,'Основной эфир'!$I:$I=$C522)), 0) "),0.0)</f>
        <v>0</v>
      </c>
      <c r="I522" s="91">
        <f>IFERROR(__xludf.DUMMYFUNCTION("IFERROR(AVERAGE(filter('Основной эфир'!$AE:$AE, 'Основной эфир'!$B:$B=$A522,'Основной эфир'!$C:$C=$B522,'Основной эфир'!$I:$I=$C522)), 0) "),0.0)</f>
        <v>0</v>
      </c>
      <c r="J522" s="91">
        <f>IFERROR(__xludf.DUMMYFUNCTION("IFERROR(SUM(filter('Основной эфир'!$AL:$AL, 'Основной эфир'!$B:$B=$A522,'Основной эфир'!$C:$C=$B522,'Основной эфир'!$I:$I=$C522)), 0) "),0.0)</f>
        <v>0</v>
      </c>
      <c r="K522" s="91" t="str">
        <f>IFERROR(__xludf.DUMMYFUNCTION("IFERROR(REGEXREPLACE(unique(filter('Основной эфир'!$A:$A, 'Основной эфир'!$B:$B=$A522,'Основной эфир'!$C:$C=$B522,'Основной эфир'!$I:$I=$C522)), ""\d+"", """"),"""")"),"")</f>
        <v/>
      </c>
      <c r="L522" s="91" t="str">
        <f>IFERROR(__xludf.DUMMYFUNCTION("IFERROR(unique(filter('Основной эфир'!$F:$F, 'Основной эфир'!$B:$B=$A522,'Основной эфир'!$C:$C=$B522,'Основной эфир'!$I:$I=$C522)),"""")"),"")</f>
        <v/>
      </c>
      <c r="M522" s="92" t="str">
        <f t="shared" si="1"/>
        <v/>
      </c>
      <c r="N522" s="93">
        <f>IFERROR(__xludf.DUMMYFUNCTION("IFERROR(SWITCH(lower(join("" "",L522:M522)),""а миллионник"", 62.5,""б миллионник"", 75,""а мск"", 50, ""б мск"", 62.5, ""a остальное"", 70, ""б остальное"", 80)/100,0)"),0.0)</f>
        <v>0</v>
      </c>
      <c r="O522" s="91">
        <f t="shared" si="2"/>
        <v>0</v>
      </c>
      <c r="P522" s="91">
        <f>IFERROR(__xludf.DUMMYFUNCTION("IFERROR(sum(filter('Генеральный баннер'!$O:$O, 'Генеральный баннер'!$B:$B=$A522,'Генеральный баннер'!$C:$C=$B522,'Генеральный баннер'!$I:$I=$C522)), 0) "),0.0)</f>
        <v>0</v>
      </c>
      <c r="Q522" s="91">
        <f>IFERROR(__xludf.DUMMYFUNCTION("IFERROR(sum(filter('Генеральный баннер'!$Q:$Q, 'Генеральный баннер'!$B:$B=$A522,'Генеральный баннер'!$C:$C=$B522,'Генеральный баннер'!$I:$I=$C522)), 0) "),0.0)</f>
        <v>0</v>
      </c>
      <c r="R522" s="91">
        <f>IFERROR(__xludf.DUMMYFUNCTION("IFERROR(AVERAGE(filter('Генеральный баннер'!$AA:$AA, 'Генеральный баннер'!$B:$B=$A522,'Генеральный баннер'!$C:$C=$B522,'Генеральный баннер'!$I:$I=$C522)), 0) "),0.0)</f>
        <v>0</v>
      </c>
      <c r="S522" s="91">
        <f>IFERROR(__xludf.DUMMYFUNCTION("IFERROR(SUM(filter('Генеральный баннер'!$AH:$AH, 'Генеральный баннер'!$B:$B=$A522,'Генеральный баннер'!$C:$C=$B522,'Генеральный баннер'!$I:$I=$C522)), 0) "),0.0)</f>
        <v>0</v>
      </c>
      <c r="T522" s="91" t="str">
        <f>IFERROR(__xludf.DUMMYFUNCTION("IFERROR(REGEXREPLACE(unique(filter('Генеральный баннер'!$A:$A, 'Генеральный баннер'!$B:$B=$A522,'Генеральный баннер'!$C:$C=$B522,'Генеральный баннер'!$I:$I=$C522)), ""\d+"", """"),"""")"),"")</f>
        <v/>
      </c>
      <c r="U522" s="91" t="str">
        <f>IFERROR(__xludf.DUMMYFUNCTION("IFERROR(unique(filter('Генеральный баннер'!$F:$F, 'Генеральный баннер'!$B:$B=$A522,'Генеральный баннер'!$C:$C=$B522,'Генеральный баннер'!$I:$I=$C522)),"""")"),"")</f>
        <v/>
      </c>
      <c r="V522" s="92" t="str">
        <f t="shared" si="3"/>
        <v/>
      </c>
      <c r="W522" s="93">
        <f>IFERROR(__xludf.DUMMYFUNCTION("IFERROR(SWITCH(lower(join("" "",U522:V522)),""а миллионник"", 62.5,""б миллионник"", 75,""а мск"", 50, ""б мск"", 62.5, ""a остальное"", 70, ""б остальное"", 80)/100,0)"),0.0)</f>
        <v>0</v>
      </c>
      <c r="X522" s="91">
        <f t="shared" si="4"/>
        <v>0</v>
      </c>
    </row>
    <row r="523">
      <c r="A523" s="12"/>
      <c r="B523" s="12"/>
      <c r="C523" s="12"/>
      <c r="D523" s="91">
        <f>IFERROR(__xludf.DUMMYFUNCTION("IFERROR(sum(filter('Основной эфир'!$AA:$AA, 'Основной эфир'!$B:$B=$A523,'Основной эфир'!$C:$C=$B523,'Основной эфир'!$I:$I=$C523)), 0) "),0.0)</f>
        <v>0</v>
      </c>
      <c r="E523" s="91">
        <f>IFERROR(__xludf.DUMMYFUNCTION("IFERROR(sum(filter('Основной эфир'!$AC:$AC, 'Основной эфир'!$B:$B=$A523,'Основной эфир'!$C:$C=$B523,'Основной эфир'!$I:$I=$C523)), 0) "),0.0)</f>
        <v>0</v>
      </c>
      <c r="F523" s="91">
        <f>IFERROR(__xludf.DUMMYFUNCTION("IFERROR(sum(filter('Основной эфир'!$O:$O, 'Основной эфир'!$B:$B=$A523,'Основной эфир'!$C:$C=$B523,'Основной эфир'!$I:$I=$C523)), 0) "),0.0)</f>
        <v>0</v>
      </c>
      <c r="G523" s="91">
        <f>IFERROR(__xludf.DUMMYFUNCTION("IFERROR(sum(filter('Основной эфир'!$Q:$Q, 'Основной эфир'!$B:$B=$A523,'Основной эфир'!$C:$C=$B523,'Основной эфир'!$I:$I=$C523)), 0) "),0.0)</f>
        <v>0</v>
      </c>
      <c r="H523" s="91">
        <f>IFERROR(__xludf.DUMMYFUNCTION("IFERROR(AVERAGE(filter('Основной эфир'!$Y:$Y, 'Основной эфир'!$B:$B=$A523,'Основной эфир'!$C:$C=$B523,'Основной эфир'!$I:$I=$C523)), 0) "),0.0)</f>
        <v>0</v>
      </c>
      <c r="I523" s="91">
        <f>IFERROR(__xludf.DUMMYFUNCTION("IFERROR(AVERAGE(filter('Основной эфир'!$AE:$AE, 'Основной эфир'!$B:$B=$A523,'Основной эфир'!$C:$C=$B523,'Основной эфир'!$I:$I=$C523)), 0) "),0.0)</f>
        <v>0</v>
      </c>
      <c r="J523" s="91">
        <f>IFERROR(__xludf.DUMMYFUNCTION("IFERROR(SUM(filter('Основной эфир'!$AL:$AL, 'Основной эфир'!$B:$B=$A523,'Основной эфир'!$C:$C=$B523,'Основной эфир'!$I:$I=$C523)), 0) "),0.0)</f>
        <v>0</v>
      </c>
      <c r="K523" s="91" t="str">
        <f>IFERROR(__xludf.DUMMYFUNCTION("IFERROR(REGEXREPLACE(unique(filter('Основной эфир'!$A:$A, 'Основной эфир'!$B:$B=$A523,'Основной эфир'!$C:$C=$B523,'Основной эфир'!$I:$I=$C523)), ""\d+"", """"),"""")"),"")</f>
        <v/>
      </c>
      <c r="L523" s="91" t="str">
        <f>IFERROR(__xludf.DUMMYFUNCTION("IFERROR(unique(filter('Основной эфир'!$F:$F, 'Основной эфир'!$B:$B=$A523,'Основной эфир'!$C:$C=$B523,'Основной эфир'!$I:$I=$C523)),"""")"),"")</f>
        <v/>
      </c>
      <c r="M523" s="92" t="str">
        <f t="shared" si="1"/>
        <v/>
      </c>
      <c r="N523" s="93">
        <f>IFERROR(__xludf.DUMMYFUNCTION("IFERROR(SWITCH(lower(join("" "",L523:M523)),""а миллионник"", 62.5,""б миллионник"", 75,""а мск"", 50, ""б мск"", 62.5, ""a остальное"", 70, ""б остальное"", 80)/100,0)"),0.0)</f>
        <v>0</v>
      </c>
      <c r="O523" s="91">
        <f t="shared" si="2"/>
        <v>0</v>
      </c>
      <c r="P523" s="91">
        <f>IFERROR(__xludf.DUMMYFUNCTION("IFERROR(sum(filter('Генеральный баннер'!$O:$O, 'Генеральный баннер'!$B:$B=$A523,'Генеральный баннер'!$C:$C=$B523,'Генеральный баннер'!$I:$I=$C523)), 0) "),0.0)</f>
        <v>0</v>
      </c>
      <c r="Q523" s="91">
        <f>IFERROR(__xludf.DUMMYFUNCTION("IFERROR(sum(filter('Генеральный баннер'!$Q:$Q, 'Генеральный баннер'!$B:$B=$A523,'Генеральный баннер'!$C:$C=$B523,'Генеральный баннер'!$I:$I=$C523)), 0) "),0.0)</f>
        <v>0</v>
      </c>
      <c r="R523" s="91">
        <f>IFERROR(__xludf.DUMMYFUNCTION("IFERROR(AVERAGE(filter('Генеральный баннер'!$AA:$AA, 'Генеральный баннер'!$B:$B=$A523,'Генеральный баннер'!$C:$C=$B523,'Генеральный баннер'!$I:$I=$C523)), 0) "),0.0)</f>
        <v>0</v>
      </c>
      <c r="S523" s="91">
        <f>IFERROR(__xludf.DUMMYFUNCTION("IFERROR(SUM(filter('Генеральный баннер'!$AH:$AH, 'Генеральный баннер'!$B:$B=$A523,'Генеральный баннер'!$C:$C=$B523,'Генеральный баннер'!$I:$I=$C523)), 0) "),0.0)</f>
        <v>0</v>
      </c>
      <c r="T523" s="91" t="str">
        <f>IFERROR(__xludf.DUMMYFUNCTION("IFERROR(REGEXREPLACE(unique(filter('Генеральный баннер'!$A:$A, 'Генеральный баннер'!$B:$B=$A523,'Генеральный баннер'!$C:$C=$B523,'Генеральный баннер'!$I:$I=$C523)), ""\d+"", """"),"""")"),"")</f>
        <v/>
      </c>
      <c r="U523" s="91" t="str">
        <f>IFERROR(__xludf.DUMMYFUNCTION("IFERROR(unique(filter('Генеральный баннер'!$F:$F, 'Генеральный баннер'!$B:$B=$A523,'Генеральный баннер'!$C:$C=$B523,'Генеральный баннер'!$I:$I=$C523)),"""")"),"")</f>
        <v/>
      </c>
      <c r="V523" s="92" t="str">
        <f t="shared" si="3"/>
        <v/>
      </c>
      <c r="W523" s="93">
        <f>IFERROR(__xludf.DUMMYFUNCTION("IFERROR(SWITCH(lower(join("" "",U523:V523)),""а миллионник"", 62.5,""б миллионник"", 75,""а мск"", 50, ""б мск"", 62.5, ""a остальное"", 70, ""б остальное"", 80)/100,0)"),0.0)</f>
        <v>0</v>
      </c>
      <c r="X523" s="91">
        <f t="shared" si="4"/>
        <v>0</v>
      </c>
    </row>
    <row r="524">
      <c r="A524" s="12"/>
      <c r="B524" s="12"/>
      <c r="C524" s="12"/>
      <c r="D524" s="91">
        <f>IFERROR(__xludf.DUMMYFUNCTION("IFERROR(sum(filter('Основной эфир'!$AA:$AA, 'Основной эфир'!$B:$B=$A524,'Основной эфир'!$C:$C=$B524,'Основной эфир'!$I:$I=$C524)), 0) "),0.0)</f>
        <v>0</v>
      </c>
      <c r="E524" s="91">
        <f>IFERROR(__xludf.DUMMYFUNCTION("IFERROR(sum(filter('Основной эфир'!$AC:$AC, 'Основной эфир'!$B:$B=$A524,'Основной эфир'!$C:$C=$B524,'Основной эфир'!$I:$I=$C524)), 0) "),0.0)</f>
        <v>0</v>
      </c>
      <c r="F524" s="91">
        <f>IFERROR(__xludf.DUMMYFUNCTION("IFERROR(sum(filter('Основной эфир'!$O:$O, 'Основной эфир'!$B:$B=$A524,'Основной эфир'!$C:$C=$B524,'Основной эфир'!$I:$I=$C524)), 0) "),0.0)</f>
        <v>0</v>
      </c>
      <c r="G524" s="91">
        <f>IFERROR(__xludf.DUMMYFUNCTION("IFERROR(sum(filter('Основной эфир'!$Q:$Q, 'Основной эфир'!$B:$B=$A524,'Основной эфир'!$C:$C=$B524,'Основной эфир'!$I:$I=$C524)), 0) "),0.0)</f>
        <v>0</v>
      </c>
      <c r="H524" s="91">
        <f>IFERROR(__xludf.DUMMYFUNCTION("IFERROR(AVERAGE(filter('Основной эфир'!$Y:$Y, 'Основной эфир'!$B:$B=$A524,'Основной эфир'!$C:$C=$B524,'Основной эфир'!$I:$I=$C524)), 0) "),0.0)</f>
        <v>0</v>
      </c>
      <c r="I524" s="91">
        <f>IFERROR(__xludf.DUMMYFUNCTION("IFERROR(AVERAGE(filter('Основной эфир'!$AE:$AE, 'Основной эфир'!$B:$B=$A524,'Основной эфир'!$C:$C=$B524,'Основной эфир'!$I:$I=$C524)), 0) "),0.0)</f>
        <v>0</v>
      </c>
      <c r="J524" s="91">
        <f>IFERROR(__xludf.DUMMYFUNCTION("IFERROR(SUM(filter('Основной эфир'!$AL:$AL, 'Основной эфир'!$B:$B=$A524,'Основной эфир'!$C:$C=$B524,'Основной эфир'!$I:$I=$C524)), 0) "),0.0)</f>
        <v>0</v>
      </c>
      <c r="K524" s="91" t="str">
        <f>IFERROR(__xludf.DUMMYFUNCTION("IFERROR(REGEXREPLACE(unique(filter('Основной эфир'!$A:$A, 'Основной эфир'!$B:$B=$A524,'Основной эфир'!$C:$C=$B524,'Основной эфир'!$I:$I=$C524)), ""\d+"", """"),"""")"),"")</f>
        <v/>
      </c>
      <c r="L524" s="91" t="str">
        <f>IFERROR(__xludf.DUMMYFUNCTION("IFERROR(unique(filter('Основной эфир'!$F:$F, 'Основной эфир'!$B:$B=$A524,'Основной эфир'!$C:$C=$B524,'Основной эфир'!$I:$I=$C524)),"""")"),"")</f>
        <v/>
      </c>
      <c r="M524" s="92" t="str">
        <f t="shared" si="1"/>
        <v/>
      </c>
      <c r="N524" s="93">
        <f>IFERROR(__xludf.DUMMYFUNCTION("IFERROR(SWITCH(lower(join("" "",L524:M524)),""а миллионник"", 62.5,""б миллионник"", 75,""а мск"", 50, ""б мск"", 62.5, ""a остальное"", 70, ""б остальное"", 80)/100,0)"),0.0)</f>
        <v>0</v>
      </c>
      <c r="O524" s="91">
        <f t="shared" si="2"/>
        <v>0</v>
      </c>
      <c r="P524" s="91">
        <f>IFERROR(__xludf.DUMMYFUNCTION("IFERROR(sum(filter('Генеральный баннер'!$O:$O, 'Генеральный баннер'!$B:$B=$A524,'Генеральный баннер'!$C:$C=$B524,'Генеральный баннер'!$I:$I=$C524)), 0) "),0.0)</f>
        <v>0</v>
      </c>
      <c r="Q524" s="91">
        <f>IFERROR(__xludf.DUMMYFUNCTION("IFERROR(sum(filter('Генеральный баннер'!$Q:$Q, 'Генеральный баннер'!$B:$B=$A524,'Генеральный баннер'!$C:$C=$B524,'Генеральный баннер'!$I:$I=$C524)), 0) "),0.0)</f>
        <v>0</v>
      </c>
      <c r="R524" s="91">
        <f>IFERROR(__xludf.DUMMYFUNCTION("IFERROR(AVERAGE(filter('Генеральный баннер'!$AA:$AA, 'Генеральный баннер'!$B:$B=$A524,'Генеральный баннер'!$C:$C=$B524,'Генеральный баннер'!$I:$I=$C524)), 0) "),0.0)</f>
        <v>0</v>
      </c>
      <c r="S524" s="91">
        <f>IFERROR(__xludf.DUMMYFUNCTION("IFERROR(SUM(filter('Генеральный баннер'!$AH:$AH, 'Генеральный баннер'!$B:$B=$A524,'Генеральный баннер'!$C:$C=$B524,'Генеральный баннер'!$I:$I=$C524)), 0) "),0.0)</f>
        <v>0</v>
      </c>
      <c r="T524" s="91" t="str">
        <f>IFERROR(__xludf.DUMMYFUNCTION("IFERROR(REGEXREPLACE(unique(filter('Генеральный баннер'!$A:$A, 'Генеральный баннер'!$B:$B=$A524,'Генеральный баннер'!$C:$C=$B524,'Генеральный баннер'!$I:$I=$C524)), ""\d+"", """"),"""")"),"")</f>
        <v/>
      </c>
      <c r="U524" s="91" t="str">
        <f>IFERROR(__xludf.DUMMYFUNCTION("IFERROR(unique(filter('Генеральный баннер'!$F:$F, 'Генеральный баннер'!$B:$B=$A524,'Генеральный баннер'!$C:$C=$B524,'Генеральный баннер'!$I:$I=$C524)),"""")"),"")</f>
        <v/>
      </c>
      <c r="V524" s="92" t="str">
        <f t="shared" si="3"/>
        <v/>
      </c>
      <c r="W524" s="93">
        <f>IFERROR(__xludf.DUMMYFUNCTION("IFERROR(SWITCH(lower(join("" "",U524:V524)),""а миллионник"", 62.5,""б миллионник"", 75,""а мск"", 50, ""б мск"", 62.5, ""a остальное"", 70, ""б остальное"", 80)/100,0)"),0.0)</f>
        <v>0</v>
      </c>
      <c r="X524" s="91">
        <f t="shared" si="4"/>
        <v>0</v>
      </c>
    </row>
    <row r="525">
      <c r="A525" s="12"/>
      <c r="B525" s="12"/>
      <c r="C525" s="12"/>
      <c r="D525" s="91">
        <f>IFERROR(__xludf.DUMMYFUNCTION("IFERROR(sum(filter('Основной эфир'!$AA:$AA, 'Основной эфир'!$B:$B=$A525,'Основной эфир'!$C:$C=$B525,'Основной эфир'!$I:$I=$C525)), 0) "),0.0)</f>
        <v>0</v>
      </c>
      <c r="E525" s="91">
        <f>IFERROR(__xludf.DUMMYFUNCTION("IFERROR(sum(filter('Основной эфир'!$AC:$AC, 'Основной эфир'!$B:$B=$A525,'Основной эфир'!$C:$C=$B525,'Основной эфир'!$I:$I=$C525)), 0) "),0.0)</f>
        <v>0</v>
      </c>
      <c r="F525" s="91">
        <f>IFERROR(__xludf.DUMMYFUNCTION("IFERROR(sum(filter('Основной эфир'!$O:$O, 'Основной эфир'!$B:$B=$A525,'Основной эфир'!$C:$C=$B525,'Основной эфир'!$I:$I=$C525)), 0) "),0.0)</f>
        <v>0</v>
      </c>
      <c r="G525" s="91">
        <f>IFERROR(__xludf.DUMMYFUNCTION("IFERROR(sum(filter('Основной эфир'!$Q:$Q, 'Основной эфир'!$B:$B=$A525,'Основной эфир'!$C:$C=$B525,'Основной эфир'!$I:$I=$C525)), 0) "),0.0)</f>
        <v>0</v>
      </c>
      <c r="H525" s="91">
        <f>IFERROR(__xludf.DUMMYFUNCTION("IFERROR(AVERAGE(filter('Основной эфир'!$Y:$Y, 'Основной эфир'!$B:$B=$A525,'Основной эфир'!$C:$C=$B525,'Основной эфир'!$I:$I=$C525)), 0) "),0.0)</f>
        <v>0</v>
      </c>
      <c r="I525" s="91">
        <f>IFERROR(__xludf.DUMMYFUNCTION("IFERROR(AVERAGE(filter('Основной эфир'!$AE:$AE, 'Основной эфир'!$B:$B=$A525,'Основной эфир'!$C:$C=$B525,'Основной эфир'!$I:$I=$C525)), 0) "),0.0)</f>
        <v>0</v>
      </c>
      <c r="J525" s="91">
        <f>IFERROR(__xludf.DUMMYFUNCTION("IFERROR(SUM(filter('Основной эфир'!$AL:$AL, 'Основной эфир'!$B:$B=$A525,'Основной эфир'!$C:$C=$B525,'Основной эфир'!$I:$I=$C525)), 0) "),0.0)</f>
        <v>0</v>
      </c>
      <c r="K525" s="91" t="str">
        <f>IFERROR(__xludf.DUMMYFUNCTION("IFERROR(REGEXREPLACE(unique(filter('Основной эфир'!$A:$A, 'Основной эфир'!$B:$B=$A525,'Основной эфир'!$C:$C=$B525,'Основной эфир'!$I:$I=$C525)), ""\d+"", """"),"""")"),"")</f>
        <v/>
      </c>
      <c r="L525" s="91" t="str">
        <f>IFERROR(__xludf.DUMMYFUNCTION("IFERROR(unique(filter('Основной эфир'!$F:$F, 'Основной эфир'!$B:$B=$A525,'Основной эфир'!$C:$C=$B525,'Основной эфир'!$I:$I=$C525)),"""")"),"")</f>
        <v/>
      </c>
      <c r="M525" s="92" t="str">
        <f t="shared" si="1"/>
        <v/>
      </c>
      <c r="N525" s="93">
        <f>IFERROR(__xludf.DUMMYFUNCTION("IFERROR(SWITCH(lower(join("" "",L525:M525)),""а миллионник"", 62.5,""б миллионник"", 75,""а мск"", 50, ""б мск"", 62.5, ""a остальное"", 70, ""б остальное"", 80)/100,0)"),0.0)</f>
        <v>0</v>
      </c>
      <c r="O525" s="91">
        <f t="shared" si="2"/>
        <v>0</v>
      </c>
      <c r="P525" s="91">
        <f>IFERROR(__xludf.DUMMYFUNCTION("IFERROR(sum(filter('Генеральный баннер'!$O:$O, 'Генеральный баннер'!$B:$B=$A525,'Генеральный баннер'!$C:$C=$B525,'Генеральный баннер'!$I:$I=$C525)), 0) "),0.0)</f>
        <v>0</v>
      </c>
      <c r="Q525" s="91">
        <f>IFERROR(__xludf.DUMMYFUNCTION("IFERROR(sum(filter('Генеральный баннер'!$Q:$Q, 'Генеральный баннер'!$B:$B=$A525,'Генеральный баннер'!$C:$C=$B525,'Генеральный баннер'!$I:$I=$C525)), 0) "),0.0)</f>
        <v>0</v>
      </c>
      <c r="R525" s="91">
        <f>IFERROR(__xludf.DUMMYFUNCTION("IFERROR(AVERAGE(filter('Генеральный баннер'!$AA:$AA, 'Генеральный баннер'!$B:$B=$A525,'Генеральный баннер'!$C:$C=$B525,'Генеральный баннер'!$I:$I=$C525)), 0) "),0.0)</f>
        <v>0</v>
      </c>
      <c r="S525" s="91">
        <f>IFERROR(__xludf.DUMMYFUNCTION("IFERROR(SUM(filter('Генеральный баннер'!$AH:$AH, 'Генеральный баннер'!$B:$B=$A525,'Генеральный баннер'!$C:$C=$B525,'Генеральный баннер'!$I:$I=$C525)), 0) "),0.0)</f>
        <v>0</v>
      </c>
      <c r="T525" s="91" t="str">
        <f>IFERROR(__xludf.DUMMYFUNCTION("IFERROR(REGEXREPLACE(unique(filter('Генеральный баннер'!$A:$A, 'Генеральный баннер'!$B:$B=$A525,'Генеральный баннер'!$C:$C=$B525,'Генеральный баннер'!$I:$I=$C525)), ""\d+"", """"),"""")"),"")</f>
        <v/>
      </c>
      <c r="U525" s="91" t="str">
        <f>IFERROR(__xludf.DUMMYFUNCTION("IFERROR(unique(filter('Генеральный баннер'!$F:$F, 'Генеральный баннер'!$B:$B=$A525,'Генеральный баннер'!$C:$C=$B525,'Генеральный баннер'!$I:$I=$C525)),"""")"),"")</f>
        <v/>
      </c>
      <c r="V525" s="92" t="str">
        <f t="shared" si="3"/>
        <v/>
      </c>
      <c r="W525" s="93">
        <f>IFERROR(__xludf.DUMMYFUNCTION("IFERROR(SWITCH(lower(join("" "",U525:V525)),""а миллионник"", 62.5,""б миллионник"", 75,""а мск"", 50, ""б мск"", 62.5, ""a остальное"", 70, ""б остальное"", 80)/100,0)"),0.0)</f>
        <v>0</v>
      </c>
      <c r="X525" s="91">
        <f t="shared" si="4"/>
        <v>0</v>
      </c>
    </row>
    <row r="526">
      <c r="A526" s="12"/>
      <c r="B526" s="12"/>
      <c r="C526" s="12"/>
      <c r="D526" s="91">
        <f>IFERROR(__xludf.DUMMYFUNCTION("IFERROR(sum(filter('Основной эфир'!$AA:$AA, 'Основной эфир'!$B:$B=$A526,'Основной эфир'!$C:$C=$B526,'Основной эфир'!$I:$I=$C526)), 0) "),0.0)</f>
        <v>0</v>
      </c>
      <c r="E526" s="91">
        <f>IFERROR(__xludf.DUMMYFUNCTION("IFERROR(sum(filter('Основной эфир'!$AC:$AC, 'Основной эфир'!$B:$B=$A526,'Основной эфир'!$C:$C=$B526,'Основной эфир'!$I:$I=$C526)), 0) "),0.0)</f>
        <v>0</v>
      </c>
      <c r="F526" s="91">
        <f>IFERROR(__xludf.DUMMYFUNCTION("IFERROR(sum(filter('Основной эфир'!$O:$O, 'Основной эфир'!$B:$B=$A526,'Основной эфир'!$C:$C=$B526,'Основной эфир'!$I:$I=$C526)), 0) "),0.0)</f>
        <v>0</v>
      </c>
      <c r="G526" s="91">
        <f>IFERROR(__xludf.DUMMYFUNCTION("IFERROR(sum(filter('Основной эфир'!$Q:$Q, 'Основной эфир'!$B:$B=$A526,'Основной эфир'!$C:$C=$B526,'Основной эфир'!$I:$I=$C526)), 0) "),0.0)</f>
        <v>0</v>
      </c>
      <c r="H526" s="91">
        <f>IFERROR(__xludf.DUMMYFUNCTION("IFERROR(AVERAGE(filter('Основной эфир'!$Y:$Y, 'Основной эфир'!$B:$B=$A526,'Основной эфир'!$C:$C=$B526,'Основной эфир'!$I:$I=$C526)), 0) "),0.0)</f>
        <v>0</v>
      </c>
      <c r="I526" s="91">
        <f>IFERROR(__xludf.DUMMYFUNCTION("IFERROR(AVERAGE(filter('Основной эфир'!$AE:$AE, 'Основной эфир'!$B:$B=$A526,'Основной эфир'!$C:$C=$B526,'Основной эфир'!$I:$I=$C526)), 0) "),0.0)</f>
        <v>0</v>
      </c>
      <c r="J526" s="91">
        <f>IFERROR(__xludf.DUMMYFUNCTION("IFERROR(SUM(filter('Основной эфир'!$AL:$AL, 'Основной эфир'!$B:$B=$A526,'Основной эфир'!$C:$C=$B526,'Основной эфир'!$I:$I=$C526)), 0) "),0.0)</f>
        <v>0</v>
      </c>
      <c r="K526" s="91" t="str">
        <f>IFERROR(__xludf.DUMMYFUNCTION("IFERROR(REGEXREPLACE(unique(filter('Основной эфир'!$A:$A, 'Основной эфир'!$B:$B=$A526,'Основной эфир'!$C:$C=$B526,'Основной эфир'!$I:$I=$C526)), ""\d+"", """"),"""")"),"")</f>
        <v/>
      </c>
      <c r="L526" s="91" t="str">
        <f>IFERROR(__xludf.DUMMYFUNCTION("IFERROR(unique(filter('Основной эфир'!$F:$F, 'Основной эфир'!$B:$B=$A526,'Основной эфир'!$C:$C=$B526,'Основной эфир'!$I:$I=$C526)),"""")"),"")</f>
        <v/>
      </c>
      <c r="M526" s="92" t="str">
        <f t="shared" si="1"/>
        <v/>
      </c>
      <c r="N526" s="93">
        <f>IFERROR(__xludf.DUMMYFUNCTION("IFERROR(SWITCH(lower(join("" "",L526:M526)),""а миллионник"", 62.5,""б миллионник"", 75,""а мск"", 50, ""б мск"", 62.5, ""a остальное"", 70, ""б остальное"", 80)/100,0)"),0.0)</f>
        <v>0</v>
      </c>
      <c r="O526" s="91">
        <f t="shared" si="2"/>
        <v>0</v>
      </c>
      <c r="P526" s="91">
        <f>IFERROR(__xludf.DUMMYFUNCTION("IFERROR(sum(filter('Генеральный баннер'!$O:$O, 'Генеральный баннер'!$B:$B=$A526,'Генеральный баннер'!$C:$C=$B526,'Генеральный баннер'!$I:$I=$C526)), 0) "),0.0)</f>
        <v>0</v>
      </c>
      <c r="Q526" s="91">
        <f>IFERROR(__xludf.DUMMYFUNCTION("IFERROR(sum(filter('Генеральный баннер'!$Q:$Q, 'Генеральный баннер'!$B:$B=$A526,'Генеральный баннер'!$C:$C=$B526,'Генеральный баннер'!$I:$I=$C526)), 0) "),0.0)</f>
        <v>0</v>
      </c>
      <c r="R526" s="91">
        <f>IFERROR(__xludf.DUMMYFUNCTION("IFERROR(AVERAGE(filter('Генеральный баннер'!$AA:$AA, 'Генеральный баннер'!$B:$B=$A526,'Генеральный баннер'!$C:$C=$B526,'Генеральный баннер'!$I:$I=$C526)), 0) "),0.0)</f>
        <v>0</v>
      </c>
      <c r="S526" s="91">
        <f>IFERROR(__xludf.DUMMYFUNCTION("IFERROR(SUM(filter('Генеральный баннер'!$AH:$AH, 'Генеральный баннер'!$B:$B=$A526,'Генеральный баннер'!$C:$C=$B526,'Генеральный баннер'!$I:$I=$C526)), 0) "),0.0)</f>
        <v>0</v>
      </c>
      <c r="T526" s="91" t="str">
        <f>IFERROR(__xludf.DUMMYFUNCTION("IFERROR(REGEXREPLACE(unique(filter('Генеральный баннер'!$A:$A, 'Генеральный баннер'!$B:$B=$A526,'Генеральный баннер'!$C:$C=$B526,'Генеральный баннер'!$I:$I=$C526)), ""\d+"", """"),"""")"),"")</f>
        <v/>
      </c>
      <c r="U526" s="91" t="str">
        <f>IFERROR(__xludf.DUMMYFUNCTION("IFERROR(unique(filter('Генеральный баннер'!$F:$F, 'Генеральный баннер'!$B:$B=$A526,'Генеральный баннер'!$C:$C=$B526,'Генеральный баннер'!$I:$I=$C526)),"""")"),"")</f>
        <v/>
      </c>
      <c r="V526" s="92" t="str">
        <f t="shared" si="3"/>
        <v/>
      </c>
      <c r="W526" s="93">
        <f>IFERROR(__xludf.DUMMYFUNCTION("IFERROR(SWITCH(lower(join("" "",U526:V526)),""а миллионник"", 62.5,""б миллионник"", 75,""а мск"", 50, ""б мск"", 62.5, ""a остальное"", 70, ""б остальное"", 80)/100,0)"),0.0)</f>
        <v>0</v>
      </c>
      <c r="X526" s="91">
        <f t="shared" si="4"/>
        <v>0</v>
      </c>
    </row>
    <row r="527">
      <c r="A527" s="12"/>
      <c r="B527" s="12"/>
      <c r="C527" s="12"/>
      <c r="D527" s="91">
        <f>IFERROR(__xludf.DUMMYFUNCTION("IFERROR(sum(filter('Основной эфир'!$AA:$AA, 'Основной эфир'!$B:$B=$A527,'Основной эфир'!$C:$C=$B527,'Основной эфир'!$I:$I=$C527)), 0) "),0.0)</f>
        <v>0</v>
      </c>
      <c r="E527" s="91">
        <f>IFERROR(__xludf.DUMMYFUNCTION("IFERROR(sum(filter('Основной эфир'!$AC:$AC, 'Основной эфир'!$B:$B=$A527,'Основной эфир'!$C:$C=$B527,'Основной эфир'!$I:$I=$C527)), 0) "),0.0)</f>
        <v>0</v>
      </c>
      <c r="F527" s="91">
        <f>IFERROR(__xludf.DUMMYFUNCTION("IFERROR(sum(filter('Основной эфир'!$O:$O, 'Основной эфир'!$B:$B=$A527,'Основной эфир'!$C:$C=$B527,'Основной эфир'!$I:$I=$C527)), 0) "),0.0)</f>
        <v>0</v>
      </c>
      <c r="G527" s="91">
        <f>IFERROR(__xludf.DUMMYFUNCTION("IFERROR(sum(filter('Основной эфир'!$Q:$Q, 'Основной эфир'!$B:$B=$A527,'Основной эфир'!$C:$C=$B527,'Основной эфир'!$I:$I=$C527)), 0) "),0.0)</f>
        <v>0</v>
      </c>
      <c r="H527" s="91">
        <f>IFERROR(__xludf.DUMMYFUNCTION("IFERROR(AVERAGE(filter('Основной эфир'!$Y:$Y, 'Основной эфир'!$B:$B=$A527,'Основной эфир'!$C:$C=$B527,'Основной эфир'!$I:$I=$C527)), 0) "),0.0)</f>
        <v>0</v>
      </c>
      <c r="I527" s="91">
        <f>IFERROR(__xludf.DUMMYFUNCTION("IFERROR(AVERAGE(filter('Основной эфир'!$AE:$AE, 'Основной эфир'!$B:$B=$A527,'Основной эфир'!$C:$C=$B527,'Основной эфир'!$I:$I=$C527)), 0) "),0.0)</f>
        <v>0</v>
      </c>
      <c r="J527" s="91">
        <f>IFERROR(__xludf.DUMMYFUNCTION("IFERROR(SUM(filter('Основной эфир'!$AL:$AL, 'Основной эфир'!$B:$B=$A527,'Основной эфир'!$C:$C=$B527,'Основной эфир'!$I:$I=$C527)), 0) "),0.0)</f>
        <v>0</v>
      </c>
      <c r="K527" s="91" t="str">
        <f>IFERROR(__xludf.DUMMYFUNCTION("IFERROR(REGEXREPLACE(unique(filter('Основной эфир'!$A:$A, 'Основной эфир'!$B:$B=$A527,'Основной эфир'!$C:$C=$B527,'Основной эфир'!$I:$I=$C527)), ""\d+"", """"),"""")"),"")</f>
        <v/>
      </c>
      <c r="L527" s="91" t="str">
        <f>IFERROR(__xludf.DUMMYFUNCTION("IFERROR(unique(filter('Основной эфир'!$F:$F, 'Основной эфир'!$B:$B=$A527,'Основной эфир'!$C:$C=$B527,'Основной эфир'!$I:$I=$C527)),"""")"),"")</f>
        <v/>
      </c>
      <c r="M527" s="92" t="str">
        <f t="shared" si="1"/>
        <v/>
      </c>
      <c r="N527" s="93">
        <f>IFERROR(__xludf.DUMMYFUNCTION("IFERROR(SWITCH(lower(join("" "",L527:M527)),""а миллионник"", 62.5,""б миллионник"", 75,""а мск"", 50, ""б мск"", 62.5, ""a остальное"", 70, ""б остальное"", 80)/100,0)"),0.0)</f>
        <v>0</v>
      </c>
      <c r="O527" s="91">
        <f t="shared" si="2"/>
        <v>0</v>
      </c>
      <c r="P527" s="91">
        <f>IFERROR(__xludf.DUMMYFUNCTION("IFERROR(sum(filter('Генеральный баннер'!$O:$O, 'Генеральный баннер'!$B:$B=$A527,'Генеральный баннер'!$C:$C=$B527,'Генеральный баннер'!$I:$I=$C527)), 0) "),0.0)</f>
        <v>0</v>
      </c>
      <c r="Q527" s="91">
        <f>IFERROR(__xludf.DUMMYFUNCTION("IFERROR(sum(filter('Генеральный баннер'!$Q:$Q, 'Генеральный баннер'!$B:$B=$A527,'Генеральный баннер'!$C:$C=$B527,'Генеральный баннер'!$I:$I=$C527)), 0) "),0.0)</f>
        <v>0</v>
      </c>
      <c r="R527" s="91">
        <f>IFERROR(__xludf.DUMMYFUNCTION("IFERROR(AVERAGE(filter('Генеральный баннер'!$AA:$AA, 'Генеральный баннер'!$B:$B=$A527,'Генеральный баннер'!$C:$C=$B527,'Генеральный баннер'!$I:$I=$C527)), 0) "),0.0)</f>
        <v>0</v>
      </c>
      <c r="S527" s="91">
        <f>IFERROR(__xludf.DUMMYFUNCTION("IFERROR(SUM(filter('Генеральный баннер'!$AH:$AH, 'Генеральный баннер'!$B:$B=$A527,'Генеральный баннер'!$C:$C=$B527,'Генеральный баннер'!$I:$I=$C527)), 0) "),0.0)</f>
        <v>0</v>
      </c>
      <c r="T527" s="91" t="str">
        <f>IFERROR(__xludf.DUMMYFUNCTION("IFERROR(REGEXREPLACE(unique(filter('Генеральный баннер'!$A:$A, 'Генеральный баннер'!$B:$B=$A527,'Генеральный баннер'!$C:$C=$B527,'Генеральный баннер'!$I:$I=$C527)), ""\d+"", """"),"""")"),"")</f>
        <v/>
      </c>
      <c r="U527" s="91" t="str">
        <f>IFERROR(__xludf.DUMMYFUNCTION("IFERROR(unique(filter('Генеральный баннер'!$F:$F, 'Генеральный баннер'!$B:$B=$A527,'Генеральный баннер'!$C:$C=$B527,'Генеральный баннер'!$I:$I=$C527)),"""")"),"")</f>
        <v/>
      </c>
      <c r="V527" s="92" t="str">
        <f t="shared" si="3"/>
        <v/>
      </c>
      <c r="W527" s="93">
        <f>IFERROR(__xludf.DUMMYFUNCTION("IFERROR(SWITCH(lower(join("" "",U527:V527)),""а миллионник"", 62.5,""б миллионник"", 75,""а мск"", 50, ""б мск"", 62.5, ""a остальное"", 70, ""б остальное"", 80)/100,0)"),0.0)</f>
        <v>0</v>
      </c>
      <c r="X527" s="91">
        <f t="shared" si="4"/>
        <v>0</v>
      </c>
    </row>
    <row r="528">
      <c r="A528" s="12"/>
      <c r="B528" s="12"/>
      <c r="C528" s="12"/>
      <c r="D528" s="91">
        <f>IFERROR(__xludf.DUMMYFUNCTION("IFERROR(sum(filter('Основной эфир'!$AA:$AA, 'Основной эфир'!$B:$B=$A528,'Основной эфир'!$C:$C=$B528,'Основной эфир'!$I:$I=$C528)), 0) "),0.0)</f>
        <v>0</v>
      </c>
      <c r="E528" s="91">
        <f>IFERROR(__xludf.DUMMYFUNCTION("IFERROR(sum(filter('Основной эфир'!$AC:$AC, 'Основной эфир'!$B:$B=$A528,'Основной эфир'!$C:$C=$B528,'Основной эфир'!$I:$I=$C528)), 0) "),0.0)</f>
        <v>0</v>
      </c>
      <c r="F528" s="91">
        <f>IFERROR(__xludf.DUMMYFUNCTION("IFERROR(sum(filter('Основной эфир'!$O:$O, 'Основной эфир'!$B:$B=$A528,'Основной эфир'!$C:$C=$B528,'Основной эфир'!$I:$I=$C528)), 0) "),0.0)</f>
        <v>0</v>
      </c>
      <c r="G528" s="91">
        <f>IFERROR(__xludf.DUMMYFUNCTION("IFERROR(sum(filter('Основной эфир'!$Q:$Q, 'Основной эфир'!$B:$B=$A528,'Основной эфир'!$C:$C=$B528,'Основной эфир'!$I:$I=$C528)), 0) "),0.0)</f>
        <v>0</v>
      </c>
      <c r="H528" s="91">
        <f>IFERROR(__xludf.DUMMYFUNCTION("IFERROR(AVERAGE(filter('Основной эфир'!$Y:$Y, 'Основной эфир'!$B:$B=$A528,'Основной эфир'!$C:$C=$B528,'Основной эфир'!$I:$I=$C528)), 0) "),0.0)</f>
        <v>0</v>
      </c>
      <c r="I528" s="91">
        <f>IFERROR(__xludf.DUMMYFUNCTION("IFERROR(AVERAGE(filter('Основной эфир'!$AE:$AE, 'Основной эфир'!$B:$B=$A528,'Основной эфир'!$C:$C=$B528,'Основной эфир'!$I:$I=$C528)), 0) "),0.0)</f>
        <v>0</v>
      </c>
      <c r="J528" s="91">
        <f>IFERROR(__xludf.DUMMYFUNCTION("IFERROR(SUM(filter('Основной эфир'!$AL:$AL, 'Основной эфир'!$B:$B=$A528,'Основной эфир'!$C:$C=$B528,'Основной эфир'!$I:$I=$C528)), 0) "),0.0)</f>
        <v>0</v>
      </c>
      <c r="K528" s="91" t="str">
        <f>IFERROR(__xludf.DUMMYFUNCTION("IFERROR(REGEXREPLACE(unique(filter('Основной эфир'!$A:$A, 'Основной эфир'!$B:$B=$A528,'Основной эфир'!$C:$C=$B528,'Основной эфир'!$I:$I=$C528)), ""\d+"", """"),"""")"),"")</f>
        <v/>
      </c>
      <c r="L528" s="91" t="str">
        <f>IFERROR(__xludf.DUMMYFUNCTION("IFERROR(unique(filter('Основной эфир'!$F:$F, 'Основной эфир'!$B:$B=$A528,'Основной эфир'!$C:$C=$B528,'Основной эфир'!$I:$I=$C528)),"""")"),"")</f>
        <v/>
      </c>
      <c r="M528" s="92" t="str">
        <f t="shared" si="1"/>
        <v/>
      </c>
      <c r="N528" s="93">
        <f>IFERROR(__xludf.DUMMYFUNCTION("IFERROR(SWITCH(lower(join("" "",L528:M528)),""а миллионник"", 62.5,""б миллионник"", 75,""а мск"", 50, ""б мск"", 62.5, ""a остальное"", 70, ""б остальное"", 80)/100,0)"),0.0)</f>
        <v>0</v>
      </c>
      <c r="O528" s="91">
        <f t="shared" si="2"/>
        <v>0</v>
      </c>
      <c r="P528" s="91">
        <f>IFERROR(__xludf.DUMMYFUNCTION("IFERROR(sum(filter('Генеральный баннер'!$O:$O, 'Генеральный баннер'!$B:$B=$A528,'Генеральный баннер'!$C:$C=$B528,'Генеральный баннер'!$I:$I=$C528)), 0) "),0.0)</f>
        <v>0</v>
      </c>
      <c r="Q528" s="91">
        <f>IFERROR(__xludf.DUMMYFUNCTION("IFERROR(sum(filter('Генеральный баннер'!$Q:$Q, 'Генеральный баннер'!$B:$B=$A528,'Генеральный баннер'!$C:$C=$B528,'Генеральный баннер'!$I:$I=$C528)), 0) "),0.0)</f>
        <v>0</v>
      </c>
      <c r="R528" s="91">
        <f>IFERROR(__xludf.DUMMYFUNCTION("IFERROR(AVERAGE(filter('Генеральный баннер'!$AA:$AA, 'Генеральный баннер'!$B:$B=$A528,'Генеральный баннер'!$C:$C=$B528,'Генеральный баннер'!$I:$I=$C528)), 0) "),0.0)</f>
        <v>0</v>
      </c>
      <c r="S528" s="91">
        <f>IFERROR(__xludf.DUMMYFUNCTION("IFERROR(SUM(filter('Генеральный баннер'!$AH:$AH, 'Генеральный баннер'!$B:$B=$A528,'Генеральный баннер'!$C:$C=$B528,'Генеральный баннер'!$I:$I=$C528)), 0) "),0.0)</f>
        <v>0</v>
      </c>
      <c r="T528" s="91" t="str">
        <f>IFERROR(__xludf.DUMMYFUNCTION("IFERROR(REGEXREPLACE(unique(filter('Генеральный баннер'!$A:$A, 'Генеральный баннер'!$B:$B=$A528,'Генеральный баннер'!$C:$C=$B528,'Генеральный баннер'!$I:$I=$C528)), ""\d+"", """"),"""")"),"")</f>
        <v/>
      </c>
      <c r="U528" s="91" t="str">
        <f>IFERROR(__xludf.DUMMYFUNCTION("IFERROR(unique(filter('Генеральный баннер'!$F:$F, 'Генеральный баннер'!$B:$B=$A528,'Генеральный баннер'!$C:$C=$B528,'Генеральный баннер'!$I:$I=$C528)),"""")"),"")</f>
        <v/>
      </c>
      <c r="V528" s="92" t="str">
        <f t="shared" si="3"/>
        <v/>
      </c>
      <c r="W528" s="93">
        <f>IFERROR(__xludf.DUMMYFUNCTION("IFERROR(SWITCH(lower(join("" "",U528:V528)),""а миллионник"", 62.5,""б миллионник"", 75,""а мск"", 50, ""б мск"", 62.5, ""a остальное"", 70, ""б остальное"", 80)/100,0)"),0.0)</f>
        <v>0</v>
      </c>
      <c r="X528" s="91">
        <f t="shared" si="4"/>
        <v>0</v>
      </c>
    </row>
    <row r="529">
      <c r="A529" s="12"/>
      <c r="B529" s="12"/>
      <c r="C529" s="12"/>
      <c r="D529" s="91">
        <f>IFERROR(__xludf.DUMMYFUNCTION("IFERROR(sum(filter('Основной эфир'!$AA:$AA, 'Основной эфир'!$B:$B=$A529,'Основной эфир'!$C:$C=$B529,'Основной эфир'!$I:$I=$C529)), 0) "),0.0)</f>
        <v>0</v>
      </c>
      <c r="E529" s="91">
        <f>IFERROR(__xludf.DUMMYFUNCTION("IFERROR(sum(filter('Основной эфир'!$AC:$AC, 'Основной эфир'!$B:$B=$A529,'Основной эфир'!$C:$C=$B529,'Основной эфир'!$I:$I=$C529)), 0) "),0.0)</f>
        <v>0</v>
      </c>
      <c r="F529" s="91">
        <f>IFERROR(__xludf.DUMMYFUNCTION("IFERROR(sum(filter('Основной эфир'!$O:$O, 'Основной эфир'!$B:$B=$A529,'Основной эфир'!$C:$C=$B529,'Основной эфир'!$I:$I=$C529)), 0) "),0.0)</f>
        <v>0</v>
      </c>
      <c r="G529" s="91">
        <f>IFERROR(__xludf.DUMMYFUNCTION("IFERROR(sum(filter('Основной эфир'!$Q:$Q, 'Основной эфир'!$B:$B=$A529,'Основной эфир'!$C:$C=$B529,'Основной эфир'!$I:$I=$C529)), 0) "),0.0)</f>
        <v>0</v>
      </c>
      <c r="H529" s="91">
        <f>IFERROR(__xludf.DUMMYFUNCTION("IFERROR(AVERAGE(filter('Основной эфир'!$Y:$Y, 'Основной эфир'!$B:$B=$A529,'Основной эфир'!$C:$C=$B529,'Основной эфир'!$I:$I=$C529)), 0) "),0.0)</f>
        <v>0</v>
      </c>
      <c r="I529" s="91">
        <f>IFERROR(__xludf.DUMMYFUNCTION("IFERROR(AVERAGE(filter('Основной эфир'!$AE:$AE, 'Основной эфир'!$B:$B=$A529,'Основной эфир'!$C:$C=$B529,'Основной эфир'!$I:$I=$C529)), 0) "),0.0)</f>
        <v>0</v>
      </c>
      <c r="J529" s="91">
        <f>IFERROR(__xludf.DUMMYFUNCTION("IFERROR(SUM(filter('Основной эфир'!$AL:$AL, 'Основной эфир'!$B:$B=$A529,'Основной эфир'!$C:$C=$B529,'Основной эфир'!$I:$I=$C529)), 0) "),0.0)</f>
        <v>0</v>
      </c>
      <c r="K529" s="91" t="str">
        <f>IFERROR(__xludf.DUMMYFUNCTION("IFERROR(REGEXREPLACE(unique(filter('Основной эфир'!$A:$A, 'Основной эфир'!$B:$B=$A529,'Основной эфир'!$C:$C=$B529,'Основной эфир'!$I:$I=$C529)), ""\d+"", """"),"""")"),"")</f>
        <v/>
      </c>
      <c r="L529" s="91" t="str">
        <f>IFERROR(__xludf.DUMMYFUNCTION("IFERROR(unique(filter('Основной эфир'!$F:$F, 'Основной эфир'!$B:$B=$A529,'Основной эфир'!$C:$C=$B529,'Основной эфир'!$I:$I=$C529)),"""")"),"")</f>
        <v/>
      </c>
      <c r="M529" s="92" t="str">
        <f t="shared" si="1"/>
        <v/>
      </c>
      <c r="N529" s="93">
        <f>IFERROR(__xludf.DUMMYFUNCTION("IFERROR(SWITCH(lower(join("" "",L529:M529)),""а миллионник"", 62.5,""б миллионник"", 75,""а мск"", 50, ""б мск"", 62.5, ""a остальное"", 70, ""б остальное"", 80)/100,0)"),0.0)</f>
        <v>0</v>
      </c>
      <c r="O529" s="91">
        <f t="shared" si="2"/>
        <v>0</v>
      </c>
      <c r="P529" s="91">
        <f>IFERROR(__xludf.DUMMYFUNCTION("IFERROR(sum(filter('Генеральный баннер'!$O:$O, 'Генеральный баннер'!$B:$B=$A529,'Генеральный баннер'!$C:$C=$B529,'Генеральный баннер'!$I:$I=$C529)), 0) "),0.0)</f>
        <v>0</v>
      </c>
      <c r="Q529" s="91">
        <f>IFERROR(__xludf.DUMMYFUNCTION("IFERROR(sum(filter('Генеральный баннер'!$Q:$Q, 'Генеральный баннер'!$B:$B=$A529,'Генеральный баннер'!$C:$C=$B529,'Генеральный баннер'!$I:$I=$C529)), 0) "),0.0)</f>
        <v>0</v>
      </c>
      <c r="R529" s="91">
        <f>IFERROR(__xludf.DUMMYFUNCTION("IFERROR(AVERAGE(filter('Генеральный баннер'!$AA:$AA, 'Генеральный баннер'!$B:$B=$A529,'Генеральный баннер'!$C:$C=$B529,'Генеральный баннер'!$I:$I=$C529)), 0) "),0.0)</f>
        <v>0</v>
      </c>
      <c r="S529" s="91">
        <f>IFERROR(__xludf.DUMMYFUNCTION("IFERROR(SUM(filter('Генеральный баннер'!$AH:$AH, 'Генеральный баннер'!$B:$B=$A529,'Генеральный баннер'!$C:$C=$B529,'Генеральный баннер'!$I:$I=$C529)), 0) "),0.0)</f>
        <v>0</v>
      </c>
      <c r="T529" s="91" t="str">
        <f>IFERROR(__xludf.DUMMYFUNCTION("IFERROR(REGEXREPLACE(unique(filter('Генеральный баннер'!$A:$A, 'Генеральный баннер'!$B:$B=$A529,'Генеральный баннер'!$C:$C=$B529,'Генеральный баннер'!$I:$I=$C529)), ""\d+"", """"),"""")"),"")</f>
        <v/>
      </c>
      <c r="U529" s="91" t="str">
        <f>IFERROR(__xludf.DUMMYFUNCTION("IFERROR(unique(filter('Генеральный баннер'!$F:$F, 'Генеральный баннер'!$B:$B=$A529,'Генеральный баннер'!$C:$C=$B529,'Генеральный баннер'!$I:$I=$C529)),"""")"),"")</f>
        <v/>
      </c>
      <c r="V529" s="92" t="str">
        <f t="shared" si="3"/>
        <v/>
      </c>
      <c r="W529" s="93">
        <f>IFERROR(__xludf.DUMMYFUNCTION("IFERROR(SWITCH(lower(join("" "",U529:V529)),""а миллионник"", 62.5,""б миллионник"", 75,""а мск"", 50, ""б мск"", 62.5, ""a остальное"", 70, ""б остальное"", 80)/100,0)"),0.0)</f>
        <v>0</v>
      </c>
      <c r="X529" s="91">
        <f t="shared" si="4"/>
        <v>0</v>
      </c>
    </row>
    <row r="530">
      <c r="A530" s="12"/>
      <c r="B530" s="12"/>
      <c r="C530" s="12"/>
      <c r="D530" s="91">
        <f>IFERROR(__xludf.DUMMYFUNCTION("IFERROR(sum(filter('Основной эфир'!$AA:$AA, 'Основной эфир'!$B:$B=$A530,'Основной эфир'!$C:$C=$B530,'Основной эфир'!$I:$I=$C530)), 0) "),0.0)</f>
        <v>0</v>
      </c>
      <c r="E530" s="91">
        <f>IFERROR(__xludf.DUMMYFUNCTION("IFERROR(sum(filter('Основной эфир'!$AC:$AC, 'Основной эфир'!$B:$B=$A530,'Основной эфир'!$C:$C=$B530,'Основной эфир'!$I:$I=$C530)), 0) "),0.0)</f>
        <v>0</v>
      </c>
      <c r="F530" s="91">
        <f>IFERROR(__xludf.DUMMYFUNCTION("IFERROR(sum(filter('Основной эфир'!$O:$O, 'Основной эфир'!$B:$B=$A530,'Основной эфир'!$C:$C=$B530,'Основной эфир'!$I:$I=$C530)), 0) "),0.0)</f>
        <v>0</v>
      </c>
      <c r="G530" s="91">
        <f>IFERROR(__xludf.DUMMYFUNCTION("IFERROR(sum(filter('Основной эфир'!$Q:$Q, 'Основной эфир'!$B:$B=$A530,'Основной эфир'!$C:$C=$B530,'Основной эфир'!$I:$I=$C530)), 0) "),0.0)</f>
        <v>0</v>
      </c>
      <c r="H530" s="91">
        <f>IFERROR(__xludf.DUMMYFUNCTION("IFERROR(AVERAGE(filter('Основной эфир'!$Y:$Y, 'Основной эфир'!$B:$B=$A530,'Основной эфир'!$C:$C=$B530,'Основной эфир'!$I:$I=$C530)), 0) "),0.0)</f>
        <v>0</v>
      </c>
      <c r="I530" s="91">
        <f>IFERROR(__xludf.DUMMYFUNCTION("IFERROR(AVERAGE(filter('Основной эфир'!$AE:$AE, 'Основной эфир'!$B:$B=$A530,'Основной эфир'!$C:$C=$B530,'Основной эфир'!$I:$I=$C530)), 0) "),0.0)</f>
        <v>0</v>
      </c>
      <c r="J530" s="91">
        <f>IFERROR(__xludf.DUMMYFUNCTION("IFERROR(SUM(filter('Основной эфир'!$AL:$AL, 'Основной эфир'!$B:$B=$A530,'Основной эфир'!$C:$C=$B530,'Основной эфир'!$I:$I=$C530)), 0) "),0.0)</f>
        <v>0</v>
      </c>
      <c r="K530" s="91" t="str">
        <f>IFERROR(__xludf.DUMMYFUNCTION("IFERROR(REGEXREPLACE(unique(filter('Основной эфир'!$A:$A, 'Основной эфир'!$B:$B=$A530,'Основной эфир'!$C:$C=$B530,'Основной эфир'!$I:$I=$C530)), ""\d+"", """"),"""")"),"")</f>
        <v/>
      </c>
      <c r="L530" s="91" t="str">
        <f>IFERROR(__xludf.DUMMYFUNCTION("IFERROR(unique(filter('Основной эфир'!$F:$F, 'Основной эфир'!$B:$B=$A530,'Основной эфир'!$C:$C=$B530,'Основной эфир'!$I:$I=$C530)),"""")"),"")</f>
        <v/>
      </c>
      <c r="M530" s="92" t="str">
        <f t="shared" si="1"/>
        <v/>
      </c>
      <c r="N530" s="93">
        <f>IFERROR(__xludf.DUMMYFUNCTION("IFERROR(SWITCH(lower(join("" "",L530:M530)),""а миллионник"", 62.5,""б миллионник"", 75,""а мск"", 50, ""б мск"", 62.5, ""a остальное"", 70, ""б остальное"", 80)/100,0)"),0.0)</f>
        <v>0</v>
      </c>
      <c r="O530" s="91">
        <f t="shared" si="2"/>
        <v>0</v>
      </c>
      <c r="P530" s="91">
        <f>IFERROR(__xludf.DUMMYFUNCTION("IFERROR(sum(filter('Генеральный баннер'!$O:$O, 'Генеральный баннер'!$B:$B=$A530,'Генеральный баннер'!$C:$C=$B530,'Генеральный баннер'!$I:$I=$C530)), 0) "),0.0)</f>
        <v>0</v>
      </c>
      <c r="Q530" s="91">
        <f>IFERROR(__xludf.DUMMYFUNCTION("IFERROR(sum(filter('Генеральный баннер'!$Q:$Q, 'Генеральный баннер'!$B:$B=$A530,'Генеральный баннер'!$C:$C=$B530,'Генеральный баннер'!$I:$I=$C530)), 0) "),0.0)</f>
        <v>0</v>
      </c>
      <c r="R530" s="91">
        <f>IFERROR(__xludf.DUMMYFUNCTION("IFERROR(AVERAGE(filter('Генеральный баннер'!$AA:$AA, 'Генеральный баннер'!$B:$B=$A530,'Генеральный баннер'!$C:$C=$B530,'Генеральный баннер'!$I:$I=$C530)), 0) "),0.0)</f>
        <v>0</v>
      </c>
      <c r="S530" s="91">
        <f>IFERROR(__xludf.DUMMYFUNCTION("IFERROR(SUM(filter('Генеральный баннер'!$AH:$AH, 'Генеральный баннер'!$B:$B=$A530,'Генеральный баннер'!$C:$C=$B530,'Генеральный баннер'!$I:$I=$C530)), 0) "),0.0)</f>
        <v>0</v>
      </c>
      <c r="T530" s="91" t="str">
        <f>IFERROR(__xludf.DUMMYFUNCTION("IFERROR(REGEXREPLACE(unique(filter('Генеральный баннер'!$A:$A, 'Генеральный баннер'!$B:$B=$A530,'Генеральный баннер'!$C:$C=$B530,'Генеральный баннер'!$I:$I=$C530)), ""\d+"", """"),"""")"),"")</f>
        <v/>
      </c>
      <c r="U530" s="91" t="str">
        <f>IFERROR(__xludf.DUMMYFUNCTION("IFERROR(unique(filter('Генеральный баннер'!$F:$F, 'Генеральный баннер'!$B:$B=$A530,'Генеральный баннер'!$C:$C=$B530,'Генеральный баннер'!$I:$I=$C530)),"""")"),"")</f>
        <v/>
      </c>
      <c r="V530" s="92" t="str">
        <f t="shared" si="3"/>
        <v/>
      </c>
      <c r="W530" s="93">
        <f>IFERROR(__xludf.DUMMYFUNCTION("IFERROR(SWITCH(lower(join("" "",U530:V530)),""а миллионник"", 62.5,""б миллионник"", 75,""а мск"", 50, ""б мск"", 62.5, ""a остальное"", 70, ""б остальное"", 80)/100,0)"),0.0)</f>
        <v>0</v>
      </c>
      <c r="X530" s="91">
        <f t="shared" si="4"/>
        <v>0</v>
      </c>
    </row>
    <row r="531">
      <c r="A531" s="12"/>
      <c r="B531" s="12"/>
      <c r="C531" s="12"/>
      <c r="D531" s="91">
        <f>IFERROR(__xludf.DUMMYFUNCTION("IFERROR(sum(filter('Основной эфир'!$AA:$AA, 'Основной эфир'!$B:$B=$A531,'Основной эфир'!$C:$C=$B531,'Основной эфир'!$I:$I=$C531)), 0) "),0.0)</f>
        <v>0</v>
      </c>
      <c r="E531" s="91">
        <f>IFERROR(__xludf.DUMMYFUNCTION("IFERROR(sum(filter('Основной эфир'!$AC:$AC, 'Основной эфир'!$B:$B=$A531,'Основной эфир'!$C:$C=$B531,'Основной эфир'!$I:$I=$C531)), 0) "),0.0)</f>
        <v>0</v>
      </c>
      <c r="F531" s="91">
        <f>IFERROR(__xludf.DUMMYFUNCTION("IFERROR(sum(filter('Основной эфир'!$O:$O, 'Основной эфир'!$B:$B=$A531,'Основной эфир'!$C:$C=$B531,'Основной эфир'!$I:$I=$C531)), 0) "),0.0)</f>
        <v>0</v>
      </c>
      <c r="G531" s="91">
        <f>IFERROR(__xludf.DUMMYFUNCTION("IFERROR(sum(filter('Основной эфир'!$Q:$Q, 'Основной эфир'!$B:$B=$A531,'Основной эфир'!$C:$C=$B531,'Основной эфир'!$I:$I=$C531)), 0) "),0.0)</f>
        <v>0</v>
      </c>
      <c r="H531" s="91">
        <f>IFERROR(__xludf.DUMMYFUNCTION("IFERROR(AVERAGE(filter('Основной эфир'!$Y:$Y, 'Основной эфир'!$B:$B=$A531,'Основной эфир'!$C:$C=$B531,'Основной эфир'!$I:$I=$C531)), 0) "),0.0)</f>
        <v>0</v>
      </c>
      <c r="I531" s="91">
        <f>IFERROR(__xludf.DUMMYFUNCTION("IFERROR(AVERAGE(filter('Основной эфир'!$AE:$AE, 'Основной эфир'!$B:$B=$A531,'Основной эфир'!$C:$C=$B531,'Основной эфир'!$I:$I=$C531)), 0) "),0.0)</f>
        <v>0</v>
      </c>
      <c r="J531" s="91">
        <f>IFERROR(__xludf.DUMMYFUNCTION("IFERROR(SUM(filter('Основной эфир'!$AL:$AL, 'Основной эфир'!$B:$B=$A531,'Основной эфир'!$C:$C=$B531,'Основной эфир'!$I:$I=$C531)), 0) "),0.0)</f>
        <v>0</v>
      </c>
      <c r="K531" s="91" t="str">
        <f>IFERROR(__xludf.DUMMYFUNCTION("IFERROR(REGEXREPLACE(unique(filter('Основной эфир'!$A:$A, 'Основной эфир'!$B:$B=$A531,'Основной эфир'!$C:$C=$B531,'Основной эфир'!$I:$I=$C531)), ""\d+"", """"),"""")"),"")</f>
        <v/>
      </c>
      <c r="L531" s="91" t="str">
        <f>IFERROR(__xludf.DUMMYFUNCTION("IFERROR(unique(filter('Основной эфир'!$F:$F, 'Основной эфир'!$B:$B=$A531,'Основной эфир'!$C:$C=$B531,'Основной эфир'!$I:$I=$C531)),"""")"),"")</f>
        <v/>
      </c>
      <c r="M531" s="92" t="str">
        <f t="shared" si="1"/>
        <v/>
      </c>
      <c r="N531" s="93">
        <f>IFERROR(__xludf.DUMMYFUNCTION("IFERROR(SWITCH(lower(join("" "",L531:M531)),""а миллионник"", 62.5,""б миллионник"", 75,""а мск"", 50, ""б мск"", 62.5, ""a остальное"", 70, ""б остальное"", 80)/100,0)"),0.0)</f>
        <v>0</v>
      </c>
      <c r="O531" s="91">
        <f t="shared" si="2"/>
        <v>0</v>
      </c>
      <c r="P531" s="91">
        <f>IFERROR(__xludf.DUMMYFUNCTION("IFERROR(sum(filter('Генеральный баннер'!$O:$O, 'Генеральный баннер'!$B:$B=$A531,'Генеральный баннер'!$C:$C=$B531,'Генеральный баннер'!$I:$I=$C531)), 0) "),0.0)</f>
        <v>0</v>
      </c>
      <c r="Q531" s="91">
        <f>IFERROR(__xludf.DUMMYFUNCTION("IFERROR(sum(filter('Генеральный баннер'!$Q:$Q, 'Генеральный баннер'!$B:$B=$A531,'Генеральный баннер'!$C:$C=$B531,'Генеральный баннер'!$I:$I=$C531)), 0) "),0.0)</f>
        <v>0</v>
      </c>
      <c r="R531" s="91">
        <f>IFERROR(__xludf.DUMMYFUNCTION("IFERROR(AVERAGE(filter('Генеральный баннер'!$AA:$AA, 'Генеральный баннер'!$B:$B=$A531,'Генеральный баннер'!$C:$C=$B531,'Генеральный баннер'!$I:$I=$C531)), 0) "),0.0)</f>
        <v>0</v>
      </c>
      <c r="S531" s="91">
        <f>IFERROR(__xludf.DUMMYFUNCTION("IFERROR(SUM(filter('Генеральный баннер'!$AH:$AH, 'Генеральный баннер'!$B:$B=$A531,'Генеральный баннер'!$C:$C=$B531,'Генеральный баннер'!$I:$I=$C531)), 0) "),0.0)</f>
        <v>0</v>
      </c>
      <c r="T531" s="91" t="str">
        <f>IFERROR(__xludf.DUMMYFUNCTION("IFERROR(REGEXREPLACE(unique(filter('Генеральный баннер'!$A:$A, 'Генеральный баннер'!$B:$B=$A531,'Генеральный баннер'!$C:$C=$B531,'Генеральный баннер'!$I:$I=$C531)), ""\d+"", """"),"""")"),"")</f>
        <v/>
      </c>
      <c r="U531" s="91" t="str">
        <f>IFERROR(__xludf.DUMMYFUNCTION("IFERROR(unique(filter('Генеральный баннер'!$F:$F, 'Генеральный баннер'!$B:$B=$A531,'Генеральный баннер'!$C:$C=$B531,'Генеральный баннер'!$I:$I=$C531)),"""")"),"")</f>
        <v/>
      </c>
      <c r="V531" s="92" t="str">
        <f t="shared" si="3"/>
        <v/>
      </c>
      <c r="W531" s="93">
        <f>IFERROR(__xludf.DUMMYFUNCTION("IFERROR(SWITCH(lower(join("" "",U531:V531)),""а миллионник"", 62.5,""б миллионник"", 75,""а мск"", 50, ""б мск"", 62.5, ""a остальное"", 70, ""б остальное"", 80)/100,0)"),0.0)</f>
        <v>0</v>
      </c>
      <c r="X531" s="91">
        <f t="shared" si="4"/>
        <v>0</v>
      </c>
    </row>
    <row r="532">
      <c r="A532" s="12"/>
      <c r="B532" s="12"/>
      <c r="C532" s="12"/>
      <c r="D532" s="91">
        <f>IFERROR(__xludf.DUMMYFUNCTION("IFERROR(sum(filter('Основной эфир'!$AA:$AA, 'Основной эфир'!$B:$B=$A532,'Основной эфир'!$C:$C=$B532,'Основной эфир'!$I:$I=$C532)), 0) "),0.0)</f>
        <v>0</v>
      </c>
      <c r="E532" s="91">
        <f>IFERROR(__xludf.DUMMYFUNCTION("IFERROR(sum(filter('Основной эфир'!$AC:$AC, 'Основной эфир'!$B:$B=$A532,'Основной эфир'!$C:$C=$B532,'Основной эфир'!$I:$I=$C532)), 0) "),0.0)</f>
        <v>0</v>
      </c>
      <c r="F532" s="91">
        <f>IFERROR(__xludf.DUMMYFUNCTION("IFERROR(sum(filter('Основной эфир'!$O:$O, 'Основной эфир'!$B:$B=$A532,'Основной эфир'!$C:$C=$B532,'Основной эфир'!$I:$I=$C532)), 0) "),0.0)</f>
        <v>0</v>
      </c>
      <c r="G532" s="91">
        <f>IFERROR(__xludf.DUMMYFUNCTION("IFERROR(sum(filter('Основной эфир'!$Q:$Q, 'Основной эфир'!$B:$B=$A532,'Основной эфир'!$C:$C=$B532,'Основной эфир'!$I:$I=$C532)), 0) "),0.0)</f>
        <v>0</v>
      </c>
      <c r="H532" s="91">
        <f>IFERROR(__xludf.DUMMYFUNCTION("IFERROR(AVERAGE(filter('Основной эфир'!$Y:$Y, 'Основной эфир'!$B:$B=$A532,'Основной эфир'!$C:$C=$B532,'Основной эфир'!$I:$I=$C532)), 0) "),0.0)</f>
        <v>0</v>
      </c>
      <c r="I532" s="91">
        <f>IFERROR(__xludf.DUMMYFUNCTION("IFERROR(AVERAGE(filter('Основной эфир'!$AE:$AE, 'Основной эфир'!$B:$B=$A532,'Основной эфир'!$C:$C=$B532,'Основной эфир'!$I:$I=$C532)), 0) "),0.0)</f>
        <v>0</v>
      </c>
      <c r="J532" s="91">
        <f>IFERROR(__xludf.DUMMYFUNCTION("IFERROR(SUM(filter('Основной эфир'!$AL:$AL, 'Основной эфир'!$B:$B=$A532,'Основной эфир'!$C:$C=$B532,'Основной эфир'!$I:$I=$C532)), 0) "),0.0)</f>
        <v>0</v>
      </c>
      <c r="K532" s="91" t="str">
        <f>IFERROR(__xludf.DUMMYFUNCTION("IFERROR(REGEXREPLACE(unique(filter('Основной эфир'!$A:$A, 'Основной эфир'!$B:$B=$A532,'Основной эфир'!$C:$C=$B532,'Основной эфир'!$I:$I=$C532)), ""\d+"", """"),"""")"),"")</f>
        <v/>
      </c>
      <c r="L532" s="91" t="str">
        <f>IFERROR(__xludf.DUMMYFUNCTION("IFERROR(unique(filter('Основной эфир'!$F:$F, 'Основной эфир'!$B:$B=$A532,'Основной эфир'!$C:$C=$B532,'Основной эфир'!$I:$I=$C532)),"""")"),"")</f>
        <v/>
      </c>
      <c r="M532" s="92" t="str">
        <f t="shared" si="1"/>
        <v/>
      </c>
      <c r="N532" s="93">
        <f>IFERROR(__xludf.DUMMYFUNCTION("IFERROR(SWITCH(lower(join("" "",L532:M532)),""а миллионник"", 62.5,""б миллионник"", 75,""а мск"", 50, ""б мск"", 62.5, ""a остальное"", 70, ""б остальное"", 80)/100,0)"),0.0)</f>
        <v>0</v>
      </c>
      <c r="O532" s="91">
        <f t="shared" si="2"/>
        <v>0</v>
      </c>
      <c r="P532" s="91">
        <f>IFERROR(__xludf.DUMMYFUNCTION("IFERROR(sum(filter('Генеральный баннер'!$O:$O, 'Генеральный баннер'!$B:$B=$A532,'Генеральный баннер'!$C:$C=$B532,'Генеральный баннер'!$I:$I=$C532)), 0) "),0.0)</f>
        <v>0</v>
      </c>
      <c r="Q532" s="91">
        <f>IFERROR(__xludf.DUMMYFUNCTION("IFERROR(sum(filter('Генеральный баннер'!$Q:$Q, 'Генеральный баннер'!$B:$B=$A532,'Генеральный баннер'!$C:$C=$B532,'Генеральный баннер'!$I:$I=$C532)), 0) "),0.0)</f>
        <v>0</v>
      </c>
      <c r="R532" s="91">
        <f>IFERROR(__xludf.DUMMYFUNCTION("IFERROR(AVERAGE(filter('Генеральный баннер'!$AA:$AA, 'Генеральный баннер'!$B:$B=$A532,'Генеральный баннер'!$C:$C=$B532,'Генеральный баннер'!$I:$I=$C532)), 0) "),0.0)</f>
        <v>0</v>
      </c>
      <c r="S532" s="91">
        <f>IFERROR(__xludf.DUMMYFUNCTION("IFERROR(SUM(filter('Генеральный баннер'!$AH:$AH, 'Генеральный баннер'!$B:$B=$A532,'Генеральный баннер'!$C:$C=$B532,'Генеральный баннер'!$I:$I=$C532)), 0) "),0.0)</f>
        <v>0</v>
      </c>
      <c r="T532" s="91" t="str">
        <f>IFERROR(__xludf.DUMMYFUNCTION("IFERROR(REGEXREPLACE(unique(filter('Генеральный баннер'!$A:$A, 'Генеральный баннер'!$B:$B=$A532,'Генеральный баннер'!$C:$C=$B532,'Генеральный баннер'!$I:$I=$C532)), ""\d+"", """"),"""")"),"")</f>
        <v/>
      </c>
      <c r="U532" s="91" t="str">
        <f>IFERROR(__xludf.DUMMYFUNCTION("IFERROR(unique(filter('Генеральный баннер'!$F:$F, 'Генеральный баннер'!$B:$B=$A532,'Генеральный баннер'!$C:$C=$B532,'Генеральный баннер'!$I:$I=$C532)),"""")"),"")</f>
        <v/>
      </c>
      <c r="V532" s="92" t="str">
        <f t="shared" si="3"/>
        <v/>
      </c>
      <c r="W532" s="93">
        <f>IFERROR(__xludf.DUMMYFUNCTION("IFERROR(SWITCH(lower(join("" "",U532:V532)),""а миллионник"", 62.5,""б миллионник"", 75,""а мск"", 50, ""б мск"", 62.5, ""a остальное"", 70, ""б остальное"", 80)/100,0)"),0.0)</f>
        <v>0</v>
      </c>
      <c r="X532" s="91">
        <f t="shared" si="4"/>
        <v>0</v>
      </c>
    </row>
    <row r="533">
      <c r="A533" s="12"/>
      <c r="B533" s="12"/>
      <c r="C533" s="12"/>
      <c r="D533" s="91">
        <f>IFERROR(__xludf.DUMMYFUNCTION("IFERROR(sum(filter('Основной эфир'!$AA:$AA, 'Основной эфир'!$B:$B=$A533,'Основной эфир'!$C:$C=$B533,'Основной эфир'!$I:$I=$C533)), 0) "),0.0)</f>
        <v>0</v>
      </c>
      <c r="E533" s="91">
        <f>IFERROR(__xludf.DUMMYFUNCTION("IFERROR(sum(filter('Основной эфир'!$AC:$AC, 'Основной эфир'!$B:$B=$A533,'Основной эфир'!$C:$C=$B533,'Основной эфир'!$I:$I=$C533)), 0) "),0.0)</f>
        <v>0</v>
      </c>
      <c r="F533" s="91">
        <f>IFERROR(__xludf.DUMMYFUNCTION("IFERROR(sum(filter('Основной эфир'!$O:$O, 'Основной эфир'!$B:$B=$A533,'Основной эфир'!$C:$C=$B533,'Основной эфир'!$I:$I=$C533)), 0) "),0.0)</f>
        <v>0</v>
      </c>
      <c r="G533" s="91">
        <f>IFERROR(__xludf.DUMMYFUNCTION("IFERROR(sum(filter('Основной эфир'!$Q:$Q, 'Основной эфир'!$B:$B=$A533,'Основной эфир'!$C:$C=$B533,'Основной эфир'!$I:$I=$C533)), 0) "),0.0)</f>
        <v>0</v>
      </c>
      <c r="H533" s="91">
        <f>IFERROR(__xludf.DUMMYFUNCTION("IFERROR(AVERAGE(filter('Основной эфир'!$Y:$Y, 'Основной эфир'!$B:$B=$A533,'Основной эфир'!$C:$C=$B533,'Основной эфир'!$I:$I=$C533)), 0) "),0.0)</f>
        <v>0</v>
      </c>
      <c r="I533" s="91">
        <f>IFERROR(__xludf.DUMMYFUNCTION("IFERROR(AVERAGE(filter('Основной эфир'!$AE:$AE, 'Основной эфир'!$B:$B=$A533,'Основной эфир'!$C:$C=$B533,'Основной эфир'!$I:$I=$C533)), 0) "),0.0)</f>
        <v>0</v>
      </c>
      <c r="J533" s="91">
        <f>IFERROR(__xludf.DUMMYFUNCTION("IFERROR(SUM(filter('Основной эфир'!$AL:$AL, 'Основной эфир'!$B:$B=$A533,'Основной эфир'!$C:$C=$B533,'Основной эфир'!$I:$I=$C533)), 0) "),0.0)</f>
        <v>0</v>
      </c>
      <c r="K533" s="91" t="str">
        <f>IFERROR(__xludf.DUMMYFUNCTION("IFERROR(REGEXREPLACE(unique(filter('Основной эфир'!$A:$A, 'Основной эфир'!$B:$B=$A533,'Основной эфир'!$C:$C=$B533,'Основной эфир'!$I:$I=$C533)), ""\d+"", """"),"""")"),"")</f>
        <v/>
      </c>
      <c r="L533" s="91" t="str">
        <f>IFERROR(__xludf.DUMMYFUNCTION("IFERROR(unique(filter('Основной эфир'!$F:$F, 'Основной эфир'!$B:$B=$A533,'Основной эфир'!$C:$C=$B533,'Основной эфир'!$I:$I=$C533)),"""")"),"")</f>
        <v/>
      </c>
      <c r="M533" s="92" t="str">
        <f t="shared" si="1"/>
        <v/>
      </c>
      <c r="N533" s="93">
        <f>IFERROR(__xludf.DUMMYFUNCTION("IFERROR(SWITCH(lower(join("" "",L533:M533)),""а миллионник"", 62.5,""б миллионник"", 75,""а мск"", 50, ""б мск"", 62.5, ""a остальное"", 70, ""б остальное"", 80)/100,0)"),0.0)</f>
        <v>0</v>
      </c>
      <c r="O533" s="91">
        <f t="shared" si="2"/>
        <v>0</v>
      </c>
      <c r="P533" s="91">
        <f>IFERROR(__xludf.DUMMYFUNCTION("IFERROR(sum(filter('Генеральный баннер'!$O:$O, 'Генеральный баннер'!$B:$B=$A533,'Генеральный баннер'!$C:$C=$B533,'Генеральный баннер'!$I:$I=$C533)), 0) "),0.0)</f>
        <v>0</v>
      </c>
      <c r="Q533" s="91">
        <f>IFERROR(__xludf.DUMMYFUNCTION("IFERROR(sum(filter('Генеральный баннер'!$Q:$Q, 'Генеральный баннер'!$B:$B=$A533,'Генеральный баннер'!$C:$C=$B533,'Генеральный баннер'!$I:$I=$C533)), 0) "),0.0)</f>
        <v>0</v>
      </c>
      <c r="R533" s="91">
        <f>IFERROR(__xludf.DUMMYFUNCTION("IFERROR(AVERAGE(filter('Генеральный баннер'!$AA:$AA, 'Генеральный баннер'!$B:$B=$A533,'Генеральный баннер'!$C:$C=$B533,'Генеральный баннер'!$I:$I=$C533)), 0) "),0.0)</f>
        <v>0</v>
      </c>
      <c r="S533" s="91">
        <f>IFERROR(__xludf.DUMMYFUNCTION("IFERROR(SUM(filter('Генеральный баннер'!$AH:$AH, 'Генеральный баннер'!$B:$B=$A533,'Генеральный баннер'!$C:$C=$B533,'Генеральный баннер'!$I:$I=$C533)), 0) "),0.0)</f>
        <v>0</v>
      </c>
      <c r="T533" s="91" t="str">
        <f>IFERROR(__xludf.DUMMYFUNCTION("IFERROR(REGEXREPLACE(unique(filter('Генеральный баннер'!$A:$A, 'Генеральный баннер'!$B:$B=$A533,'Генеральный баннер'!$C:$C=$B533,'Генеральный баннер'!$I:$I=$C533)), ""\d+"", """"),"""")"),"")</f>
        <v/>
      </c>
      <c r="U533" s="91" t="str">
        <f>IFERROR(__xludf.DUMMYFUNCTION("IFERROR(unique(filter('Генеральный баннер'!$F:$F, 'Генеральный баннер'!$B:$B=$A533,'Генеральный баннер'!$C:$C=$B533,'Генеральный баннер'!$I:$I=$C533)),"""")"),"")</f>
        <v/>
      </c>
      <c r="V533" s="92" t="str">
        <f t="shared" si="3"/>
        <v/>
      </c>
      <c r="W533" s="93">
        <f>IFERROR(__xludf.DUMMYFUNCTION("IFERROR(SWITCH(lower(join("" "",U533:V533)),""а миллионник"", 62.5,""б миллионник"", 75,""а мск"", 50, ""б мск"", 62.5, ""a остальное"", 70, ""б остальное"", 80)/100,0)"),0.0)</f>
        <v>0</v>
      </c>
      <c r="X533" s="91">
        <f t="shared" si="4"/>
        <v>0</v>
      </c>
    </row>
    <row r="534">
      <c r="A534" s="12"/>
      <c r="B534" s="12"/>
      <c r="C534" s="12"/>
      <c r="D534" s="91">
        <f>IFERROR(__xludf.DUMMYFUNCTION("IFERROR(sum(filter('Основной эфир'!$AA:$AA, 'Основной эфир'!$B:$B=$A534,'Основной эфир'!$C:$C=$B534,'Основной эфир'!$I:$I=$C534)), 0) "),0.0)</f>
        <v>0</v>
      </c>
      <c r="E534" s="91">
        <f>IFERROR(__xludf.DUMMYFUNCTION("IFERROR(sum(filter('Основной эфир'!$AC:$AC, 'Основной эфир'!$B:$B=$A534,'Основной эфир'!$C:$C=$B534,'Основной эфир'!$I:$I=$C534)), 0) "),0.0)</f>
        <v>0</v>
      </c>
      <c r="F534" s="91">
        <f>IFERROR(__xludf.DUMMYFUNCTION("IFERROR(sum(filter('Основной эфир'!$O:$O, 'Основной эфир'!$B:$B=$A534,'Основной эфир'!$C:$C=$B534,'Основной эфир'!$I:$I=$C534)), 0) "),0.0)</f>
        <v>0</v>
      </c>
      <c r="G534" s="91">
        <f>IFERROR(__xludf.DUMMYFUNCTION("IFERROR(sum(filter('Основной эфир'!$Q:$Q, 'Основной эфир'!$B:$B=$A534,'Основной эфир'!$C:$C=$B534,'Основной эфир'!$I:$I=$C534)), 0) "),0.0)</f>
        <v>0</v>
      </c>
      <c r="H534" s="91">
        <f>IFERROR(__xludf.DUMMYFUNCTION("IFERROR(AVERAGE(filter('Основной эфир'!$Y:$Y, 'Основной эфир'!$B:$B=$A534,'Основной эфир'!$C:$C=$B534,'Основной эфир'!$I:$I=$C534)), 0) "),0.0)</f>
        <v>0</v>
      </c>
      <c r="I534" s="91">
        <f>IFERROR(__xludf.DUMMYFUNCTION("IFERROR(AVERAGE(filter('Основной эфир'!$AE:$AE, 'Основной эфир'!$B:$B=$A534,'Основной эфир'!$C:$C=$B534,'Основной эфир'!$I:$I=$C534)), 0) "),0.0)</f>
        <v>0</v>
      </c>
      <c r="J534" s="91">
        <f>IFERROR(__xludf.DUMMYFUNCTION("IFERROR(SUM(filter('Основной эфир'!$AL:$AL, 'Основной эфир'!$B:$B=$A534,'Основной эфир'!$C:$C=$B534,'Основной эфир'!$I:$I=$C534)), 0) "),0.0)</f>
        <v>0</v>
      </c>
      <c r="K534" s="91" t="str">
        <f>IFERROR(__xludf.DUMMYFUNCTION("IFERROR(REGEXREPLACE(unique(filter('Основной эфир'!$A:$A, 'Основной эфир'!$B:$B=$A534,'Основной эфир'!$C:$C=$B534,'Основной эфир'!$I:$I=$C534)), ""\d+"", """"),"""")"),"")</f>
        <v/>
      </c>
      <c r="L534" s="91" t="str">
        <f>IFERROR(__xludf.DUMMYFUNCTION("IFERROR(unique(filter('Основной эфир'!$F:$F, 'Основной эфир'!$B:$B=$A534,'Основной эфир'!$C:$C=$B534,'Основной эфир'!$I:$I=$C534)),"""")"),"")</f>
        <v/>
      </c>
      <c r="M534" s="92" t="str">
        <f t="shared" si="1"/>
        <v/>
      </c>
      <c r="N534" s="93">
        <f>IFERROR(__xludf.DUMMYFUNCTION("IFERROR(SWITCH(lower(join("" "",L534:M534)),""а миллионник"", 62.5,""б миллионник"", 75,""а мск"", 50, ""б мск"", 62.5, ""a остальное"", 70, ""б остальное"", 80)/100,0)"),0.0)</f>
        <v>0</v>
      </c>
      <c r="O534" s="91">
        <f t="shared" si="2"/>
        <v>0</v>
      </c>
      <c r="P534" s="91">
        <f>IFERROR(__xludf.DUMMYFUNCTION("IFERROR(sum(filter('Генеральный баннер'!$O:$O, 'Генеральный баннер'!$B:$B=$A534,'Генеральный баннер'!$C:$C=$B534,'Генеральный баннер'!$I:$I=$C534)), 0) "),0.0)</f>
        <v>0</v>
      </c>
      <c r="Q534" s="91">
        <f>IFERROR(__xludf.DUMMYFUNCTION("IFERROR(sum(filter('Генеральный баннер'!$Q:$Q, 'Генеральный баннер'!$B:$B=$A534,'Генеральный баннер'!$C:$C=$B534,'Генеральный баннер'!$I:$I=$C534)), 0) "),0.0)</f>
        <v>0</v>
      </c>
      <c r="R534" s="91">
        <f>IFERROR(__xludf.DUMMYFUNCTION("IFERROR(AVERAGE(filter('Генеральный баннер'!$AA:$AA, 'Генеральный баннер'!$B:$B=$A534,'Генеральный баннер'!$C:$C=$B534,'Генеральный баннер'!$I:$I=$C534)), 0) "),0.0)</f>
        <v>0</v>
      </c>
      <c r="S534" s="91">
        <f>IFERROR(__xludf.DUMMYFUNCTION("IFERROR(SUM(filter('Генеральный баннер'!$AH:$AH, 'Генеральный баннер'!$B:$B=$A534,'Генеральный баннер'!$C:$C=$B534,'Генеральный баннер'!$I:$I=$C534)), 0) "),0.0)</f>
        <v>0</v>
      </c>
      <c r="T534" s="91" t="str">
        <f>IFERROR(__xludf.DUMMYFUNCTION("IFERROR(REGEXREPLACE(unique(filter('Генеральный баннер'!$A:$A, 'Генеральный баннер'!$B:$B=$A534,'Генеральный баннер'!$C:$C=$B534,'Генеральный баннер'!$I:$I=$C534)), ""\d+"", """"),"""")"),"")</f>
        <v/>
      </c>
      <c r="U534" s="91" t="str">
        <f>IFERROR(__xludf.DUMMYFUNCTION("IFERROR(unique(filter('Генеральный баннер'!$F:$F, 'Генеральный баннер'!$B:$B=$A534,'Генеральный баннер'!$C:$C=$B534,'Генеральный баннер'!$I:$I=$C534)),"""")"),"")</f>
        <v/>
      </c>
      <c r="V534" s="92" t="str">
        <f t="shared" si="3"/>
        <v/>
      </c>
      <c r="W534" s="93">
        <f>IFERROR(__xludf.DUMMYFUNCTION("IFERROR(SWITCH(lower(join("" "",U534:V534)),""а миллионник"", 62.5,""б миллионник"", 75,""а мск"", 50, ""б мск"", 62.5, ""a остальное"", 70, ""б остальное"", 80)/100,0)"),0.0)</f>
        <v>0</v>
      </c>
      <c r="X534" s="91">
        <f t="shared" si="4"/>
        <v>0</v>
      </c>
    </row>
    <row r="535">
      <c r="A535" s="12"/>
      <c r="B535" s="12"/>
      <c r="C535" s="12"/>
      <c r="D535" s="91">
        <f>IFERROR(__xludf.DUMMYFUNCTION("IFERROR(sum(filter('Основной эфир'!$AA:$AA, 'Основной эфир'!$B:$B=$A535,'Основной эфир'!$C:$C=$B535,'Основной эфир'!$I:$I=$C535)), 0) "),0.0)</f>
        <v>0</v>
      </c>
      <c r="E535" s="91">
        <f>IFERROR(__xludf.DUMMYFUNCTION("IFERROR(sum(filter('Основной эфир'!$AC:$AC, 'Основной эфир'!$B:$B=$A535,'Основной эфир'!$C:$C=$B535,'Основной эфир'!$I:$I=$C535)), 0) "),0.0)</f>
        <v>0</v>
      </c>
      <c r="F535" s="91">
        <f>IFERROR(__xludf.DUMMYFUNCTION("IFERROR(sum(filter('Основной эфир'!$O:$O, 'Основной эфир'!$B:$B=$A535,'Основной эфир'!$C:$C=$B535,'Основной эфир'!$I:$I=$C535)), 0) "),0.0)</f>
        <v>0</v>
      </c>
      <c r="G535" s="91">
        <f>IFERROR(__xludf.DUMMYFUNCTION("IFERROR(sum(filter('Основной эфир'!$Q:$Q, 'Основной эфир'!$B:$B=$A535,'Основной эфир'!$C:$C=$B535,'Основной эфир'!$I:$I=$C535)), 0) "),0.0)</f>
        <v>0</v>
      </c>
      <c r="H535" s="91">
        <f>IFERROR(__xludf.DUMMYFUNCTION("IFERROR(AVERAGE(filter('Основной эфир'!$Y:$Y, 'Основной эфир'!$B:$B=$A535,'Основной эфир'!$C:$C=$B535,'Основной эфир'!$I:$I=$C535)), 0) "),0.0)</f>
        <v>0</v>
      </c>
      <c r="I535" s="91">
        <f>IFERROR(__xludf.DUMMYFUNCTION("IFERROR(AVERAGE(filter('Основной эфир'!$AE:$AE, 'Основной эфир'!$B:$B=$A535,'Основной эфир'!$C:$C=$B535,'Основной эфир'!$I:$I=$C535)), 0) "),0.0)</f>
        <v>0</v>
      </c>
      <c r="J535" s="91">
        <f>IFERROR(__xludf.DUMMYFUNCTION("IFERROR(SUM(filter('Основной эфир'!$AL:$AL, 'Основной эфир'!$B:$B=$A535,'Основной эфир'!$C:$C=$B535,'Основной эфир'!$I:$I=$C535)), 0) "),0.0)</f>
        <v>0</v>
      </c>
      <c r="K535" s="91" t="str">
        <f>IFERROR(__xludf.DUMMYFUNCTION("IFERROR(REGEXREPLACE(unique(filter('Основной эфир'!$A:$A, 'Основной эфир'!$B:$B=$A535,'Основной эфир'!$C:$C=$B535,'Основной эфир'!$I:$I=$C535)), ""\d+"", """"),"""")"),"")</f>
        <v/>
      </c>
      <c r="L535" s="91" t="str">
        <f>IFERROR(__xludf.DUMMYFUNCTION("IFERROR(unique(filter('Основной эфир'!$F:$F, 'Основной эфир'!$B:$B=$A535,'Основной эфир'!$C:$C=$B535,'Основной эфир'!$I:$I=$C535)),"""")"),"")</f>
        <v/>
      </c>
      <c r="M535" s="92" t="str">
        <f t="shared" si="1"/>
        <v/>
      </c>
      <c r="N535" s="93">
        <f>IFERROR(__xludf.DUMMYFUNCTION("IFERROR(SWITCH(lower(join("" "",L535:M535)),""а миллионник"", 62.5,""б миллионник"", 75,""а мск"", 50, ""б мск"", 62.5, ""a остальное"", 70, ""б остальное"", 80)/100,0)"),0.0)</f>
        <v>0</v>
      </c>
      <c r="O535" s="91">
        <f t="shared" si="2"/>
        <v>0</v>
      </c>
      <c r="P535" s="91">
        <f>IFERROR(__xludf.DUMMYFUNCTION("IFERROR(sum(filter('Генеральный баннер'!$O:$O, 'Генеральный баннер'!$B:$B=$A535,'Генеральный баннер'!$C:$C=$B535,'Генеральный баннер'!$I:$I=$C535)), 0) "),0.0)</f>
        <v>0</v>
      </c>
      <c r="Q535" s="91">
        <f>IFERROR(__xludf.DUMMYFUNCTION("IFERROR(sum(filter('Генеральный баннер'!$Q:$Q, 'Генеральный баннер'!$B:$B=$A535,'Генеральный баннер'!$C:$C=$B535,'Генеральный баннер'!$I:$I=$C535)), 0) "),0.0)</f>
        <v>0</v>
      </c>
      <c r="R535" s="91">
        <f>IFERROR(__xludf.DUMMYFUNCTION("IFERROR(AVERAGE(filter('Генеральный баннер'!$AA:$AA, 'Генеральный баннер'!$B:$B=$A535,'Генеральный баннер'!$C:$C=$B535,'Генеральный баннер'!$I:$I=$C535)), 0) "),0.0)</f>
        <v>0</v>
      </c>
      <c r="S535" s="91">
        <f>IFERROR(__xludf.DUMMYFUNCTION("IFERROR(SUM(filter('Генеральный баннер'!$AH:$AH, 'Генеральный баннер'!$B:$B=$A535,'Генеральный баннер'!$C:$C=$B535,'Генеральный баннер'!$I:$I=$C535)), 0) "),0.0)</f>
        <v>0</v>
      </c>
      <c r="T535" s="91" t="str">
        <f>IFERROR(__xludf.DUMMYFUNCTION("IFERROR(REGEXREPLACE(unique(filter('Генеральный баннер'!$A:$A, 'Генеральный баннер'!$B:$B=$A535,'Генеральный баннер'!$C:$C=$B535,'Генеральный баннер'!$I:$I=$C535)), ""\d+"", """"),"""")"),"")</f>
        <v/>
      </c>
      <c r="U535" s="91" t="str">
        <f>IFERROR(__xludf.DUMMYFUNCTION("IFERROR(unique(filter('Генеральный баннер'!$F:$F, 'Генеральный баннер'!$B:$B=$A535,'Генеральный баннер'!$C:$C=$B535,'Генеральный баннер'!$I:$I=$C535)),"""")"),"")</f>
        <v/>
      </c>
      <c r="V535" s="92" t="str">
        <f t="shared" si="3"/>
        <v/>
      </c>
      <c r="W535" s="93">
        <f>IFERROR(__xludf.DUMMYFUNCTION("IFERROR(SWITCH(lower(join("" "",U535:V535)),""а миллионник"", 62.5,""б миллионник"", 75,""а мск"", 50, ""б мск"", 62.5, ""a остальное"", 70, ""б остальное"", 80)/100,0)"),0.0)</f>
        <v>0</v>
      </c>
      <c r="X535" s="91">
        <f t="shared" si="4"/>
        <v>0</v>
      </c>
    </row>
    <row r="536">
      <c r="A536" s="12"/>
      <c r="B536" s="12"/>
      <c r="C536" s="12"/>
      <c r="D536" s="91">
        <f>IFERROR(__xludf.DUMMYFUNCTION("IFERROR(sum(filter('Основной эфир'!$AA:$AA, 'Основной эфир'!$B:$B=$A536,'Основной эфир'!$C:$C=$B536,'Основной эфир'!$I:$I=$C536)), 0) "),0.0)</f>
        <v>0</v>
      </c>
      <c r="E536" s="91">
        <f>IFERROR(__xludf.DUMMYFUNCTION("IFERROR(sum(filter('Основной эфир'!$AC:$AC, 'Основной эфир'!$B:$B=$A536,'Основной эфир'!$C:$C=$B536,'Основной эфир'!$I:$I=$C536)), 0) "),0.0)</f>
        <v>0</v>
      </c>
      <c r="F536" s="91">
        <f>IFERROR(__xludf.DUMMYFUNCTION("IFERROR(sum(filter('Основной эфир'!$O:$O, 'Основной эфир'!$B:$B=$A536,'Основной эфир'!$C:$C=$B536,'Основной эфир'!$I:$I=$C536)), 0) "),0.0)</f>
        <v>0</v>
      </c>
      <c r="G536" s="91">
        <f>IFERROR(__xludf.DUMMYFUNCTION("IFERROR(sum(filter('Основной эфир'!$Q:$Q, 'Основной эфир'!$B:$B=$A536,'Основной эфир'!$C:$C=$B536,'Основной эфир'!$I:$I=$C536)), 0) "),0.0)</f>
        <v>0</v>
      </c>
      <c r="H536" s="91">
        <f>IFERROR(__xludf.DUMMYFUNCTION("IFERROR(AVERAGE(filter('Основной эфир'!$Y:$Y, 'Основной эфир'!$B:$B=$A536,'Основной эфир'!$C:$C=$B536,'Основной эфир'!$I:$I=$C536)), 0) "),0.0)</f>
        <v>0</v>
      </c>
      <c r="I536" s="91">
        <f>IFERROR(__xludf.DUMMYFUNCTION("IFERROR(AVERAGE(filter('Основной эфир'!$AE:$AE, 'Основной эфир'!$B:$B=$A536,'Основной эфир'!$C:$C=$B536,'Основной эфир'!$I:$I=$C536)), 0) "),0.0)</f>
        <v>0</v>
      </c>
      <c r="J536" s="91">
        <f>IFERROR(__xludf.DUMMYFUNCTION("IFERROR(SUM(filter('Основной эфир'!$AL:$AL, 'Основной эфир'!$B:$B=$A536,'Основной эфир'!$C:$C=$B536,'Основной эфир'!$I:$I=$C536)), 0) "),0.0)</f>
        <v>0</v>
      </c>
      <c r="K536" s="91" t="str">
        <f>IFERROR(__xludf.DUMMYFUNCTION("IFERROR(REGEXREPLACE(unique(filter('Основной эфир'!$A:$A, 'Основной эфир'!$B:$B=$A536,'Основной эфир'!$C:$C=$B536,'Основной эфир'!$I:$I=$C536)), ""\d+"", """"),"""")"),"")</f>
        <v/>
      </c>
      <c r="L536" s="91" t="str">
        <f>IFERROR(__xludf.DUMMYFUNCTION("IFERROR(unique(filter('Основной эфир'!$F:$F, 'Основной эфир'!$B:$B=$A536,'Основной эфир'!$C:$C=$B536,'Основной эфир'!$I:$I=$C536)),"""")"),"")</f>
        <v/>
      </c>
      <c r="M536" s="92" t="str">
        <f t="shared" si="1"/>
        <v/>
      </c>
      <c r="N536" s="93">
        <f>IFERROR(__xludf.DUMMYFUNCTION("IFERROR(SWITCH(lower(join("" "",L536:M536)),""а миллионник"", 62.5,""б миллионник"", 75,""а мск"", 50, ""б мск"", 62.5, ""a остальное"", 70, ""б остальное"", 80)/100,0)"),0.0)</f>
        <v>0</v>
      </c>
      <c r="O536" s="91">
        <f t="shared" si="2"/>
        <v>0</v>
      </c>
      <c r="P536" s="91">
        <f>IFERROR(__xludf.DUMMYFUNCTION("IFERROR(sum(filter('Генеральный баннер'!$O:$O, 'Генеральный баннер'!$B:$B=$A536,'Генеральный баннер'!$C:$C=$B536,'Генеральный баннер'!$I:$I=$C536)), 0) "),0.0)</f>
        <v>0</v>
      </c>
      <c r="Q536" s="91">
        <f>IFERROR(__xludf.DUMMYFUNCTION("IFERROR(sum(filter('Генеральный баннер'!$Q:$Q, 'Генеральный баннер'!$B:$B=$A536,'Генеральный баннер'!$C:$C=$B536,'Генеральный баннер'!$I:$I=$C536)), 0) "),0.0)</f>
        <v>0</v>
      </c>
      <c r="R536" s="91">
        <f>IFERROR(__xludf.DUMMYFUNCTION("IFERROR(AVERAGE(filter('Генеральный баннер'!$AA:$AA, 'Генеральный баннер'!$B:$B=$A536,'Генеральный баннер'!$C:$C=$B536,'Генеральный баннер'!$I:$I=$C536)), 0) "),0.0)</f>
        <v>0</v>
      </c>
      <c r="S536" s="91">
        <f>IFERROR(__xludf.DUMMYFUNCTION("IFERROR(SUM(filter('Генеральный баннер'!$AH:$AH, 'Генеральный баннер'!$B:$B=$A536,'Генеральный баннер'!$C:$C=$B536,'Генеральный баннер'!$I:$I=$C536)), 0) "),0.0)</f>
        <v>0</v>
      </c>
      <c r="T536" s="91" t="str">
        <f>IFERROR(__xludf.DUMMYFUNCTION("IFERROR(REGEXREPLACE(unique(filter('Генеральный баннер'!$A:$A, 'Генеральный баннер'!$B:$B=$A536,'Генеральный баннер'!$C:$C=$B536,'Генеральный баннер'!$I:$I=$C536)), ""\d+"", """"),"""")"),"")</f>
        <v/>
      </c>
      <c r="U536" s="91" t="str">
        <f>IFERROR(__xludf.DUMMYFUNCTION("IFERROR(unique(filter('Генеральный баннер'!$F:$F, 'Генеральный баннер'!$B:$B=$A536,'Генеральный баннер'!$C:$C=$B536,'Генеральный баннер'!$I:$I=$C536)),"""")"),"")</f>
        <v/>
      </c>
      <c r="V536" s="92" t="str">
        <f t="shared" si="3"/>
        <v/>
      </c>
      <c r="W536" s="93">
        <f>IFERROR(__xludf.DUMMYFUNCTION("IFERROR(SWITCH(lower(join("" "",U536:V536)),""а миллионник"", 62.5,""б миллионник"", 75,""а мск"", 50, ""б мск"", 62.5, ""a остальное"", 70, ""б остальное"", 80)/100,0)"),0.0)</f>
        <v>0</v>
      </c>
      <c r="X536" s="91">
        <f t="shared" si="4"/>
        <v>0</v>
      </c>
    </row>
    <row r="537">
      <c r="A537" s="12"/>
      <c r="B537" s="12"/>
      <c r="C537" s="12"/>
      <c r="D537" s="91">
        <f>IFERROR(__xludf.DUMMYFUNCTION("IFERROR(sum(filter('Основной эфир'!$AA:$AA, 'Основной эфир'!$B:$B=$A537,'Основной эфир'!$C:$C=$B537,'Основной эфир'!$I:$I=$C537)), 0) "),0.0)</f>
        <v>0</v>
      </c>
      <c r="E537" s="91">
        <f>IFERROR(__xludf.DUMMYFUNCTION("IFERROR(sum(filter('Основной эфир'!$AC:$AC, 'Основной эфир'!$B:$B=$A537,'Основной эфир'!$C:$C=$B537,'Основной эфир'!$I:$I=$C537)), 0) "),0.0)</f>
        <v>0</v>
      </c>
      <c r="F537" s="91">
        <f>IFERROR(__xludf.DUMMYFUNCTION("IFERROR(sum(filter('Основной эфир'!$O:$O, 'Основной эфир'!$B:$B=$A537,'Основной эфир'!$C:$C=$B537,'Основной эфир'!$I:$I=$C537)), 0) "),0.0)</f>
        <v>0</v>
      </c>
      <c r="G537" s="91">
        <f>IFERROR(__xludf.DUMMYFUNCTION("IFERROR(sum(filter('Основной эфир'!$Q:$Q, 'Основной эфир'!$B:$B=$A537,'Основной эфир'!$C:$C=$B537,'Основной эфир'!$I:$I=$C537)), 0) "),0.0)</f>
        <v>0</v>
      </c>
      <c r="H537" s="91">
        <f>IFERROR(__xludf.DUMMYFUNCTION("IFERROR(AVERAGE(filter('Основной эфир'!$Y:$Y, 'Основной эфир'!$B:$B=$A537,'Основной эфир'!$C:$C=$B537,'Основной эфир'!$I:$I=$C537)), 0) "),0.0)</f>
        <v>0</v>
      </c>
      <c r="I537" s="91">
        <f>IFERROR(__xludf.DUMMYFUNCTION("IFERROR(AVERAGE(filter('Основной эфир'!$AE:$AE, 'Основной эфир'!$B:$B=$A537,'Основной эфир'!$C:$C=$B537,'Основной эфир'!$I:$I=$C537)), 0) "),0.0)</f>
        <v>0</v>
      </c>
      <c r="J537" s="91">
        <f>IFERROR(__xludf.DUMMYFUNCTION("IFERROR(SUM(filter('Основной эфир'!$AL:$AL, 'Основной эфир'!$B:$B=$A537,'Основной эфир'!$C:$C=$B537,'Основной эфир'!$I:$I=$C537)), 0) "),0.0)</f>
        <v>0</v>
      </c>
      <c r="K537" s="91" t="str">
        <f>IFERROR(__xludf.DUMMYFUNCTION("IFERROR(REGEXREPLACE(unique(filter('Основной эфир'!$A:$A, 'Основной эфир'!$B:$B=$A537,'Основной эфир'!$C:$C=$B537,'Основной эфир'!$I:$I=$C537)), ""\d+"", """"),"""")"),"")</f>
        <v/>
      </c>
      <c r="L537" s="91" t="str">
        <f>IFERROR(__xludf.DUMMYFUNCTION("IFERROR(unique(filter('Основной эфир'!$F:$F, 'Основной эфир'!$B:$B=$A537,'Основной эфир'!$C:$C=$B537,'Основной эфир'!$I:$I=$C537)),"""")"),"")</f>
        <v/>
      </c>
      <c r="M537" s="92" t="str">
        <f t="shared" si="1"/>
        <v/>
      </c>
      <c r="N537" s="93">
        <f>IFERROR(__xludf.DUMMYFUNCTION("IFERROR(SWITCH(lower(join("" "",L537:M537)),""а миллионник"", 62.5,""б миллионник"", 75,""а мск"", 50, ""б мск"", 62.5, ""a остальное"", 70, ""б остальное"", 80)/100,0)"),0.0)</f>
        <v>0</v>
      </c>
      <c r="O537" s="91">
        <f t="shared" si="2"/>
        <v>0</v>
      </c>
      <c r="P537" s="91">
        <f>IFERROR(__xludf.DUMMYFUNCTION("IFERROR(sum(filter('Генеральный баннер'!$O:$O, 'Генеральный баннер'!$B:$B=$A537,'Генеральный баннер'!$C:$C=$B537,'Генеральный баннер'!$I:$I=$C537)), 0) "),0.0)</f>
        <v>0</v>
      </c>
      <c r="Q537" s="91">
        <f>IFERROR(__xludf.DUMMYFUNCTION("IFERROR(sum(filter('Генеральный баннер'!$Q:$Q, 'Генеральный баннер'!$B:$B=$A537,'Генеральный баннер'!$C:$C=$B537,'Генеральный баннер'!$I:$I=$C537)), 0) "),0.0)</f>
        <v>0</v>
      </c>
      <c r="R537" s="91">
        <f>IFERROR(__xludf.DUMMYFUNCTION("IFERROR(AVERAGE(filter('Генеральный баннер'!$AA:$AA, 'Генеральный баннер'!$B:$B=$A537,'Генеральный баннер'!$C:$C=$B537,'Генеральный баннер'!$I:$I=$C537)), 0) "),0.0)</f>
        <v>0</v>
      </c>
      <c r="S537" s="91">
        <f>IFERROR(__xludf.DUMMYFUNCTION("IFERROR(SUM(filter('Генеральный баннер'!$AH:$AH, 'Генеральный баннер'!$B:$B=$A537,'Генеральный баннер'!$C:$C=$B537,'Генеральный баннер'!$I:$I=$C537)), 0) "),0.0)</f>
        <v>0</v>
      </c>
      <c r="T537" s="91" t="str">
        <f>IFERROR(__xludf.DUMMYFUNCTION("IFERROR(REGEXREPLACE(unique(filter('Генеральный баннер'!$A:$A, 'Генеральный баннер'!$B:$B=$A537,'Генеральный баннер'!$C:$C=$B537,'Генеральный баннер'!$I:$I=$C537)), ""\d+"", """"),"""")"),"")</f>
        <v/>
      </c>
      <c r="U537" s="91" t="str">
        <f>IFERROR(__xludf.DUMMYFUNCTION("IFERROR(unique(filter('Генеральный баннер'!$F:$F, 'Генеральный баннер'!$B:$B=$A537,'Генеральный баннер'!$C:$C=$B537,'Генеральный баннер'!$I:$I=$C537)),"""")"),"")</f>
        <v/>
      </c>
      <c r="V537" s="92" t="str">
        <f t="shared" si="3"/>
        <v/>
      </c>
      <c r="W537" s="93">
        <f>IFERROR(__xludf.DUMMYFUNCTION("IFERROR(SWITCH(lower(join("" "",U537:V537)),""а миллионник"", 62.5,""б миллионник"", 75,""а мск"", 50, ""б мск"", 62.5, ""a остальное"", 70, ""б остальное"", 80)/100,0)"),0.0)</f>
        <v>0</v>
      </c>
      <c r="X537" s="91">
        <f t="shared" si="4"/>
        <v>0</v>
      </c>
    </row>
    <row r="538">
      <c r="A538" s="12"/>
      <c r="B538" s="12"/>
      <c r="C538" s="12"/>
      <c r="D538" s="91">
        <f>IFERROR(__xludf.DUMMYFUNCTION("IFERROR(sum(filter('Основной эфир'!$AA:$AA, 'Основной эфир'!$B:$B=$A538,'Основной эфир'!$C:$C=$B538,'Основной эфир'!$I:$I=$C538)), 0) "),0.0)</f>
        <v>0</v>
      </c>
      <c r="E538" s="91">
        <f>IFERROR(__xludf.DUMMYFUNCTION("IFERROR(sum(filter('Основной эфир'!$AC:$AC, 'Основной эфир'!$B:$B=$A538,'Основной эфир'!$C:$C=$B538,'Основной эфир'!$I:$I=$C538)), 0) "),0.0)</f>
        <v>0</v>
      </c>
      <c r="F538" s="91">
        <f>IFERROR(__xludf.DUMMYFUNCTION("IFERROR(sum(filter('Основной эфир'!$O:$O, 'Основной эфир'!$B:$B=$A538,'Основной эфир'!$C:$C=$B538,'Основной эфир'!$I:$I=$C538)), 0) "),0.0)</f>
        <v>0</v>
      </c>
      <c r="G538" s="91">
        <f>IFERROR(__xludf.DUMMYFUNCTION("IFERROR(sum(filter('Основной эфир'!$Q:$Q, 'Основной эфир'!$B:$B=$A538,'Основной эфир'!$C:$C=$B538,'Основной эфир'!$I:$I=$C538)), 0) "),0.0)</f>
        <v>0</v>
      </c>
      <c r="H538" s="91">
        <f>IFERROR(__xludf.DUMMYFUNCTION("IFERROR(AVERAGE(filter('Основной эфир'!$Y:$Y, 'Основной эфир'!$B:$B=$A538,'Основной эфир'!$C:$C=$B538,'Основной эфир'!$I:$I=$C538)), 0) "),0.0)</f>
        <v>0</v>
      </c>
      <c r="I538" s="91">
        <f>IFERROR(__xludf.DUMMYFUNCTION("IFERROR(AVERAGE(filter('Основной эфир'!$AE:$AE, 'Основной эфир'!$B:$B=$A538,'Основной эфир'!$C:$C=$B538,'Основной эфир'!$I:$I=$C538)), 0) "),0.0)</f>
        <v>0</v>
      </c>
      <c r="J538" s="91">
        <f>IFERROR(__xludf.DUMMYFUNCTION("IFERROR(SUM(filter('Основной эфир'!$AL:$AL, 'Основной эфир'!$B:$B=$A538,'Основной эфир'!$C:$C=$B538,'Основной эфир'!$I:$I=$C538)), 0) "),0.0)</f>
        <v>0</v>
      </c>
      <c r="K538" s="91" t="str">
        <f>IFERROR(__xludf.DUMMYFUNCTION("IFERROR(REGEXREPLACE(unique(filter('Основной эфир'!$A:$A, 'Основной эфир'!$B:$B=$A538,'Основной эфир'!$C:$C=$B538,'Основной эфир'!$I:$I=$C538)), ""\d+"", """"),"""")"),"")</f>
        <v/>
      </c>
      <c r="L538" s="91" t="str">
        <f>IFERROR(__xludf.DUMMYFUNCTION("IFERROR(unique(filter('Основной эфир'!$F:$F, 'Основной эфир'!$B:$B=$A538,'Основной эфир'!$C:$C=$B538,'Основной эфир'!$I:$I=$C538)),"""")"),"")</f>
        <v/>
      </c>
      <c r="M538" s="92" t="str">
        <f t="shared" si="1"/>
        <v/>
      </c>
      <c r="N538" s="93">
        <f>IFERROR(__xludf.DUMMYFUNCTION("IFERROR(SWITCH(lower(join("" "",L538:M538)),""а миллионник"", 62.5,""б миллионник"", 75,""а мск"", 50, ""б мск"", 62.5, ""a остальное"", 70, ""б остальное"", 80)/100,0)"),0.0)</f>
        <v>0</v>
      </c>
      <c r="O538" s="91">
        <f t="shared" si="2"/>
        <v>0</v>
      </c>
      <c r="P538" s="91">
        <f>IFERROR(__xludf.DUMMYFUNCTION("IFERROR(sum(filter('Генеральный баннер'!$O:$O, 'Генеральный баннер'!$B:$B=$A538,'Генеральный баннер'!$C:$C=$B538,'Генеральный баннер'!$I:$I=$C538)), 0) "),0.0)</f>
        <v>0</v>
      </c>
      <c r="Q538" s="91">
        <f>IFERROR(__xludf.DUMMYFUNCTION("IFERROR(sum(filter('Генеральный баннер'!$Q:$Q, 'Генеральный баннер'!$B:$B=$A538,'Генеральный баннер'!$C:$C=$B538,'Генеральный баннер'!$I:$I=$C538)), 0) "),0.0)</f>
        <v>0</v>
      </c>
      <c r="R538" s="91">
        <f>IFERROR(__xludf.DUMMYFUNCTION("IFERROR(AVERAGE(filter('Генеральный баннер'!$AA:$AA, 'Генеральный баннер'!$B:$B=$A538,'Генеральный баннер'!$C:$C=$B538,'Генеральный баннер'!$I:$I=$C538)), 0) "),0.0)</f>
        <v>0</v>
      </c>
      <c r="S538" s="91">
        <f>IFERROR(__xludf.DUMMYFUNCTION("IFERROR(SUM(filter('Генеральный баннер'!$AH:$AH, 'Генеральный баннер'!$B:$B=$A538,'Генеральный баннер'!$C:$C=$B538,'Генеральный баннер'!$I:$I=$C538)), 0) "),0.0)</f>
        <v>0</v>
      </c>
      <c r="T538" s="91" t="str">
        <f>IFERROR(__xludf.DUMMYFUNCTION("IFERROR(REGEXREPLACE(unique(filter('Генеральный баннер'!$A:$A, 'Генеральный баннер'!$B:$B=$A538,'Генеральный баннер'!$C:$C=$B538,'Генеральный баннер'!$I:$I=$C538)), ""\d+"", """"),"""")"),"")</f>
        <v/>
      </c>
      <c r="U538" s="91" t="str">
        <f>IFERROR(__xludf.DUMMYFUNCTION("IFERROR(unique(filter('Генеральный баннер'!$F:$F, 'Генеральный баннер'!$B:$B=$A538,'Генеральный баннер'!$C:$C=$B538,'Генеральный баннер'!$I:$I=$C538)),"""")"),"")</f>
        <v/>
      </c>
      <c r="V538" s="92" t="str">
        <f t="shared" si="3"/>
        <v/>
      </c>
      <c r="W538" s="93">
        <f>IFERROR(__xludf.DUMMYFUNCTION("IFERROR(SWITCH(lower(join("" "",U538:V538)),""а миллионник"", 62.5,""б миллионник"", 75,""а мск"", 50, ""б мск"", 62.5, ""a остальное"", 70, ""б остальное"", 80)/100,0)"),0.0)</f>
        <v>0</v>
      </c>
      <c r="X538" s="91">
        <f t="shared" si="4"/>
        <v>0</v>
      </c>
    </row>
    <row r="539">
      <c r="A539" s="12"/>
      <c r="B539" s="12"/>
      <c r="C539" s="12"/>
      <c r="D539" s="91">
        <f>IFERROR(__xludf.DUMMYFUNCTION("IFERROR(sum(filter('Основной эфир'!$AA:$AA, 'Основной эфир'!$B:$B=$A539,'Основной эфир'!$C:$C=$B539,'Основной эфир'!$I:$I=$C539)), 0) "),0.0)</f>
        <v>0</v>
      </c>
      <c r="E539" s="91">
        <f>IFERROR(__xludf.DUMMYFUNCTION("IFERROR(sum(filter('Основной эфир'!$AC:$AC, 'Основной эфир'!$B:$B=$A539,'Основной эфир'!$C:$C=$B539,'Основной эфир'!$I:$I=$C539)), 0) "),0.0)</f>
        <v>0</v>
      </c>
      <c r="F539" s="91">
        <f>IFERROR(__xludf.DUMMYFUNCTION("IFERROR(sum(filter('Основной эфир'!$O:$O, 'Основной эфир'!$B:$B=$A539,'Основной эфир'!$C:$C=$B539,'Основной эфир'!$I:$I=$C539)), 0) "),0.0)</f>
        <v>0</v>
      </c>
      <c r="G539" s="91">
        <f>IFERROR(__xludf.DUMMYFUNCTION("IFERROR(sum(filter('Основной эфир'!$Q:$Q, 'Основной эфир'!$B:$B=$A539,'Основной эфир'!$C:$C=$B539,'Основной эфир'!$I:$I=$C539)), 0) "),0.0)</f>
        <v>0</v>
      </c>
      <c r="H539" s="91">
        <f>IFERROR(__xludf.DUMMYFUNCTION("IFERROR(AVERAGE(filter('Основной эфир'!$Y:$Y, 'Основной эфир'!$B:$B=$A539,'Основной эфир'!$C:$C=$B539,'Основной эфир'!$I:$I=$C539)), 0) "),0.0)</f>
        <v>0</v>
      </c>
      <c r="I539" s="91">
        <f>IFERROR(__xludf.DUMMYFUNCTION("IFERROR(AVERAGE(filter('Основной эфир'!$AE:$AE, 'Основной эфир'!$B:$B=$A539,'Основной эфир'!$C:$C=$B539,'Основной эфир'!$I:$I=$C539)), 0) "),0.0)</f>
        <v>0</v>
      </c>
      <c r="J539" s="91">
        <f>IFERROR(__xludf.DUMMYFUNCTION("IFERROR(SUM(filter('Основной эфир'!$AL:$AL, 'Основной эфир'!$B:$B=$A539,'Основной эфир'!$C:$C=$B539,'Основной эфир'!$I:$I=$C539)), 0) "),0.0)</f>
        <v>0</v>
      </c>
      <c r="K539" s="91" t="str">
        <f>IFERROR(__xludf.DUMMYFUNCTION("IFERROR(REGEXREPLACE(unique(filter('Основной эфир'!$A:$A, 'Основной эфир'!$B:$B=$A539,'Основной эфир'!$C:$C=$B539,'Основной эфир'!$I:$I=$C539)), ""\d+"", """"),"""")"),"")</f>
        <v/>
      </c>
      <c r="L539" s="91" t="str">
        <f>IFERROR(__xludf.DUMMYFUNCTION("IFERROR(unique(filter('Основной эфир'!$F:$F, 'Основной эфир'!$B:$B=$A539,'Основной эфир'!$C:$C=$B539,'Основной эфир'!$I:$I=$C539)),"""")"),"")</f>
        <v/>
      </c>
      <c r="M539" s="92" t="str">
        <f t="shared" si="1"/>
        <v/>
      </c>
      <c r="N539" s="93">
        <f>IFERROR(__xludf.DUMMYFUNCTION("IFERROR(SWITCH(lower(join("" "",L539:M539)),""а миллионник"", 62.5,""б миллионник"", 75,""а мск"", 50, ""б мск"", 62.5, ""a остальное"", 70, ""б остальное"", 80)/100,0)"),0.0)</f>
        <v>0</v>
      </c>
      <c r="O539" s="91">
        <f t="shared" si="2"/>
        <v>0</v>
      </c>
      <c r="P539" s="91">
        <f>IFERROR(__xludf.DUMMYFUNCTION("IFERROR(sum(filter('Генеральный баннер'!$O:$O, 'Генеральный баннер'!$B:$B=$A539,'Генеральный баннер'!$C:$C=$B539,'Генеральный баннер'!$I:$I=$C539)), 0) "),0.0)</f>
        <v>0</v>
      </c>
      <c r="Q539" s="91">
        <f>IFERROR(__xludf.DUMMYFUNCTION("IFERROR(sum(filter('Генеральный баннер'!$Q:$Q, 'Генеральный баннер'!$B:$B=$A539,'Генеральный баннер'!$C:$C=$B539,'Генеральный баннер'!$I:$I=$C539)), 0) "),0.0)</f>
        <v>0</v>
      </c>
      <c r="R539" s="91">
        <f>IFERROR(__xludf.DUMMYFUNCTION("IFERROR(AVERAGE(filter('Генеральный баннер'!$AA:$AA, 'Генеральный баннер'!$B:$B=$A539,'Генеральный баннер'!$C:$C=$B539,'Генеральный баннер'!$I:$I=$C539)), 0) "),0.0)</f>
        <v>0</v>
      </c>
      <c r="S539" s="91">
        <f>IFERROR(__xludf.DUMMYFUNCTION("IFERROR(SUM(filter('Генеральный баннер'!$AH:$AH, 'Генеральный баннер'!$B:$B=$A539,'Генеральный баннер'!$C:$C=$B539,'Генеральный баннер'!$I:$I=$C539)), 0) "),0.0)</f>
        <v>0</v>
      </c>
      <c r="T539" s="91" t="str">
        <f>IFERROR(__xludf.DUMMYFUNCTION("IFERROR(REGEXREPLACE(unique(filter('Генеральный баннер'!$A:$A, 'Генеральный баннер'!$B:$B=$A539,'Генеральный баннер'!$C:$C=$B539,'Генеральный баннер'!$I:$I=$C539)), ""\d+"", """"),"""")"),"")</f>
        <v/>
      </c>
      <c r="U539" s="91" t="str">
        <f>IFERROR(__xludf.DUMMYFUNCTION("IFERROR(unique(filter('Генеральный баннер'!$F:$F, 'Генеральный баннер'!$B:$B=$A539,'Генеральный баннер'!$C:$C=$B539,'Генеральный баннер'!$I:$I=$C539)),"""")"),"")</f>
        <v/>
      </c>
      <c r="V539" s="92" t="str">
        <f t="shared" si="3"/>
        <v/>
      </c>
      <c r="W539" s="93">
        <f>IFERROR(__xludf.DUMMYFUNCTION("IFERROR(SWITCH(lower(join("" "",U539:V539)),""а миллионник"", 62.5,""б миллионник"", 75,""а мск"", 50, ""б мск"", 62.5, ""a остальное"", 70, ""б остальное"", 80)/100,0)"),0.0)</f>
        <v>0</v>
      </c>
      <c r="X539" s="91">
        <f t="shared" si="4"/>
        <v>0</v>
      </c>
    </row>
    <row r="540">
      <c r="A540" s="12"/>
      <c r="B540" s="12"/>
      <c r="C540" s="12"/>
      <c r="D540" s="91">
        <f>IFERROR(__xludf.DUMMYFUNCTION("IFERROR(sum(filter('Основной эфир'!$AA:$AA, 'Основной эфир'!$B:$B=$A540,'Основной эфир'!$C:$C=$B540,'Основной эфир'!$I:$I=$C540)), 0) "),0.0)</f>
        <v>0</v>
      </c>
      <c r="E540" s="91">
        <f>IFERROR(__xludf.DUMMYFUNCTION("IFERROR(sum(filter('Основной эфир'!$AC:$AC, 'Основной эфир'!$B:$B=$A540,'Основной эфир'!$C:$C=$B540,'Основной эфир'!$I:$I=$C540)), 0) "),0.0)</f>
        <v>0</v>
      </c>
      <c r="F540" s="91">
        <f>IFERROR(__xludf.DUMMYFUNCTION("IFERROR(sum(filter('Основной эфир'!$O:$O, 'Основной эфир'!$B:$B=$A540,'Основной эфир'!$C:$C=$B540,'Основной эфир'!$I:$I=$C540)), 0) "),0.0)</f>
        <v>0</v>
      </c>
      <c r="G540" s="91">
        <f>IFERROR(__xludf.DUMMYFUNCTION("IFERROR(sum(filter('Основной эфир'!$Q:$Q, 'Основной эфир'!$B:$B=$A540,'Основной эфир'!$C:$C=$B540,'Основной эфир'!$I:$I=$C540)), 0) "),0.0)</f>
        <v>0</v>
      </c>
      <c r="H540" s="91">
        <f>IFERROR(__xludf.DUMMYFUNCTION("IFERROR(AVERAGE(filter('Основной эфир'!$Y:$Y, 'Основной эфир'!$B:$B=$A540,'Основной эфир'!$C:$C=$B540,'Основной эфир'!$I:$I=$C540)), 0) "),0.0)</f>
        <v>0</v>
      </c>
      <c r="I540" s="91">
        <f>IFERROR(__xludf.DUMMYFUNCTION("IFERROR(AVERAGE(filter('Основной эфир'!$AE:$AE, 'Основной эфир'!$B:$B=$A540,'Основной эфир'!$C:$C=$B540,'Основной эфир'!$I:$I=$C540)), 0) "),0.0)</f>
        <v>0</v>
      </c>
      <c r="J540" s="91">
        <f>IFERROR(__xludf.DUMMYFUNCTION("IFERROR(SUM(filter('Основной эфир'!$AL:$AL, 'Основной эфир'!$B:$B=$A540,'Основной эфир'!$C:$C=$B540,'Основной эфир'!$I:$I=$C540)), 0) "),0.0)</f>
        <v>0</v>
      </c>
      <c r="K540" s="91" t="str">
        <f>IFERROR(__xludf.DUMMYFUNCTION("IFERROR(REGEXREPLACE(unique(filter('Основной эфир'!$A:$A, 'Основной эфир'!$B:$B=$A540,'Основной эфир'!$C:$C=$B540,'Основной эфир'!$I:$I=$C540)), ""\d+"", """"),"""")"),"")</f>
        <v/>
      </c>
      <c r="L540" s="91" t="str">
        <f>IFERROR(__xludf.DUMMYFUNCTION("IFERROR(unique(filter('Основной эфир'!$F:$F, 'Основной эфир'!$B:$B=$A540,'Основной эфир'!$C:$C=$B540,'Основной эфир'!$I:$I=$C540)),"""")"),"")</f>
        <v/>
      </c>
      <c r="M540" s="92" t="str">
        <f t="shared" si="1"/>
        <v/>
      </c>
      <c r="N540" s="93">
        <f>IFERROR(__xludf.DUMMYFUNCTION("IFERROR(SWITCH(lower(join("" "",L540:M540)),""а миллионник"", 62.5,""б миллионник"", 75,""а мск"", 50, ""б мск"", 62.5, ""a остальное"", 70, ""б остальное"", 80)/100,0)"),0.0)</f>
        <v>0</v>
      </c>
      <c r="O540" s="91">
        <f t="shared" si="2"/>
        <v>0</v>
      </c>
      <c r="P540" s="91">
        <f>IFERROR(__xludf.DUMMYFUNCTION("IFERROR(sum(filter('Генеральный баннер'!$O:$O, 'Генеральный баннер'!$B:$B=$A540,'Генеральный баннер'!$C:$C=$B540,'Генеральный баннер'!$I:$I=$C540)), 0) "),0.0)</f>
        <v>0</v>
      </c>
      <c r="Q540" s="91">
        <f>IFERROR(__xludf.DUMMYFUNCTION("IFERROR(sum(filter('Генеральный баннер'!$Q:$Q, 'Генеральный баннер'!$B:$B=$A540,'Генеральный баннер'!$C:$C=$B540,'Генеральный баннер'!$I:$I=$C540)), 0) "),0.0)</f>
        <v>0</v>
      </c>
      <c r="R540" s="91">
        <f>IFERROR(__xludf.DUMMYFUNCTION("IFERROR(AVERAGE(filter('Генеральный баннер'!$AA:$AA, 'Генеральный баннер'!$B:$B=$A540,'Генеральный баннер'!$C:$C=$B540,'Генеральный баннер'!$I:$I=$C540)), 0) "),0.0)</f>
        <v>0</v>
      </c>
      <c r="S540" s="91">
        <f>IFERROR(__xludf.DUMMYFUNCTION("IFERROR(SUM(filter('Генеральный баннер'!$AH:$AH, 'Генеральный баннер'!$B:$B=$A540,'Генеральный баннер'!$C:$C=$B540,'Генеральный баннер'!$I:$I=$C540)), 0) "),0.0)</f>
        <v>0</v>
      </c>
      <c r="T540" s="91" t="str">
        <f>IFERROR(__xludf.DUMMYFUNCTION("IFERROR(REGEXREPLACE(unique(filter('Генеральный баннер'!$A:$A, 'Генеральный баннер'!$B:$B=$A540,'Генеральный баннер'!$C:$C=$B540,'Генеральный баннер'!$I:$I=$C540)), ""\d+"", """"),"""")"),"")</f>
        <v/>
      </c>
      <c r="U540" s="91" t="str">
        <f>IFERROR(__xludf.DUMMYFUNCTION("IFERROR(unique(filter('Генеральный баннер'!$F:$F, 'Генеральный баннер'!$B:$B=$A540,'Генеральный баннер'!$C:$C=$B540,'Генеральный баннер'!$I:$I=$C540)),"""")"),"")</f>
        <v/>
      </c>
      <c r="V540" s="92" t="str">
        <f t="shared" si="3"/>
        <v/>
      </c>
      <c r="W540" s="93">
        <f>IFERROR(__xludf.DUMMYFUNCTION("IFERROR(SWITCH(lower(join("" "",U540:V540)),""а миллионник"", 62.5,""б миллионник"", 75,""а мск"", 50, ""б мск"", 62.5, ""a остальное"", 70, ""б остальное"", 80)/100,0)"),0.0)</f>
        <v>0</v>
      </c>
      <c r="X540" s="91">
        <f t="shared" si="4"/>
        <v>0</v>
      </c>
    </row>
    <row r="541">
      <c r="A541" s="12"/>
      <c r="B541" s="12"/>
      <c r="C541" s="12"/>
      <c r="D541" s="91">
        <f>IFERROR(__xludf.DUMMYFUNCTION("IFERROR(sum(filter('Основной эфир'!$AA:$AA, 'Основной эфир'!$B:$B=$A541,'Основной эфир'!$C:$C=$B541,'Основной эфир'!$I:$I=$C541)), 0) "),0.0)</f>
        <v>0</v>
      </c>
      <c r="E541" s="91">
        <f>IFERROR(__xludf.DUMMYFUNCTION("IFERROR(sum(filter('Основной эфир'!$AC:$AC, 'Основной эфир'!$B:$B=$A541,'Основной эфир'!$C:$C=$B541,'Основной эфир'!$I:$I=$C541)), 0) "),0.0)</f>
        <v>0</v>
      </c>
      <c r="F541" s="91">
        <f>IFERROR(__xludf.DUMMYFUNCTION("IFERROR(sum(filter('Основной эфир'!$O:$O, 'Основной эфир'!$B:$B=$A541,'Основной эфир'!$C:$C=$B541,'Основной эфир'!$I:$I=$C541)), 0) "),0.0)</f>
        <v>0</v>
      </c>
      <c r="G541" s="91">
        <f>IFERROR(__xludf.DUMMYFUNCTION("IFERROR(sum(filter('Основной эфир'!$Q:$Q, 'Основной эфир'!$B:$B=$A541,'Основной эфир'!$C:$C=$B541,'Основной эфир'!$I:$I=$C541)), 0) "),0.0)</f>
        <v>0</v>
      </c>
      <c r="H541" s="91">
        <f>IFERROR(__xludf.DUMMYFUNCTION("IFERROR(AVERAGE(filter('Основной эфир'!$Y:$Y, 'Основной эфир'!$B:$B=$A541,'Основной эфир'!$C:$C=$B541,'Основной эфир'!$I:$I=$C541)), 0) "),0.0)</f>
        <v>0</v>
      </c>
      <c r="I541" s="91">
        <f>IFERROR(__xludf.DUMMYFUNCTION("IFERROR(AVERAGE(filter('Основной эфир'!$AE:$AE, 'Основной эфир'!$B:$B=$A541,'Основной эфир'!$C:$C=$B541,'Основной эфир'!$I:$I=$C541)), 0) "),0.0)</f>
        <v>0</v>
      </c>
      <c r="J541" s="91">
        <f>IFERROR(__xludf.DUMMYFUNCTION("IFERROR(SUM(filter('Основной эфир'!$AL:$AL, 'Основной эфир'!$B:$B=$A541,'Основной эфир'!$C:$C=$B541,'Основной эфир'!$I:$I=$C541)), 0) "),0.0)</f>
        <v>0</v>
      </c>
      <c r="K541" s="91" t="str">
        <f>IFERROR(__xludf.DUMMYFUNCTION("IFERROR(REGEXREPLACE(unique(filter('Основной эфир'!$A:$A, 'Основной эфир'!$B:$B=$A541,'Основной эфир'!$C:$C=$B541,'Основной эфир'!$I:$I=$C541)), ""\d+"", """"),"""")"),"")</f>
        <v/>
      </c>
      <c r="L541" s="91" t="str">
        <f>IFERROR(__xludf.DUMMYFUNCTION("IFERROR(unique(filter('Основной эфир'!$F:$F, 'Основной эфир'!$B:$B=$A541,'Основной эфир'!$C:$C=$B541,'Основной эфир'!$I:$I=$C541)),"""")"),"")</f>
        <v/>
      </c>
      <c r="M541" s="92" t="str">
        <f t="shared" si="1"/>
        <v/>
      </c>
      <c r="N541" s="93">
        <f>IFERROR(__xludf.DUMMYFUNCTION("IFERROR(SWITCH(lower(join("" "",L541:M541)),""а миллионник"", 62.5,""б миллионник"", 75,""а мск"", 50, ""б мск"", 62.5, ""a остальное"", 70, ""б остальное"", 80)/100,0)"),0.0)</f>
        <v>0</v>
      </c>
      <c r="O541" s="91">
        <f t="shared" si="2"/>
        <v>0</v>
      </c>
      <c r="P541" s="91">
        <f>IFERROR(__xludf.DUMMYFUNCTION("IFERROR(sum(filter('Генеральный баннер'!$O:$O, 'Генеральный баннер'!$B:$B=$A541,'Генеральный баннер'!$C:$C=$B541,'Генеральный баннер'!$I:$I=$C541)), 0) "),0.0)</f>
        <v>0</v>
      </c>
      <c r="Q541" s="91">
        <f>IFERROR(__xludf.DUMMYFUNCTION("IFERROR(sum(filter('Генеральный баннер'!$Q:$Q, 'Генеральный баннер'!$B:$B=$A541,'Генеральный баннер'!$C:$C=$B541,'Генеральный баннер'!$I:$I=$C541)), 0) "),0.0)</f>
        <v>0</v>
      </c>
      <c r="R541" s="91">
        <f>IFERROR(__xludf.DUMMYFUNCTION("IFERROR(AVERAGE(filter('Генеральный баннер'!$AA:$AA, 'Генеральный баннер'!$B:$B=$A541,'Генеральный баннер'!$C:$C=$B541,'Генеральный баннер'!$I:$I=$C541)), 0) "),0.0)</f>
        <v>0</v>
      </c>
      <c r="S541" s="91">
        <f>IFERROR(__xludf.DUMMYFUNCTION("IFERROR(SUM(filter('Генеральный баннер'!$AH:$AH, 'Генеральный баннер'!$B:$B=$A541,'Генеральный баннер'!$C:$C=$B541,'Генеральный баннер'!$I:$I=$C541)), 0) "),0.0)</f>
        <v>0</v>
      </c>
      <c r="T541" s="91" t="str">
        <f>IFERROR(__xludf.DUMMYFUNCTION("IFERROR(REGEXREPLACE(unique(filter('Генеральный баннер'!$A:$A, 'Генеральный баннер'!$B:$B=$A541,'Генеральный баннер'!$C:$C=$B541,'Генеральный баннер'!$I:$I=$C541)), ""\d+"", """"),"""")"),"")</f>
        <v/>
      </c>
      <c r="U541" s="91" t="str">
        <f>IFERROR(__xludf.DUMMYFUNCTION("IFERROR(unique(filter('Генеральный баннер'!$F:$F, 'Генеральный баннер'!$B:$B=$A541,'Генеральный баннер'!$C:$C=$B541,'Генеральный баннер'!$I:$I=$C541)),"""")"),"")</f>
        <v/>
      </c>
      <c r="V541" s="92" t="str">
        <f t="shared" si="3"/>
        <v/>
      </c>
      <c r="W541" s="93">
        <f>IFERROR(__xludf.DUMMYFUNCTION("IFERROR(SWITCH(lower(join("" "",U541:V541)),""а миллионник"", 62.5,""б миллионник"", 75,""а мск"", 50, ""б мск"", 62.5, ""a остальное"", 70, ""б остальное"", 80)/100,0)"),0.0)</f>
        <v>0</v>
      </c>
      <c r="X541" s="91">
        <f t="shared" si="4"/>
        <v>0</v>
      </c>
    </row>
    <row r="542">
      <c r="A542" s="12"/>
      <c r="B542" s="12"/>
      <c r="C542" s="12"/>
      <c r="D542" s="91">
        <f>IFERROR(__xludf.DUMMYFUNCTION("IFERROR(sum(filter('Основной эфир'!$AA:$AA, 'Основной эфир'!$B:$B=$A542,'Основной эфир'!$C:$C=$B542,'Основной эфир'!$I:$I=$C542)), 0) "),0.0)</f>
        <v>0</v>
      </c>
      <c r="E542" s="91">
        <f>IFERROR(__xludf.DUMMYFUNCTION("IFERROR(sum(filter('Основной эфир'!$AC:$AC, 'Основной эфир'!$B:$B=$A542,'Основной эфир'!$C:$C=$B542,'Основной эфир'!$I:$I=$C542)), 0) "),0.0)</f>
        <v>0</v>
      </c>
      <c r="F542" s="91">
        <f>IFERROR(__xludf.DUMMYFUNCTION("IFERROR(sum(filter('Основной эфир'!$O:$O, 'Основной эфир'!$B:$B=$A542,'Основной эфир'!$C:$C=$B542,'Основной эфир'!$I:$I=$C542)), 0) "),0.0)</f>
        <v>0</v>
      </c>
      <c r="G542" s="91">
        <f>IFERROR(__xludf.DUMMYFUNCTION("IFERROR(sum(filter('Основной эфир'!$Q:$Q, 'Основной эфир'!$B:$B=$A542,'Основной эфир'!$C:$C=$B542,'Основной эфир'!$I:$I=$C542)), 0) "),0.0)</f>
        <v>0</v>
      </c>
      <c r="H542" s="91">
        <f>IFERROR(__xludf.DUMMYFUNCTION("IFERROR(AVERAGE(filter('Основной эфир'!$Y:$Y, 'Основной эфир'!$B:$B=$A542,'Основной эфир'!$C:$C=$B542,'Основной эфир'!$I:$I=$C542)), 0) "),0.0)</f>
        <v>0</v>
      </c>
      <c r="I542" s="91">
        <f>IFERROR(__xludf.DUMMYFUNCTION("IFERROR(AVERAGE(filter('Основной эфир'!$AE:$AE, 'Основной эфир'!$B:$B=$A542,'Основной эфир'!$C:$C=$B542,'Основной эфир'!$I:$I=$C542)), 0) "),0.0)</f>
        <v>0</v>
      </c>
      <c r="J542" s="91">
        <f>IFERROR(__xludf.DUMMYFUNCTION("IFERROR(SUM(filter('Основной эфир'!$AL:$AL, 'Основной эфир'!$B:$B=$A542,'Основной эфир'!$C:$C=$B542,'Основной эфир'!$I:$I=$C542)), 0) "),0.0)</f>
        <v>0</v>
      </c>
      <c r="K542" s="91" t="str">
        <f>IFERROR(__xludf.DUMMYFUNCTION("IFERROR(REGEXREPLACE(unique(filter('Основной эфир'!$A:$A, 'Основной эфир'!$B:$B=$A542,'Основной эфир'!$C:$C=$B542,'Основной эфир'!$I:$I=$C542)), ""\d+"", """"),"""")"),"")</f>
        <v/>
      </c>
      <c r="L542" s="91" t="str">
        <f>IFERROR(__xludf.DUMMYFUNCTION("IFERROR(unique(filter('Основной эфир'!$F:$F, 'Основной эфир'!$B:$B=$A542,'Основной эфир'!$C:$C=$B542,'Основной эфир'!$I:$I=$C542)),"""")"),"")</f>
        <v/>
      </c>
      <c r="M542" s="92" t="str">
        <f t="shared" si="1"/>
        <v/>
      </c>
      <c r="N542" s="93">
        <f>IFERROR(__xludf.DUMMYFUNCTION("IFERROR(SWITCH(lower(join("" "",L542:M542)),""а миллионник"", 62.5,""б миллионник"", 75,""а мск"", 50, ""б мск"", 62.5, ""a остальное"", 70, ""б остальное"", 80)/100,0)"),0.0)</f>
        <v>0</v>
      </c>
      <c r="O542" s="91">
        <f t="shared" si="2"/>
        <v>0</v>
      </c>
      <c r="P542" s="91">
        <f>IFERROR(__xludf.DUMMYFUNCTION("IFERROR(sum(filter('Генеральный баннер'!$O:$O, 'Генеральный баннер'!$B:$B=$A542,'Генеральный баннер'!$C:$C=$B542,'Генеральный баннер'!$I:$I=$C542)), 0) "),0.0)</f>
        <v>0</v>
      </c>
      <c r="Q542" s="91">
        <f>IFERROR(__xludf.DUMMYFUNCTION("IFERROR(sum(filter('Генеральный баннер'!$Q:$Q, 'Генеральный баннер'!$B:$B=$A542,'Генеральный баннер'!$C:$C=$B542,'Генеральный баннер'!$I:$I=$C542)), 0) "),0.0)</f>
        <v>0</v>
      </c>
      <c r="R542" s="91">
        <f>IFERROR(__xludf.DUMMYFUNCTION("IFERROR(AVERAGE(filter('Генеральный баннер'!$AA:$AA, 'Генеральный баннер'!$B:$B=$A542,'Генеральный баннер'!$C:$C=$B542,'Генеральный баннер'!$I:$I=$C542)), 0) "),0.0)</f>
        <v>0</v>
      </c>
      <c r="S542" s="91">
        <f>IFERROR(__xludf.DUMMYFUNCTION("IFERROR(SUM(filter('Генеральный баннер'!$AH:$AH, 'Генеральный баннер'!$B:$B=$A542,'Генеральный баннер'!$C:$C=$B542,'Генеральный баннер'!$I:$I=$C542)), 0) "),0.0)</f>
        <v>0</v>
      </c>
      <c r="T542" s="91" t="str">
        <f>IFERROR(__xludf.DUMMYFUNCTION("IFERROR(REGEXREPLACE(unique(filter('Генеральный баннер'!$A:$A, 'Генеральный баннер'!$B:$B=$A542,'Генеральный баннер'!$C:$C=$B542,'Генеральный баннер'!$I:$I=$C542)), ""\d+"", """"),"""")"),"")</f>
        <v/>
      </c>
      <c r="U542" s="91" t="str">
        <f>IFERROR(__xludf.DUMMYFUNCTION("IFERROR(unique(filter('Генеральный баннер'!$F:$F, 'Генеральный баннер'!$B:$B=$A542,'Генеральный баннер'!$C:$C=$B542,'Генеральный баннер'!$I:$I=$C542)),"""")"),"")</f>
        <v/>
      </c>
      <c r="V542" s="92" t="str">
        <f t="shared" si="3"/>
        <v/>
      </c>
      <c r="W542" s="93">
        <f>IFERROR(__xludf.DUMMYFUNCTION("IFERROR(SWITCH(lower(join("" "",U542:V542)),""а миллионник"", 62.5,""б миллионник"", 75,""а мск"", 50, ""б мск"", 62.5, ""a остальное"", 70, ""б остальное"", 80)/100,0)"),0.0)</f>
        <v>0</v>
      </c>
      <c r="X542" s="91">
        <f t="shared" si="4"/>
        <v>0</v>
      </c>
    </row>
    <row r="543">
      <c r="A543" s="12"/>
      <c r="B543" s="12"/>
      <c r="C543" s="12"/>
      <c r="D543" s="91">
        <f>IFERROR(__xludf.DUMMYFUNCTION("IFERROR(sum(filter('Основной эфир'!$AA:$AA, 'Основной эфир'!$B:$B=$A543,'Основной эфир'!$C:$C=$B543,'Основной эфир'!$I:$I=$C543)), 0) "),0.0)</f>
        <v>0</v>
      </c>
      <c r="E543" s="91">
        <f>IFERROR(__xludf.DUMMYFUNCTION("IFERROR(sum(filter('Основной эфир'!$AC:$AC, 'Основной эфир'!$B:$B=$A543,'Основной эфир'!$C:$C=$B543,'Основной эфир'!$I:$I=$C543)), 0) "),0.0)</f>
        <v>0</v>
      </c>
      <c r="F543" s="91">
        <f>IFERROR(__xludf.DUMMYFUNCTION("IFERROR(sum(filter('Основной эфир'!$O:$O, 'Основной эфир'!$B:$B=$A543,'Основной эфир'!$C:$C=$B543,'Основной эфир'!$I:$I=$C543)), 0) "),0.0)</f>
        <v>0</v>
      </c>
      <c r="G543" s="91">
        <f>IFERROR(__xludf.DUMMYFUNCTION("IFERROR(sum(filter('Основной эфир'!$Q:$Q, 'Основной эфир'!$B:$B=$A543,'Основной эфир'!$C:$C=$B543,'Основной эфир'!$I:$I=$C543)), 0) "),0.0)</f>
        <v>0</v>
      </c>
      <c r="H543" s="91">
        <f>IFERROR(__xludf.DUMMYFUNCTION("IFERROR(AVERAGE(filter('Основной эфир'!$Y:$Y, 'Основной эфир'!$B:$B=$A543,'Основной эфир'!$C:$C=$B543,'Основной эфир'!$I:$I=$C543)), 0) "),0.0)</f>
        <v>0</v>
      </c>
      <c r="I543" s="91">
        <f>IFERROR(__xludf.DUMMYFUNCTION("IFERROR(AVERAGE(filter('Основной эфир'!$AE:$AE, 'Основной эфир'!$B:$B=$A543,'Основной эфир'!$C:$C=$B543,'Основной эфир'!$I:$I=$C543)), 0) "),0.0)</f>
        <v>0</v>
      </c>
      <c r="J543" s="91">
        <f>IFERROR(__xludf.DUMMYFUNCTION("IFERROR(SUM(filter('Основной эфир'!$AL:$AL, 'Основной эфир'!$B:$B=$A543,'Основной эфир'!$C:$C=$B543,'Основной эфир'!$I:$I=$C543)), 0) "),0.0)</f>
        <v>0</v>
      </c>
      <c r="K543" s="91" t="str">
        <f>IFERROR(__xludf.DUMMYFUNCTION("IFERROR(REGEXREPLACE(unique(filter('Основной эфир'!$A:$A, 'Основной эфир'!$B:$B=$A543,'Основной эфир'!$C:$C=$B543,'Основной эфир'!$I:$I=$C543)), ""\d+"", """"),"""")"),"")</f>
        <v/>
      </c>
      <c r="L543" s="91" t="str">
        <f>IFERROR(__xludf.DUMMYFUNCTION("IFERROR(unique(filter('Основной эфир'!$F:$F, 'Основной эфир'!$B:$B=$A543,'Основной эфир'!$C:$C=$B543,'Основной эфир'!$I:$I=$C543)),"""")"),"")</f>
        <v/>
      </c>
      <c r="M543" s="92" t="str">
        <f t="shared" si="1"/>
        <v/>
      </c>
      <c r="N543" s="93">
        <f>IFERROR(__xludf.DUMMYFUNCTION("IFERROR(SWITCH(lower(join("" "",L543:M543)),""а миллионник"", 62.5,""б миллионник"", 75,""а мск"", 50, ""б мск"", 62.5, ""a остальное"", 70, ""б остальное"", 80)/100,0)"),0.0)</f>
        <v>0</v>
      </c>
      <c r="O543" s="91">
        <f t="shared" si="2"/>
        <v>0</v>
      </c>
      <c r="P543" s="91">
        <f>IFERROR(__xludf.DUMMYFUNCTION("IFERROR(sum(filter('Генеральный баннер'!$O:$O, 'Генеральный баннер'!$B:$B=$A543,'Генеральный баннер'!$C:$C=$B543,'Генеральный баннер'!$I:$I=$C543)), 0) "),0.0)</f>
        <v>0</v>
      </c>
      <c r="Q543" s="91">
        <f>IFERROR(__xludf.DUMMYFUNCTION("IFERROR(sum(filter('Генеральный баннер'!$Q:$Q, 'Генеральный баннер'!$B:$B=$A543,'Генеральный баннер'!$C:$C=$B543,'Генеральный баннер'!$I:$I=$C543)), 0) "),0.0)</f>
        <v>0</v>
      </c>
      <c r="R543" s="91">
        <f>IFERROR(__xludf.DUMMYFUNCTION("IFERROR(AVERAGE(filter('Генеральный баннер'!$AA:$AA, 'Генеральный баннер'!$B:$B=$A543,'Генеральный баннер'!$C:$C=$B543,'Генеральный баннер'!$I:$I=$C543)), 0) "),0.0)</f>
        <v>0</v>
      </c>
      <c r="S543" s="91">
        <f>IFERROR(__xludf.DUMMYFUNCTION("IFERROR(SUM(filter('Генеральный баннер'!$AH:$AH, 'Генеральный баннер'!$B:$B=$A543,'Генеральный баннер'!$C:$C=$B543,'Генеральный баннер'!$I:$I=$C543)), 0) "),0.0)</f>
        <v>0</v>
      </c>
      <c r="T543" s="91" t="str">
        <f>IFERROR(__xludf.DUMMYFUNCTION("IFERROR(REGEXREPLACE(unique(filter('Генеральный баннер'!$A:$A, 'Генеральный баннер'!$B:$B=$A543,'Генеральный баннер'!$C:$C=$B543,'Генеральный баннер'!$I:$I=$C543)), ""\d+"", """"),"""")"),"")</f>
        <v/>
      </c>
      <c r="U543" s="91" t="str">
        <f>IFERROR(__xludf.DUMMYFUNCTION("IFERROR(unique(filter('Генеральный баннер'!$F:$F, 'Генеральный баннер'!$B:$B=$A543,'Генеральный баннер'!$C:$C=$B543,'Генеральный баннер'!$I:$I=$C543)),"""")"),"")</f>
        <v/>
      </c>
      <c r="V543" s="92" t="str">
        <f t="shared" si="3"/>
        <v/>
      </c>
      <c r="W543" s="93">
        <f>IFERROR(__xludf.DUMMYFUNCTION("IFERROR(SWITCH(lower(join("" "",U543:V543)),""а миллионник"", 62.5,""б миллионник"", 75,""а мск"", 50, ""б мск"", 62.5, ""a остальное"", 70, ""б остальное"", 80)/100,0)"),0.0)</f>
        <v>0</v>
      </c>
      <c r="X543" s="91">
        <f t="shared" si="4"/>
        <v>0</v>
      </c>
    </row>
    <row r="544">
      <c r="A544" s="12"/>
      <c r="B544" s="12"/>
      <c r="C544" s="12"/>
      <c r="D544" s="91">
        <f>IFERROR(__xludf.DUMMYFUNCTION("IFERROR(sum(filter('Основной эфир'!$AA:$AA, 'Основной эфир'!$B:$B=$A544,'Основной эфир'!$C:$C=$B544,'Основной эфир'!$I:$I=$C544)), 0) "),0.0)</f>
        <v>0</v>
      </c>
      <c r="E544" s="91">
        <f>IFERROR(__xludf.DUMMYFUNCTION("IFERROR(sum(filter('Основной эфир'!$AC:$AC, 'Основной эфир'!$B:$B=$A544,'Основной эфир'!$C:$C=$B544,'Основной эфир'!$I:$I=$C544)), 0) "),0.0)</f>
        <v>0</v>
      </c>
      <c r="F544" s="91">
        <f>IFERROR(__xludf.DUMMYFUNCTION("IFERROR(sum(filter('Основной эфир'!$O:$O, 'Основной эфир'!$B:$B=$A544,'Основной эфир'!$C:$C=$B544,'Основной эфир'!$I:$I=$C544)), 0) "),0.0)</f>
        <v>0</v>
      </c>
      <c r="G544" s="91">
        <f>IFERROR(__xludf.DUMMYFUNCTION("IFERROR(sum(filter('Основной эфир'!$Q:$Q, 'Основной эфир'!$B:$B=$A544,'Основной эфир'!$C:$C=$B544,'Основной эфир'!$I:$I=$C544)), 0) "),0.0)</f>
        <v>0</v>
      </c>
      <c r="H544" s="91">
        <f>IFERROR(__xludf.DUMMYFUNCTION("IFERROR(AVERAGE(filter('Основной эфир'!$Y:$Y, 'Основной эфир'!$B:$B=$A544,'Основной эфир'!$C:$C=$B544,'Основной эфир'!$I:$I=$C544)), 0) "),0.0)</f>
        <v>0</v>
      </c>
      <c r="I544" s="91">
        <f>IFERROR(__xludf.DUMMYFUNCTION("IFERROR(AVERAGE(filter('Основной эфир'!$AE:$AE, 'Основной эфир'!$B:$B=$A544,'Основной эфир'!$C:$C=$B544,'Основной эфир'!$I:$I=$C544)), 0) "),0.0)</f>
        <v>0</v>
      </c>
      <c r="J544" s="91">
        <f>IFERROR(__xludf.DUMMYFUNCTION("IFERROR(SUM(filter('Основной эфир'!$AL:$AL, 'Основной эфир'!$B:$B=$A544,'Основной эфир'!$C:$C=$B544,'Основной эфир'!$I:$I=$C544)), 0) "),0.0)</f>
        <v>0</v>
      </c>
      <c r="K544" s="91" t="str">
        <f>IFERROR(__xludf.DUMMYFUNCTION("IFERROR(REGEXREPLACE(unique(filter('Основной эфир'!$A:$A, 'Основной эфир'!$B:$B=$A544,'Основной эфир'!$C:$C=$B544,'Основной эфир'!$I:$I=$C544)), ""\d+"", """"),"""")"),"")</f>
        <v/>
      </c>
      <c r="L544" s="91" t="str">
        <f>IFERROR(__xludf.DUMMYFUNCTION("IFERROR(unique(filter('Основной эфир'!$F:$F, 'Основной эфир'!$B:$B=$A544,'Основной эфир'!$C:$C=$B544,'Основной эфир'!$I:$I=$C544)),"""")"),"")</f>
        <v/>
      </c>
      <c r="M544" s="92" t="str">
        <f t="shared" si="1"/>
        <v/>
      </c>
      <c r="N544" s="93">
        <f>IFERROR(__xludf.DUMMYFUNCTION("IFERROR(SWITCH(lower(join("" "",L544:M544)),""а миллионник"", 62.5,""б миллионник"", 75,""а мск"", 50, ""б мск"", 62.5, ""a остальное"", 70, ""б остальное"", 80)/100,0)"),0.0)</f>
        <v>0</v>
      </c>
      <c r="O544" s="91">
        <f t="shared" si="2"/>
        <v>0</v>
      </c>
      <c r="P544" s="91">
        <f>IFERROR(__xludf.DUMMYFUNCTION("IFERROR(sum(filter('Генеральный баннер'!$O:$O, 'Генеральный баннер'!$B:$B=$A544,'Генеральный баннер'!$C:$C=$B544,'Генеральный баннер'!$I:$I=$C544)), 0) "),0.0)</f>
        <v>0</v>
      </c>
      <c r="Q544" s="91">
        <f>IFERROR(__xludf.DUMMYFUNCTION("IFERROR(sum(filter('Генеральный баннер'!$Q:$Q, 'Генеральный баннер'!$B:$B=$A544,'Генеральный баннер'!$C:$C=$B544,'Генеральный баннер'!$I:$I=$C544)), 0) "),0.0)</f>
        <v>0</v>
      </c>
      <c r="R544" s="91">
        <f>IFERROR(__xludf.DUMMYFUNCTION("IFERROR(AVERAGE(filter('Генеральный баннер'!$AA:$AA, 'Генеральный баннер'!$B:$B=$A544,'Генеральный баннер'!$C:$C=$B544,'Генеральный баннер'!$I:$I=$C544)), 0) "),0.0)</f>
        <v>0</v>
      </c>
      <c r="S544" s="91">
        <f>IFERROR(__xludf.DUMMYFUNCTION("IFERROR(SUM(filter('Генеральный баннер'!$AH:$AH, 'Генеральный баннер'!$B:$B=$A544,'Генеральный баннер'!$C:$C=$B544,'Генеральный баннер'!$I:$I=$C544)), 0) "),0.0)</f>
        <v>0</v>
      </c>
      <c r="T544" s="91" t="str">
        <f>IFERROR(__xludf.DUMMYFUNCTION("IFERROR(REGEXREPLACE(unique(filter('Генеральный баннер'!$A:$A, 'Генеральный баннер'!$B:$B=$A544,'Генеральный баннер'!$C:$C=$B544,'Генеральный баннер'!$I:$I=$C544)), ""\d+"", """"),"""")"),"")</f>
        <v/>
      </c>
      <c r="U544" s="91" t="str">
        <f>IFERROR(__xludf.DUMMYFUNCTION("IFERROR(unique(filter('Генеральный баннер'!$F:$F, 'Генеральный баннер'!$B:$B=$A544,'Генеральный баннер'!$C:$C=$B544,'Генеральный баннер'!$I:$I=$C544)),"""")"),"")</f>
        <v/>
      </c>
      <c r="V544" s="92" t="str">
        <f t="shared" si="3"/>
        <v/>
      </c>
      <c r="W544" s="93">
        <f>IFERROR(__xludf.DUMMYFUNCTION("IFERROR(SWITCH(lower(join("" "",U544:V544)),""а миллионник"", 62.5,""б миллионник"", 75,""а мск"", 50, ""б мск"", 62.5, ""a остальное"", 70, ""б остальное"", 80)/100,0)"),0.0)</f>
        <v>0</v>
      </c>
      <c r="X544" s="91">
        <f t="shared" si="4"/>
        <v>0</v>
      </c>
    </row>
    <row r="545">
      <c r="A545" s="12"/>
      <c r="B545" s="12"/>
      <c r="C545" s="12"/>
      <c r="D545" s="91">
        <f>IFERROR(__xludf.DUMMYFUNCTION("IFERROR(sum(filter('Основной эфир'!$AA:$AA, 'Основной эфир'!$B:$B=$A545,'Основной эфир'!$C:$C=$B545,'Основной эфир'!$I:$I=$C545)), 0) "),0.0)</f>
        <v>0</v>
      </c>
      <c r="E545" s="91">
        <f>IFERROR(__xludf.DUMMYFUNCTION("IFERROR(sum(filter('Основной эфир'!$AC:$AC, 'Основной эфир'!$B:$B=$A545,'Основной эфир'!$C:$C=$B545,'Основной эфир'!$I:$I=$C545)), 0) "),0.0)</f>
        <v>0</v>
      </c>
      <c r="F545" s="91">
        <f>IFERROR(__xludf.DUMMYFUNCTION("IFERROR(sum(filter('Основной эфир'!$O:$O, 'Основной эфир'!$B:$B=$A545,'Основной эфир'!$C:$C=$B545,'Основной эфир'!$I:$I=$C545)), 0) "),0.0)</f>
        <v>0</v>
      </c>
      <c r="G545" s="91">
        <f>IFERROR(__xludf.DUMMYFUNCTION("IFERROR(sum(filter('Основной эфир'!$Q:$Q, 'Основной эфир'!$B:$B=$A545,'Основной эфир'!$C:$C=$B545,'Основной эфир'!$I:$I=$C545)), 0) "),0.0)</f>
        <v>0</v>
      </c>
      <c r="H545" s="91">
        <f>IFERROR(__xludf.DUMMYFUNCTION("IFERROR(AVERAGE(filter('Основной эфир'!$Y:$Y, 'Основной эфир'!$B:$B=$A545,'Основной эфир'!$C:$C=$B545,'Основной эфир'!$I:$I=$C545)), 0) "),0.0)</f>
        <v>0</v>
      </c>
      <c r="I545" s="91">
        <f>IFERROR(__xludf.DUMMYFUNCTION("IFERROR(AVERAGE(filter('Основной эфир'!$AE:$AE, 'Основной эфир'!$B:$B=$A545,'Основной эфир'!$C:$C=$B545,'Основной эфир'!$I:$I=$C545)), 0) "),0.0)</f>
        <v>0</v>
      </c>
      <c r="J545" s="91">
        <f>IFERROR(__xludf.DUMMYFUNCTION("IFERROR(SUM(filter('Основной эфир'!$AL:$AL, 'Основной эфир'!$B:$B=$A545,'Основной эфир'!$C:$C=$B545,'Основной эфир'!$I:$I=$C545)), 0) "),0.0)</f>
        <v>0</v>
      </c>
      <c r="K545" s="91" t="str">
        <f>IFERROR(__xludf.DUMMYFUNCTION("IFERROR(REGEXREPLACE(unique(filter('Основной эфир'!$A:$A, 'Основной эфир'!$B:$B=$A545,'Основной эфир'!$C:$C=$B545,'Основной эфир'!$I:$I=$C545)), ""\d+"", """"),"""")"),"")</f>
        <v/>
      </c>
      <c r="L545" s="91" t="str">
        <f>IFERROR(__xludf.DUMMYFUNCTION("IFERROR(unique(filter('Основной эфир'!$F:$F, 'Основной эфир'!$B:$B=$A545,'Основной эфир'!$C:$C=$B545,'Основной эфир'!$I:$I=$C545)),"""")"),"")</f>
        <v/>
      </c>
      <c r="M545" s="92" t="str">
        <f t="shared" si="1"/>
        <v/>
      </c>
      <c r="N545" s="93">
        <f>IFERROR(__xludf.DUMMYFUNCTION("IFERROR(SWITCH(lower(join("" "",L545:M545)),""а миллионник"", 62.5,""б миллионник"", 75,""а мск"", 50, ""б мск"", 62.5, ""a остальное"", 70, ""б остальное"", 80)/100,0)"),0.0)</f>
        <v>0</v>
      </c>
      <c r="O545" s="91">
        <f t="shared" si="2"/>
        <v>0</v>
      </c>
      <c r="P545" s="91">
        <f>IFERROR(__xludf.DUMMYFUNCTION("IFERROR(sum(filter('Генеральный баннер'!$O:$O, 'Генеральный баннер'!$B:$B=$A545,'Генеральный баннер'!$C:$C=$B545,'Генеральный баннер'!$I:$I=$C545)), 0) "),0.0)</f>
        <v>0</v>
      </c>
      <c r="Q545" s="91">
        <f>IFERROR(__xludf.DUMMYFUNCTION("IFERROR(sum(filter('Генеральный баннер'!$Q:$Q, 'Генеральный баннер'!$B:$B=$A545,'Генеральный баннер'!$C:$C=$B545,'Генеральный баннер'!$I:$I=$C545)), 0) "),0.0)</f>
        <v>0</v>
      </c>
      <c r="R545" s="91">
        <f>IFERROR(__xludf.DUMMYFUNCTION("IFERROR(AVERAGE(filter('Генеральный баннер'!$AA:$AA, 'Генеральный баннер'!$B:$B=$A545,'Генеральный баннер'!$C:$C=$B545,'Генеральный баннер'!$I:$I=$C545)), 0) "),0.0)</f>
        <v>0</v>
      </c>
      <c r="S545" s="91">
        <f>IFERROR(__xludf.DUMMYFUNCTION("IFERROR(SUM(filter('Генеральный баннер'!$AH:$AH, 'Генеральный баннер'!$B:$B=$A545,'Генеральный баннер'!$C:$C=$B545,'Генеральный баннер'!$I:$I=$C545)), 0) "),0.0)</f>
        <v>0</v>
      </c>
      <c r="T545" s="91" t="str">
        <f>IFERROR(__xludf.DUMMYFUNCTION("IFERROR(REGEXREPLACE(unique(filter('Генеральный баннер'!$A:$A, 'Генеральный баннер'!$B:$B=$A545,'Генеральный баннер'!$C:$C=$B545,'Генеральный баннер'!$I:$I=$C545)), ""\d+"", """"),"""")"),"")</f>
        <v/>
      </c>
      <c r="U545" s="91" t="str">
        <f>IFERROR(__xludf.DUMMYFUNCTION("IFERROR(unique(filter('Генеральный баннер'!$F:$F, 'Генеральный баннер'!$B:$B=$A545,'Генеральный баннер'!$C:$C=$B545,'Генеральный баннер'!$I:$I=$C545)),"""")"),"")</f>
        <v/>
      </c>
      <c r="V545" s="92" t="str">
        <f t="shared" si="3"/>
        <v/>
      </c>
      <c r="W545" s="93">
        <f>IFERROR(__xludf.DUMMYFUNCTION("IFERROR(SWITCH(lower(join("" "",U545:V545)),""а миллионник"", 62.5,""б миллионник"", 75,""а мск"", 50, ""б мск"", 62.5, ""a остальное"", 70, ""б остальное"", 80)/100,0)"),0.0)</f>
        <v>0</v>
      </c>
      <c r="X545" s="91">
        <f t="shared" si="4"/>
        <v>0</v>
      </c>
    </row>
    <row r="546">
      <c r="A546" s="12"/>
      <c r="B546" s="12"/>
      <c r="C546" s="12"/>
      <c r="D546" s="91">
        <f>IFERROR(__xludf.DUMMYFUNCTION("IFERROR(sum(filter('Основной эфир'!$AA:$AA, 'Основной эфир'!$B:$B=$A546,'Основной эфир'!$C:$C=$B546,'Основной эфир'!$I:$I=$C546)), 0) "),0.0)</f>
        <v>0</v>
      </c>
      <c r="E546" s="91">
        <f>IFERROR(__xludf.DUMMYFUNCTION("IFERROR(sum(filter('Основной эфир'!$AC:$AC, 'Основной эфир'!$B:$B=$A546,'Основной эфир'!$C:$C=$B546,'Основной эфир'!$I:$I=$C546)), 0) "),0.0)</f>
        <v>0</v>
      </c>
      <c r="F546" s="91">
        <f>IFERROR(__xludf.DUMMYFUNCTION("IFERROR(sum(filter('Основной эфир'!$O:$O, 'Основной эфир'!$B:$B=$A546,'Основной эфир'!$C:$C=$B546,'Основной эфир'!$I:$I=$C546)), 0) "),0.0)</f>
        <v>0</v>
      </c>
      <c r="G546" s="91">
        <f>IFERROR(__xludf.DUMMYFUNCTION("IFERROR(sum(filter('Основной эфир'!$Q:$Q, 'Основной эфир'!$B:$B=$A546,'Основной эфир'!$C:$C=$B546,'Основной эфир'!$I:$I=$C546)), 0) "),0.0)</f>
        <v>0</v>
      </c>
      <c r="H546" s="91">
        <f>IFERROR(__xludf.DUMMYFUNCTION("IFERROR(AVERAGE(filter('Основной эфир'!$Y:$Y, 'Основной эфир'!$B:$B=$A546,'Основной эфир'!$C:$C=$B546,'Основной эфир'!$I:$I=$C546)), 0) "),0.0)</f>
        <v>0</v>
      </c>
      <c r="I546" s="91">
        <f>IFERROR(__xludf.DUMMYFUNCTION("IFERROR(AVERAGE(filter('Основной эфир'!$AE:$AE, 'Основной эфир'!$B:$B=$A546,'Основной эфир'!$C:$C=$B546,'Основной эфир'!$I:$I=$C546)), 0) "),0.0)</f>
        <v>0</v>
      </c>
      <c r="J546" s="91">
        <f>IFERROR(__xludf.DUMMYFUNCTION("IFERROR(SUM(filter('Основной эфир'!$AL:$AL, 'Основной эфир'!$B:$B=$A546,'Основной эфир'!$C:$C=$B546,'Основной эфир'!$I:$I=$C546)), 0) "),0.0)</f>
        <v>0</v>
      </c>
      <c r="K546" s="91" t="str">
        <f>IFERROR(__xludf.DUMMYFUNCTION("IFERROR(REGEXREPLACE(unique(filter('Основной эфир'!$A:$A, 'Основной эфир'!$B:$B=$A546,'Основной эфир'!$C:$C=$B546,'Основной эфир'!$I:$I=$C546)), ""\d+"", """"),"""")"),"")</f>
        <v/>
      </c>
      <c r="L546" s="91" t="str">
        <f>IFERROR(__xludf.DUMMYFUNCTION("IFERROR(unique(filter('Основной эфир'!$F:$F, 'Основной эфир'!$B:$B=$A546,'Основной эфир'!$C:$C=$B546,'Основной эфир'!$I:$I=$C546)),"""")"),"")</f>
        <v/>
      </c>
      <c r="M546" s="92" t="str">
        <f t="shared" si="1"/>
        <v/>
      </c>
      <c r="N546" s="93">
        <f>IFERROR(__xludf.DUMMYFUNCTION("IFERROR(SWITCH(lower(join("" "",L546:M546)),""а миллионник"", 62.5,""б миллионник"", 75,""а мск"", 50, ""б мск"", 62.5, ""a остальное"", 70, ""б остальное"", 80)/100,0)"),0.0)</f>
        <v>0</v>
      </c>
      <c r="O546" s="91">
        <f t="shared" si="2"/>
        <v>0</v>
      </c>
      <c r="P546" s="91">
        <f>IFERROR(__xludf.DUMMYFUNCTION("IFERROR(sum(filter('Генеральный баннер'!$O:$O, 'Генеральный баннер'!$B:$B=$A546,'Генеральный баннер'!$C:$C=$B546,'Генеральный баннер'!$I:$I=$C546)), 0) "),0.0)</f>
        <v>0</v>
      </c>
      <c r="Q546" s="91">
        <f>IFERROR(__xludf.DUMMYFUNCTION("IFERROR(sum(filter('Генеральный баннер'!$Q:$Q, 'Генеральный баннер'!$B:$B=$A546,'Генеральный баннер'!$C:$C=$B546,'Генеральный баннер'!$I:$I=$C546)), 0) "),0.0)</f>
        <v>0</v>
      </c>
      <c r="R546" s="91">
        <f>IFERROR(__xludf.DUMMYFUNCTION("IFERROR(AVERAGE(filter('Генеральный баннер'!$AA:$AA, 'Генеральный баннер'!$B:$B=$A546,'Генеральный баннер'!$C:$C=$B546,'Генеральный баннер'!$I:$I=$C546)), 0) "),0.0)</f>
        <v>0</v>
      </c>
      <c r="S546" s="91">
        <f>IFERROR(__xludf.DUMMYFUNCTION("IFERROR(SUM(filter('Генеральный баннер'!$AH:$AH, 'Генеральный баннер'!$B:$B=$A546,'Генеральный баннер'!$C:$C=$B546,'Генеральный баннер'!$I:$I=$C546)), 0) "),0.0)</f>
        <v>0</v>
      </c>
      <c r="T546" s="91" t="str">
        <f>IFERROR(__xludf.DUMMYFUNCTION("IFERROR(REGEXREPLACE(unique(filter('Генеральный баннер'!$A:$A, 'Генеральный баннер'!$B:$B=$A546,'Генеральный баннер'!$C:$C=$B546,'Генеральный баннер'!$I:$I=$C546)), ""\d+"", """"),"""")"),"")</f>
        <v/>
      </c>
      <c r="U546" s="91" t="str">
        <f>IFERROR(__xludf.DUMMYFUNCTION("IFERROR(unique(filter('Генеральный баннер'!$F:$F, 'Генеральный баннер'!$B:$B=$A546,'Генеральный баннер'!$C:$C=$B546,'Генеральный баннер'!$I:$I=$C546)),"""")"),"")</f>
        <v/>
      </c>
      <c r="V546" s="92" t="str">
        <f t="shared" si="3"/>
        <v/>
      </c>
      <c r="W546" s="93">
        <f>IFERROR(__xludf.DUMMYFUNCTION("IFERROR(SWITCH(lower(join("" "",U546:V546)),""а миллионник"", 62.5,""б миллионник"", 75,""а мск"", 50, ""б мск"", 62.5, ""a остальное"", 70, ""б остальное"", 80)/100,0)"),0.0)</f>
        <v>0</v>
      </c>
      <c r="X546" s="91">
        <f t="shared" si="4"/>
        <v>0</v>
      </c>
    </row>
    <row r="547">
      <c r="A547" s="12"/>
      <c r="B547" s="12"/>
      <c r="C547" s="12"/>
      <c r="D547" s="91">
        <f>IFERROR(__xludf.DUMMYFUNCTION("IFERROR(sum(filter('Основной эфир'!$AA:$AA, 'Основной эфир'!$B:$B=$A547,'Основной эфир'!$C:$C=$B547,'Основной эфир'!$I:$I=$C547)), 0) "),0.0)</f>
        <v>0</v>
      </c>
      <c r="E547" s="91">
        <f>IFERROR(__xludf.DUMMYFUNCTION("IFERROR(sum(filter('Основной эфир'!$AC:$AC, 'Основной эфир'!$B:$B=$A547,'Основной эфир'!$C:$C=$B547,'Основной эфир'!$I:$I=$C547)), 0) "),0.0)</f>
        <v>0</v>
      </c>
      <c r="F547" s="91">
        <f>IFERROR(__xludf.DUMMYFUNCTION("IFERROR(sum(filter('Основной эфир'!$O:$O, 'Основной эфир'!$B:$B=$A547,'Основной эфир'!$C:$C=$B547,'Основной эфир'!$I:$I=$C547)), 0) "),0.0)</f>
        <v>0</v>
      </c>
      <c r="G547" s="91">
        <f>IFERROR(__xludf.DUMMYFUNCTION("IFERROR(sum(filter('Основной эфир'!$Q:$Q, 'Основной эфир'!$B:$B=$A547,'Основной эфир'!$C:$C=$B547,'Основной эфир'!$I:$I=$C547)), 0) "),0.0)</f>
        <v>0</v>
      </c>
      <c r="H547" s="91">
        <f>IFERROR(__xludf.DUMMYFUNCTION("IFERROR(AVERAGE(filter('Основной эфир'!$Y:$Y, 'Основной эфир'!$B:$B=$A547,'Основной эфир'!$C:$C=$B547,'Основной эфир'!$I:$I=$C547)), 0) "),0.0)</f>
        <v>0</v>
      </c>
      <c r="I547" s="91">
        <f>IFERROR(__xludf.DUMMYFUNCTION("IFERROR(AVERAGE(filter('Основной эфир'!$AE:$AE, 'Основной эфир'!$B:$B=$A547,'Основной эфир'!$C:$C=$B547,'Основной эфир'!$I:$I=$C547)), 0) "),0.0)</f>
        <v>0</v>
      </c>
      <c r="J547" s="91">
        <f>IFERROR(__xludf.DUMMYFUNCTION("IFERROR(SUM(filter('Основной эфир'!$AL:$AL, 'Основной эфир'!$B:$B=$A547,'Основной эфир'!$C:$C=$B547,'Основной эфир'!$I:$I=$C547)), 0) "),0.0)</f>
        <v>0</v>
      </c>
      <c r="K547" s="91" t="str">
        <f>IFERROR(__xludf.DUMMYFUNCTION("IFERROR(REGEXREPLACE(unique(filter('Основной эфир'!$A:$A, 'Основной эфир'!$B:$B=$A547,'Основной эфир'!$C:$C=$B547,'Основной эфир'!$I:$I=$C547)), ""\d+"", """"),"""")"),"")</f>
        <v/>
      </c>
      <c r="L547" s="91" t="str">
        <f>IFERROR(__xludf.DUMMYFUNCTION("IFERROR(unique(filter('Основной эфир'!$F:$F, 'Основной эфир'!$B:$B=$A547,'Основной эфир'!$C:$C=$B547,'Основной эфир'!$I:$I=$C547)),"""")"),"")</f>
        <v/>
      </c>
      <c r="M547" s="92" t="str">
        <f t="shared" si="1"/>
        <v/>
      </c>
      <c r="N547" s="93">
        <f>IFERROR(__xludf.DUMMYFUNCTION("IFERROR(SWITCH(lower(join("" "",L547:M547)),""а миллионник"", 62.5,""б миллионник"", 75,""а мск"", 50, ""б мск"", 62.5, ""a остальное"", 70, ""б остальное"", 80)/100,0)"),0.0)</f>
        <v>0</v>
      </c>
      <c r="O547" s="91">
        <f t="shared" si="2"/>
        <v>0</v>
      </c>
      <c r="P547" s="91">
        <f>IFERROR(__xludf.DUMMYFUNCTION("IFERROR(sum(filter('Генеральный баннер'!$O:$O, 'Генеральный баннер'!$B:$B=$A547,'Генеральный баннер'!$C:$C=$B547,'Генеральный баннер'!$I:$I=$C547)), 0) "),0.0)</f>
        <v>0</v>
      </c>
      <c r="Q547" s="91">
        <f>IFERROR(__xludf.DUMMYFUNCTION("IFERROR(sum(filter('Генеральный баннер'!$Q:$Q, 'Генеральный баннер'!$B:$B=$A547,'Генеральный баннер'!$C:$C=$B547,'Генеральный баннер'!$I:$I=$C547)), 0) "),0.0)</f>
        <v>0</v>
      </c>
      <c r="R547" s="91">
        <f>IFERROR(__xludf.DUMMYFUNCTION("IFERROR(AVERAGE(filter('Генеральный баннер'!$AA:$AA, 'Генеральный баннер'!$B:$B=$A547,'Генеральный баннер'!$C:$C=$B547,'Генеральный баннер'!$I:$I=$C547)), 0) "),0.0)</f>
        <v>0</v>
      </c>
      <c r="S547" s="91">
        <f>IFERROR(__xludf.DUMMYFUNCTION("IFERROR(SUM(filter('Генеральный баннер'!$AH:$AH, 'Генеральный баннер'!$B:$B=$A547,'Генеральный баннер'!$C:$C=$B547,'Генеральный баннер'!$I:$I=$C547)), 0) "),0.0)</f>
        <v>0</v>
      </c>
      <c r="T547" s="91" t="str">
        <f>IFERROR(__xludf.DUMMYFUNCTION("IFERROR(REGEXREPLACE(unique(filter('Генеральный баннер'!$A:$A, 'Генеральный баннер'!$B:$B=$A547,'Генеральный баннер'!$C:$C=$B547,'Генеральный баннер'!$I:$I=$C547)), ""\d+"", """"),"""")"),"")</f>
        <v/>
      </c>
      <c r="U547" s="91" t="str">
        <f>IFERROR(__xludf.DUMMYFUNCTION("IFERROR(unique(filter('Генеральный баннер'!$F:$F, 'Генеральный баннер'!$B:$B=$A547,'Генеральный баннер'!$C:$C=$B547,'Генеральный баннер'!$I:$I=$C547)),"""")"),"")</f>
        <v/>
      </c>
      <c r="V547" s="92" t="str">
        <f t="shared" si="3"/>
        <v/>
      </c>
      <c r="W547" s="93">
        <f>IFERROR(__xludf.DUMMYFUNCTION("IFERROR(SWITCH(lower(join("" "",U547:V547)),""а миллионник"", 62.5,""б миллионник"", 75,""а мск"", 50, ""б мск"", 62.5, ""a остальное"", 70, ""б остальное"", 80)/100,0)"),0.0)</f>
        <v>0</v>
      </c>
      <c r="X547" s="91">
        <f t="shared" si="4"/>
        <v>0</v>
      </c>
    </row>
    <row r="548">
      <c r="A548" s="12"/>
      <c r="B548" s="12"/>
      <c r="C548" s="12"/>
      <c r="D548" s="91">
        <f>IFERROR(__xludf.DUMMYFUNCTION("IFERROR(sum(filter('Основной эфир'!$AA:$AA, 'Основной эфир'!$B:$B=$A548,'Основной эфир'!$C:$C=$B548,'Основной эфир'!$I:$I=$C548)), 0) "),0.0)</f>
        <v>0</v>
      </c>
      <c r="E548" s="91">
        <f>IFERROR(__xludf.DUMMYFUNCTION("IFERROR(sum(filter('Основной эфир'!$AC:$AC, 'Основной эфир'!$B:$B=$A548,'Основной эфир'!$C:$C=$B548,'Основной эфир'!$I:$I=$C548)), 0) "),0.0)</f>
        <v>0</v>
      </c>
      <c r="F548" s="91">
        <f>IFERROR(__xludf.DUMMYFUNCTION("IFERROR(sum(filter('Основной эфир'!$O:$O, 'Основной эфир'!$B:$B=$A548,'Основной эфир'!$C:$C=$B548,'Основной эфир'!$I:$I=$C548)), 0) "),0.0)</f>
        <v>0</v>
      </c>
      <c r="G548" s="91">
        <f>IFERROR(__xludf.DUMMYFUNCTION("IFERROR(sum(filter('Основной эфир'!$Q:$Q, 'Основной эфир'!$B:$B=$A548,'Основной эфир'!$C:$C=$B548,'Основной эфир'!$I:$I=$C548)), 0) "),0.0)</f>
        <v>0</v>
      </c>
      <c r="H548" s="91">
        <f>IFERROR(__xludf.DUMMYFUNCTION("IFERROR(AVERAGE(filter('Основной эфир'!$Y:$Y, 'Основной эфир'!$B:$B=$A548,'Основной эфир'!$C:$C=$B548,'Основной эфир'!$I:$I=$C548)), 0) "),0.0)</f>
        <v>0</v>
      </c>
      <c r="I548" s="91">
        <f>IFERROR(__xludf.DUMMYFUNCTION("IFERROR(AVERAGE(filter('Основной эфир'!$AE:$AE, 'Основной эфир'!$B:$B=$A548,'Основной эфир'!$C:$C=$B548,'Основной эфир'!$I:$I=$C548)), 0) "),0.0)</f>
        <v>0</v>
      </c>
      <c r="J548" s="91">
        <f>IFERROR(__xludf.DUMMYFUNCTION("IFERROR(SUM(filter('Основной эфир'!$AL:$AL, 'Основной эфир'!$B:$B=$A548,'Основной эфир'!$C:$C=$B548,'Основной эфир'!$I:$I=$C548)), 0) "),0.0)</f>
        <v>0</v>
      </c>
      <c r="K548" s="91" t="str">
        <f>IFERROR(__xludf.DUMMYFUNCTION("IFERROR(REGEXREPLACE(unique(filter('Основной эфир'!$A:$A, 'Основной эфир'!$B:$B=$A548,'Основной эфир'!$C:$C=$B548,'Основной эфир'!$I:$I=$C548)), ""\d+"", """"),"""")"),"")</f>
        <v/>
      </c>
      <c r="L548" s="91" t="str">
        <f>IFERROR(__xludf.DUMMYFUNCTION("IFERROR(unique(filter('Основной эфир'!$F:$F, 'Основной эфир'!$B:$B=$A548,'Основной эфир'!$C:$C=$B548,'Основной эфир'!$I:$I=$C548)),"""")"),"")</f>
        <v/>
      </c>
      <c r="M548" s="92" t="str">
        <f t="shared" si="1"/>
        <v/>
      </c>
      <c r="N548" s="93">
        <f>IFERROR(__xludf.DUMMYFUNCTION("IFERROR(SWITCH(lower(join("" "",L548:M548)),""а миллионник"", 62.5,""б миллионник"", 75,""а мск"", 50, ""б мск"", 62.5, ""a остальное"", 70, ""б остальное"", 80)/100,0)"),0.0)</f>
        <v>0</v>
      </c>
      <c r="O548" s="91">
        <f t="shared" si="2"/>
        <v>0</v>
      </c>
      <c r="P548" s="91">
        <f>IFERROR(__xludf.DUMMYFUNCTION("IFERROR(sum(filter('Генеральный баннер'!$O:$O, 'Генеральный баннер'!$B:$B=$A548,'Генеральный баннер'!$C:$C=$B548,'Генеральный баннер'!$I:$I=$C548)), 0) "),0.0)</f>
        <v>0</v>
      </c>
      <c r="Q548" s="91">
        <f>IFERROR(__xludf.DUMMYFUNCTION("IFERROR(sum(filter('Генеральный баннер'!$Q:$Q, 'Генеральный баннер'!$B:$B=$A548,'Генеральный баннер'!$C:$C=$B548,'Генеральный баннер'!$I:$I=$C548)), 0) "),0.0)</f>
        <v>0</v>
      </c>
      <c r="R548" s="91">
        <f>IFERROR(__xludf.DUMMYFUNCTION("IFERROR(AVERAGE(filter('Генеральный баннер'!$AA:$AA, 'Генеральный баннер'!$B:$B=$A548,'Генеральный баннер'!$C:$C=$B548,'Генеральный баннер'!$I:$I=$C548)), 0) "),0.0)</f>
        <v>0</v>
      </c>
      <c r="S548" s="91">
        <f>IFERROR(__xludf.DUMMYFUNCTION("IFERROR(SUM(filter('Генеральный баннер'!$AH:$AH, 'Генеральный баннер'!$B:$B=$A548,'Генеральный баннер'!$C:$C=$B548,'Генеральный баннер'!$I:$I=$C548)), 0) "),0.0)</f>
        <v>0</v>
      </c>
      <c r="T548" s="91" t="str">
        <f>IFERROR(__xludf.DUMMYFUNCTION("IFERROR(REGEXREPLACE(unique(filter('Генеральный баннер'!$A:$A, 'Генеральный баннер'!$B:$B=$A548,'Генеральный баннер'!$C:$C=$B548,'Генеральный баннер'!$I:$I=$C548)), ""\d+"", """"),"""")"),"")</f>
        <v/>
      </c>
      <c r="U548" s="91" t="str">
        <f>IFERROR(__xludf.DUMMYFUNCTION("IFERROR(unique(filter('Генеральный баннер'!$F:$F, 'Генеральный баннер'!$B:$B=$A548,'Генеральный баннер'!$C:$C=$B548,'Генеральный баннер'!$I:$I=$C548)),"""")"),"")</f>
        <v/>
      </c>
      <c r="V548" s="92" t="str">
        <f t="shared" si="3"/>
        <v/>
      </c>
      <c r="W548" s="93">
        <f>IFERROR(__xludf.DUMMYFUNCTION("IFERROR(SWITCH(lower(join("" "",U548:V548)),""а миллионник"", 62.5,""б миллионник"", 75,""а мск"", 50, ""б мск"", 62.5, ""a остальное"", 70, ""б остальное"", 80)/100,0)"),0.0)</f>
        <v>0</v>
      </c>
      <c r="X548" s="91">
        <f t="shared" si="4"/>
        <v>0</v>
      </c>
    </row>
    <row r="549">
      <c r="A549" s="12"/>
      <c r="B549" s="12"/>
      <c r="C549" s="12"/>
      <c r="D549" s="91">
        <f>IFERROR(__xludf.DUMMYFUNCTION("IFERROR(sum(filter('Основной эфир'!$AA:$AA, 'Основной эфир'!$B:$B=$A549,'Основной эфир'!$C:$C=$B549,'Основной эфир'!$I:$I=$C549)), 0) "),0.0)</f>
        <v>0</v>
      </c>
      <c r="E549" s="91">
        <f>IFERROR(__xludf.DUMMYFUNCTION("IFERROR(sum(filter('Основной эфир'!$AC:$AC, 'Основной эфир'!$B:$B=$A549,'Основной эфир'!$C:$C=$B549,'Основной эфир'!$I:$I=$C549)), 0) "),0.0)</f>
        <v>0</v>
      </c>
      <c r="F549" s="91">
        <f>IFERROR(__xludf.DUMMYFUNCTION("IFERROR(sum(filter('Основной эфир'!$O:$O, 'Основной эфир'!$B:$B=$A549,'Основной эфир'!$C:$C=$B549,'Основной эфир'!$I:$I=$C549)), 0) "),0.0)</f>
        <v>0</v>
      </c>
      <c r="G549" s="91">
        <f>IFERROR(__xludf.DUMMYFUNCTION("IFERROR(sum(filter('Основной эфир'!$Q:$Q, 'Основной эфир'!$B:$B=$A549,'Основной эфир'!$C:$C=$B549,'Основной эфир'!$I:$I=$C549)), 0) "),0.0)</f>
        <v>0</v>
      </c>
      <c r="H549" s="91">
        <f>IFERROR(__xludf.DUMMYFUNCTION("IFERROR(AVERAGE(filter('Основной эфир'!$Y:$Y, 'Основной эфир'!$B:$B=$A549,'Основной эфир'!$C:$C=$B549,'Основной эфир'!$I:$I=$C549)), 0) "),0.0)</f>
        <v>0</v>
      </c>
      <c r="I549" s="91">
        <f>IFERROR(__xludf.DUMMYFUNCTION("IFERROR(AVERAGE(filter('Основной эфир'!$AE:$AE, 'Основной эфир'!$B:$B=$A549,'Основной эфир'!$C:$C=$B549,'Основной эфир'!$I:$I=$C549)), 0) "),0.0)</f>
        <v>0</v>
      </c>
      <c r="J549" s="91">
        <f>IFERROR(__xludf.DUMMYFUNCTION("IFERROR(SUM(filter('Основной эфир'!$AL:$AL, 'Основной эфир'!$B:$B=$A549,'Основной эфир'!$C:$C=$B549,'Основной эфир'!$I:$I=$C549)), 0) "),0.0)</f>
        <v>0</v>
      </c>
      <c r="K549" s="91" t="str">
        <f>IFERROR(__xludf.DUMMYFUNCTION("IFERROR(REGEXREPLACE(unique(filter('Основной эфир'!$A:$A, 'Основной эфир'!$B:$B=$A549,'Основной эфир'!$C:$C=$B549,'Основной эфир'!$I:$I=$C549)), ""\d+"", """"),"""")"),"")</f>
        <v/>
      </c>
      <c r="L549" s="91" t="str">
        <f>IFERROR(__xludf.DUMMYFUNCTION("IFERROR(unique(filter('Основной эфир'!$F:$F, 'Основной эфир'!$B:$B=$A549,'Основной эфир'!$C:$C=$B549,'Основной эфир'!$I:$I=$C549)),"""")"),"")</f>
        <v/>
      </c>
      <c r="M549" s="92" t="str">
        <f t="shared" si="1"/>
        <v/>
      </c>
      <c r="N549" s="93">
        <f>IFERROR(__xludf.DUMMYFUNCTION("IFERROR(SWITCH(lower(join("" "",L549:M549)),""а миллионник"", 62.5,""б миллионник"", 75,""а мск"", 50, ""б мск"", 62.5, ""a остальное"", 70, ""б остальное"", 80)/100,0)"),0.0)</f>
        <v>0</v>
      </c>
      <c r="O549" s="91">
        <f t="shared" si="2"/>
        <v>0</v>
      </c>
      <c r="P549" s="91">
        <f>IFERROR(__xludf.DUMMYFUNCTION("IFERROR(sum(filter('Генеральный баннер'!$O:$O, 'Генеральный баннер'!$B:$B=$A549,'Генеральный баннер'!$C:$C=$B549,'Генеральный баннер'!$I:$I=$C549)), 0) "),0.0)</f>
        <v>0</v>
      </c>
      <c r="Q549" s="91">
        <f>IFERROR(__xludf.DUMMYFUNCTION("IFERROR(sum(filter('Генеральный баннер'!$Q:$Q, 'Генеральный баннер'!$B:$B=$A549,'Генеральный баннер'!$C:$C=$B549,'Генеральный баннер'!$I:$I=$C549)), 0) "),0.0)</f>
        <v>0</v>
      </c>
      <c r="R549" s="91">
        <f>IFERROR(__xludf.DUMMYFUNCTION("IFERROR(AVERAGE(filter('Генеральный баннер'!$AA:$AA, 'Генеральный баннер'!$B:$B=$A549,'Генеральный баннер'!$C:$C=$B549,'Генеральный баннер'!$I:$I=$C549)), 0) "),0.0)</f>
        <v>0</v>
      </c>
      <c r="S549" s="91">
        <f>IFERROR(__xludf.DUMMYFUNCTION("IFERROR(SUM(filter('Генеральный баннер'!$AH:$AH, 'Генеральный баннер'!$B:$B=$A549,'Генеральный баннер'!$C:$C=$B549,'Генеральный баннер'!$I:$I=$C549)), 0) "),0.0)</f>
        <v>0</v>
      </c>
      <c r="T549" s="91" t="str">
        <f>IFERROR(__xludf.DUMMYFUNCTION("IFERROR(REGEXREPLACE(unique(filter('Генеральный баннер'!$A:$A, 'Генеральный баннер'!$B:$B=$A549,'Генеральный баннер'!$C:$C=$B549,'Генеральный баннер'!$I:$I=$C549)), ""\d+"", """"),"""")"),"")</f>
        <v/>
      </c>
      <c r="U549" s="91" t="str">
        <f>IFERROR(__xludf.DUMMYFUNCTION("IFERROR(unique(filter('Генеральный баннер'!$F:$F, 'Генеральный баннер'!$B:$B=$A549,'Генеральный баннер'!$C:$C=$B549,'Генеральный баннер'!$I:$I=$C549)),"""")"),"")</f>
        <v/>
      </c>
      <c r="V549" s="92" t="str">
        <f t="shared" si="3"/>
        <v/>
      </c>
      <c r="W549" s="93">
        <f>IFERROR(__xludf.DUMMYFUNCTION("IFERROR(SWITCH(lower(join("" "",U549:V549)),""а миллионник"", 62.5,""б миллионник"", 75,""а мск"", 50, ""б мск"", 62.5, ""a остальное"", 70, ""б остальное"", 80)/100,0)"),0.0)</f>
        <v>0</v>
      </c>
      <c r="X549" s="91">
        <f t="shared" si="4"/>
        <v>0</v>
      </c>
    </row>
    <row r="550">
      <c r="A550" s="12"/>
      <c r="B550" s="12"/>
      <c r="C550" s="12"/>
      <c r="D550" s="91">
        <f>IFERROR(__xludf.DUMMYFUNCTION("IFERROR(sum(filter('Основной эфир'!$AA:$AA, 'Основной эфир'!$B:$B=$A550,'Основной эфир'!$C:$C=$B550,'Основной эфир'!$I:$I=$C550)), 0) "),0.0)</f>
        <v>0</v>
      </c>
      <c r="E550" s="91">
        <f>IFERROR(__xludf.DUMMYFUNCTION("IFERROR(sum(filter('Основной эфир'!$AC:$AC, 'Основной эфир'!$B:$B=$A550,'Основной эфир'!$C:$C=$B550,'Основной эфир'!$I:$I=$C550)), 0) "),0.0)</f>
        <v>0</v>
      </c>
      <c r="F550" s="91">
        <f>IFERROR(__xludf.DUMMYFUNCTION("IFERROR(sum(filter('Основной эфир'!$O:$O, 'Основной эфир'!$B:$B=$A550,'Основной эфир'!$C:$C=$B550,'Основной эфир'!$I:$I=$C550)), 0) "),0.0)</f>
        <v>0</v>
      </c>
      <c r="G550" s="91">
        <f>IFERROR(__xludf.DUMMYFUNCTION("IFERROR(sum(filter('Основной эфир'!$Q:$Q, 'Основной эфир'!$B:$B=$A550,'Основной эфир'!$C:$C=$B550,'Основной эфир'!$I:$I=$C550)), 0) "),0.0)</f>
        <v>0</v>
      </c>
      <c r="H550" s="91">
        <f>IFERROR(__xludf.DUMMYFUNCTION("IFERROR(AVERAGE(filter('Основной эфир'!$Y:$Y, 'Основной эфир'!$B:$B=$A550,'Основной эфир'!$C:$C=$B550,'Основной эфир'!$I:$I=$C550)), 0) "),0.0)</f>
        <v>0</v>
      </c>
      <c r="I550" s="91">
        <f>IFERROR(__xludf.DUMMYFUNCTION("IFERROR(AVERAGE(filter('Основной эфир'!$AE:$AE, 'Основной эфир'!$B:$B=$A550,'Основной эфир'!$C:$C=$B550,'Основной эфир'!$I:$I=$C550)), 0) "),0.0)</f>
        <v>0</v>
      </c>
      <c r="J550" s="91">
        <f>IFERROR(__xludf.DUMMYFUNCTION("IFERROR(SUM(filter('Основной эфир'!$AL:$AL, 'Основной эфир'!$B:$B=$A550,'Основной эфир'!$C:$C=$B550,'Основной эфир'!$I:$I=$C550)), 0) "),0.0)</f>
        <v>0</v>
      </c>
      <c r="K550" s="91" t="str">
        <f>IFERROR(__xludf.DUMMYFUNCTION("IFERROR(REGEXREPLACE(unique(filter('Основной эфир'!$A:$A, 'Основной эфир'!$B:$B=$A550,'Основной эфир'!$C:$C=$B550,'Основной эфир'!$I:$I=$C550)), ""\d+"", """"),"""")"),"")</f>
        <v/>
      </c>
      <c r="L550" s="91" t="str">
        <f>IFERROR(__xludf.DUMMYFUNCTION("IFERROR(unique(filter('Основной эфир'!$F:$F, 'Основной эфир'!$B:$B=$A550,'Основной эфир'!$C:$C=$B550,'Основной эфир'!$I:$I=$C550)),"""")"),"")</f>
        <v/>
      </c>
      <c r="M550" s="92" t="str">
        <f t="shared" si="1"/>
        <v/>
      </c>
      <c r="N550" s="93">
        <f>IFERROR(__xludf.DUMMYFUNCTION("IFERROR(SWITCH(lower(join("" "",L550:M550)),""а миллионник"", 62.5,""б миллионник"", 75,""а мск"", 50, ""б мск"", 62.5, ""a остальное"", 70, ""б остальное"", 80)/100,0)"),0.0)</f>
        <v>0</v>
      </c>
      <c r="O550" s="91">
        <f t="shared" si="2"/>
        <v>0</v>
      </c>
      <c r="P550" s="91">
        <f>IFERROR(__xludf.DUMMYFUNCTION("IFERROR(sum(filter('Генеральный баннер'!$O:$O, 'Генеральный баннер'!$B:$B=$A550,'Генеральный баннер'!$C:$C=$B550,'Генеральный баннер'!$I:$I=$C550)), 0) "),0.0)</f>
        <v>0</v>
      </c>
      <c r="Q550" s="91">
        <f>IFERROR(__xludf.DUMMYFUNCTION("IFERROR(sum(filter('Генеральный баннер'!$Q:$Q, 'Генеральный баннер'!$B:$B=$A550,'Генеральный баннер'!$C:$C=$B550,'Генеральный баннер'!$I:$I=$C550)), 0) "),0.0)</f>
        <v>0</v>
      </c>
      <c r="R550" s="91">
        <f>IFERROR(__xludf.DUMMYFUNCTION("IFERROR(AVERAGE(filter('Генеральный баннер'!$AA:$AA, 'Генеральный баннер'!$B:$B=$A550,'Генеральный баннер'!$C:$C=$B550,'Генеральный баннер'!$I:$I=$C550)), 0) "),0.0)</f>
        <v>0</v>
      </c>
      <c r="S550" s="91">
        <f>IFERROR(__xludf.DUMMYFUNCTION("IFERROR(SUM(filter('Генеральный баннер'!$AH:$AH, 'Генеральный баннер'!$B:$B=$A550,'Генеральный баннер'!$C:$C=$B550,'Генеральный баннер'!$I:$I=$C550)), 0) "),0.0)</f>
        <v>0</v>
      </c>
      <c r="T550" s="91" t="str">
        <f>IFERROR(__xludf.DUMMYFUNCTION("IFERROR(REGEXREPLACE(unique(filter('Генеральный баннер'!$A:$A, 'Генеральный баннер'!$B:$B=$A550,'Генеральный баннер'!$C:$C=$B550,'Генеральный баннер'!$I:$I=$C550)), ""\d+"", """"),"""")"),"")</f>
        <v/>
      </c>
      <c r="U550" s="91" t="str">
        <f>IFERROR(__xludf.DUMMYFUNCTION("IFERROR(unique(filter('Генеральный баннер'!$F:$F, 'Генеральный баннер'!$B:$B=$A550,'Генеральный баннер'!$C:$C=$B550,'Генеральный баннер'!$I:$I=$C550)),"""")"),"")</f>
        <v/>
      </c>
      <c r="V550" s="92" t="str">
        <f t="shared" si="3"/>
        <v/>
      </c>
      <c r="W550" s="93">
        <f>IFERROR(__xludf.DUMMYFUNCTION("IFERROR(SWITCH(lower(join("" "",U550:V550)),""а миллионник"", 62.5,""б миллионник"", 75,""а мск"", 50, ""б мск"", 62.5, ""a остальное"", 70, ""б остальное"", 80)/100,0)"),0.0)</f>
        <v>0</v>
      </c>
      <c r="X550" s="91">
        <f t="shared" si="4"/>
        <v>0</v>
      </c>
    </row>
    <row r="551">
      <c r="A551" s="12"/>
      <c r="B551" s="12"/>
      <c r="C551" s="12"/>
      <c r="D551" s="91">
        <f>IFERROR(__xludf.DUMMYFUNCTION("IFERROR(sum(filter('Основной эфир'!$AA:$AA, 'Основной эфир'!$B:$B=$A551,'Основной эфир'!$C:$C=$B551,'Основной эфир'!$I:$I=$C551)), 0) "),0.0)</f>
        <v>0</v>
      </c>
      <c r="E551" s="91">
        <f>IFERROR(__xludf.DUMMYFUNCTION("IFERROR(sum(filter('Основной эфир'!$AC:$AC, 'Основной эфир'!$B:$B=$A551,'Основной эфир'!$C:$C=$B551,'Основной эфир'!$I:$I=$C551)), 0) "),0.0)</f>
        <v>0</v>
      </c>
      <c r="F551" s="91">
        <f>IFERROR(__xludf.DUMMYFUNCTION("IFERROR(sum(filter('Основной эфир'!$O:$O, 'Основной эфир'!$B:$B=$A551,'Основной эфир'!$C:$C=$B551,'Основной эфир'!$I:$I=$C551)), 0) "),0.0)</f>
        <v>0</v>
      </c>
      <c r="G551" s="91">
        <f>IFERROR(__xludf.DUMMYFUNCTION("IFERROR(sum(filter('Основной эфир'!$Q:$Q, 'Основной эфир'!$B:$B=$A551,'Основной эфир'!$C:$C=$B551,'Основной эфир'!$I:$I=$C551)), 0) "),0.0)</f>
        <v>0</v>
      </c>
      <c r="H551" s="91">
        <f>IFERROR(__xludf.DUMMYFUNCTION("IFERROR(AVERAGE(filter('Основной эфир'!$Y:$Y, 'Основной эфир'!$B:$B=$A551,'Основной эфир'!$C:$C=$B551,'Основной эфир'!$I:$I=$C551)), 0) "),0.0)</f>
        <v>0</v>
      </c>
      <c r="I551" s="91">
        <f>IFERROR(__xludf.DUMMYFUNCTION("IFERROR(AVERAGE(filter('Основной эфир'!$AE:$AE, 'Основной эфир'!$B:$B=$A551,'Основной эфир'!$C:$C=$B551,'Основной эфир'!$I:$I=$C551)), 0) "),0.0)</f>
        <v>0</v>
      </c>
      <c r="J551" s="91">
        <f>IFERROR(__xludf.DUMMYFUNCTION("IFERROR(SUM(filter('Основной эфир'!$AL:$AL, 'Основной эфир'!$B:$B=$A551,'Основной эфир'!$C:$C=$B551,'Основной эфир'!$I:$I=$C551)), 0) "),0.0)</f>
        <v>0</v>
      </c>
      <c r="K551" s="91" t="str">
        <f>IFERROR(__xludf.DUMMYFUNCTION("IFERROR(REGEXREPLACE(unique(filter('Основной эфир'!$A:$A, 'Основной эфир'!$B:$B=$A551,'Основной эфир'!$C:$C=$B551,'Основной эфир'!$I:$I=$C551)), ""\d+"", """"),"""")"),"")</f>
        <v/>
      </c>
      <c r="L551" s="91" t="str">
        <f>IFERROR(__xludf.DUMMYFUNCTION("IFERROR(unique(filter('Основной эфир'!$F:$F, 'Основной эфир'!$B:$B=$A551,'Основной эфир'!$C:$C=$B551,'Основной эфир'!$I:$I=$C551)),"""")"),"")</f>
        <v/>
      </c>
      <c r="M551" s="92" t="str">
        <f t="shared" si="1"/>
        <v/>
      </c>
      <c r="N551" s="93">
        <f>IFERROR(__xludf.DUMMYFUNCTION("IFERROR(SWITCH(lower(join("" "",L551:M551)),""а миллионник"", 62.5,""б миллионник"", 75,""а мск"", 50, ""б мск"", 62.5, ""a остальное"", 70, ""б остальное"", 80)/100,0)"),0.0)</f>
        <v>0</v>
      </c>
      <c r="O551" s="91">
        <f t="shared" si="2"/>
        <v>0</v>
      </c>
      <c r="P551" s="91">
        <f>IFERROR(__xludf.DUMMYFUNCTION("IFERROR(sum(filter('Генеральный баннер'!$O:$O, 'Генеральный баннер'!$B:$B=$A551,'Генеральный баннер'!$C:$C=$B551,'Генеральный баннер'!$I:$I=$C551)), 0) "),0.0)</f>
        <v>0</v>
      </c>
      <c r="Q551" s="91">
        <f>IFERROR(__xludf.DUMMYFUNCTION("IFERROR(sum(filter('Генеральный баннер'!$Q:$Q, 'Генеральный баннер'!$B:$B=$A551,'Генеральный баннер'!$C:$C=$B551,'Генеральный баннер'!$I:$I=$C551)), 0) "),0.0)</f>
        <v>0</v>
      </c>
      <c r="R551" s="91">
        <f>IFERROR(__xludf.DUMMYFUNCTION("IFERROR(AVERAGE(filter('Генеральный баннер'!$AA:$AA, 'Генеральный баннер'!$B:$B=$A551,'Генеральный баннер'!$C:$C=$B551,'Генеральный баннер'!$I:$I=$C551)), 0) "),0.0)</f>
        <v>0</v>
      </c>
      <c r="S551" s="91">
        <f>IFERROR(__xludf.DUMMYFUNCTION("IFERROR(SUM(filter('Генеральный баннер'!$AH:$AH, 'Генеральный баннер'!$B:$B=$A551,'Генеральный баннер'!$C:$C=$B551,'Генеральный баннер'!$I:$I=$C551)), 0) "),0.0)</f>
        <v>0</v>
      </c>
      <c r="T551" s="91" t="str">
        <f>IFERROR(__xludf.DUMMYFUNCTION("IFERROR(REGEXREPLACE(unique(filter('Генеральный баннер'!$A:$A, 'Генеральный баннер'!$B:$B=$A551,'Генеральный баннер'!$C:$C=$B551,'Генеральный баннер'!$I:$I=$C551)), ""\d+"", """"),"""")"),"")</f>
        <v/>
      </c>
      <c r="U551" s="91" t="str">
        <f>IFERROR(__xludf.DUMMYFUNCTION("IFERROR(unique(filter('Генеральный баннер'!$F:$F, 'Генеральный баннер'!$B:$B=$A551,'Генеральный баннер'!$C:$C=$B551,'Генеральный баннер'!$I:$I=$C551)),"""")"),"")</f>
        <v/>
      </c>
      <c r="V551" s="92" t="str">
        <f t="shared" si="3"/>
        <v/>
      </c>
      <c r="W551" s="93">
        <f>IFERROR(__xludf.DUMMYFUNCTION("IFERROR(SWITCH(lower(join("" "",U551:V551)),""а миллионник"", 62.5,""б миллионник"", 75,""а мск"", 50, ""б мск"", 62.5, ""a остальное"", 70, ""б остальное"", 80)/100,0)"),0.0)</f>
        <v>0</v>
      </c>
      <c r="X551" s="91">
        <f t="shared" si="4"/>
        <v>0</v>
      </c>
    </row>
    <row r="552">
      <c r="A552" s="12"/>
      <c r="B552" s="12"/>
      <c r="C552" s="12"/>
      <c r="D552" s="91">
        <f>IFERROR(__xludf.DUMMYFUNCTION("IFERROR(sum(filter('Основной эфир'!$AA:$AA, 'Основной эфир'!$B:$B=$A552,'Основной эфир'!$C:$C=$B552,'Основной эфир'!$I:$I=$C552)), 0) "),0.0)</f>
        <v>0</v>
      </c>
      <c r="E552" s="91">
        <f>IFERROR(__xludf.DUMMYFUNCTION("IFERROR(sum(filter('Основной эфир'!$AC:$AC, 'Основной эфир'!$B:$B=$A552,'Основной эфир'!$C:$C=$B552,'Основной эфир'!$I:$I=$C552)), 0) "),0.0)</f>
        <v>0</v>
      </c>
      <c r="F552" s="91">
        <f>IFERROR(__xludf.DUMMYFUNCTION("IFERROR(sum(filter('Основной эфир'!$O:$O, 'Основной эфир'!$B:$B=$A552,'Основной эфир'!$C:$C=$B552,'Основной эфир'!$I:$I=$C552)), 0) "),0.0)</f>
        <v>0</v>
      </c>
      <c r="G552" s="91">
        <f>IFERROR(__xludf.DUMMYFUNCTION("IFERROR(sum(filter('Основной эфир'!$Q:$Q, 'Основной эфир'!$B:$B=$A552,'Основной эфир'!$C:$C=$B552,'Основной эфир'!$I:$I=$C552)), 0) "),0.0)</f>
        <v>0</v>
      </c>
      <c r="H552" s="91">
        <f>IFERROR(__xludf.DUMMYFUNCTION("IFERROR(AVERAGE(filter('Основной эфир'!$Y:$Y, 'Основной эфир'!$B:$B=$A552,'Основной эфир'!$C:$C=$B552,'Основной эфир'!$I:$I=$C552)), 0) "),0.0)</f>
        <v>0</v>
      </c>
      <c r="I552" s="91">
        <f>IFERROR(__xludf.DUMMYFUNCTION("IFERROR(AVERAGE(filter('Основной эфир'!$AE:$AE, 'Основной эфир'!$B:$B=$A552,'Основной эфир'!$C:$C=$B552,'Основной эфир'!$I:$I=$C552)), 0) "),0.0)</f>
        <v>0</v>
      </c>
      <c r="J552" s="91">
        <f>IFERROR(__xludf.DUMMYFUNCTION("IFERROR(SUM(filter('Основной эфир'!$AL:$AL, 'Основной эфир'!$B:$B=$A552,'Основной эфир'!$C:$C=$B552,'Основной эфир'!$I:$I=$C552)), 0) "),0.0)</f>
        <v>0</v>
      </c>
      <c r="K552" s="91" t="str">
        <f>IFERROR(__xludf.DUMMYFUNCTION("IFERROR(REGEXREPLACE(unique(filter('Основной эфир'!$A:$A, 'Основной эфир'!$B:$B=$A552,'Основной эфир'!$C:$C=$B552,'Основной эфир'!$I:$I=$C552)), ""\d+"", """"),"""")"),"")</f>
        <v/>
      </c>
      <c r="L552" s="91" t="str">
        <f>IFERROR(__xludf.DUMMYFUNCTION("IFERROR(unique(filter('Основной эфир'!$F:$F, 'Основной эфир'!$B:$B=$A552,'Основной эфир'!$C:$C=$B552,'Основной эфир'!$I:$I=$C552)),"""")"),"")</f>
        <v/>
      </c>
      <c r="M552" s="92" t="str">
        <f t="shared" si="1"/>
        <v/>
      </c>
      <c r="N552" s="93">
        <f>IFERROR(__xludf.DUMMYFUNCTION("IFERROR(SWITCH(lower(join("" "",L552:M552)),""а миллионник"", 62.5,""б миллионник"", 75,""а мск"", 50, ""б мск"", 62.5, ""a остальное"", 70, ""б остальное"", 80)/100,0)"),0.0)</f>
        <v>0</v>
      </c>
      <c r="O552" s="91">
        <f t="shared" si="2"/>
        <v>0</v>
      </c>
      <c r="P552" s="91">
        <f>IFERROR(__xludf.DUMMYFUNCTION("IFERROR(sum(filter('Генеральный баннер'!$O:$O, 'Генеральный баннер'!$B:$B=$A552,'Генеральный баннер'!$C:$C=$B552,'Генеральный баннер'!$I:$I=$C552)), 0) "),0.0)</f>
        <v>0</v>
      </c>
      <c r="Q552" s="91">
        <f>IFERROR(__xludf.DUMMYFUNCTION("IFERROR(sum(filter('Генеральный баннер'!$Q:$Q, 'Генеральный баннер'!$B:$B=$A552,'Генеральный баннер'!$C:$C=$B552,'Генеральный баннер'!$I:$I=$C552)), 0) "),0.0)</f>
        <v>0</v>
      </c>
      <c r="R552" s="91">
        <f>IFERROR(__xludf.DUMMYFUNCTION("IFERROR(AVERAGE(filter('Генеральный баннер'!$AA:$AA, 'Генеральный баннер'!$B:$B=$A552,'Генеральный баннер'!$C:$C=$B552,'Генеральный баннер'!$I:$I=$C552)), 0) "),0.0)</f>
        <v>0</v>
      </c>
      <c r="S552" s="91">
        <f>IFERROR(__xludf.DUMMYFUNCTION("IFERROR(SUM(filter('Генеральный баннер'!$AH:$AH, 'Генеральный баннер'!$B:$B=$A552,'Генеральный баннер'!$C:$C=$B552,'Генеральный баннер'!$I:$I=$C552)), 0) "),0.0)</f>
        <v>0</v>
      </c>
      <c r="T552" s="91" t="str">
        <f>IFERROR(__xludf.DUMMYFUNCTION("IFERROR(REGEXREPLACE(unique(filter('Генеральный баннер'!$A:$A, 'Генеральный баннер'!$B:$B=$A552,'Генеральный баннер'!$C:$C=$B552,'Генеральный баннер'!$I:$I=$C552)), ""\d+"", """"),"""")"),"")</f>
        <v/>
      </c>
      <c r="U552" s="91" t="str">
        <f>IFERROR(__xludf.DUMMYFUNCTION("IFERROR(unique(filter('Генеральный баннер'!$F:$F, 'Генеральный баннер'!$B:$B=$A552,'Генеральный баннер'!$C:$C=$B552,'Генеральный баннер'!$I:$I=$C552)),"""")"),"")</f>
        <v/>
      </c>
      <c r="V552" s="92" t="str">
        <f t="shared" si="3"/>
        <v/>
      </c>
      <c r="W552" s="93">
        <f>IFERROR(__xludf.DUMMYFUNCTION("IFERROR(SWITCH(lower(join("" "",U552:V552)),""а миллионник"", 62.5,""б миллионник"", 75,""а мск"", 50, ""б мск"", 62.5, ""a остальное"", 70, ""б остальное"", 80)/100,0)"),0.0)</f>
        <v>0</v>
      </c>
      <c r="X552" s="91">
        <f t="shared" si="4"/>
        <v>0</v>
      </c>
    </row>
    <row r="553">
      <c r="A553" s="12"/>
      <c r="B553" s="12"/>
      <c r="C553" s="12"/>
      <c r="D553" s="91">
        <f>IFERROR(__xludf.DUMMYFUNCTION("IFERROR(sum(filter('Основной эфир'!$AA:$AA, 'Основной эфир'!$B:$B=$A553,'Основной эфир'!$C:$C=$B553,'Основной эфир'!$I:$I=$C553)), 0) "),0.0)</f>
        <v>0</v>
      </c>
      <c r="E553" s="91">
        <f>IFERROR(__xludf.DUMMYFUNCTION("IFERROR(sum(filter('Основной эфир'!$AC:$AC, 'Основной эфир'!$B:$B=$A553,'Основной эфир'!$C:$C=$B553,'Основной эфир'!$I:$I=$C553)), 0) "),0.0)</f>
        <v>0</v>
      </c>
      <c r="F553" s="91">
        <f>IFERROR(__xludf.DUMMYFUNCTION("IFERROR(sum(filter('Основной эфир'!$O:$O, 'Основной эфир'!$B:$B=$A553,'Основной эфир'!$C:$C=$B553,'Основной эфир'!$I:$I=$C553)), 0) "),0.0)</f>
        <v>0</v>
      </c>
      <c r="G553" s="91">
        <f>IFERROR(__xludf.DUMMYFUNCTION("IFERROR(sum(filter('Основной эфир'!$Q:$Q, 'Основной эфир'!$B:$B=$A553,'Основной эфир'!$C:$C=$B553,'Основной эфир'!$I:$I=$C553)), 0) "),0.0)</f>
        <v>0</v>
      </c>
      <c r="H553" s="91">
        <f>IFERROR(__xludf.DUMMYFUNCTION("IFERROR(AVERAGE(filter('Основной эфир'!$Y:$Y, 'Основной эфир'!$B:$B=$A553,'Основной эфир'!$C:$C=$B553,'Основной эфир'!$I:$I=$C553)), 0) "),0.0)</f>
        <v>0</v>
      </c>
      <c r="I553" s="91">
        <f>IFERROR(__xludf.DUMMYFUNCTION("IFERROR(AVERAGE(filter('Основной эфир'!$AE:$AE, 'Основной эфир'!$B:$B=$A553,'Основной эфир'!$C:$C=$B553,'Основной эфир'!$I:$I=$C553)), 0) "),0.0)</f>
        <v>0</v>
      </c>
      <c r="J553" s="91">
        <f>IFERROR(__xludf.DUMMYFUNCTION("IFERROR(SUM(filter('Основной эфир'!$AL:$AL, 'Основной эфир'!$B:$B=$A553,'Основной эфир'!$C:$C=$B553,'Основной эфир'!$I:$I=$C553)), 0) "),0.0)</f>
        <v>0</v>
      </c>
      <c r="K553" s="91" t="str">
        <f>IFERROR(__xludf.DUMMYFUNCTION("IFERROR(REGEXREPLACE(unique(filter('Основной эфир'!$A:$A, 'Основной эфир'!$B:$B=$A553,'Основной эфир'!$C:$C=$B553,'Основной эфир'!$I:$I=$C553)), ""\d+"", """"),"""")"),"")</f>
        <v/>
      </c>
      <c r="L553" s="91" t="str">
        <f>IFERROR(__xludf.DUMMYFUNCTION("IFERROR(unique(filter('Основной эфир'!$F:$F, 'Основной эфир'!$B:$B=$A553,'Основной эфир'!$C:$C=$B553,'Основной эфир'!$I:$I=$C553)),"""")"),"")</f>
        <v/>
      </c>
      <c r="M553" s="92" t="str">
        <f t="shared" si="1"/>
        <v/>
      </c>
      <c r="N553" s="93">
        <f>IFERROR(__xludf.DUMMYFUNCTION("IFERROR(SWITCH(lower(join("" "",L553:M553)),""а миллионник"", 62.5,""б миллионник"", 75,""а мск"", 50, ""б мск"", 62.5, ""a остальное"", 70, ""б остальное"", 80)/100,0)"),0.0)</f>
        <v>0</v>
      </c>
      <c r="O553" s="91">
        <f t="shared" si="2"/>
        <v>0</v>
      </c>
      <c r="P553" s="91">
        <f>IFERROR(__xludf.DUMMYFUNCTION("IFERROR(sum(filter('Генеральный баннер'!$O:$O, 'Генеральный баннер'!$B:$B=$A553,'Генеральный баннер'!$C:$C=$B553,'Генеральный баннер'!$I:$I=$C553)), 0) "),0.0)</f>
        <v>0</v>
      </c>
      <c r="Q553" s="91">
        <f>IFERROR(__xludf.DUMMYFUNCTION("IFERROR(sum(filter('Генеральный баннер'!$Q:$Q, 'Генеральный баннер'!$B:$B=$A553,'Генеральный баннер'!$C:$C=$B553,'Генеральный баннер'!$I:$I=$C553)), 0) "),0.0)</f>
        <v>0</v>
      </c>
      <c r="R553" s="91">
        <f>IFERROR(__xludf.DUMMYFUNCTION("IFERROR(AVERAGE(filter('Генеральный баннер'!$AA:$AA, 'Генеральный баннер'!$B:$B=$A553,'Генеральный баннер'!$C:$C=$B553,'Генеральный баннер'!$I:$I=$C553)), 0) "),0.0)</f>
        <v>0</v>
      </c>
      <c r="S553" s="91">
        <f>IFERROR(__xludf.DUMMYFUNCTION("IFERROR(SUM(filter('Генеральный баннер'!$AH:$AH, 'Генеральный баннер'!$B:$B=$A553,'Генеральный баннер'!$C:$C=$B553,'Генеральный баннер'!$I:$I=$C553)), 0) "),0.0)</f>
        <v>0</v>
      </c>
      <c r="T553" s="91" t="str">
        <f>IFERROR(__xludf.DUMMYFUNCTION("IFERROR(REGEXREPLACE(unique(filter('Генеральный баннер'!$A:$A, 'Генеральный баннер'!$B:$B=$A553,'Генеральный баннер'!$C:$C=$B553,'Генеральный баннер'!$I:$I=$C553)), ""\d+"", """"),"""")"),"")</f>
        <v/>
      </c>
      <c r="U553" s="91" t="str">
        <f>IFERROR(__xludf.DUMMYFUNCTION("IFERROR(unique(filter('Генеральный баннер'!$F:$F, 'Генеральный баннер'!$B:$B=$A553,'Генеральный баннер'!$C:$C=$B553,'Генеральный баннер'!$I:$I=$C553)),"""")"),"")</f>
        <v/>
      </c>
      <c r="V553" s="92" t="str">
        <f t="shared" si="3"/>
        <v/>
      </c>
      <c r="W553" s="93">
        <f>IFERROR(__xludf.DUMMYFUNCTION("IFERROR(SWITCH(lower(join("" "",U553:V553)),""а миллионник"", 62.5,""б миллионник"", 75,""а мск"", 50, ""б мск"", 62.5, ""a остальное"", 70, ""б остальное"", 80)/100,0)"),0.0)</f>
        <v>0</v>
      </c>
      <c r="X553" s="91">
        <f t="shared" si="4"/>
        <v>0</v>
      </c>
    </row>
    <row r="554">
      <c r="A554" s="12"/>
      <c r="B554" s="12"/>
      <c r="C554" s="12"/>
      <c r="D554" s="91">
        <f>IFERROR(__xludf.DUMMYFUNCTION("IFERROR(sum(filter('Основной эфир'!$AA:$AA, 'Основной эфир'!$B:$B=$A554,'Основной эфир'!$C:$C=$B554,'Основной эфир'!$I:$I=$C554)), 0) "),0.0)</f>
        <v>0</v>
      </c>
      <c r="E554" s="91">
        <f>IFERROR(__xludf.DUMMYFUNCTION("IFERROR(sum(filter('Основной эфир'!$AC:$AC, 'Основной эфир'!$B:$B=$A554,'Основной эфир'!$C:$C=$B554,'Основной эфир'!$I:$I=$C554)), 0) "),0.0)</f>
        <v>0</v>
      </c>
      <c r="F554" s="91">
        <f>IFERROR(__xludf.DUMMYFUNCTION("IFERROR(sum(filter('Основной эфир'!$O:$O, 'Основной эфир'!$B:$B=$A554,'Основной эфир'!$C:$C=$B554,'Основной эфир'!$I:$I=$C554)), 0) "),0.0)</f>
        <v>0</v>
      </c>
      <c r="G554" s="91">
        <f>IFERROR(__xludf.DUMMYFUNCTION("IFERROR(sum(filter('Основной эфир'!$Q:$Q, 'Основной эфир'!$B:$B=$A554,'Основной эфир'!$C:$C=$B554,'Основной эфир'!$I:$I=$C554)), 0) "),0.0)</f>
        <v>0</v>
      </c>
      <c r="H554" s="91">
        <f>IFERROR(__xludf.DUMMYFUNCTION("IFERROR(AVERAGE(filter('Основной эфир'!$Y:$Y, 'Основной эфир'!$B:$B=$A554,'Основной эфир'!$C:$C=$B554,'Основной эфир'!$I:$I=$C554)), 0) "),0.0)</f>
        <v>0</v>
      </c>
      <c r="I554" s="91">
        <f>IFERROR(__xludf.DUMMYFUNCTION("IFERROR(AVERAGE(filter('Основной эфир'!$AE:$AE, 'Основной эфир'!$B:$B=$A554,'Основной эфир'!$C:$C=$B554,'Основной эфир'!$I:$I=$C554)), 0) "),0.0)</f>
        <v>0</v>
      </c>
      <c r="J554" s="91">
        <f>IFERROR(__xludf.DUMMYFUNCTION("IFERROR(SUM(filter('Основной эфир'!$AL:$AL, 'Основной эфир'!$B:$B=$A554,'Основной эфир'!$C:$C=$B554,'Основной эфир'!$I:$I=$C554)), 0) "),0.0)</f>
        <v>0</v>
      </c>
      <c r="K554" s="91" t="str">
        <f>IFERROR(__xludf.DUMMYFUNCTION("IFERROR(REGEXREPLACE(unique(filter('Основной эфир'!$A:$A, 'Основной эфир'!$B:$B=$A554,'Основной эфир'!$C:$C=$B554,'Основной эфир'!$I:$I=$C554)), ""\d+"", """"),"""")"),"")</f>
        <v/>
      </c>
      <c r="L554" s="91" t="str">
        <f>IFERROR(__xludf.DUMMYFUNCTION("IFERROR(unique(filter('Основной эфир'!$F:$F, 'Основной эфир'!$B:$B=$A554,'Основной эфир'!$C:$C=$B554,'Основной эфир'!$I:$I=$C554)),"""")"),"")</f>
        <v/>
      </c>
      <c r="M554" s="92" t="str">
        <f t="shared" si="1"/>
        <v/>
      </c>
      <c r="N554" s="93">
        <f>IFERROR(__xludf.DUMMYFUNCTION("IFERROR(SWITCH(lower(join("" "",L554:M554)),""а миллионник"", 62.5,""б миллионник"", 75,""а мск"", 50, ""б мск"", 62.5, ""a остальное"", 70, ""б остальное"", 80)/100,0)"),0.0)</f>
        <v>0</v>
      </c>
      <c r="O554" s="91">
        <f t="shared" si="2"/>
        <v>0</v>
      </c>
      <c r="P554" s="91">
        <f>IFERROR(__xludf.DUMMYFUNCTION("IFERROR(sum(filter('Генеральный баннер'!$O:$O, 'Генеральный баннер'!$B:$B=$A554,'Генеральный баннер'!$C:$C=$B554,'Генеральный баннер'!$I:$I=$C554)), 0) "),0.0)</f>
        <v>0</v>
      </c>
      <c r="Q554" s="91">
        <f>IFERROR(__xludf.DUMMYFUNCTION("IFERROR(sum(filter('Генеральный баннер'!$Q:$Q, 'Генеральный баннер'!$B:$B=$A554,'Генеральный баннер'!$C:$C=$B554,'Генеральный баннер'!$I:$I=$C554)), 0) "),0.0)</f>
        <v>0</v>
      </c>
      <c r="R554" s="91">
        <f>IFERROR(__xludf.DUMMYFUNCTION("IFERROR(AVERAGE(filter('Генеральный баннер'!$AA:$AA, 'Генеральный баннер'!$B:$B=$A554,'Генеральный баннер'!$C:$C=$B554,'Генеральный баннер'!$I:$I=$C554)), 0) "),0.0)</f>
        <v>0</v>
      </c>
      <c r="S554" s="91">
        <f>IFERROR(__xludf.DUMMYFUNCTION("IFERROR(SUM(filter('Генеральный баннер'!$AH:$AH, 'Генеральный баннер'!$B:$B=$A554,'Генеральный баннер'!$C:$C=$B554,'Генеральный баннер'!$I:$I=$C554)), 0) "),0.0)</f>
        <v>0</v>
      </c>
      <c r="T554" s="91" t="str">
        <f>IFERROR(__xludf.DUMMYFUNCTION("IFERROR(REGEXREPLACE(unique(filter('Генеральный баннер'!$A:$A, 'Генеральный баннер'!$B:$B=$A554,'Генеральный баннер'!$C:$C=$B554,'Генеральный баннер'!$I:$I=$C554)), ""\d+"", """"),"""")"),"")</f>
        <v/>
      </c>
      <c r="U554" s="91" t="str">
        <f>IFERROR(__xludf.DUMMYFUNCTION("IFERROR(unique(filter('Генеральный баннер'!$F:$F, 'Генеральный баннер'!$B:$B=$A554,'Генеральный баннер'!$C:$C=$B554,'Генеральный баннер'!$I:$I=$C554)),"""")"),"")</f>
        <v/>
      </c>
      <c r="V554" s="92" t="str">
        <f t="shared" si="3"/>
        <v/>
      </c>
      <c r="W554" s="93">
        <f>IFERROR(__xludf.DUMMYFUNCTION("IFERROR(SWITCH(lower(join("" "",U554:V554)),""а миллионник"", 62.5,""б миллионник"", 75,""а мск"", 50, ""б мск"", 62.5, ""a остальное"", 70, ""б остальное"", 80)/100,0)"),0.0)</f>
        <v>0</v>
      </c>
      <c r="X554" s="91">
        <f t="shared" si="4"/>
        <v>0</v>
      </c>
    </row>
    <row r="555">
      <c r="A555" s="12"/>
      <c r="B555" s="12"/>
      <c r="C555" s="12"/>
      <c r="D555" s="91">
        <f>IFERROR(__xludf.DUMMYFUNCTION("IFERROR(sum(filter('Основной эфир'!$AA:$AA, 'Основной эфир'!$B:$B=$A555,'Основной эфир'!$C:$C=$B555,'Основной эфир'!$I:$I=$C555)), 0) "),0.0)</f>
        <v>0</v>
      </c>
      <c r="E555" s="91">
        <f>IFERROR(__xludf.DUMMYFUNCTION("IFERROR(sum(filter('Основной эфир'!$AC:$AC, 'Основной эфир'!$B:$B=$A555,'Основной эфир'!$C:$C=$B555,'Основной эфир'!$I:$I=$C555)), 0) "),0.0)</f>
        <v>0</v>
      </c>
      <c r="F555" s="91">
        <f>IFERROR(__xludf.DUMMYFUNCTION("IFERROR(sum(filter('Основной эфир'!$O:$O, 'Основной эфир'!$B:$B=$A555,'Основной эфир'!$C:$C=$B555,'Основной эфир'!$I:$I=$C555)), 0) "),0.0)</f>
        <v>0</v>
      </c>
      <c r="G555" s="91">
        <f>IFERROR(__xludf.DUMMYFUNCTION("IFERROR(sum(filter('Основной эфир'!$Q:$Q, 'Основной эфир'!$B:$B=$A555,'Основной эфир'!$C:$C=$B555,'Основной эфир'!$I:$I=$C555)), 0) "),0.0)</f>
        <v>0</v>
      </c>
      <c r="H555" s="91">
        <f>IFERROR(__xludf.DUMMYFUNCTION("IFERROR(AVERAGE(filter('Основной эфир'!$Y:$Y, 'Основной эфир'!$B:$B=$A555,'Основной эфир'!$C:$C=$B555,'Основной эфир'!$I:$I=$C555)), 0) "),0.0)</f>
        <v>0</v>
      </c>
      <c r="I555" s="91">
        <f>IFERROR(__xludf.DUMMYFUNCTION("IFERROR(AVERAGE(filter('Основной эфир'!$AE:$AE, 'Основной эфир'!$B:$B=$A555,'Основной эфир'!$C:$C=$B555,'Основной эфир'!$I:$I=$C555)), 0) "),0.0)</f>
        <v>0</v>
      </c>
      <c r="J555" s="91">
        <f>IFERROR(__xludf.DUMMYFUNCTION("IFERROR(SUM(filter('Основной эфир'!$AL:$AL, 'Основной эфир'!$B:$B=$A555,'Основной эфир'!$C:$C=$B555,'Основной эфир'!$I:$I=$C555)), 0) "),0.0)</f>
        <v>0</v>
      </c>
      <c r="K555" s="91" t="str">
        <f>IFERROR(__xludf.DUMMYFUNCTION("IFERROR(REGEXREPLACE(unique(filter('Основной эфир'!$A:$A, 'Основной эфир'!$B:$B=$A555,'Основной эфир'!$C:$C=$B555,'Основной эфир'!$I:$I=$C555)), ""\d+"", """"),"""")"),"")</f>
        <v/>
      </c>
      <c r="L555" s="91" t="str">
        <f>IFERROR(__xludf.DUMMYFUNCTION("IFERROR(unique(filter('Основной эфир'!$F:$F, 'Основной эфир'!$B:$B=$A555,'Основной эфир'!$C:$C=$B555,'Основной эфир'!$I:$I=$C555)),"""")"),"")</f>
        <v/>
      </c>
      <c r="M555" s="92" t="str">
        <f t="shared" si="1"/>
        <v/>
      </c>
      <c r="N555" s="93">
        <f>IFERROR(__xludf.DUMMYFUNCTION("IFERROR(SWITCH(lower(join("" "",L555:M555)),""а миллионник"", 62.5,""б миллионник"", 75,""а мск"", 50, ""б мск"", 62.5, ""a остальное"", 70, ""б остальное"", 80)/100,0)"),0.0)</f>
        <v>0</v>
      </c>
      <c r="O555" s="91">
        <f t="shared" si="2"/>
        <v>0</v>
      </c>
      <c r="P555" s="91">
        <f>IFERROR(__xludf.DUMMYFUNCTION("IFERROR(sum(filter('Генеральный баннер'!$O:$O, 'Генеральный баннер'!$B:$B=$A555,'Генеральный баннер'!$C:$C=$B555,'Генеральный баннер'!$I:$I=$C555)), 0) "),0.0)</f>
        <v>0</v>
      </c>
      <c r="Q555" s="91">
        <f>IFERROR(__xludf.DUMMYFUNCTION("IFERROR(sum(filter('Генеральный баннер'!$Q:$Q, 'Генеральный баннер'!$B:$B=$A555,'Генеральный баннер'!$C:$C=$B555,'Генеральный баннер'!$I:$I=$C555)), 0) "),0.0)</f>
        <v>0</v>
      </c>
      <c r="R555" s="91">
        <f>IFERROR(__xludf.DUMMYFUNCTION("IFERROR(AVERAGE(filter('Генеральный баннер'!$AA:$AA, 'Генеральный баннер'!$B:$B=$A555,'Генеральный баннер'!$C:$C=$B555,'Генеральный баннер'!$I:$I=$C555)), 0) "),0.0)</f>
        <v>0</v>
      </c>
      <c r="S555" s="91">
        <f>IFERROR(__xludf.DUMMYFUNCTION("IFERROR(SUM(filter('Генеральный баннер'!$AH:$AH, 'Генеральный баннер'!$B:$B=$A555,'Генеральный баннер'!$C:$C=$B555,'Генеральный баннер'!$I:$I=$C555)), 0) "),0.0)</f>
        <v>0</v>
      </c>
      <c r="T555" s="91" t="str">
        <f>IFERROR(__xludf.DUMMYFUNCTION("IFERROR(REGEXREPLACE(unique(filter('Генеральный баннер'!$A:$A, 'Генеральный баннер'!$B:$B=$A555,'Генеральный баннер'!$C:$C=$B555,'Генеральный баннер'!$I:$I=$C555)), ""\d+"", """"),"""")"),"")</f>
        <v/>
      </c>
      <c r="U555" s="91" t="str">
        <f>IFERROR(__xludf.DUMMYFUNCTION("IFERROR(unique(filter('Генеральный баннер'!$F:$F, 'Генеральный баннер'!$B:$B=$A555,'Генеральный баннер'!$C:$C=$B555,'Генеральный баннер'!$I:$I=$C555)),"""")"),"")</f>
        <v/>
      </c>
      <c r="V555" s="92" t="str">
        <f t="shared" si="3"/>
        <v/>
      </c>
      <c r="W555" s="93">
        <f>IFERROR(__xludf.DUMMYFUNCTION("IFERROR(SWITCH(lower(join("" "",U555:V555)),""а миллионник"", 62.5,""б миллионник"", 75,""а мск"", 50, ""б мск"", 62.5, ""a остальное"", 70, ""б остальное"", 80)/100,0)"),0.0)</f>
        <v>0</v>
      </c>
      <c r="X555" s="91">
        <f t="shared" si="4"/>
        <v>0</v>
      </c>
    </row>
    <row r="556">
      <c r="A556" s="12"/>
      <c r="B556" s="12"/>
      <c r="C556" s="12"/>
      <c r="D556" s="91">
        <f>IFERROR(__xludf.DUMMYFUNCTION("IFERROR(sum(filter('Основной эфир'!$AA:$AA, 'Основной эфир'!$B:$B=$A556,'Основной эфир'!$C:$C=$B556,'Основной эфир'!$I:$I=$C556)), 0) "),0.0)</f>
        <v>0</v>
      </c>
      <c r="E556" s="91">
        <f>IFERROR(__xludf.DUMMYFUNCTION("IFERROR(sum(filter('Основной эфир'!$AC:$AC, 'Основной эфир'!$B:$B=$A556,'Основной эфир'!$C:$C=$B556,'Основной эфир'!$I:$I=$C556)), 0) "),0.0)</f>
        <v>0</v>
      </c>
      <c r="F556" s="91">
        <f>IFERROR(__xludf.DUMMYFUNCTION("IFERROR(sum(filter('Основной эфир'!$O:$O, 'Основной эфир'!$B:$B=$A556,'Основной эфир'!$C:$C=$B556,'Основной эфир'!$I:$I=$C556)), 0) "),0.0)</f>
        <v>0</v>
      </c>
      <c r="G556" s="91">
        <f>IFERROR(__xludf.DUMMYFUNCTION("IFERROR(sum(filter('Основной эфир'!$Q:$Q, 'Основной эфир'!$B:$B=$A556,'Основной эфир'!$C:$C=$B556,'Основной эфир'!$I:$I=$C556)), 0) "),0.0)</f>
        <v>0</v>
      </c>
      <c r="H556" s="91">
        <f>IFERROR(__xludf.DUMMYFUNCTION("IFERROR(AVERAGE(filter('Основной эфир'!$Y:$Y, 'Основной эфир'!$B:$B=$A556,'Основной эфир'!$C:$C=$B556,'Основной эфир'!$I:$I=$C556)), 0) "),0.0)</f>
        <v>0</v>
      </c>
      <c r="I556" s="91">
        <f>IFERROR(__xludf.DUMMYFUNCTION("IFERROR(AVERAGE(filter('Основной эфир'!$AE:$AE, 'Основной эфир'!$B:$B=$A556,'Основной эфир'!$C:$C=$B556,'Основной эфир'!$I:$I=$C556)), 0) "),0.0)</f>
        <v>0</v>
      </c>
      <c r="J556" s="91">
        <f>IFERROR(__xludf.DUMMYFUNCTION("IFERROR(SUM(filter('Основной эфир'!$AL:$AL, 'Основной эфир'!$B:$B=$A556,'Основной эфир'!$C:$C=$B556,'Основной эфир'!$I:$I=$C556)), 0) "),0.0)</f>
        <v>0</v>
      </c>
      <c r="K556" s="91" t="str">
        <f>IFERROR(__xludf.DUMMYFUNCTION("IFERROR(REGEXREPLACE(unique(filter('Основной эфир'!$A:$A, 'Основной эфир'!$B:$B=$A556,'Основной эфир'!$C:$C=$B556,'Основной эфир'!$I:$I=$C556)), ""\d+"", """"),"""")"),"")</f>
        <v/>
      </c>
      <c r="L556" s="91" t="str">
        <f>IFERROR(__xludf.DUMMYFUNCTION("IFERROR(unique(filter('Основной эфир'!$F:$F, 'Основной эфир'!$B:$B=$A556,'Основной эфир'!$C:$C=$B556,'Основной эфир'!$I:$I=$C556)),"""")"),"")</f>
        <v/>
      </c>
      <c r="M556" s="92" t="str">
        <f t="shared" si="1"/>
        <v/>
      </c>
      <c r="N556" s="93">
        <f>IFERROR(__xludf.DUMMYFUNCTION("IFERROR(SWITCH(lower(join("" "",L556:M556)),""а миллионник"", 62.5,""б миллионник"", 75,""а мск"", 50, ""б мск"", 62.5, ""a остальное"", 70, ""б остальное"", 80)/100,0)"),0.0)</f>
        <v>0</v>
      </c>
      <c r="O556" s="91">
        <f t="shared" si="2"/>
        <v>0</v>
      </c>
      <c r="P556" s="91">
        <f>IFERROR(__xludf.DUMMYFUNCTION("IFERROR(sum(filter('Генеральный баннер'!$O:$O, 'Генеральный баннер'!$B:$B=$A556,'Генеральный баннер'!$C:$C=$B556,'Генеральный баннер'!$I:$I=$C556)), 0) "),0.0)</f>
        <v>0</v>
      </c>
      <c r="Q556" s="91">
        <f>IFERROR(__xludf.DUMMYFUNCTION("IFERROR(sum(filter('Генеральный баннер'!$Q:$Q, 'Генеральный баннер'!$B:$B=$A556,'Генеральный баннер'!$C:$C=$B556,'Генеральный баннер'!$I:$I=$C556)), 0) "),0.0)</f>
        <v>0</v>
      </c>
      <c r="R556" s="91">
        <f>IFERROR(__xludf.DUMMYFUNCTION("IFERROR(AVERAGE(filter('Генеральный баннер'!$AA:$AA, 'Генеральный баннер'!$B:$B=$A556,'Генеральный баннер'!$C:$C=$B556,'Генеральный баннер'!$I:$I=$C556)), 0) "),0.0)</f>
        <v>0</v>
      </c>
      <c r="S556" s="91">
        <f>IFERROR(__xludf.DUMMYFUNCTION("IFERROR(SUM(filter('Генеральный баннер'!$AH:$AH, 'Генеральный баннер'!$B:$B=$A556,'Генеральный баннер'!$C:$C=$B556,'Генеральный баннер'!$I:$I=$C556)), 0) "),0.0)</f>
        <v>0</v>
      </c>
      <c r="T556" s="91" t="str">
        <f>IFERROR(__xludf.DUMMYFUNCTION("IFERROR(REGEXREPLACE(unique(filter('Генеральный баннер'!$A:$A, 'Генеральный баннер'!$B:$B=$A556,'Генеральный баннер'!$C:$C=$B556,'Генеральный баннер'!$I:$I=$C556)), ""\d+"", """"),"""")"),"")</f>
        <v/>
      </c>
      <c r="U556" s="91" t="str">
        <f>IFERROR(__xludf.DUMMYFUNCTION("IFERROR(unique(filter('Генеральный баннер'!$F:$F, 'Генеральный баннер'!$B:$B=$A556,'Генеральный баннер'!$C:$C=$B556,'Генеральный баннер'!$I:$I=$C556)),"""")"),"")</f>
        <v/>
      </c>
      <c r="V556" s="92" t="str">
        <f t="shared" si="3"/>
        <v/>
      </c>
      <c r="W556" s="93">
        <f>IFERROR(__xludf.DUMMYFUNCTION("IFERROR(SWITCH(lower(join("" "",U556:V556)),""а миллионник"", 62.5,""б миллионник"", 75,""а мск"", 50, ""б мск"", 62.5, ""a остальное"", 70, ""б остальное"", 80)/100,0)"),0.0)</f>
        <v>0</v>
      </c>
      <c r="X556" s="91">
        <f t="shared" si="4"/>
        <v>0</v>
      </c>
    </row>
    <row r="557">
      <c r="A557" s="12"/>
      <c r="B557" s="12"/>
      <c r="C557" s="12"/>
      <c r="D557" s="91">
        <f>IFERROR(__xludf.DUMMYFUNCTION("IFERROR(sum(filter('Основной эфир'!$AA:$AA, 'Основной эфир'!$B:$B=$A557,'Основной эфир'!$C:$C=$B557,'Основной эфир'!$I:$I=$C557)), 0) "),0.0)</f>
        <v>0</v>
      </c>
      <c r="E557" s="91">
        <f>IFERROR(__xludf.DUMMYFUNCTION("IFERROR(sum(filter('Основной эфир'!$AC:$AC, 'Основной эфир'!$B:$B=$A557,'Основной эфир'!$C:$C=$B557,'Основной эфир'!$I:$I=$C557)), 0) "),0.0)</f>
        <v>0</v>
      </c>
      <c r="F557" s="91">
        <f>IFERROR(__xludf.DUMMYFUNCTION("IFERROR(sum(filter('Основной эфир'!$O:$O, 'Основной эфир'!$B:$B=$A557,'Основной эфир'!$C:$C=$B557,'Основной эфир'!$I:$I=$C557)), 0) "),0.0)</f>
        <v>0</v>
      </c>
      <c r="G557" s="91">
        <f>IFERROR(__xludf.DUMMYFUNCTION("IFERROR(sum(filter('Основной эфир'!$Q:$Q, 'Основной эфир'!$B:$B=$A557,'Основной эфир'!$C:$C=$B557,'Основной эфир'!$I:$I=$C557)), 0) "),0.0)</f>
        <v>0</v>
      </c>
      <c r="H557" s="91">
        <f>IFERROR(__xludf.DUMMYFUNCTION("IFERROR(AVERAGE(filter('Основной эфир'!$Y:$Y, 'Основной эфир'!$B:$B=$A557,'Основной эфир'!$C:$C=$B557,'Основной эфир'!$I:$I=$C557)), 0) "),0.0)</f>
        <v>0</v>
      </c>
      <c r="I557" s="91">
        <f>IFERROR(__xludf.DUMMYFUNCTION("IFERROR(AVERAGE(filter('Основной эфир'!$AE:$AE, 'Основной эфир'!$B:$B=$A557,'Основной эфир'!$C:$C=$B557,'Основной эфир'!$I:$I=$C557)), 0) "),0.0)</f>
        <v>0</v>
      </c>
      <c r="J557" s="91">
        <f>IFERROR(__xludf.DUMMYFUNCTION("IFERROR(SUM(filter('Основной эфир'!$AL:$AL, 'Основной эфир'!$B:$B=$A557,'Основной эфир'!$C:$C=$B557,'Основной эфир'!$I:$I=$C557)), 0) "),0.0)</f>
        <v>0</v>
      </c>
      <c r="K557" s="91" t="str">
        <f>IFERROR(__xludf.DUMMYFUNCTION("IFERROR(REGEXREPLACE(unique(filter('Основной эфир'!$A:$A, 'Основной эфир'!$B:$B=$A557,'Основной эфир'!$C:$C=$B557,'Основной эфир'!$I:$I=$C557)), ""\d+"", """"),"""")"),"")</f>
        <v/>
      </c>
      <c r="L557" s="91" t="str">
        <f>IFERROR(__xludf.DUMMYFUNCTION("IFERROR(unique(filter('Основной эфир'!$F:$F, 'Основной эфир'!$B:$B=$A557,'Основной эфир'!$C:$C=$B557,'Основной эфир'!$I:$I=$C557)),"""")"),"")</f>
        <v/>
      </c>
      <c r="M557" s="92" t="str">
        <f t="shared" si="1"/>
        <v/>
      </c>
      <c r="N557" s="93">
        <f>IFERROR(__xludf.DUMMYFUNCTION("IFERROR(SWITCH(lower(join("" "",L557:M557)),""а миллионник"", 62.5,""б миллионник"", 75,""а мск"", 50, ""б мск"", 62.5, ""a остальное"", 70, ""б остальное"", 80)/100,0)"),0.0)</f>
        <v>0</v>
      </c>
      <c r="O557" s="91">
        <f t="shared" si="2"/>
        <v>0</v>
      </c>
      <c r="P557" s="91">
        <f>IFERROR(__xludf.DUMMYFUNCTION("IFERROR(sum(filter('Генеральный баннер'!$O:$O, 'Генеральный баннер'!$B:$B=$A557,'Генеральный баннер'!$C:$C=$B557,'Генеральный баннер'!$I:$I=$C557)), 0) "),0.0)</f>
        <v>0</v>
      </c>
      <c r="Q557" s="91">
        <f>IFERROR(__xludf.DUMMYFUNCTION("IFERROR(sum(filter('Генеральный баннер'!$Q:$Q, 'Генеральный баннер'!$B:$B=$A557,'Генеральный баннер'!$C:$C=$B557,'Генеральный баннер'!$I:$I=$C557)), 0) "),0.0)</f>
        <v>0</v>
      </c>
      <c r="R557" s="91">
        <f>IFERROR(__xludf.DUMMYFUNCTION("IFERROR(AVERAGE(filter('Генеральный баннер'!$AA:$AA, 'Генеральный баннер'!$B:$B=$A557,'Генеральный баннер'!$C:$C=$B557,'Генеральный баннер'!$I:$I=$C557)), 0) "),0.0)</f>
        <v>0</v>
      </c>
      <c r="S557" s="91">
        <f>IFERROR(__xludf.DUMMYFUNCTION("IFERROR(SUM(filter('Генеральный баннер'!$AH:$AH, 'Генеральный баннер'!$B:$B=$A557,'Генеральный баннер'!$C:$C=$B557,'Генеральный баннер'!$I:$I=$C557)), 0) "),0.0)</f>
        <v>0</v>
      </c>
      <c r="T557" s="91" t="str">
        <f>IFERROR(__xludf.DUMMYFUNCTION("IFERROR(REGEXREPLACE(unique(filter('Генеральный баннер'!$A:$A, 'Генеральный баннер'!$B:$B=$A557,'Генеральный баннер'!$C:$C=$B557,'Генеральный баннер'!$I:$I=$C557)), ""\d+"", """"),"""")"),"")</f>
        <v/>
      </c>
      <c r="U557" s="91" t="str">
        <f>IFERROR(__xludf.DUMMYFUNCTION("IFERROR(unique(filter('Генеральный баннер'!$F:$F, 'Генеральный баннер'!$B:$B=$A557,'Генеральный баннер'!$C:$C=$B557,'Генеральный баннер'!$I:$I=$C557)),"""")"),"")</f>
        <v/>
      </c>
      <c r="V557" s="92" t="str">
        <f t="shared" si="3"/>
        <v/>
      </c>
      <c r="W557" s="93">
        <f>IFERROR(__xludf.DUMMYFUNCTION("IFERROR(SWITCH(lower(join("" "",U557:V557)),""а миллионник"", 62.5,""б миллионник"", 75,""а мск"", 50, ""б мск"", 62.5, ""a остальное"", 70, ""б остальное"", 80)/100,0)"),0.0)</f>
        <v>0</v>
      </c>
      <c r="X557" s="91">
        <f t="shared" si="4"/>
        <v>0</v>
      </c>
    </row>
    <row r="558">
      <c r="A558" s="12"/>
      <c r="B558" s="12"/>
      <c r="C558" s="12"/>
      <c r="D558" s="91">
        <f>IFERROR(__xludf.DUMMYFUNCTION("IFERROR(sum(filter('Основной эфир'!$AA:$AA, 'Основной эфир'!$B:$B=$A558,'Основной эфир'!$C:$C=$B558,'Основной эфир'!$I:$I=$C558)), 0) "),0.0)</f>
        <v>0</v>
      </c>
      <c r="E558" s="91">
        <f>IFERROR(__xludf.DUMMYFUNCTION("IFERROR(sum(filter('Основной эфир'!$AC:$AC, 'Основной эфир'!$B:$B=$A558,'Основной эфир'!$C:$C=$B558,'Основной эфир'!$I:$I=$C558)), 0) "),0.0)</f>
        <v>0</v>
      </c>
      <c r="F558" s="91">
        <f>IFERROR(__xludf.DUMMYFUNCTION("IFERROR(sum(filter('Основной эфир'!$O:$O, 'Основной эфир'!$B:$B=$A558,'Основной эфир'!$C:$C=$B558,'Основной эфир'!$I:$I=$C558)), 0) "),0.0)</f>
        <v>0</v>
      </c>
      <c r="G558" s="91">
        <f>IFERROR(__xludf.DUMMYFUNCTION("IFERROR(sum(filter('Основной эфир'!$Q:$Q, 'Основной эфир'!$B:$B=$A558,'Основной эфир'!$C:$C=$B558,'Основной эфир'!$I:$I=$C558)), 0) "),0.0)</f>
        <v>0</v>
      </c>
      <c r="H558" s="91">
        <f>IFERROR(__xludf.DUMMYFUNCTION("IFERROR(AVERAGE(filter('Основной эфир'!$Y:$Y, 'Основной эфир'!$B:$B=$A558,'Основной эфир'!$C:$C=$B558,'Основной эфир'!$I:$I=$C558)), 0) "),0.0)</f>
        <v>0</v>
      </c>
      <c r="I558" s="91">
        <f>IFERROR(__xludf.DUMMYFUNCTION("IFERROR(AVERAGE(filter('Основной эфир'!$AE:$AE, 'Основной эфир'!$B:$B=$A558,'Основной эфир'!$C:$C=$B558,'Основной эфир'!$I:$I=$C558)), 0) "),0.0)</f>
        <v>0</v>
      </c>
      <c r="J558" s="91">
        <f>IFERROR(__xludf.DUMMYFUNCTION("IFERROR(SUM(filter('Основной эфир'!$AL:$AL, 'Основной эфир'!$B:$B=$A558,'Основной эфир'!$C:$C=$B558,'Основной эфир'!$I:$I=$C558)), 0) "),0.0)</f>
        <v>0</v>
      </c>
      <c r="K558" s="91" t="str">
        <f>IFERROR(__xludf.DUMMYFUNCTION("IFERROR(REGEXREPLACE(unique(filter('Основной эфир'!$A:$A, 'Основной эфир'!$B:$B=$A558,'Основной эфир'!$C:$C=$B558,'Основной эфир'!$I:$I=$C558)), ""\d+"", """"),"""")"),"")</f>
        <v/>
      </c>
      <c r="L558" s="91" t="str">
        <f>IFERROR(__xludf.DUMMYFUNCTION("IFERROR(unique(filter('Основной эфир'!$F:$F, 'Основной эфир'!$B:$B=$A558,'Основной эфир'!$C:$C=$B558,'Основной эфир'!$I:$I=$C558)),"""")"),"")</f>
        <v/>
      </c>
      <c r="M558" s="92" t="str">
        <f t="shared" si="1"/>
        <v/>
      </c>
      <c r="N558" s="93">
        <f>IFERROR(__xludf.DUMMYFUNCTION("IFERROR(SWITCH(lower(join("" "",L558:M558)),""а миллионник"", 62.5,""б миллионник"", 75,""а мск"", 50, ""б мск"", 62.5, ""a остальное"", 70, ""б остальное"", 80)/100,0)"),0.0)</f>
        <v>0</v>
      </c>
      <c r="O558" s="91">
        <f t="shared" si="2"/>
        <v>0</v>
      </c>
      <c r="P558" s="91">
        <f>IFERROR(__xludf.DUMMYFUNCTION("IFERROR(sum(filter('Генеральный баннер'!$O:$O, 'Генеральный баннер'!$B:$B=$A558,'Генеральный баннер'!$C:$C=$B558,'Генеральный баннер'!$I:$I=$C558)), 0) "),0.0)</f>
        <v>0</v>
      </c>
      <c r="Q558" s="91">
        <f>IFERROR(__xludf.DUMMYFUNCTION("IFERROR(sum(filter('Генеральный баннер'!$Q:$Q, 'Генеральный баннер'!$B:$B=$A558,'Генеральный баннер'!$C:$C=$B558,'Генеральный баннер'!$I:$I=$C558)), 0) "),0.0)</f>
        <v>0</v>
      </c>
      <c r="R558" s="91">
        <f>IFERROR(__xludf.DUMMYFUNCTION("IFERROR(AVERAGE(filter('Генеральный баннер'!$AA:$AA, 'Генеральный баннер'!$B:$B=$A558,'Генеральный баннер'!$C:$C=$B558,'Генеральный баннер'!$I:$I=$C558)), 0) "),0.0)</f>
        <v>0</v>
      </c>
      <c r="S558" s="91">
        <f>IFERROR(__xludf.DUMMYFUNCTION("IFERROR(SUM(filter('Генеральный баннер'!$AH:$AH, 'Генеральный баннер'!$B:$B=$A558,'Генеральный баннер'!$C:$C=$B558,'Генеральный баннер'!$I:$I=$C558)), 0) "),0.0)</f>
        <v>0</v>
      </c>
      <c r="T558" s="91" t="str">
        <f>IFERROR(__xludf.DUMMYFUNCTION("IFERROR(REGEXREPLACE(unique(filter('Генеральный баннер'!$A:$A, 'Генеральный баннер'!$B:$B=$A558,'Генеральный баннер'!$C:$C=$B558,'Генеральный баннер'!$I:$I=$C558)), ""\d+"", """"),"""")"),"")</f>
        <v/>
      </c>
      <c r="U558" s="91" t="str">
        <f>IFERROR(__xludf.DUMMYFUNCTION("IFERROR(unique(filter('Генеральный баннер'!$F:$F, 'Генеральный баннер'!$B:$B=$A558,'Генеральный баннер'!$C:$C=$B558,'Генеральный баннер'!$I:$I=$C558)),"""")"),"")</f>
        <v/>
      </c>
      <c r="V558" s="92" t="str">
        <f t="shared" si="3"/>
        <v/>
      </c>
      <c r="W558" s="93">
        <f>IFERROR(__xludf.DUMMYFUNCTION("IFERROR(SWITCH(lower(join("" "",U558:V558)),""а миллионник"", 62.5,""б миллионник"", 75,""а мск"", 50, ""б мск"", 62.5, ""a остальное"", 70, ""б остальное"", 80)/100,0)"),0.0)</f>
        <v>0</v>
      </c>
      <c r="X558" s="91">
        <f t="shared" si="4"/>
        <v>0</v>
      </c>
    </row>
    <row r="559">
      <c r="A559" s="12"/>
      <c r="B559" s="12"/>
      <c r="C559" s="12"/>
      <c r="D559" s="91">
        <f>IFERROR(__xludf.DUMMYFUNCTION("IFERROR(sum(filter('Основной эфир'!$AA:$AA, 'Основной эфир'!$B:$B=$A559,'Основной эфир'!$C:$C=$B559,'Основной эфир'!$I:$I=$C559)), 0) "),0.0)</f>
        <v>0</v>
      </c>
      <c r="E559" s="91">
        <f>IFERROR(__xludf.DUMMYFUNCTION("IFERROR(sum(filter('Основной эфир'!$AC:$AC, 'Основной эфир'!$B:$B=$A559,'Основной эфир'!$C:$C=$B559,'Основной эфир'!$I:$I=$C559)), 0) "),0.0)</f>
        <v>0</v>
      </c>
      <c r="F559" s="91">
        <f>IFERROR(__xludf.DUMMYFUNCTION("IFERROR(sum(filter('Основной эфир'!$O:$O, 'Основной эфир'!$B:$B=$A559,'Основной эфир'!$C:$C=$B559,'Основной эфир'!$I:$I=$C559)), 0) "),0.0)</f>
        <v>0</v>
      </c>
      <c r="G559" s="91">
        <f>IFERROR(__xludf.DUMMYFUNCTION("IFERROR(sum(filter('Основной эфир'!$Q:$Q, 'Основной эфир'!$B:$B=$A559,'Основной эфир'!$C:$C=$B559,'Основной эфир'!$I:$I=$C559)), 0) "),0.0)</f>
        <v>0</v>
      </c>
      <c r="H559" s="91">
        <f>IFERROR(__xludf.DUMMYFUNCTION("IFERROR(AVERAGE(filter('Основной эфир'!$Y:$Y, 'Основной эфир'!$B:$B=$A559,'Основной эфир'!$C:$C=$B559,'Основной эфир'!$I:$I=$C559)), 0) "),0.0)</f>
        <v>0</v>
      </c>
      <c r="I559" s="91">
        <f>IFERROR(__xludf.DUMMYFUNCTION("IFERROR(AVERAGE(filter('Основной эфир'!$AE:$AE, 'Основной эфир'!$B:$B=$A559,'Основной эфир'!$C:$C=$B559,'Основной эфир'!$I:$I=$C559)), 0) "),0.0)</f>
        <v>0</v>
      </c>
      <c r="J559" s="91">
        <f>IFERROR(__xludf.DUMMYFUNCTION("IFERROR(SUM(filter('Основной эфир'!$AL:$AL, 'Основной эфир'!$B:$B=$A559,'Основной эфир'!$C:$C=$B559,'Основной эфир'!$I:$I=$C559)), 0) "),0.0)</f>
        <v>0</v>
      </c>
      <c r="K559" s="91" t="str">
        <f>IFERROR(__xludf.DUMMYFUNCTION("IFERROR(REGEXREPLACE(unique(filter('Основной эфир'!$A:$A, 'Основной эфир'!$B:$B=$A559,'Основной эфир'!$C:$C=$B559,'Основной эфир'!$I:$I=$C559)), ""\d+"", """"),"""")"),"")</f>
        <v/>
      </c>
      <c r="L559" s="91" t="str">
        <f>IFERROR(__xludf.DUMMYFUNCTION("IFERROR(unique(filter('Основной эфир'!$F:$F, 'Основной эфир'!$B:$B=$A559,'Основной эфир'!$C:$C=$B559,'Основной эфир'!$I:$I=$C559)),"""")"),"")</f>
        <v/>
      </c>
      <c r="M559" s="92" t="str">
        <f t="shared" si="1"/>
        <v/>
      </c>
      <c r="N559" s="93">
        <f>IFERROR(__xludf.DUMMYFUNCTION("IFERROR(SWITCH(lower(join("" "",L559:M559)),""а миллионник"", 62.5,""б миллионник"", 75,""а мск"", 50, ""б мск"", 62.5, ""a остальное"", 70, ""б остальное"", 80)/100,0)"),0.0)</f>
        <v>0</v>
      </c>
      <c r="O559" s="91">
        <f t="shared" si="2"/>
        <v>0</v>
      </c>
      <c r="P559" s="91">
        <f>IFERROR(__xludf.DUMMYFUNCTION("IFERROR(sum(filter('Генеральный баннер'!$O:$O, 'Генеральный баннер'!$B:$B=$A559,'Генеральный баннер'!$C:$C=$B559,'Генеральный баннер'!$I:$I=$C559)), 0) "),0.0)</f>
        <v>0</v>
      </c>
      <c r="Q559" s="91">
        <f>IFERROR(__xludf.DUMMYFUNCTION("IFERROR(sum(filter('Генеральный баннер'!$Q:$Q, 'Генеральный баннер'!$B:$B=$A559,'Генеральный баннер'!$C:$C=$B559,'Генеральный баннер'!$I:$I=$C559)), 0) "),0.0)</f>
        <v>0</v>
      </c>
      <c r="R559" s="91">
        <f>IFERROR(__xludf.DUMMYFUNCTION("IFERROR(AVERAGE(filter('Генеральный баннер'!$AA:$AA, 'Генеральный баннер'!$B:$B=$A559,'Генеральный баннер'!$C:$C=$B559,'Генеральный баннер'!$I:$I=$C559)), 0) "),0.0)</f>
        <v>0</v>
      </c>
      <c r="S559" s="91">
        <f>IFERROR(__xludf.DUMMYFUNCTION("IFERROR(SUM(filter('Генеральный баннер'!$AH:$AH, 'Генеральный баннер'!$B:$B=$A559,'Генеральный баннер'!$C:$C=$B559,'Генеральный баннер'!$I:$I=$C559)), 0) "),0.0)</f>
        <v>0</v>
      </c>
      <c r="T559" s="91" t="str">
        <f>IFERROR(__xludf.DUMMYFUNCTION("IFERROR(REGEXREPLACE(unique(filter('Генеральный баннер'!$A:$A, 'Генеральный баннер'!$B:$B=$A559,'Генеральный баннер'!$C:$C=$B559,'Генеральный баннер'!$I:$I=$C559)), ""\d+"", """"),"""")"),"")</f>
        <v/>
      </c>
      <c r="U559" s="91" t="str">
        <f>IFERROR(__xludf.DUMMYFUNCTION("IFERROR(unique(filter('Генеральный баннер'!$F:$F, 'Генеральный баннер'!$B:$B=$A559,'Генеральный баннер'!$C:$C=$B559,'Генеральный баннер'!$I:$I=$C559)),"""")"),"")</f>
        <v/>
      </c>
      <c r="V559" s="92" t="str">
        <f t="shared" si="3"/>
        <v/>
      </c>
      <c r="W559" s="93">
        <f>IFERROR(__xludf.DUMMYFUNCTION("IFERROR(SWITCH(lower(join("" "",U559:V559)),""а миллионник"", 62.5,""б миллионник"", 75,""а мск"", 50, ""б мск"", 62.5, ""a остальное"", 70, ""б остальное"", 80)/100,0)"),0.0)</f>
        <v>0</v>
      </c>
      <c r="X559" s="91">
        <f t="shared" si="4"/>
        <v>0</v>
      </c>
    </row>
    <row r="560">
      <c r="A560" s="12"/>
      <c r="B560" s="12"/>
      <c r="C560" s="12"/>
      <c r="D560" s="91">
        <f>IFERROR(__xludf.DUMMYFUNCTION("IFERROR(sum(filter('Основной эфир'!$AA:$AA, 'Основной эфир'!$B:$B=$A560,'Основной эфир'!$C:$C=$B560,'Основной эфир'!$I:$I=$C560)), 0) "),0.0)</f>
        <v>0</v>
      </c>
      <c r="E560" s="91">
        <f>IFERROR(__xludf.DUMMYFUNCTION("IFERROR(sum(filter('Основной эфир'!$AC:$AC, 'Основной эфир'!$B:$B=$A560,'Основной эфир'!$C:$C=$B560,'Основной эфир'!$I:$I=$C560)), 0) "),0.0)</f>
        <v>0</v>
      </c>
      <c r="F560" s="91">
        <f>IFERROR(__xludf.DUMMYFUNCTION("IFERROR(sum(filter('Основной эфир'!$O:$O, 'Основной эфир'!$B:$B=$A560,'Основной эфир'!$C:$C=$B560,'Основной эфир'!$I:$I=$C560)), 0) "),0.0)</f>
        <v>0</v>
      </c>
      <c r="G560" s="91">
        <f>IFERROR(__xludf.DUMMYFUNCTION("IFERROR(sum(filter('Основной эфир'!$Q:$Q, 'Основной эфир'!$B:$B=$A560,'Основной эфир'!$C:$C=$B560,'Основной эфир'!$I:$I=$C560)), 0) "),0.0)</f>
        <v>0</v>
      </c>
      <c r="H560" s="91">
        <f>IFERROR(__xludf.DUMMYFUNCTION("IFERROR(AVERAGE(filter('Основной эфир'!$Y:$Y, 'Основной эфир'!$B:$B=$A560,'Основной эфир'!$C:$C=$B560,'Основной эфир'!$I:$I=$C560)), 0) "),0.0)</f>
        <v>0</v>
      </c>
      <c r="I560" s="91">
        <f>IFERROR(__xludf.DUMMYFUNCTION("IFERROR(AVERAGE(filter('Основной эфир'!$AE:$AE, 'Основной эфир'!$B:$B=$A560,'Основной эфир'!$C:$C=$B560,'Основной эфир'!$I:$I=$C560)), 0) "),0.0)</f>
        <v>0</v>
      </c>
      <c r="J560" s="91">
        <f>IFERROR(__xludf.DUMMYFUNCTION("IFERROR(SUM(filter('Основной эфир'!$AL:$AL, 'Основной эфир'!$B:$B=$A560,'Основной эфир'!$C:$C=$B560,'Основной эфир'!$I:$I=$C560)), 0) "),0.0)</f>
        <v>0</v>
      </c>
      <c r="K560" s="91" t="str">
        <f>IFERROR(__xludf.DUMMYFUNCTION("IFERROR(REGEXREPLACE(unique(filter('Основной эфир'!$A:$A, 'Основной эфир'!$B:$B=$A560,'Основной эфир'!$C:$C=$B560,'Основной эфир'!$I:$I=$C560)), ""\d+"", """"),"""")"),"")</f>
        <v/>
      </c>
      <c r="L560" s="91" t="str">
        <f>IFERROR(__xludf.DUMMYFUNCTION("IFERROR(unique(filter('Основной эфир'!$F:$F, 'Основной эфир'!$B:$B=$A560,'Основной эфир'!$C:$C=$B560,'Основной эфир'!$I:$I=$C560)),"""")"),"")</f>
        <v/>
      </c>
      <c r="M560" s="92" t="str">
        <f t="shared" si="1"/>
        <v/>
      </c>
      <c r="N560" s="93">
        <f>IFERROR(__xludf.DUMMYFUNCTION("IFERROR(SWITCH(lower(join("" "",L560:M560)),""а миллионник"", 62.5,""б миллионник"", 75,""а мск"", 50, ""б мск"", 62.5, ""a остальное"", 70, ""б остальное"", 80)/100,0)"),0.0)</f>
        <v>0</v>
      </c>
      <c r="O560" s="91">
        <f t="shared" si="2"/>
        <v>0</v>
      </c>
      <c r="P560" s="91">
        <f>IFERROR(__xludf.DUMMYFUNCTION("IFERROR(sum(filter('Генеральный баннер'!$O:$O, 'Генеральный баннер'!$B:$B=$A560,'Генеральный баннер'!$C:$C=$B560,'Генеральный баннер'!$I:$I=$C560)), 0) "),0.0)</f>
        <v>0</v>
      </c>
      <c r="Q560" s="91">
        <f>IFERROR(__xludf.DUMMYFUNCTION("IFERROR(sum(filter('Генеральный баннер'!$Q:$Q, 'Генеральный баннер'!$B:$B=$A560,'Генеральный баннер'!$C:$C=$B560,'Генеральный баннер'!$I:$I=$C560)), 0) "),0.0)</f>
        <v>0</v>
      </c>
      <c r="R560" s="91">
        <f>IFERROR(__xludf.DUMMYFUNCTION("IFERROR(AVERAGE(filter('Генеральный баннер'!$AA:$AA, 'Генеральный баннер'!$B:$B=$A560,'Генеральный баннер'!$C:$C=$B560,'Генеральный баннер'!$I:$I=$C560)), 0) "),0.0)</f>
        <v>0</v>
      </c>
      <c r="S560" s="91">
        <f>IFERROR(__xludf.DUMMYFUNCTION("IFERROR(SUM(filter('Генеральный баннер'!$AH:$AH, 'Генеральный баннер'!$B:$B=$A560,'Генеральный баннер'!$C:$C=$B560,'Генеральный баннер'!$I:$I=$C560)), 0) "),0.0)</f>
        <v>0</v>
      </c>
      <c r="T560" s="91" t="str">
        <f>IFERROR(__xludf.DUMMYFUNCTION("IFERROR(REGEXREPLACE(unique(filter('Генеральный баннер'!$A:$A, 'Генеральный баннер'!$B:$B=$A560,'Генеральный баннер'!$C:$C=$B560,'Генеральный баннер'!$I:$I=$C560)), ""\d+"", """"),"""")"),"")</f>
        <v/>
      </c>
      <c r="U560" s="91" t="str">
        <f>IFERROR(__xludf.DUMMYFUNCTION("IFERROR(unique(filter('Генеральный баннер'!$F:$F, 'Генеральный баннер'!$B:$B=$A560,'Генеральный баннер'!$C:$C=$B560,'Генеральный баннер'!$I:$I=$C560)),"""")"),"")</f>
        <v/>
      </c>
      <c r="V560" s="92" t="str">
        <f t="shared" si="3"/>
        <v/>
      </c>
      <c r="W560" s="93">
        <f>IFERROR(__xludf.DUMMYFUNCTION("IFERROR(SWITCH(lower(join("" "",U560:V560)),""а миллионник"", 62.5,""б миллионник"", 75,""а мск"", 50, ""б мск"", 62.5, ""a остальное"", 70, ""б остальное"", 80)/100,0)"),0.0)</f>
        <v>0</v>
      </c>
      <c r="X560" s="91">
        <f t="shared" si="4"/>
        <v>0</v>
      </c>
    </row>
    <row r="561">
      <c r="A561" s="12"/>
      <c r="B561" s="12"/>
      <c r="C561" s="12"/>
      <c r="D561" s="91">
        <f>IFERROR(__xludf.DUMMYFUNCTION("IFERROR(sum(filter('Основной эфир'!$AA:$AA, 'Основной эфир'!$B:$B=$A561,'Основной эфир'!$C:$C=$B561,'Основной эфир'!$I:$I=$C561)), 0) "),0.0)</f>
        <v>0</v>
      </c>
      <c r="E561" s="91">
        <f>IFERROR(__xludf.DUMMYFUNCTION("IFERROR(sum(filter('Основной эфир'!$AC:$AC, 'Основной эфир'!$B:$B=$A561,'Основной эфир'!$C:$C=$B561,'Основной эфир'!$I:$I=$C561)), 0) "),0.0)</f>
        <v>0</v>
      </c>
      <c r="F561" s="91">
        <f>IFERROR(__xludf.DUMMYFUNCTION("IFERROR(sum(filter('Основной эфир'!$O:$O, 'Основной эфир'!$B:$B=$A561,'Основной эфир'!$C:$C=$B561,'Основной эфир'!$I:$I=$C561)), 0) "),0.0)</f>
        <v>0</v>
      </c>
      <c r="G561" s="91">
        <f>IFERROR(__xludf.DUMMYFUNCTION("IFERROR(sum(filter('Основной эфир'!$Q:$Q, 'Основной эфир'!$B:$B=$A561,'Основной эфир'!$C:$C=$B561,'Основной эфир'!$I:$I=$C561)), 0) "),0.0)</f>
        <v>0</v>
      </c>
      <c r="H561" s="91">
        <f>IFERROR(__xludf.DUMMYFUNCTION("IFERROR(AVERAGE(filter('Основной эфир'!$Y:$Y, 'Основной эфир'!$B:$B=$A561,'Основной эфир'!$C:$C=$B561,'Основной эфир'!$I:$I=$C561)), 0) "),0.0)</f>
        <v>0</v>
      </c>
      <c r="I561" s="91">
        <f>IFERROR(__xludf.DUMMYFUNCTION("IFERROR(AVERAGE(filter('Основной эфир'!$AE:$AE, 'Основной эфир'!$B:$B=$A561,'Основной эфир'!$C:$C=$B561,'Основной эфир'!$I:$I=$C561)), 0) "),0.0)</f>
        <v>0</v>
      </c>
      <c r="J561" s="91">
        <f>IFERROR(__xludf.DUMMYFUNCTION("IFERROR(SUM(filter('Основной эфир'!$AL:$AL, 'Основной эфир'!$B:$B=$A561,'Основной эфир'!$C:$C=$B561,'Основной эфир'!$I:$I=$C561)), 0) "),0.0)</f>
        <v>0</v>
      </c>
      <c r="K561" s="91" t="str">
        <f>IFERROR(__xludf.DUMMYFUNCTION("IFERROR(REGEXREPLACE(unique(filter('Основной эфир'!$A:$A, 'Основной эфир'!$B:$B=$A561,'Основной эфир'!$C:$C=$B561,'Основной эфир'!$I:$I=$C561)), ""\d+"", """"),"""")"),"")</f>
        <v/>
      </c>
      <c r="L561" s="91" t="str">
        <f>IFERROR(__xludf.DUMMYFUNCTION("IFERROR(unique(filter('Основной эфир'!$F:$F, 'Основной эфир'!$B:$B=$A561,'Основной эфир'!$C:$C=$B561,'Основной эфир'!$I:$I=$C561)),"""")"),"")</f>
        <v/>
      </c>
      <c r="M561" s="92" t="str">
        <f t="shared" si="1"/>
        <v/>
      </c>
      <c r="N561" s="93">
        <f>IFERROR(__xludf.DUMMYFUNCTION("IFERROR(SWITCH(lower(join("" "",L561:M561)),""а миллионник"", 62.5,""б миллионник"", 75,""а мск"", 50, ""б мск"", 62.5, ""a остальное"", 70, ""б остальное"", 80)/100,0)"),0.0)</f>
        <v>0</v>
      </c>
      <c r="O561" s="91">
        <f t="shared" si="2"/>
        <v>0</v>
      </c>
      <c r="P561" s="91">
        <f>IFERROR(__xludf.DUMMYFUNCTION("IFERROR(sum(filter('Генеральный баннер'!$O:$O, 'Генеральный баннер'!$B:$B=$A561,'Генеральный баннер'!$C:$C=$B561,'Генеральный баннер'!$I:$I=$C561)), 0) "),0.0)</f>
        <v>0</v>
      </c>
      <c r="Q561" s="91">
        <f>IFERROR(__xludf.DUMMYFUNCTION("IFERROR(sum(filter('Генеральный баннер'!$Q:$Q, 'Генеральный баннер'!$B:$B=$A561,'Генеральный баннер'!$C:$C=$B561,'Генеральный баннер'!$I:$I=$C561)), 0) "),0.0)</f>
        <v>0</v>
      </c>
      <c r="R561" s="91">
        <f>IFERROR(__xludf.DUMMYFUNCTION("IFERROR(AVERAGE(filter('Генеральный баннер'!$AA:$AA, 'Генеральный баннер'!$B:$B=$A561,'Генеральный баннер'!$C:$C=$B561,'Генеральный баннер'!$I:$I=$C561)), 0) "),0.0)</f>
        <v>0</v>
      </c>
      <c r="S561" s="91">
        <f>IFERROR(__xludf.DUMMYFUNCTION("IFERROR(SUM(filter('Генеральный баннер'!$AH:$AH, 'Генеральный баннер'!$B:$B=$A561,'Генеральный баннер'!$C:$C=$B561,'Генеральный баннер'!$I:$I=$C561)), 0) "),0.0)</f>
        <v>0</v>
      </c>
      <c r="T561" s="91" t="str">
        <f>IFERROR(__xludf.DUMMYFUNCTION("IFERROR(REGEXREPLACE(unique(filter('Генеральный баннер'!$A:$A, 'Генеральный баннер'!$B:$B=$A561,'Генеральный баннер'!$C:$C=$B561,'Генеральный баннер'!$I:$I=$C561)), ""\d+"", """"),"""")"),"")</f>
        <v/>
      </c>
      <c r="U561" s="91" t="str">
        <f>IFERROR(__xludf.DUMMYFUNCTION("IFERROR(unique(filter('Генеральный баннер'!$F:$F, 'Генеральный баннер'!$B:$B=$A561,'Генеральный баннер'!$C:$C=$B561,'Генеральный баннер'!$I:$I=$C561)),"""")"),"")</f>
        <v/>
      </c>
      <c r="V561" s="92" t="str">
        <f t="shared" si="3"/>
        <v/>
      </c>
      <c r="W561" s="93">
        <f>IFERROR(__xludf.DUMMYFUNCTION("IFERROR(SWITCH(lower(join("" "",U561:V561)),""а миллионник"", 62.5,""б миллионник"", 75,""а мск"", 50, ""б мск"", 62.5, ""a остальное"", 70, ""б остальное"", 80)/100,0)"),0.0)</f>
        <v>0</v>
      </c>
      <c r="X561" s="91">
        <f t="shared" si="4"/>
        <v>0</v>
      </c>
    </row>
    <row r="562">
      <c r="A562" s="12"/>
      <c r="B562" s="12"/>
      <c r="C562" s="12"/>
      <c r="D562" s="91">
        <f>IFERROR(__xludf.DUMMYFUNCTION("IFERROR(sum(filter('Основной эфир'!$AA:$AA, 'Основной эфир'!$B:$B=$A562,'Основной эфир'!$C:$C=$B562,'Основной эфир'!$I:$I=$C562)), 0) "),0.0)</f>
        <v>0</v>
      </c>
      <c r="E562" s="91">
        <f>IFERROR(__xludf.DUMMYFUNCTION("IFERROR(sum(filter('Основной эфир'!$AC:$AC, 'Основной эфир'!$B:$B=$A562,'Основной эфир'!$C:$C=$B562,'Основной эфир'!$I:$I=$C562)), 0) "),0.0)</f>
        <v>0</v>
      </c>
      <c r="F562" s="91">
        <f>IFERROR(__xludf.DUMMYFUNCTION("IFERROR(sum(filter('Основной эфир'!$O:$O, 'Основной эфир'!$B:$B=$A562,'Основной эфир'!$C:$C=$B562,'Основной эфир'!$I:$I=$C562)), 0) "),0.0)</f>
        <v>0</v>
      </c>
      <c r="G562" s="91">
        <f>IFERROR(__xludf.DUMMYFUNCTION("IFERROR(sum(filter('Основной эфир'!$Q:$Q, 'Основной эфир'!$B:$B=$A562,'Основной эфир'!$C:$C=$B562,'Основной эфир'!$I:$I=$C562)), 0) "),0.0)</f>
        <v>0</v>
      </c>
      <c r="H562" s="91">
        <f>IFERROR(__xludf.DUMMYFUNCTION("IFERROR(AVERAGE(filter('Основной эфир'!$Y:$Y, 'Основной эфир'!$B:$B=$A562,'Основной эфир'!$C:$C=$B562,'Основной эфир'!$I:$I=$C562)), 0) "),0.0)</f>
        <v>0</v>
      </c>
      <c r="I562" s="91">
        <f>IFERROR(__xludf.DUMMYFUNCTION("IFERROR(AVERAGE(filter('Основной эфир'!$AE:$AE, 'Основной эфир'!$B:$B=$A562,'Основной эфир'!$C:$C=$B562,'Основной эфир'!$I:$I=$C562)), 0) "),0.0)</f>
        <v>0</v>
      </c>
      <c r="J562" s="91">
        <f>IFERROR(__xludf.DUMMYFUNCTION("IFERROR(SUM(filter('Основной эфир'!$AL:$AL, 'Основной эфир'!$B:$B=$A562,'Основной эфир'!$C:$C=$B562,'Основной эфир'!$I:$I=$C562)), 0) "),0.0)</f>
        <v>0</v>
      </c>
      <c r="K562" s="91" t="str">
        <f>IFERROR(__xludf.DUMMYFUNCTION("IFERROR(REGEXREPLACE(unique(filter('Основной эфир'!$A:$A, 'Основной эфир'!$B:$B=$A562,'Основной эфир'!$C:$C=$B562,'Основной эфир'!$I:$I=$C562)), ""\d+"", """"),"""")"),"")</f>
        <v/>
      </c>
      <c r="L562" s="91" t="str">
        <f>IFERROR(__xludf.DUMMYFUNCTION("IFERROR(unique(filter('Основной эфир'!$F:$F, 'Основной эфир'!$B:$B=$A562,'Основной эфир'!$C:$C=$B562,'Основной эфир'!$I:$I=$C562)),"""")"),"")</f>
        <v/>
      </c>
      <c r="M562" s="92" t="str">
        <f t="shared" si="1"/>
        <v/>
      </c>
      <c r="N562" s="93">
        <f>IFERROR(__xludf.DUMMYFUNCTION("IFERROR(SWITCH(lower(join("" "",L562:M562)),""а миллионник"", 62.5,""б миллионник"", 75,""а мск"", 50, ""б мск"", 62.5, ""a остальное"", 70, ""б остальное"", 80)/100,0)"),0.0)</f>
        <v>0</v>
      </c>
      <c r="O562" s="91">
        <f t="shared" si="2"/>
        <v>0</v>
      </c>
      <c r="P562" s="91">
        <f>IFERROR(__xludf.DUMMYFUNCTION("IFERROR(sum(filter('Генеральный баннер'!$O:$O, 'Генеральный баннер'!$B:$B=$A562,'Генеральный баннер'!$C:$C=$B562,'Генеральный баннер'!$I:$I=$C562)), 0) "),0.0)</f>
        <v>0</v>
      </c>
      <c r="Q562" s="91">
        <f>IFERROR(__xludf.DUMMYFUNCTION("IFERROR(sum(filter('Генеральный баннер'!$Q:$Q, 'Генеральный баннер'!$B:$B=$A562,'Генеральный баннер'!$C:$C=$B562,'Генеральный баннер'!$I:$I=$C562)), 0) "),0.0)</f>
        <v>0</v>
      </c>
      <c r="R562" s="91">
        <f>IFERROR(__xludf.DUMMYFUNCTION("IFERROR(AVERAGE(filter('Генеральный баннер'!$AA:$AA, 'Генеральный баннер'!$B:$B=$A562,'Генеральный баннер'!$C:$C=$B562,'Генеральный баннер'!$I:$I=$C562)), 0) "),0.0)</f>
        <v>0</v>
      </c>
      <c r="S562" s="91">
        <f>IFERROR(__xludf.DUMMYFUNCTION("IFERROR(SUM(filter('Генеральный баннер'!$AH:$AH, 'Генеральный баннер'!$B:$B=$A562,'Генеральный баннер'!$C:$C=$B562,'Генеральный баннер'!$I:$I=$C562)), 0) "),0.0)</f>
        <v>0</v>
      </c>
      <c r="T562" s="91" t="str">
        <f>IFERROR(__xludf.DUMMYFUNCTION("IFERROR(REGEXREPLACE(unique(filter('Генеральный баннер'!$A:$A, 'Генеральный баннер'!$B:$B=$A562,'Генеральный баннер'!$C:$C=$B562,'Генеральный баннер'!$I:$I=$C562)), ""\d+"", """"),"""")"),"")</f>
        <v/>
      </c>
      <c r="U562" s="91" t="str">
        <f>IFERROR(__xludf.DUMMYFUNCTION("IFERROR(unique(filter('Генеральный баннер'!$F:$F, 'Генеральный баннер'!$B:$B=$A562,'Генеральный баннер'!$C:$C=$B562,'Генеральный баннер'!$I:$I=$C562)),"""")"),"")</f>
        <v/>
      </c>
      <c r="V562" s="92" t="str">
        <f t="shared" si="3"/>
        <v/>
      </c>
      <c r="W562" s="93">
        <f>IFERROR(__xludf.DUMMYFUNCTION("IFERROR(SWITCH(lower(join("" "",U562:V562)),""а миллионник"", 62.5,""б миллионник"", 75,""а мск"", 50, ""б мск"", 62.5, ""a остальное"", 70, ""б остальное"", 80)/100,0)"),0.0)</f>
        <v>0</v>
      </c>
      <c r="X562" s="91">
        <f t="shared" si="4"/>
        <v>0</v>
      </c>
    </row>
    <row r="563">
      <c r="A563" s="12"/>
      <c r="B563" s="12"/>
      <c r="C563" s="12"/>
      <c r="D563" s="91">
        <f>IFERROR(__xludf.DUMMYFUNCTION("IFERROR(sum(filter('Основной эфир'!$AA:$AA, 'Основной эфир'!$B:$B=$A563,'Основной эфир'!$C:$C=$B563,'Основной эфир'!$I:$I=$C563)), 0) "),0.0)</f>
        <v>0</v>
      </c>
      <c r="E563" s="91">
        <f>IFERROR(__xludf.DUMMYFUNCTION("IFERROR(sum(filter('Основной эфир'!$AC:$AC, 'Основной эфир'!$B:$B=$A563,'Основной эфир'!$C:$C=$B563,'Основной эфир'!$I:$I=$C563)), 0) "),0.0)</f>
        <v>0</v>
      </c>
      <c r="F563" s="91">
        <f>IFERROR(__xludf.DUMMYFUNCTION("IFERROR(sum(filter('Основной эфир'!$O:$O, 'Основной эфир'!$B:$B=$A563,'Основной эфир'!$C:$C=$B563,'Основной эфир'!$I:$I=$C563)), 0) "),0.0)</f>
        <v>0</v>
      </c>
      <c r="G563" s="91">
        <f>IFERROR(__xludf.DUMMYFUNCTION("IFERROR(sum(filter('Основной эфир'!$Q:$Q, 'Основной эфир'!$B:$B=$A563,'Основной эфир'!$C:$C=$B563,'Основной эфир'!$I:$I=$C563)), 0) "),0.0)</f>
        <v>0</v>
      </c>
      <c r="H563" s="91">
        <f>IFERROR(__xludf.DUMMYFUNCTION("IFERROR(AVERAGE(filter('Основной эфир'!$Y:$Y, 'Основной эфир'!$B:$B=$A563,'Основной эфир'!$C:$C=$B563,'Основной эфир'!$I:$I=$C563)), 0) "),0.0)</f>
        <v>0</v>
      </c>
      <c r="I563" s="91">
        <f>IFERROR(__xludf.DUMMYFUNCTION("IFERROR(AVERAGE(filter('Основной эфир'!$AE:$AE, 'Основной эфир'!$B:$B=$A563,'Основной эфир'!$C:$C=$B563,'Основной эфир'!$I:$I=$C563)), 0) "),0.0)</f>
        <v>0</v>
      </c>
      <c r="J563" s="91">
        <f>IFERROR(__xludf.DUMMYFUNCTION("IFERROR(SUM(filter('Основной эфир'!$AL:$AL, 'Основной эфир'!$B:$B=$A563,'Основной эфир'!$C:$C=$B563,'Основной эфир'!$I:$I=$C563)), 0) "),0.0)</f>
        <v>0</v>
      </c>
      <c r="K563" s="91" t="str">
        <f>IFERROR(__xludf.DUMMYFUNCTION("IFERROR(REGEXREPLACE(unique(filter('Основной эфир'!$A:$A, 'Основной эфир'!$B:$B=$A563,'Основной эфир'!$C:$C=$B563,'Основной эфир'!$I:$I=$C563)), ""\d+"", """"),"""")"),"")</f>
        <v/>
      </c>
      <c r="L563" s="91" t="str">
        <f>IFERROR(__xludf.DUMMYFUNCTION("IFERROR(unique(filter('Основной эфир'!$F:$F, 'Основной эфир'!$B:$B=$A563,'Основной эфир'!$C:$C=$B563,'Основной эфир'!$I:$I=$C563)),"""")"),"")</f>
        <v/>
      </c>
      <c r="M563" s="92" t="str">
        <f t="shared" si="1"/>
        <v/>
      </c>
      <c r="N563" s="93">
        <f>IFERROR(__xludf.DUMMYFUNCTION("IFERROR(SWITCH(lower(join("" "",L563:M563)),""а миллионник"", 62.5,""б миллионник"", 75,""а мск"", 50, ""б мск"", 62.5, ""a остальное"", 70, ""б остальное"", 80)/100,0)"),0.0)</f>
        <v>0</v>
      </c>
      <c r="O563" s="91">
        <f t="shared" si="2"/>
        <v>0</v>
      </c>
      <c r="P563" s="91">
        <f>IFERROR(__xludf.DUMMYFUNCTION("IFERROR(sum(filter('Генеральный баннер'!$O:$O, 'Генеральный баннер'!$B:$B=$A563,'Генеральный баннер'!$C:$C=$B563,'Генеральный баннер'!$I:$I=$C563)), 0) "),0.0)</f>
        <v>0</v>
      </c>
      <c r="Q563" s="91">
        <f>IFERROR(__xludf.DUMMYFUNCTION("IFERROR(sum(filter('Генеральный баннер'!$Q:$Q, 'Генеральный баннер'!$B:$B=$A563,'Генеральный баннер'!$C:$C=$B563,'Генеральный баннер'!$I:$I=$C563)), 0) "),0.0)</f>
        <v>0</v>
      </c>
      <c r="R563" s="91">
        <f>IFERROR(__xludf.DUMMYFUNCTION("IFERROR(AVERAGE(filter('Генеральный баннер'!$AA:$AA, 'Генеральный баннер'!$B:$B=$A563,'Генеральный баннер'!$C:$C=$B563,'Генеральный баннер'!$I:$I=$C563)), 0) "),0.0)</f>
        <v>0</v>
      </c>
      <c r="S563" s="91">
        <f>IFERROR(__xludf.DUMMYFUNCTION("IFERROR(SUM(filter('Генеральный баннер'!$AH:$AH, 'Генеральный баннер'!$B:$B=$A563,'Генеральный баннер'!$C:$C=$B563,'Генеральный баннер'!$I:$I=$C563)), 0) "),0.0)</f>
        <v>0</v>
      </c>
      <c r="T563" s="91" t="str">
        <f>IFERROR(__xludf.DUMMYFUNCTION("IFERROR(REGEXREPLACE(unique(filter('Генеральный баннер'!$A:$A, 'Генеральный баннер'!$B:$B=$A563,'Генеральный баннер'!$C:$C=$B563,'Генеральный баннер'!$I:$I=$C563)), ""\d+"", """"),"""")"),"")</f>
        <v/>
      </c>
      <c r="U563" s="91" t="str">
        <f>IFERROR(__xludf.DUMMYFUNCTION("IFERROR(unique(filter('Генеральный баннер'!$F:$F, 'Генеральный баннер'!$B:$B=$A563,'Генеральный баннер'!$C:$C=$B563,'Генеральный баннер'!$I:$I=$C563)),"""")"),"")</f>
        <v/>
      </c>
      <c r="V563" s="92" t="str">
        <f t="shared" si="3"/>
        <v/>
      </c>
      <c r="W563" s="93">
        <f>IFERROR(__xludf.DUMMYFUNCTION("IFERROR(SWITCH(lower(join("" "",U563:V563)),""а миллионник"", 62.5,""б миллионник"", 75,""а мск"", 50, ""б мск"", 62.5, ""a остальное"", 70, ""б остальное"", 80)/100,0)"),0.0)</f>
        <v>0</v>
      </c>
      <c r="X563" s="91">
        <f t="shared" si="4"/>
        <v>0</v>
      </c>
    </row>
    <row r="564">
      <c r="A564" s="12"/>
      <c r="B564" s="12"/>
      <c r="C564" s="12"/>
      <c r="D564" s="91">
        <f>IFERROR(__xludf.DUMMYFUNCTION("IFERROR(sum(filter('Основной эфир'!$AA:$AA, 'Основной эфир'!$B:$B=$A564,'Основной эфир'!$C:$C=$B564,'Основной эфир'!$I:$I=$C564)), 0) "),0.0)</f>
        <v>0</v>
      </c>
      <c r="E564" s="91">
        <f>IFERROR(__xludf.DUMMYFUNCTION("IFERROR(sum(filter('Основной эфир'!$AC:$AC, 'Основной эфир'!$B:$B=$A564,'Основной эфир'!$C:$C=$B564,'Основной эфир'!$I:$I=$C564)), 0) "),0.0)</f>
        <v>0</v>
      </c>
      <c r="F564" s="91">
        <f>IFERROR(__xludf.DUMMYFUNCTION("IFERROR(sum(filter('Основной эфир'!$O:$O, 'Основной эфир'!$B:$B=$A564,'Основной эфир'!$C:$C=$B564,'Основной эфир'!$I:$I=$C564)), 0) "),0.0)</f>
        <v>0</v>
      </c>
      <c r="G564" s="91">
        <f>IFERROR(__xludf.DUMMYFUNCTION("IFERROR(sum(filter('Основной эфир'!$Q:$Q, 'Основной эфир'!$B:$B=$A564,'Основной эфир'!$C:$C=$B564,'Основной эфир'!$I:$I=$C564)), 0) "),0.0)</f>
        <v>0</v>
      </c>
      <c r="H564" s="91">
        <f>IFERROR(__xludf.DUMMYFUNCTION("IFERROR(AVERAGE(filter('Основной эфир'!$Y:$Y, 'Основной эфир'!$B:$B=$A564,'Основной эфир'!$C:$C=$B564,'Основной эфир'!$I:$I=$C564)), 0) "),0.0)</f>
        <v>0</v>
      </c>
      <c r="I564" s="91">
        <f>IFERROR(__xludf.DUMMYFUNCTION("IFERROR(AVERAGE(filter('Основной эфир'!$AE:$AE, 'Основной эфир'!$B:$B=$A564,'Основной эфир'!$C:$C=$B564,'Основной эфир'!$I:$I=$C564)), 0) "),0.0)</f>
        <v>0</v>
      </c>
      <c r="J564" s="91">
        <f>IFERROR(__xludf.DUMMYFUNCTION("IFERROR(SUM(filter('Основной эфир'!$AL:$AL, 'Основной эфир'!$B:$B=$A564,'Основной эфир'!$C:$C=$B564,'Основной эфир'!$I:$I=$C564)), 0) "),0.0)</f>
        <v>0</v>
      </c>
      <c r="K564" s="91" t="str">
        <f>IFERROR(__xludf.DUMMYFUNCTION("IFERROR(REGEXREPLACE(unique(filter('Основной эфир'!$A:$A, 'Основной эфир'!$B:$B=$A564,'Основной эфир'!$C:$C=$B564,'Основной эфир'!$I:$I=$C564)), ""\d+"", """"),"""")"),"")</f>
        <v/>
      </c>
      <c r="L564" s="91" t="str">
        <f>IFERROR(__xludf.DUMMYFUNCTION("IFERROR(unique(filter('Основной эфир'!$F:$F, 'Основной эфир'!$B:$B=$A564,'Основной эфир'!$C:$C=$B564,'Основной эфир'!$I:$I=$C564)),"""")"),"")</f>
        <v/>
      </c>
      <c r="M564" s="92" t="str">
        <f t="shared" si="1"/>
        <v/>
      </c>
      <c r="N564" s="93">
        <f>IFERROR(__xludf.DUMMYFUNCTION("IFERROR(SWITCH(lower(join("" "",L564:M564)),""а миллионник"", 62.5,""б миллионник"", 75,""а мск"", 50, ""б мск"", 62.5, ""a остальное"", 70, ""б остальное"", 80)/100,0)"),0.0)</f>
        <v>0</v>
      </c>
      <c r="O564" s="91">
        <f t="shared" si="2"/>
        <v>0</v>
      </c>
      <c r="P564" s="91">
        <f>IFERROR(__xludf.DUMMYFUNCTION("IFERROR(sum(filter('Генеральный баннер'!$O:$O, 'Генеральный баннер'!$B:$B=$A564,'Генеральный баннер'!$C:$C=$B564,'Генеральный баннер'!$I:$I=$C564)), 0) "),0.0)</f>
        <v>0</v>
      </c>
      <c r="Q564" s="91">
        <f>IFERROR(__xludf.DUMMYFUNCTION("IFERROR(sum(filter('Генеральный баннер'!$Q:$Q, 'Генеральный баннер'!$B:$B=$A564,'Генеральный баннер'!$C:$C=$B564,'Генеральный баннер'!$I:$I=$C564)), 0) "),0.0)</f>
        <v>0</v>
      </c>
      <c r="R564" s="91">
        <f>IFERROR(__xludf.DUMMYFUNCTION("IFERROR(AVERAGE(filter('Генеральный баннер'!$AA:$AA, 'Генеральный баннер'!$B:$B=$A564,'Генеральный баннер'!$C:$C=$B564,'Генеральный баннер'!$I:$I=$C564)), 0) "),0.0)</f>
        <v>0</v>
      </c>
      <c r="S564" s="91">
        <f>IFERROR(__xludf.DUMMYFUNCTION("IFERROR(SUM(filter('Генеральный баннер'!$AH:$AH, 'Генеральный баннер'!$B:$B=$A564,'Генеральный баннер'!$C:$C=$B564,'Генеральный баннер'!$I:$I=$C564)), 0) "),0.0)</f>
        <v>0</v>
      </c>
      <c r="T564" s="91" t="str">
        <f>IFERROR(__xludf.DUMMYFUNCTION("IFERROR(REGEXREPLACE(unique(filter('Генеральный баннер'!$A:$A, 'Генеральный баннер'!$B:$B=$A564,'Генеральный баннер'!$C:$C=$B564,'Генеральный баннер'!$I:$I=$C564)), ""\d+"", """"),"""")"),"")</f>
        <v/>
      </c>
      <c r="U564" s="91" t="str">
        <f>IFERROR(__xludf.DUMMYFUNCTION("IFERROR(unique(filter('Генеральный баннер'!$F:$F, 'Генеральный баннер'!$B:$B=$A564,'Генеральный баннер'!$C:$C=$B564,'Генеральный баннер'!$I:$I=$C564)),"""")"),"")</f>
        <v/>
      </c>
      <c r="V564" s="92" t="str">
        <f t="shared" si="3"/>
        <v/>
      </c>
      <c r="W564" s="93">
        <f>IFERROR(__xludf.DUMMYFUNCTION("IFERROR(SWITCH(lower(join("" "",U564:V564)),""а миллионник"", 62.5,""б миллионник"", 75,""а мск"", 50, ""б мск"", 62.5, ""a остальное"", 70, ""б остальное"", 80)/100,0)"),0.0)</f>
        <v>0</v>
      </c>
      <c r="X564" s="91">
        <f t="shared" si="4"/>
        <v>0</v>
      </c>
    </row>
    <row r="565">
      <c r="A565" s="12"/>
      <c r="B565" s="12"/>
      <c r="C565" s="12"/>
      <c r="D565" s="91">
        <f>IFERROR(__xludf.DUMMYFUNCTION("IFERROR(sum(filter('Основной эфир'!$AA:$AA, 'Основной эфир'!$B:$B=$A565,'Основной эфир'!$C:$C=$B565,'Основной эфир'!$I:$I=$C565)), 0) "),0.0)</f>
        <v>0</v>
      </c>
      <c r="E565" s="91">
        <f>IFERROR(__xludf.DUMMYFUNCTION("IFERROR(sum(filter('Основной эфир'!$AC:$AC, 'Основной эфир'!$B:$B=$A565,'Основной эфир'!$C:$C=$B565,'Основной эфир'!$I:$I=$C565)), 0) "),0.0)</f>
        <v>0</v>
      </c>
      <c r="F565" s="91">
        <f>IFERROR(__xludf.DUMMYFUNCTION("IFERROR(sum(filter('Основной эфир'!$O:$O, 'Основной эфир'!$B:$B=$A565,'Основной эфир'!$C:$C=$B565,'Основной эфир'!$I:$I=$C565)), 0) "),0.0)</f>
        <v>0</v>
      </c>
      <c r="G565" s="91">
        <f>IFERROR(__xludf.DUMMYFUNCTION("IFERROR(sum(filter('Основной эфир'!$Q:$Q, 'Основной эфир'!$B:$B=$A565,'Основной эфир'!$C:$C=$B565,'Основной эфир'!$I:$I=$C565)), 0) "),0.0)</f>
        <v>0</v>
      </c>
      <c r="H565" s="91">
        <f>IFERROR(__xludf.DUMMYFUNCTION("IFERROR(AVERAGE(filter('Основной эфир'!$Y:$Y, 'Основной эфир'!$B:$B=$A565,'Основной эфир'!$C:$C=$B565,'Основной эфир'!$I:$I=$C565)), 0) "),0.0)</f>
        <v>0</v>
      </c>
      <c r="I565" s="91">
        <f>IFERROR(__xludf.DUMMYFUNCTION("IFERROR(AVERAGE(filter('Основной эфир'!$AE:$AE, 'Основной эфир'!$B:$B=$A565,'Основной эфир'!$C:$C=$B565,'Основной эфир'!$I:$I=$C565)), 0) "),0.0)</f>
        <v>0</v>
      </c>
      <c r="J565" s="91">
        <f>IFERROR(__xludf.DUMMYFUNCTION("IFERROR(SUM(filter('Основной эфир'!$AL:$AL, 'Основной эфир'!$B:$B=$A565,'Основной эфир'!$C:$C=$B565,'Основной эфир'!$I:$I=$C565)), 0) "),0.0)</f>
        <v>0</v>
      </c>
      <c r="K565" s="91" t="str">
        <f>IFERROR(__xludf.DUMMYFUNCTION("IFERROR(REGEXREPLACE(unique(filter('Основной эфир'!$A:$A, 'Основной эфир'!$B:$B=$A565,'Основной эфир'!$C:$C=$B565,'Основной эфир'!$I:$I=$C565)), ""\d+"", """"),"""")"),"")</f>
        <v/>
      </c>
      <c r="L565" s="91" t="str">
        <f>IFERROR(__xludf.DUMMYFUNCTION("IFERROR(unique(filter('Основной эфир'!$F:$F, 'Основной эфир'!$B:$B=$A565,'Основной эфир'!$C:$C=$B565,'Основной эфир'!$I:$I=$C565)),"""")"),"")</f>
        <v/>
      </c>
      <c r="M565" s="92" t="str">
        <f t="shared" si="1"/>
        <v/>
      </c>
      <c r="N565" s="93">
        <f>IFERROR(__xludf.DUMMYFUNCTION("IFERROR(SWITCH(lower(join("" "",L565:M565)),""а миллионник"", 62.5,""б миллионник"", 75,""а мск"", 50, ""б мск"", 62.5, ""a остальное"", 70, ""б остальное"", 80)/100,0)"),0.0)</f>
        <v>0</v>
      </c>
      <c r="O565" s="91">
        <f t="shared" si="2"/>
        <v>0</v>
      </c>
      <c r="P565" s="91">
        <f>IFERROR(__xludf.DUMMYFUNCTION("IFERROR(sum(filter('Генеральный баннер'!$O:$O, 'Генеральный баннер'!$B:$B=$A565,'Генеральный баннер'!$C:$C=$B565,'Генеральный баннер'!$I:$I=$C565)), 0) "),0.0)</f>
        <v>0</v>
      </c>
      <c r="Q565" s="91">
        <f>IFERROR(__xludf.DUMMYFUNCTION("IFERROR(sum(filter('Генеральный баннер'!$Q:$Q, 'Генеральный баннер'!$B:$B=$A565,'Генеральный баннер'!$C:$C=$B565,'Генеральный баннер'!$I:$I=$C565)), 0) "),0.0)</f>
        <v>0</v>
      </c>
      <c r="R565" s="91">
        <f>IFERROR(__xludf.DUMMYFUNCTION("IFERROR(AVERAGE(filter('Генеральный баннер'!$AA:$AA, 'Генеральный баннер'!$B:$B=$A565,'Генеральный баннер'!$C:$C=$B565,'Генеральный баннер'!$I:$I=$C565)), 0) "),0.0)</f>
        <v>0</v>
      </c>
      <c r="S565" s="91">
        <f>IFERROR(__xludf.DUMMYFUNCTION("IFERROR(SUM(filter('Генеральный баннер'!$AH:$AH, 'Генеральный баннер'!$B:$B=$A565,'Генеральный баннер'!$C:$C=$B565,'Генеральный баннер'!$I:$I=$C565)), 0) "),0.0)</f>
        <v>0</v>
      </c>
      <c r="T565" s="91" t="str">
        <f>IFERROR(__xludf.DUMMYFUNCTION("IFERROR(REGEXREPLACE(unique(filter('Генеральный баннер'!$A:$A, 'Генеральный баннер'!$B:$B=$A565,'Генеральный баннер'!$C:$C=$B565,'Генеральный баннер'!$I:$I=$C565)), ""\d+"", """"),"""")"),"")</f>
        <v/>
      </c>
      <c r="U565" s="91" t="str">
        <f>IFERROR(__xludf.DUMMYFUNCTION("IFERROR(unique(filter('Генеральный баннер'!$F:$F, 'Генеральный баннер'!$B:$B=$A565,'Генеральный баннер'!$C:$C=$B565,'Генеральный баннер'!$I:$I=$C565)),"""")"),"")</f>
        <v/>
      </c>
      <c r="V565" s="92" t="str">
        <f t="shared" si="3"/>
        <v/>
      </c>
      <c r="W565" s="93">
        <f>IFERROR(__xludf.DUMMYFUNCTION("IFERROR(SWITCH(lower(join("" "",U565:V565)),""а миллионник"", 62.5,""б миллионник"", 75,""а мск"", 50, ""б мск"", 62.5, ""a остальное"", 70, ""б остальное"", 80)/100,0)"),0.0)</f>
        <v>0</v>
      </c>
      <c r="X565" s="91">
        <f t="shared" si="4"/>
        <v>0</v>
      </c>
    </row>
    <row r="566">
      <c r="A566" s="12"/>
      <c r="B566" s="12"/>
      <c r="C566" s="12"/>
      <c r="D566" s="91">
        <f>IFERROR(__xludf.DUMMYFUNCTION("IFERROR(sum(filter('Основной эфир'!$AA:$AA, 'Основной эфир'!$B:$B=$A566,'Основной эфир'!$C:$C=$B566,'Основной эфир'!$I:$I=$C566)), 0) "),0.0)</f>
        <v>0</v>
      </c>
      <c r="E566" s="91">
        <f>IFERROR(__xludf.DUMMYFUNCTION("IFERROR(sum(filter('Основной эфир'!$AC:$AC, 'Основной эфир'!$B:$B=$A566,'Основной эфир'!$C:$C=$B566,'Основной эфир'!$I:$I=$C566)), 0) "),0.0)</f>
        <v>0</v>
      </c>
      <c r="F566" s="91">
        <f>IFERROR(__xludf.DUMMYFUNCTION("IFERROR(sum(filter('Основной эфир'!$O:$O, 'Основной эфир'!$B:$B=$A566,'Основной эфир'!$C:$C=$B566,'Основной эфир'!$I:$I=$C566)), 0) "),0.0)</f>
        <v>0</v>
      </c>
      <c r="G566" s="91">
        <f>IFERROR(__xludf.DUMMYFUNCTION("IFERROR(sum(filter('Основной эфир'!$Q:$Q, 'Основной эфир'!$B:$B=$A566,'Основной эфир'!$C:$C=$B566,'Основной эфир'!$I:$I=$C566)), 0) "),0.0)</f>
        <v>0</v>
      </c>
      <c r="H566" s="91">
        <f>IFERROR(__xludf.DUMMYFUNCTION("IFERROR(AVERAGE(filter('Основной эфир'!$Y:$Y, 'Основной эфир'!$B:$B=$A566,'Основной эфир'!$C:$C=$B566,'Основной эфир'!$I:$I=$C566)), 0) "),0.0)</f>
        <v>0</v>
      </c>
      <c r="I566" s="91">
        <f>IFERROR(__xludf.DUMMYFUNCTION("IFERROR(AVERAGE(filter('Основной эфир'!$AE:$AE, 'Основной эфир'!$B:$B=$A566,'Основной эфир'!$C:$C=$B566,'Основной эфир'!$I:$I=$C566)), 0) "),0.0)</f>
        <v>0</v>
      </c>
      <c r="J566" s="91">
        <f>IFERROR(__xludf.DUMMYFUNCTION("IFERROR(SUM(filter('Основной эфир'!$AL:$AL, 'Основной эфир'!$B:$B=$A566,'Основной эфир'!$C:$C=$B566,'Основной эфир'!$I:$I=$C566)), 0) "),0.0)</f>
        <v>0</v>
      </c>
      <c r="K566" s="91" t="str">
        <f>IFERROR(__xludf.DUMMYFUNCTION("IFERROR(REGEXREPLACE(unique(filter('Основной эфир'!$A:$A, 'Основной эфир'!$B:$B=$A566,'Основной эфир'!$C:$C=$B566,'Основной эфир'!$I:$I=$C566)), ""\d+"", """"),"""")"),"")</f>
        <v/>
      </c>
      <c r="L566" s="91" t="str">
        <f>IFERROR(__xludf.DUMMYFUNCTION("IFERROR(unique(filter('Основной эфир'!$F:$F, 'Основной эфир'!$B:$B=$A566,'Основной эфир'!$C:$C=$B566,'Основной эфир'!$I:$I=$C566)),"""")"),"")</f>
        <v/>
      </c>
      <c r="M566" s="92" t="str">
        <f t="shared" si="1"/>
        <v/>
      </c>
      <c r="N566" s="93">
        <f>IFERROR(__xludf.DUMMYFUNCTION("IFERROR(SWITCH(lower(join("" "",L566:M566)),""а миллионник"", 62.5,""б миллионник"", 75,""а мск"", 50, ""б мск"", 62.5, ""a остальное"", 70, ""б остальное"", 80)/100,0)"),0.0)</f>
        <v>0</v>
      </c>
      <c r="O566" s="91">
        <f t="shared" si="2"/>
        <v>0</v>
      </c>
      <c r="P566" s="91">
        <f>IFERROR(__xludf.DUMMYFUNCTION("IFERROR(sum(filter('Генеральный баннер'!$O:$O, 'Генеральный баннер'!$B:$B=$A566,'Генеральный баннер'!$C:$C=$B566,'Генеральный баннер'!$I:$I=$C566)), 0) "),0.0)</f>
        <v>0</v>
      </c>
      <c r="Q566" s="91">
        <f>IFERROR(__xludf.DUMMYFUNCTION("IFERROR(sum(filter('Генеральный баннер'!$Q:$Q, 'Генеральный баннер'!$B:$B=$A566,'Генеральный баннер'!$C:$C=$B566,'Генеральный баннер'!$I:$I=$C566)), 0) "),0.0)</f>
        <v>0</v>
      </c>
      <c r="R566" s="91">
        <f>IFERROR(__xludf.DUMMYFUNCTION("IFERROR(AVERAGE(filter('Генеральный баннер'!$AA:$AA, 'Генеральный баннер'!$B:$B=$A566,'Генеральный баннер'!$C:$C=$B566,'Генеральный баннер'!$I:$I=$C566)), 0) "),0.0)</f>
        <v>0</v>
      </c>
      <c r="S566" s="91">
        <f>IFERROR(__xludf.DUMMYFUNCTION("IFERROR(SUM(filter('Генеральный баннер'!$AH:$AH, 'Генеральный баннер'!$B:$B=$A566,'Генеральный баннер'!$C:$C=$B566,'Генеральный баннер'!$I:$I=$C566)), 0) "),0.0)</f>
        <v>0</v>
      </c>
      <c r="T566" s="91" t="str">
        <f>IFERROR(__xludf.DUMMYFUNCTION("IFERROR(REGEXREPLACE(unique(filter('Генеральный баннер'!$A:$A, 'Генеральный баннер'!$B:$B=$A566,'Генеральный баннер'!$C:$C=$B566,'Генеральный баннер'!$I:$I=$C566)), ""\d+"", """"),"""")"),"")</f>
        <v/>
      </c>
      <c r="U566" s="91" t="str">
        <f>IFERROR(__xludf.DUMMYFUNCTION("IFERROR(unique(filter('Генеральный баннер'!$F:$F, 'Генеральный баннер'!$B:$B=$A566,'Генеральный баннер'!$C:$C=$B566,'Генеральный баннер'!$I:$I=$C566)),"""")"),"")</f>
        <v/>
      </c>
      <c r="V566" s="92" t="str">
        <f t="shared" si="3"/>
        <v/>
      </c>
      <c r="W566" s="93">
        <f>IFERROR(__xludf.DUMMYFUNCTION("IFERROR(SWITCH(lower(join("" "",U566:V566)),""а миллионник"", 62.5,""б миллионник"", 75,""а мск"", 50, ""б мск"", 62.5, ""a остальное"", 70, ""б остальное"", 80)/100,0)"),0.0)</f>
        <v>0</v>
      </c>
      <c r="X566" s="91">
        <f t="shared" si="4"/>
        <v>0</v>
      </c>
    </row>
    <row r="567">
      <c r="A567" s="12"/>
      <c r="B567" s="12"/>
      <c r="C567" s="12"/>
      <c r="D567" s="91">
        <f>IFERROR(__xludf.DUMMYFUNCTION("IFERROR(sum(filter('Основной эфир'!$AA:$AA, 'Основной эфир'!$B:$B=$A567,'Основной эфир'!$C:$C=$B567,'Основной эфир'!$I:$I=$C567)), 0) "),0.0)</f>
        <v>0</v>
      </c>
      <c r="E567" s="91">
        <f>IFERROR(__xludf.DUMMYFUNCTION("IFERROR(sum(filter('Основной эфир'!$AC:$AC, 'Основной эфир'!$B:$B=$A567,'Основной эфир'!$C:$C=$B567,'Основной эфир'!$I:$I=$C567)), 0) "),0.0)</f>
        <v>0</v>
      </c>
      <c r="F567" s="91">
        <f>IFERROR(__xludf.DUMMYFUNCTION("IFERROR(sum(filter('Основной эфир'!$O:$O, 'Основной эфир'!$B:$B=$A567,'Основной эфир'!$C:$C=$B567,'Основной эфир'!$I:$I=$C567)), 0) "),0.0)</f>
        <v>0</v>
      </c>
      <c r="G567" s="91">
        <f>IFERROR(__xludf.DUMMYFUNCTION("IFERROR(sum(filter('Основной эфир'!$Q:$Q, 'Основной эфир'!$B:$B=$A567,'Основной эфир'!$C:$C=$B567,'Основной эфир'!$I:$I=$C567)), 0) "),0.0)</f>
        <v>0</v>
      </c>
      <c r="H567" s="91">
        <f>IFERROR(__xludf.DUMMYFUNCTION("IFERROR(AVERAGE(filter('Основной эфир'!$Y:$Y, 'Основной эфир'!$B:$B=$A567,'Основной эфир'!$C:$C=$B567,'Основной эфир'!$I:$I=$C567)), 0) "),0.0)</f>
        <v>0</v>
      </c>
      <c r="I567" s="91">
        <f>IFERROR(__xludf.DUMMYFUNCTION("IFERROR(AVERAGE(filter('Основной эфир'!$AE:$AE, 'Основной эфир'!$B:$B=$A567,'Основной эфир'!$C:$C=$B567,'Основной эфир'!$I:$I=$C567)), 0) "),0.0)</f>
        <v>0</v>
      </c>
      <c r="J567" s="91">
        <f>IFERROR(__xludf.DUMMYFUNCTION("IFERROR(SUM(filter('Основной эфир'!$AL:$AL, 'Основной эфир'!$B:$B=$A567,'Основной эфир'!$C:$C=$B567,'Основной эфир'!$I:$I=$C567)), 0) "),0.0)</f>
        <v>0</v>
      </c>
      <c r="K567" s="91" t="str">
        <f>IFERROR(__xludf.DUMMYFUNCTION("IFERROR(REGEXREPLACE(unique(filter('Основной эфир'!$A:$A, 'Основной эфир'!$B:$B=$A567,'Основной эфир'!$C:$C=$B567,'Основной эфир'!$I:$I=$C567)), ""\d+"", """"),"""")"),"")</f>
        <v/>
      </c>
      <c r="L567" s="91" t="str">
        <f>IFERROR(__xludf.DUMMYFUNCTION("IFERROR(unique(filter('Основной эфир'!$F:$F, 'Основной эфир'!$B:$B=$A567,'Основной эфир'!$C:$C=$B567,'Основной эфир'!$I:$I=$C567)),"""")"),"")</f>
        <v/>
      </c>
      <c r="M567" s="92" t="str">
        <f t="shared" si="1"/>
        <v/>
      </c>
      <c r="N567" s="93">
        <f>IFERROR(__xludf.DUMMYFUNCTION("IFERROR(SWITCH(lower(join("" "",L567:M567)),""а миллионник"", 62.5,""б миллионник"", 75,""а мск"", 50, ""б мск"", 62.5, ""a остальное"", 70, ""б остальное"", 80)/100,0)"),0.0)</f>
        <v>0</v>
      </c>
      <c r="O567" s="91">
        <f t="shared" si="2"/>
        <v>0</v>
      </c>
      <c r="P567" s="91">
        <f>IFERROR(__xludf.DUMMYFUNCTION("IFERROR(sum(filter('Генеральный баннер'!$O:$O, 'Генеральный баннер'!$B:$B=$A567,'Генеральный баннер'!$C:$C=$B567,'Генеральный баннер'!$I:$I=$C567)), 0) "),0.0)</f>
        <v>0</v>
      </c>
      <c r="Q567" s="91">
        <f>IFERROR(__xludf.DUMMYFUNCTION("IFERROR(sum(filter('Генеральный баннер'!$Q:$Q, 'Генеральный баннер'!$B:$B=$A567,'Генеральный баннер'!$C:$C=$B567,'Генеральный баннер'!$I:$I=$C567)), 0) "),0.0)</f>
        <v>0</v>
      </c>
      <c r="R567" s="91">
        <f>IFERROR(__xludf.DUMMYFUNCTION("IFERROR(AVERAGE(filter('Генеральный баннер'!$AA:$AA, 'Генеральный баннер'!$B:$B=$A567,'Генеральный баннер'!$C:$C=$B567,'Генеральный баннер'!$I:$I=$C567)), 0) "),0.0)</f>
        <v>0</v>
      </c>
      <c r="S567" s="91">
        <f>IFERROR(__xludf.DUMMYFUNCTION("IFERROR(SUM(filter('Генеральный баннер'!$AH:$AH, 'Генеральный баннер'!$B:$B=$A567,'Генеральный баннер'!$C:$C=$B567,'Генеральный баннер'!$I:$I=$C567)), 0) "),0.0)</f>
        <v>0</v>
      </c>
      <c r="T567" s="91" t="str">
        <f>IFERROR(__xludf.DUMMYFUNCTION("IFERROR(REGEXREPLACE(unique(filter('Генеральный баннер'!$A:$A, 'Генеральный баннер'!$B:$B=$A567,'Генеральный баннер'!$C:$C=$B567,'Генеральный баннер'!$I:$I=$C567)), ""\d+"", """"),"""")"),"")</f>
        <v/>
      </c>
      <c r="U567" s="91" t="str">
        <f>IFERROR(__xludf.DUMMYFUNCTION("IFERROR(unique(filter('Генеральный баннер'!$F:$F, 'Генеральный баннер'!$B:$B=$A567,'Генеральный баннер'!$C:$C=$B567,'Генеральный баннер'!$I:$I=$C567)),"""")"),"")</f>
        <v/>
      </c>
      <c r="V567" s="92" t="str">
        <f t="shared" si="3"/>
        <v/>
      </c>
      <c r="W567" s="93">
        <f>IFERROR(__xludf.DUMMYFUNCTION("IFERROR(SWITCH(lower(join("" "",U567:V567)),""а миллионник"", 62.5,""б миллионник"", 75,""а мск"", 50, ""б мск"", 62.5, ""a остальное"", 70, ""б остальное"", 80)/100,0)"),0.0)</f>
        <v>0</v>
      </c>
      <c r="X567" s="91">
        <f t="shared" si="4"/>
        <v>0</v>
      </c>
    </row>
    <row r="568">
      <c r="A568" s="12"/>
      <c r="B568" s="12"/>
      <c r="C568" s="12"/>
      <c r="D568" s="91">
        <f>IFERROR(__xludf.DUMMYFUNCTION("IFERROR(sum(filter('Основной эфир'!$AA:$AA, 'Основной эфир'!$B:$B=$A568,'Основной эфир'!$C:$C=$B568,'Основной эфир'!$I:$I=$C568)), 0) "),0.0)</f>
        <v>0</v>
      </c>
      <c r="E568" s="91">
        <f>IFERROR(__xludf.DUMMYFUNCTION("IFERROR(sum(filter('Основной эфир'!$AC:$AC, 'Основной эфир'!$B:$B=$A568,'Основной эфир'!$C:$C=$B568,'Основной эфир'!$I:$I=$C568)), 0) "),0.0)</f>
        <v>0</v>
      </c>
      <c r="F568" s="91">
        <f>IFERROR(__xludf.DUMMYFUNCTION("IFERROR(sum(filter('Основной эфир'!$O:$O, 'Основной эфир'!$B:$B=$A568,'Основной эфир'!$C:$C=$B568,'Основной эфир'!$I:$I=$C568)), 0) "),0.0)</f>
        <v>0</v>
      </c>
      <c r="G568" s="91">
        <f>IFERROR(__xludf.DUMMYFUNCTION("IFERROR(sum(filter('Основной эфир'!$Q:$Q, 'Основной эфир'!$B:$B=$A568,'Основной эфир'!$C:$C=$B568,'Основной эфир'!$I:$I=$C568)), 0) "),0.0)</f>
        <v>0</v>
      </c>
      <c r="H568" s="91">
        <f>IFERROR(__xludf.DUMMYFUNCTION("IFERROR(AVERAGE(filter('Основной эфир'!$Y:$Y, 'Основной эфир'!$B:$B=$A568,'Основной эфир'!$C:$C=$B568,'Основной эфир'!$I:$I=$C568)), 0) "),0.0)</f>
        <v>0</v>
      </c>
      <c r="I568" s="91">
        <f>IFERROR(__xludf.DUMMYFUNCTION("IFERROR(AVERAGE(filter('Основной эфир'!$AE:$AE, 'Основной эфир'!$B:$B=$A568,'Основной эфир'!$C:$C=$B568,'Основной эфир'!$I:$I=$C568)), 0) "),0.0)</f>
        <v>0</v>
      </c>
      <c r="J568" s="91">
        <f>IFERROR(__xludf.DUMMYFUNCTION("IFERROR(SUM(filter('Основной эфир'!$AL:$AL, 'Основной эфир'!$B:$B=$A568,'Основной эфир'!$C:$C=$B568,'Основной эфир'!$I:$I=$C568)), 0) "),0.0)</f>
        <v>0</v>
      </c>
      <c r="K568" s="91" t="str">
        <f>IFERROR(__xludf.DUMMYFUNCTION("IFERROR(REGEXREPLACE(unique(filter('Основной эфир'!$A:$A, 'Основной эфир'!$B:$B=$A568,'Основной эфир'!$C:$C=$B568,'Основной эфир'!$I:$I=$C568)), ""\d+"", """"),"""")"),"")</f>
        <v/>
      </c>
      <c r="L568" s="91" t="str">
        <f>IFERROR(__xludf.DUMMYFUNCTION("IFERROR(unique(filter('Основной эфир'!$F:$F, 'Основной эфир'!$B:$B=$A568,'Основной эфир'!$C:$C=$B568,'Основной эфир'!$I:$I=$C568)),"""")"),"")</f>
        <v/>
      </c>
      <c r="M568" s="92" t="str">
        <f t="shared" si="1"/>
        <v/>
      </c>
      <c r="N568" s="93">
        <f>IFERROR(__xludf.DUMMYFUNCTION("IFERROR(SWITCH(lower(join("" "",L568:M568)),""а миллионник"", 62.5,""б миллионник"", 75,""а мск"", 50, ""б мск"", 62.5, ""a остальное"", 70, ""б остальное"", 80)/100,0)"),0.0)</f>
        <v>0</v>
      </c>
      <c r="O568" s="91">
        <f t="shared" si="2"/>
        <v>0</v>
      </c>
      <c r="P568" s="91">
        <f>IFERROR(__xludf.DUMMYFUNCTION("IFERROR(sum(filter('Генеральный баннер'!$O:$O, 'Генеральный баннер'!$B:$B=$A568,'Генеральный баннер'!$C:$C=$B568,'Генеральный баннер'!$I:$I=$C568)), 0) "),0.0)</f>
        <v>0</v>
      </c>
      <c r="Q568" s="91">
        <f>IFERROR(__xludf.DUMMYFUNCTION("IFERROR(sum(filter('Генеральный баннер'!$Q:$Q, 'Генеральный баннер'!$B:$B=$A568,'Генеральный баннер'!$C:$C=$B568,'Генеральный баннер'!$I:$I=$C568)), 0) "),0.0)</f>
        <v>0</v>
      </c>
      <c r="R568" s="91">
        <f>IFERROR(__xludf.DUMMYFUNCTION("IFERROR(AVERAGE(filter('Генеральный баннер'!$AA:$AA, 'Генеральный баннер'!$B:$B=$A568,'Генеральный баннер'!$C:$C=$B568,'Генеральный баннер'!$I:$I=$C568)), 0) "),0.0)</f>
        <v>0</v>
      </c>
      <c r="S568" s="91">
        <f>IFERROR(__xludf.DUMMYFUNCTION("IFERROR(SUM(filter('Генеральный баннер'!$AH:$AH, 'Генеральный баннер'!$B:$B=$A568,'Генеральный баннер'!$C:$C=$B568,'Генеральный баннер'!$I:$I=$C568)), 0) "),0.0)</f>
        <v>0</v>
      </c>
      <c r="T568" s="91" t="str">
        <f>IFERROR(__xludf.DUMMYFUNCTION("IFERROR(REGEXREPLACE(unique(filter('Генеральный баннер'!$A:$A, 'Генеральный баннер'!$B:$B=$A568,'Генеральный баннер'!$C:$C=$B568,'Генеральный баннер'!$I:$I=$C568)), ""\d+"", """"),"""")"),"")</f>
        <v/>
      </c>
      <c r="U568" s="91" t="str">
        <f>IFERROR(__xludf.DUMMYFUNCTION("IFERROR(unique(filter('Генеральный баннер'!$F:$F, 'Генеральный баннер'!$B:$B=$A568,'Генеральный баннер'!$C:$C=$B568,'Генеральный баннер'!$I:$I=$C568)),"""")"),"")</f>
        <v/>
      </c>
      <c r="V568" s="92" t="str">
        <f t="shared" si="3"/>
        <v/>
      </c>
      <c r="W568" s="93">
        <f>IFERROR(__xludf.DUMMYFUNCTION("IFERROR(SWITCH(lower(join("" "",U568:V568)),""а миллионник"", 62.5,""б миллионник"", 75,""а мск"", 50, ""б мск"", 62.5, ""a остальное"", 70, ""б остальное"", 80)/100,0)"),0.0)</f>
        <v>0</v>
      </c>
      <c r="X568" s="91">
        <f t="shared" si="4"/>
        <v>0</v>
      </c>
    </row>
    <row r="569">
      <c r="A569" s="12"/>
      <c r="B569" s="12"/>
      <c r="C569" s="12"/>
      <c r="D569" s="91">
        <f>IFERROR(__xludf.DUMMYFUNCTION("IFERROR(sum(filter('Основной эфир'!$AA:$AA, 'Основной эфир'!$B:$B=$A569,'Основной эфир'!$C:$C=$B569,'Основной эфир'!$I:$I=$C569)), 0) "),0.0)</f>
        <v>0</v>
      </c>
      <c r="E569" s="91">
        <f>IFERROR(__xludf.DUMMYFUNCTION("IFERROR(sum(filter('Основной эфир'!$AC:$AC, 'Основной эфир'!$B:$B=$A569,'Основной эфир'!$C:$C=$B569,'Основной эфир'!$I:$I=$C569)), 0) "),0.0)</f>
        <v>0</v>
      </c>
      <c r="F569" s="91">
        <f>IFERROR(__xludf.DUMMYFUNCTION("IFERROR(sum(filter('Основной эфир'!$O:$O, 'Основной эфир'!$B:$B=$A569,'Основной эфир'!$C:$C=$B569,'Основной эфир'!$I:$I=$C569)), 0) "),0.0)</f>
        <v>0</v>
      </c>
      <c r="G569" s="91">
        <f>IFERROR(__xludf.DUMMYFUNCTION("IFERROR(sum(filter('Основной эфир'!$Q:$Q, 'Основной эфир'!$B:$B=$A569,'Основной эфир'!$C:$C=$B569,'Основной эфир'!$I:$I=$C569)), 0) "),0.0)</f>
        <v>0</v>
      </c>
      <c r="H569" s="91">
        <f>IFERROR(__xludf.DUMMYFUNCTION("IFERROR(AVERAGE(filter('Основной эфир'!$Y:$Y, 'Основной эфир'!$B:$B=$A569,'Основной эфир'!$C:$C=$B569,'Основной эфир'!$I:$I=$C569)), 0) "),0.0)</f>
        <v>0</v>
      </c>
      <c r="I569" s="91">
        <f>IFERROR(__xludf.DUMMYFUNCTION("IFERROR(AVERAGE(filter('Основной эфир'!$AE:$AE, 'Основной эфир'!$B:$B=$A569,'Основной эфир'!$C:$C=$B569,'Основной эфир'!$I:$I=$C569)), 0) "),0.0)</f>
        <v>0</v>
      </c>
      <c r="J569" s="91">
        <f>IFERROR(__xludf.DUMMYFUNCTION("IFERROR(SUM(filter('Основной эфир'!$AL:$AL, 'Основной эфир'!$B:$B=$A569,'Основной эфир'!$C:$C=$B569,'Основной эфир'!$I:$I=$C569)), 0) "),0.0)</f>
        <v>0</v>
      </c>
      <c r="K569" s="91" t="str">
        <f>IFERROR(__xludf.DUMMYFUNCTION("IFERROR(REGEXREPLACE(unique(filter('Основной эфир'!$A:$A, 'Основной эфир'!$B:$B=$A569,'Основной эфир'!$C:$C=$B569,'Основной эфир'!$I:$I=$C569)), ""\d+"", """"),"""")"),"")</f>
        <v/>
      </c>
      <c r="L569" s="91" t="str">
        <f>IFERROR(__xludf.DUMMYFUNCTION("IFERROR(unique(filter('Основной эфир'!$F:$F, 'Основной эфир'!$B:$B=$A569,'Основной эфир'!$C:$C=$B569,'Основной эфир'!$I:$I=$C569)),"""")"),"")</f>
        <v/>
      </c>
      <c r="M569" s="92" t="str">
        <f t="shared" si="1"/>
        <v/>
      </c>
      <c r="N569" s="93">
        <f>IFERROR(__xludf.DUMMYFUNCTION("IFERROR(SWITCH(lower(join("" "",L569:M569)),""а миллионник"", 62.5,""б миллионник"", 75,""а мск"", 50, ""б мск"", 62.5, ""a остальное"", 70, ""б остальное"", 80)/100,0)"),0.0)</f>
        <v>0</v>
      </c>
      <c r="O569" s="91">
        <f t="shared" si="2"/>
        <v>0</v>
      </c>
      <c r="P569" s="91">
        <f>IFERROR(__xludf.DUMMYFUNCTION("IFERROR(sum(filter('Генеральный баннер'!$O:$O, 'Генеральный баннер'!$B:$B=$A569,'Генеральный баннер'!$C:$C=$B569,'Генеральный баннер'!$I:$I=$C569)), 0) "),0.0)</f>
        <v>0</v>
      </c>
      <c r="Q569" s="91">
        <f>IFERROR(__xludf.DUMMYFUNCTION("IFERROR(sum(filter('Генеральный баннер'!$Q:$Q, 'Генеральный баннер'!$B:$B=$A569,'Генеральный баннер'!$C:$C=$B569,'Генеральный баннер'!$I:$I=$C569)), 0) "),0.0)</f>
        <v>0</v>
      </c>
      <c r="R569" s="91">
        <f>IFERROR(__xludf.DUMMYFUNCTION("IFERROR(AVERAGE(filter('Генеральный баннер'!$AA:$AA, 'Генеральный баннер'!$B:$B=$A569,'Генеральный баннер'!$C:$C=$B569,'Генеральный баннер'!$I:$I=$C569)), 0) "),0.0)</f>
        <v>0</v>
      </c>
      <c r="S569" s="91">
        <f>IFERROR(__xludf.DUMMYFUNCTION("IFERROR(SUM(filter('Генеральный баннер'!$AH:$AH, 'Генеральный баннер'!$B:$B=$A569,'Генеральный баннер'!$C:$C=$B569,'Генеральный баннер'!$I:$I=$C569)), 0) "),0.0)</f>
        <v>0</v>
      </c>
      <c r="T569" s="91" t="str">
        <f>IFERROR(__xludf.DUMMYFUNCTION("IFERROR(REGEXREPLACE(unique(filter('Генеральный баннер'!$A:$A, 'Генеральный баннер'!$B:$B=$A569,'Генеральный баннер'!$C:$C=$B569,'Генеральный баннер'!$I:$I=$C569)), ""\d+"", """"),"""")"),"")</f>
        <v/>
      </c>
      <c r="U569" s="91" t="str">
        <f>IFERROR(__xludf.DUMMYFUNCTION("IFERROR(unique(filter('Генеральный баннер'!$F:$F, 'Генеральный баннер'!$B:$B=$A569,'Генеральный баннер'!$C:$C=$B569,'Генеральный баннер'!$I:$I=$C569)),"""")"),"")</f>
        <v/>
      </c>
      <c r="V569" s="92" t="str">
        <f t="shared" si="3"/>
        <v/>
      </c>
      <c r="W569" s="93">
        <f>IFERROR(__xludf.DUMMYFUNCTION("IFERROR(SWITCH(lower(join("" "",U569:V569)),""а миллионник"", 62.5,""б миллионник"", 75,""а мск"", 50, ""б мск"", 62.5, ""a остальное"", 70, ""б остальное"", 80)/100,0)"),0.0)</f>
        <v>0</v>
      </c>
      <c r="X569" s="91">
        <f t="shared" si="4"/>
        <v>0</v>
      </c>
    </row>
    <row r="570">
      <c r="A570" s="12"/>
      <c r="B570" s="12"/>
      <c r="C570" s="12"/>
      <c r="D570" s="91">
        <f>IFERROR(__xludf.DUMMYFUNCTION("IFERROR(sum(filter('Основной эфир'!$AA:$AA, 'Основной эфир'!$B:$B=$A570,'Основной эфир'!$C:$C=$B570,'Основной эфир'!$I:$I=$C570)), 0) "),0.0)</f>
        <v>0</v>
      </c>
      <c r="E570" s="91">
        <f>IFERROR(__xludf.DUMMYFUNCTION("IFERROR(sum(filter('Основной эфир'!$AC:$AC, 'Основной эфир'!$B:$B=$A570,'Основной эфир'!$C:$C=$B570,'Основной эфир'!$I:$I=$C570)), 0) "),0.0)</f>
        <v>0</v>
      </c>
      <c r="F570" s="91">
        <f>IFERROR(__xludf.DUMMYFUNCTION("IFERROR(sum(filter('Основной эфир'!$O:$O, 'Основной эфир'!$B:$B=$A570,'Основной эфир'!$C:$C=$B570,'Основной эфир'!$I:$I=$C570)), 0) "),0.0)</f>
        <v>0</v>
      </c>
      <c r="G570" s="91">
        <f>IFERROR(__xludf.DUMMYFUNCTION("IFERROR(sum(filter('Основной эфир'!$Q:$Q, 'Основной эфир'!$B:$B=$A570,'Основной эфир'!$C:$C=$B570,'Основной эфир'!$I:$I=$C570)), 0) "),0.0)</f>
        <v>0</v>
      </c>
      <c r="H570" s="91">
        <f>IFERROR(__xludf.DUMMYFUNCTION("IFERROR(AVERAGE(filter('Основной эфир'!$Y:$Y, 'Основной эфир'!$B:$B=$A570,'Основной эфир'!$C:$C=$B570,'Основной эфир'!$I:$I=$C570)), 0) "),0.0)</f>
        <v>0</v>
      </c>
      <c r="I570" s="91">
        <f>IFERROR(__xludf.DUMMYFUNCTION("IFERROR(AVERAGE(filter('Основной эфир'!$AE:$AE, 'Основной эфир'!$B:$B=$A570,'Основной эфир'!$C:$C=$B570,'Основной эфир'!$I:$I=$C570)), 0) "),0.0)</f>
        <v>0</v>
      </c>
      <c r="J570" s="91">
        <f>IFERROR(__xludf.DUMMYFUNCTION("IFERROR(SUM(filter('Основной эфир'!$AL:$AL, 'Основной эфир'!$B:$B=$A570,'Основной эфир'!$C:$C=$B570,'Основной эфир'!$I:$I=$C570)), 0) "),0.0)</f>
        <v>0</v>
      </c>
      <c r="K570" s="91" t="str">
        <f>IFERROR(__xludf.DUMMYFUNCTION("IFERROR(REGEXREPLACE(unique(filter('Основной эфир'!$A:$A, 'Основной эфир'!$B:$B=$A570,'Основной эфир'!$C:$C=$B570,'Основной эфир'!$I:$I=$C570)), ""\d+"", """"),"""")"),"")</f>
        <v/>
      </c>
      <c r="L570" s="91" t="str">
        <f>IFERROR(__xludf.DUMMYFUNCTION("IFERROR(unique(filter('Основной эфир'!$F:$F, 'Основной эфир'!$B:$B=$A570,'Основной эфир'!$C:$C=$B570,'Основной эфир'!$I:$I=$C570)),"""")"),"")</f>
        <v/>
      </c>
      <c r="M570" s="92" t="str">
        <f t="shared" si="1"/>
        <v/>
      </c>
      <c r="N570" s="93">
        <f>IFERROR(__xludf.DUMMYFUNCTION("IFERROR(SWITCH(lower(join("" "",L570:M570)),""а миллионник"", 62.5,""б миллионник"", 75,""а мск"", 50, ""б мск"", 62.5, ""a остальное"", 70, ""б остальное"", 80)/100,0)"),0.0)</f>
        <v>0</v>
      </c>
      <c r="O570" s="91">
        <f t="shared" si="2"/>
        <v>0</v>
      </c>
      <c r="P570" s="91">
        <f>IFERROR(__xludf.DUMMYFUNCTION("IFERROR(sum(filter('Генеральный баннер'!$O:$O, 'Генеральный баннер'!$B:$B=$A570,'Генеральный баннер'!$C:$C=$B570,'Генеральный баннер'!$I:$I=$C570)), 0) "),0.0)</f>
        <v>0</v>
      </c>
      <c r="Q570" s="91">
        <f>IFERROR(__xludf.DUMMYFUNCTION("IFERROR(sum(filter('Генеральный баннер'!$Q:$Q, 'Генеральный баннер'!$B:$B=$A570,'Генеральный баннер'!$C:$C=$B570,'Генеральный баннер'!$I:$I=$C570)), 0) "),0.0)</f>
        <v>0</v>
      </c>
      <c r="R570" s="91">
        <f>IFERROR(__xludf.DUMMYFUNCTION("IFERROR(AVERAGE(filter('Генеральный баннер'!$AA:$AA, 'Генеральный баннер'!$B:$B=$A570,'Генеральный баннер'!$C:$C=$B570,'Генеральный баннер'!$I:$I=$C570)), 0) "),0.0)</f>
        <v>0</v>
      </c>
      <c r="S570" s="91">
        <f>IFERROR(__xludf.DUMMYFUNCTION("IFERROR(SUM(filter('Генеральный баннер'!$AH:$AH, 'Генеральный баннер'!$B:$B=$A570,'Генеральный баннер'!$C:$C=$B570,'Генеральный баннер'!$I:$I=$C570)), 0) "),0.0)</f>
        <v>0</v>
      </c>
      <c r="T570" s="91" t="str">
        <f>IFERROR(__xludf.DUMMYFUNCTION("IFERROR(REGEXREPLACE(unique(filter('Генеральный баннер'!$A:$A, 'Генеральный баннер'!$B:$B=$A570,'Генеральный баннер'!$C:$C=$B570,'Генеральный баннер'!$I:$I=$C570)), ""\d+"", """"),"""")"),"")</f>
        <v/>
      </c>
      <c r="U570" s="91" t="str">
        <f>IFERROR(__xludf.DUMMYFUNCTION("IFERROR(unique(filter('Генеральный баннер'!$F:$F, 'Генеральный баннер'!$B:$B=$A570,'Генеральный баннер'!$C:$C=$B570,'Генеральный баннер'!$I:$I=$C570)),"""")"),"")</f>
        <v/>
      </c>
      <c r="V570" s="92" t="str">
        <f t="shared" si="3"/>
        <v/>
      </c>
      <c r="W570" s="93">
        <f>IFERROR(__xludf.DUMMYFUNCTION("IFERROR(SWITCH(lower(join("" "",U570:V570)),""а миллионник"", 62.5,""б миллионник"", 75,""а мск"", 50, ""б мск"", 62.5, ""a остальное"", 70, ""б остальное"", 80)/100,0)"),0.0)</f>
        <v>0</v>
      </c>
      <c r="X570" s="91">
        <f t="shared" si="4"/>
        <v>0</v>
      </c>
    </row>
    <row r="571">
      <c r="A571" s="12"/>
      <c r="B571" s="12"/>
      <c r="C571" s="12"/>
      <c r="D571" s="91">
        <f>IFERROR(__xludf.DUMMYFUNCTION("IFERROR(sum(filter('Основной эфир'!$AA:$AA, 'Основной эфир'!$B:$B=$A571,'Основной эфир'!$C:$C=$B571,'Основной эфир'!$I:$I=$C571)), 0) "),0.0)</f>
        <v>0</v>
      </c>
      <c r="E571" s="91">
        <f>IFERROR(__xludf.DUMMYFUNCTION("IFERROR(sum(filter('Основной эфир'!$AC:$AC, 'Основной эфир'!$B:$B=$A571,'Основной эфир'!$C:$C=$B571,'Основной эфир'!$I:$I=$C571)), 0) "),0.0)</f>
        <v>0</v>
      </c>
      <c r="F571" s="91">
        <f>IFERROR(__xludf.DUMMYFUNCTION("IFERROR(sum(filter('Основной эфир'!$O:$O, 'Основной эфир'!$B:$B=$A571,'Основной эфир'!$C:$C=$B571,'Основной эфир'!$I:$I=$C571)), 0) "),0.0)</f>
        <v>0</v>
      </c>
      <c r="G571" s="91">
        <f>IFERROR(__xludf.DUMMYFUNCTION("IFERROR(sum(filter('Основной эфир'!$Q:$Q, 'Основной эфир'!$B:$B=$A571,'Основной эфир'!$C:$C=$B571,'Основной эфир'!$I:$I=$C571)), 0) "),0.0)</f>
        <v>0</v>
      </c>
      <c r="H571" s="91">
        <f>IFERROR(__xludf.DUMMYFUNCTION("IFERROR(AVERAGE(filter('Основной эфир'!$Y:$Y, 'Основной эфир'!$B:$B=$A571,'Основной эфир'!$C:$C=$B571,'Основной эфир'!$I:$I=$C571)), 0) "),0.0)</f>
        <v>0</v>
      </c>
      <c r="I571" s="91">
        <f>IFERROR(__xludf.DUMMYFUNCTION("IFERROR(AVERAGE(filter('Основной эфир'!$AE:$AE, 'Основной эфир'!$B:$B=$A571,'Основной эфир'!$C:$C=$B571,'Основной эфир'!$I:$I=$C571)), 0) "),0.0)</f>
        <v>0</v>
      </c>
      <c r="J571" s="91">
        <f>IFERROR(__xludf.DUMMYFUNCTION("IFERROR(SUM(filter('Основной эфир'!$AL:$AL, 'Основной эфир'!$B:$B=$A571,'Основной эфир'!$C:$C=$B571,'Основной эфир'!$I:$I=$C571)), 0) "),0.0)</f>
        <v>0</v>
      </c>
      <c r="K571" s="91" t="str">
        <f>IFERROR(__xludf.DUMMYFUNCTION("IFERROR(REGEXREPLACE(unique(filter('Основной эфир'!$A:$A, 'Основной эфир'!$B:$B=$A571,'Основной эфир'!$C:$C=$B571,'Основной эфир'!$I:$I=$C571)), ""\d+"", """"),"""")"),"")</f>
        <v/>
      </c>
      <c r="L571" s="91" t="str">
        <f>IFERROR(__xludf.DUMMYFUNCTION("IFERROR(unique(filter('Основной эфир'!$F:$F, 'Основной эфир'!$B:$B=$A571,'Основной эфир'!$C:$C=$B571,'Основной эфир'!$I:$I=$C571)),"""")"),"")</f>
        <v/>
      </c>
      <c r="M571" s="92" t="str">
        <f t="shared" si="1"/>
        <v/>
      </c>
      <c r="N571" s="93">
        <f>IFERROR(__xludf.DUMMYFUNCTION("IFERROR(SWITCH(lower(join("" "",L571:M571)),""а миллионник"", 62.5,""б миллионник"", 75,""а мск"", 50, ""б мск"", 62.5, ""a остальное"", 70, ""б остальное"", 80)/100,0)"),0.0)</f>
        <v>0</v>
      </c>
      <c r="O571" s="91">
        <f t="shared" si="2"/>
        <v>0</v>
      </c>
      <c r="P571" s="91">
        <f>IFERROR(__xludf.DUMMYFUNCTION("IFERROR(sum(filter('Генеральный баннер'!$O:$O, 'Генеральный баннер'!$B:$B=$A571,'Генеральный баннер'!$C:$C=$B571,'Генеральный баннер'!$I:$I=$C571)), 0) "),0.0)</f>
        <v>0</v>
      </c>
      <c r="Q571" s="91">
        <f>IFERROR(__xludf.DUMMYFUNCTION("IFERROR(sum(filter('Генеральный баннер'!$Q:$Q, 'Генеральный баннер'!$B:$B=$A571,'Генеральный баннер'!$C:$C=$B571,'Генеральный баннер'!$I:$I=$C571)), 0) "),0.0)</f>
        <v>0</v>
      </c>
      <c r="R571" s="91">
        <f>IFERROR(__xludf.DUMMYFUNCTION("IFERROR(AVERAGE(filter('Генеральный баннер'!$AA:$AA, 'Генеральный баннер'!$B:$B=$A571,'Генеральный баннер'!$C:$C=$B571,'Генеральный баннер'!$I:$I=$C571)), 0) "),0.0)</f>
        <v>0</v>
      </c>
      <c r="S571" s="91">
        <f>IFERROR(__xludf.DUMMYFUNCTION("IFERROR(SUM(filter('Генеральный баннер'!$AH:$AH, 'Генеральный баннер'!$B:$B=$A571,'Генеральный баннер'!$C:$C=$B571,'Генеральный баннер'!$I:$I=$C571)), 0) "),0.0)</f>
        <v>0</v>
      </c>
      <c r="T571" s="91" t="str">
        <f>IFERROR(__xludf.DUMMYFUNCTION("IFERROR(REGEXREPLACE(unique(filter('Генеральный баннер'!$A:$A, 'Генеральный баннер'!$B:$B=$A571,'Генеральный баннер'!$C:$C=$B571,'Генеральный баннер'!$I:$I=$C571)), ""\d+"", """"),"""")"),"")</f>
        <v/>
      </c>
      <c r="U571" s="91" t="str">
        <f>IFERROR(__xludf.DUMMYFUNCTION("IFERROR(unique(filter('Генеральный баннер'!$F:$F, 'Генеральный баннер'!$B:$B=$A571,'Генеральный баннер'!$C:$C=$B571,'Генеральный баннер'!$I:$I=$C571)),"""")"),"")</f>
        <v/>
      </c>
      <c r="V571" s="92" t="str">
        <f t="shared" si="3"/>
        <v/>
      </c>
      <c r="W571" s="93">
        <f>IFERROR(__xludf.DUMMYFUNCTION("IFERROR(SWITCH(lower(join("" "",U571:V571)),""а миллионник"", 62.5,""б миллионник"", 75,""а мск"", 50, ""б мск"", 62.5, ""a остальное"", 70, ""б остальное"", 80)/100,0)"),0.0)</f>
        <v>0</v>
      </c>
      <c r="X571" s="91">
        <f t="shared" si="4"/>
        <v>0</v>
      </c>
    </row>
    <row r="572">
      <c r="A572" s="12"/>
      <c r="B572" s="12"/>
      <c r="C572" s="12"/>
      <c r="D572" s="91">
        <f>IFERROR(__xludf.DUMMYFUNCTION("IFERROR(sum(filter('Основной эфир'!$AA:$AA, 'Основной эфир'!$B:$B=$A572,'Основной эфир'!$C:$C=$B572,'Основной эфир'!$I:$I=$C572)), 0) "),0.0)</f>
        <v>0</v>
      </c>
      <c r="E572" s="91">
        <f>IFERROR(__xludf.DUMMYFUNCTION("IFERROR(sum(filter('Основной эфир'!$AC:$AC, 'Основной эфир'!$B:$B=$A572,'Основной эфир'!$C:$C=$B572,'Основной эфир'!$I:$I=$C572)), 0) "),0.0)</f>
        <v>0</v>
      </c>
      <c r="F572" s="91">
        <f>IFERROR(__xludf.DUMMYFUNCTION("IFERROR(sum(filter('Основной эфир'!$O:$O, 'Основной эфир'!$B:$B=$A572,'Основной эфир'!$C:$C=$B572,'Основной эфир'!$I:$I=$C572)), 0) "),0.0)</f>
        <v>0</v>
      </c>
      <c r="G572" s="91">
        <f>IFERROR(__xludf.DUMMYFUNCTION("IFERROR(sum(filter('Основной эфир'!$Q:$Q, 'Основной эфир'!$B:$B=$A572,'Основной эфир'!$C:$C=$B572,'Основной эфир'!$I:$I=$C572)), 0) "),0.0)</f>
        <v>0</v>
      </c>
      <c r="H572" s="91">
        <f>IFERROR(__xludf.DUMMYFUNCTION("IFERROR(AVERAGE(filter('Основной эфир'!$Y:$Y, 'Основной эфир'!$B:$B=$A572,'Основной эфир'!$C:$C=$B572,'Основной эфир'!$I:$I=$C572)), 0) "),0.0)</f>
        <v>0</v>
      </c>
      <c r="I572" s="91">
        <f>IFERROR(__xludf.DUMMYFUNCTION("IFERROR(AVERAGE(filter('Основной эфир'!$AE:$AE, 'Основной эфир'!$B:$B=$A572,'Основной эфир'!$C:$C=$B572,'Основной эфир'!$I:$I=$C572)), 0) "),0.0)</f>
        <v>0</v>
      </c>
      <c r="J572" s="91">
        <f>IFERROR(__xludf.DUMMYFUNCTION("IFERROR(SUM(filter('Основной эфир'!$AL:$AL, 'Основной эфир'!$B:$B=$A572,'Основной эфир'!$C:$C=$B572,'Основной эфир'!$I:$I=$C572)), 0) "),0.0)</f>
        <v>0</v>
      </c>
      <c r="K572" s="91" t="str">
        <f>IFERROR(__xludf.DUMMYFUNCTION("IFERROR(REGEXREPLACE(unique(filter('Основной эфир'!$A:$A, 'Основной эфир'!$B:$B=$A572,'Основной эфир'!$C:$C=$B572,'Основной эфир'!$I:$I=$C572)), ""\d+"", """"),"""")"),"")</f>
        <v/>
      </c>
      <c r="L572" s="91" t="str">
        <f>IFERROR(__xludf.DUMMYFUNCTION("IFERROR(unique(filter('Основной эфир'!$F:$F, 'Основной эфир'!$B:$B=$A572,'Основной эфир'!$C:$C=$B572,'Основной эфир'!$I:$I=$C572)),"""")"),"")</f>
        <v/>
      </c>
      <c r="M572" s="92" t="str">
        <f t="shared" si="1"/>
        <v/>
      </c>
      <c r="N572" s="93">
        <f>IFERROR(__xludf.DUMMYFUNCTION("IFERROR(SWITCH(lower(join("" "",L572:M572)),""а миллионник"", 62.5,""б миллионник"", 75,""а мск"", 50, ""б мск"", 62.5, ""a остальное"", 70, ""б остальное"", 80)/100,0)"),0.0)</f>
        <v>0</v>
      </c>
      <c r="O572" s="91">
        <f t="shared" si="2"/>
        <v>0</v>
      </c>
      <c r="P572" s="91">
        <f>IFERROR(__xludf.DUMMYFUNCTION("IFERROR(sum(filter('Генеральный баннер'!$O:$O, 'Генеральный баннер'!$B:$B=$A572,'Генеральный баннер'!$C:$C=$B572,'Генеральный баннер'!$I:$I=$C572)), 0) "),0.0)</f>
        <v>0</v>
      </c>
      <c r="Q572" s="91">
        <f>IFERROR(__xludf.DUMMYFUNCTION("IFERROR(sum(filter('Генеральный баннер'!$Q:$Q, 'Генеральный баннер'!$B:$B=$A572,'Генеральный баннер'!$C:$C=$B572,'Генеральный баннер'!$I:$I=$C572)), 0) "),0.0)</f>
        <v>0</v>
      </c>
      <c r="R572" s="91">
        <f>IFERROR(__xludf.DUMMYFUNCTION("IFERROR(AVERAGE(filter('Генеральный баннер'!$AA:$AA, 'Генеральный баннер'!$B:$B=$A572,'Генеральный баннер'!$C:$C=$B572,'Генеральный баннер'!$I:$I=$C572)), 0) "),0.0)</f>
        <v>0</v>
      </c>
      <c r="S572" s="91">
        <f>IFERROR(__xludf.DUMMYFUNCTION("IFERROR(SUM(filter('Генеральный баннер'!$AH:$AH, 'Генеральный баннер'!$B:$B=$A572,'Генеральный баннер'!$C:$C=$B572,'Генеральный баннер'!$I:$I=$C572)), 0) "),0.0)</f>
        <v>0</v>
      </c>
      <c r="T572" s="91" t="str">
        <f>IFERROR(__xludf.DUMMYFUNCTION("IFERROR(REGEXREPLACE(unique(filter('Генеральный баннер'!$A:$A, 'Генеральный баннер'!$B:$B=$A572,'Генеральный баннер'!$C:$C=$B572,'Генеральный баннер'!$I:$I=$C572)), ""\d+"", """"),"""")"),"")</f>
        <v/>
      </c>
      <c r="U572" s="91" t="str">
        <f>IFERROR(__xludf.DUMMYFUNCTION("IFERROR(unique(filter('Генеральный баннер'!$F:$F, 'Генеральный баннер'!$B:$B=$A572,'Генеральный баннер'!$C:$C=$B572,'Генеральный баннер'!$I:$I=$C572)),"""")"),"")</f>
        <v/>
      </c>
      <c r="V572" s="92" t="str">
        <f t="shared" si="3"/>
        <v/>
      </c>
      <c r="W572" s="93">
        <f>IFERROR(__xludf.DUMMYFUNCTION("IFERROR(SWITCH(lower(join("" "",U572:V572)),""а миллионник"", 62.5,""б миллионник"", 75,""а мск"", 50, ""б мск"", 62.5, ""a остальное"", 70, ""б остальное"", 80)/100,0)"),0.0)</f>
        <v>0</v>
      </c>
      <c r="X572" s="91">
        <f t="shared" si="4"/>
        <v>0</v>
      </c>
    </row>
    <row r="573">
      <c r="A573" s="12"/>
      <c r="B573" s="12"/>
      <c r="C573" s="12"/>
      <c r="D573" s="91">
        <f>IFERROR(__xludf.DUMMYFUNCTION("IFERROR(sum(filter('Основной эфир'!$AA:$AA, 'Основной эфир'!$B:$B=$A573,'Основной эфир'!$C:$C=$B573,'Основной эфир'!$I:$I=$C573)), 0) "),0.0)</f>
        <v>0</v>
      </c>
      <c r="E573" s="91">
        <f>IFERROR(__xludf.DUMMYFUNCTION("IFERROR(sum(filter('Основной эфир'!$AC:$AC, 'Основной эфир'!$B:$B=$A573,'Основной эфир'!$C:$C=$B573,'Основной эфир'!$I:$I=$C573)), 0) "),0.0)</f>
        <v>0</v>
      </c>
      <c r="F573" s="91">
        <f>IFERROR(__xludf.DUMMYFUNCTION("IFERROR(sum(filter('Основной эфир'!$O:$O, 'Основной эфир'!$B:$B=$A573,'Основной эфир'!$C:$C=$B573,'Основной эфир'!$I:$I=$C573)), 0) "),0.0)</f>
        <v>0</v>
      </c>
      <c r="G573" s="91">
        <f>IFERROR(__xludf.DUMMYFUNCTION("IFERROR(sum(filter('Основной эфир'!$Q:$Q, 'Основной эфир'!$B:$B=$A573,'Основной эфир'!$C:$C=$B573,'Основной эфир'!$I:$I=$C573)), 0) "),0.0)</f>
        <v>0</v>
      </c>
      <c r="H573" s="91">
        <f>IFERROR(__xludf.DUMMYFUNCTION("IFERROR(AVERAGE(filter('Основной эфир'!$Y:$Y, 'Основной эфир'!$B:$B=$A573,'Основной эфир'!$C:$C=$B573,'Основной эфир'!$I:$I=$C573)), 0) "),0.0)</f>
        <v>0</v>
      </c>
      <c r="I573" s="91">
        <f>IFERROR(__xludf.DUMMYFUNCTION("IFERROR(AVERAGE(filter('Основной эфир'!$AE:$AE, 'Основной эфир'!$B:$B=$A573,'Основной эфир'!$C:$C=$B573,'Основной эфир'!$I:$I=$C573)), 0) "),0.0)</f>
        <v>0</v>
      </c>
      <c r="J573" s="91">
        <f>IFERROR(__xludf.DUMMYFUNCTION("IFERROR(SUM(filter('Основной эфир'!$AL:$AL, 'Основной эфир'!$B:$B=$A573,'Основной эфир'!$C:$C=$B573,'Основной эфир'!$I:$I=$C573)), 0) "),0.0)</f>
        <v>0</v>
      </c>
      <c r="K573" s="91" t="str">
        <f>IFERROR(__xludf.DUMMYFUNCTION("IFERROR(REGEXREPLACE(unique(filter('Основной эфир'!$A:$A, 'Основной эфир'!$B:$B=$A573,'Основной эфир'!$C:$C=$B573,'Основной эфир'!$I:$I=$C573)), ""\d+"", """"),"""")"),"")</f>
        <v/>
      </c>
      <c r="L573" s="91" t="str">
        <f>IFERROR(__xludf.DUMMYFUNCTION("IFERROR(unique(filter('Основной эфир'!$F:$F, 'Основной эфир'!$B:$B=$A573,'Основной эфир'!$C:$C=$B573,'Основной эфир'!$I:$I=$C573)),"""")"),"")</f>
        <v/>
      </c>
      <c r="M573" s="92" t="str">
        <f t="shared" si="1"/>
        <v/>
      </c>
      <c r="N573" s="93">
        <f>IFERROR(__xludf.DUMMYFUNCTION("IFERROR(SWITCH(lower(join("" "",L573:M573)),""а миллионник"", 62.5,""б миллионник"", 75,""а мск"", 50, ""б мск"", 62.5, ""a остальное"", 70, ""б остальное"", 80)/100,0)"),0.0)</f>
        <v>0</v>
      </c>
      <c r="O573" s="91">
        <f t="shared" si="2"/>
        <v>0</v>
      </c>
      <c r="P573" s="91">
        <f>IFERROR(__xludf.DUMMYFUNCTION("IFERROR(sum(filter('Генеральный баннер'!$O:$O, 'Генеральный баннер'!$B:$B=$A573,'Генеральный баннер'!$C:$C=$B573,'Генеральный баннер'!$I:$I=$C573)), 0) "),0.0)</f>
        <v>0</v>
      </c>
      <c r="Q573" s="91">
        <f>IFERROR(__xludf.DUMMYFUNCTION("IFERROR(sum(filter('Генеральный баннер'!$Q:$Q, 'Генеральный баннер'!$B:$B=$A573,'Генеральный баннер'!$C:$C=$B573,'Генеральный баннер'!$I:$I=$C573)), 0) "),0.0)</f>
        <v>0</v>
      </c>
      <c r="R573" s="91">
        <f>IFERROR(__xludf.DUMMYFUNCTION("IFERROR(AVERAGE(filter('Генеральный баннер'!$AA:$AA, 'Генеральный баннер'!$B:$B=$A573,'Генеральный баннер'!$C:$C=$B573,'Генеральный баннер'!$I:$I=$C573)), 0) "),0.0)</f>
        <v>0</v>
      </c>
      <c r="S573" s="91">
        <f>IFERROR(__xludf.DUMMYFUNCTION("IFERROR(SUM(filter('Генеральный баннер'!$AH:$AH, 'Генеральный баннер'!$B:$B=$A573,'Генеральный баннер'!$C:$C=$B573,'Генеральный баннер'!$I:$I=$C573)), 0) "),0.0)</f>
        <v>0</v>
      </c>
      <c r="T573" s="91" t="str">
        <f>IFERROR(__xludf.DUMMYFUNCTION("IFERROR(REGEXREPLACE(unique(filter('Генеральный баннер'!$A:$A, 'Генеральный баннер'!$B:$B=$A573,'Генеральный баннер'!$C:$C=$B573,'Генеральный баннер'!$I:$I=$C573)), ""\d+"", """"),"""")"),"")</f>
        <v/>
      </c>
      <c r="U573" s="91" t="str">
        <f>IFERROR(__xludf.DUMMYFUNCTION("IFERROR(unique(filter('Генеральный баннер'!$F:$F, 'Генеральный баннер'!$B:$B=$A573,'Генеральный баннер'!$C:$C=$B573,'Генеральный баннер'!$I:$I=$C573)),"""")"),"")</f>
        <v/>
      </c>
      <c r="V573" s="92" t="str">
        <f t="shared" si="3"/>
        <v/>
      </c>
      <c r="W573" s="93">
        <f>IFERROR(__xludf.DUMMYFUNCTION("IFERROR(SWITCH(lower(join("" "",U573:V573)),""а миллионник"", 62.5,""б миллионник"", 75,""а мск"", 50, ""б мск"", 62.5, ""a остальное"", 70, ""б остальное"", 80)/100,0)"),0.0)</f>
        <v>0</v>
      </c>
      <c r="X573" s="91">
        <f t="shared" si="4"/>
        <v>0</v>
      </c>
    </row>
    <row r="574">
      <c r="A574" s="12"/>
      <c r="B574" s="12"/>
      <c r="C574" s="12"/>
      <c r="D574" s="91">
        <f>IFERROR(__xludf.DUMMYFUNCTION("IFERROR(sum(filter('Основной эфир'!$AA:$AA, 'Основной эфир'!$B:$B=$A574,'Основной эфир'!$C:$C=$B574,'Основной эфир'!$I:$I=$C574)), 0) "),0.0)</f>
        <v>0</v>
      </c>
      <c r="E574" s="91">
        <f>IFERROR(__xludf.DUMMYFUNCTION("IFERROR(sum(filter('Основной эфир'!$AC:$AC, 'Основной эфир'!$B:$B=$A574,'Основной эфир'!$C:$C=$B574,'Основной эфир'!$I:$I=$C574)), 0) "),0.0)</f>
        <v>0</v>
      </c>
      <c r="F574" s="91">
        <f>IFERROR(__xludf.DUMMYFUNCTION("IFERROR(sum(filter('Основной эфир'!$O:$O, 'Основной эфир'!$B:$B=$A574,'Основной эфир'!$C:$C=$B574,'Основной эфир'!$I:$I=$C574)), 0) "),0.0)</f>
        <v>0</v>
      </c>
      <c r="G574" s="91">
        <f>IFERROR(__xludf.DUMMYFUNCTION("IFERROR(sum(filter('Основной эфир'!$Q:$Q, 'Основной эфир'!$B:$B=$A574,'Основной эфир'!$C:$C=$B574,'Основной эфир'!$I:$I=$C574)), 0) "),0.0)</f>
        <v>0</v>
      </c>
      <c r="H574" s="91">
        <f>IFERROR(__xludf.DUMMYFUNCTION("IFERROR(AVERAGE(filter('Основной эфир'!$Y:$Y, 'Основной эфир'!$B:$B=$A574,'Основной эфир'!$C:$C=$B574,'Основной эфир'!$I:$I=$C574)), 0) "),0.0)</f>
        <v>0</v>
      </c>
      <c r="I574" s="91">
        <f>IFERROR(__xludf.DUMMYFUNCTION("IFERROR(AVERAGE(filter('Основной эфир'!$AE:$AE, 'Основной эфир'!$B:$B=$A574,'Основной эфир'!$C:$C=$B574,'Основной эфир'!$I:$I=$C574)), 0) "),0.0)</f>
        <v>0</v>
      </c>
      <c r="J574" s="91">
        <f>IFERROR(__xludf.DUMMYFUNCTION("IFERROR(SUM(filter('Основной эфир'!$AL:$AL, 'Основной эфир'!$B:$B=$A574,'Основной эфир'!$C:$C=$B574,'Основной эфир'!$I:$I=$C574)), 0) "),0.0)</f>
        <v>0</v>
      </c>
      <c r="K574" s="91" t="str">
        <f>IFERROR(__xludf.DUMMYFUNCTION("IFERROR(REGEXREPLACE(unique(filter('Основной эфир'!$A:$A, 'Основной эфир'!$B:$B=$A574,'Основной эфир'!$C:$C=$B574,'Основной эфир'!$I:$I=$C574)), ""\d+"", """"),"""")"),"")</f>
        <v/>
      </c>
      <c r="L574" s="91" t="str">
        <f>IFERROR(__xludf.DUMMYFUNCTION("IFERROR(unique(filter('Основной эфир'!$F:$F, 'Основной эфир'!$B:$B=$A574,'Основной эфир'!$C:$C=$B574,'Основной эфир'!$I:$I=$C574)),"""")"),"")</f>
        <v/>
      </c>
      <c r="M574" s="92" t="str">
        <f t="shared" si="1"/>
        <v/>
      </c>
      <c r="N574" s="93">
        <f>IFERROR(__xludf.DUMMYFUNCTION("IFERROR(SWITCH(lower(join("" "",L574:M574)),""а миллионник"", 62.5,""б миллионник"", 75,""а мск"", 50, ""б мск"", 62.5, ""a остальное"", 70, ""б остальное"", 80)/100,0)"),0.0)</f>
        <v>0</v>
      </c>
      <c r="O574" s="91">
        <f t="shared" si="2"/>
        <v>0</v>
      </c>
      <c r="P574" s="91">
        <f>IFERROR(__xludf.DUMMYFUNCTION("IFERROR(sum(filter('Генеральный баннер'!$O:$O, 'Генеральный баннер'!$B:$B=$A574,'Генеральный баннер'!$C:$C=$B574,'Генеральный баннер'!$I:$I=$C574)), 0) "),0.0)</f>
        <v>0</v>
      </c>
      <c r="Q574" s="91">
        <f>IFERROR(__xludf.DUMMYFUNCTION("IFERROR(sum(filter('Генеральный баннер'!$Q:$Q, 'Генеральный баннер'!$B:$B=$A574,'Генеральный баннер'!$C:$C=$B574,'Генеральный баннер'!$I:$I=$C574)), 0) "),0.0)</f>
        <v>0</v>
      </c>
      <c r="R574" s="91">
        <f>IFERROR(__xludf.DUMMYFUNCTION("IFERROR(AVERAGE(filter('Генеральный баннер'!$AA:$AA, 'Генеральный баннер'!$B:$B=$A574,'Генеральный баннер'!$C:$C=$B574,'Генеральный баннер'!$I:$I=$C574)), 0) "),0.0)</f>
        <v>0</v>
      </c>
      <c r="S574" s="91">
        <f>IFERROR(__xludf.DUMMYFUNCTION("IFERROR(SUM(filter('Генеральный баннер'!$AH:$AH, 'Генеральный баннер'!$B:$B=$A574,'Генеральный баннер'!$C:$C=$B574,'Генеральный баннер'!$I:$I=$C574)), 0) "),0.0)</f>
        <v>0</v>
      </c>
      <c r="T574" s="91" t="str">
        <f>IFERROR(__xludf.DUMMYFUNCTION("IFERROR(REGEXREPLACE(unique(filter('Генеральный баннер'!$A:$A, 'Генеральный баннер'!$B:$B=$A574,'Генеральный баннер'!$C:$C=$B574,'Генеральный баннер'!$I:$I=$C574)), ""\d+"", """"),"""")"),"")</f>
        <v/>
      </c>
      <c r="U574" s="91" t="str">
        <f>IFERROR(__xludf.DUMMYFUNCTION("IFERROR(unique(filter('Генеральный баннер'!$F:$F, 'Генеральный баннер'!$B:$B=$A574,'Генеральный баннер'!$C:$C=$B574,'Генеральный баннер'!$I:$I=$C574)),"""")"),"")</f>
        <v/>
      </c>
      <c r="V574" s="92" t="str">
        <f t="shared" si="3"/>
        <v/>
      </c>
      <c r="W574" s="93">
        <f>IFERROR(__xludf.DUMMYFUNCTION("IFERROR(SWITCH(lower(join("" "",U574:V574)),""а миллионник"", 62.5,""б миллионник"", 75,""а мск"", 50, ""б мск"", 62.5, ""a остальное"", 70, ""б остальное"", 80)/100,0)"),0.0)</f>
        <v>0</v>
      </c>
      <c r="X574" s="91">
        <f t="shared" si="4"/>
        <v>0</v>
      </c>
    </row>
    <row r="575">
      <c r="A575" s="12"/>
      <c r="B575" s="12"/>
      <c r="C575" s="12"/>
      <c r="D575" s="91">
        <f>IFERROR(__xludf.DUMMYFUNCTION("IFERROR(sum(filter('Основной эфир'!$AA:$AA, 'Основной эфир'!$B:$B=$A575,'Основной эфир'!$C:$C=$B575,'Основной эфир'!$I:$I=$C575)), 0) "),0.0)</f>
        <v>0</v>
      </c>
      <c r="E575" s="91">
        <f>IFERROR(__xludf.DUMMYFUNCTION("IFERROR(sum(filter('Основной эфир'!$AC:$AC, 'Основной эфир'!$B:$B=$A575,'Основной эфир'!$C:$C=$B575,'Основной эфир'!$I:$I=$C575)), 0) "),0.0)</f>
        <v>0</v>
      </c>
      <c r="F575" s="91">
        <f>IFERROR(__xludf.DUMMYFUNCTION("IFERROR(sum(filter('Основной эфир'!$O:$O, 'Основной эфир'!$B:$B=$A575,'Основной эфир'!$C:$C=$B575,'Основной эфир'!$I:$I=$C575)), 0) "),0.0)</f>
        <v>0</v>
      </c>
      <c r="G575" s="91">
        <f>IFERROR(__xludf.DUMMYFUNCTION("IFERROR(sum(filter('Основной эфир'!$Q:$Q, 'Основной эфир'!$B:$B=$A575,'Основной эфир'!$C:$C=$B575,'Основной эфир'!$I:$I=$C575)), 0) "),0.0)</f>
        <v>0</v>
      </c>
      <c r="H575" s="91">
        <f>IFERROR(__xludf.DUMMYFUNCTION("IFERROR(AVERAGE(filter('Основной эфир'!$Y:$Y, 'Основной эфир'!$B:$B=$A575,'Основной эфир'!$C:$C=$B575,'Основной эфир'!$I:$I=$C575)), 0) "),0.0)</f>
        <v>0</v>
      </c>
      <c r="I575" s="91">
        <f>IFERROR(__xludf.DUMMYFUNCTION("IFERROR(AVERAGE(filter('Основной эфир'!$AE:$AE, 'Основной эфир'!$B:$B=$A575,'Основной эфир'!$C:$C=$B575,'Основной эфир'!$I:$I=$C575)), 0) "),0.0)</f>
        <v>0</v>
      </c>
      <c r="J575" s="91">
        <f>IFERROR(__xludf.DUMMYFUNCTION("IFERROR(SUM(filter('Основной эфир'!$AL:$AL, 'Основной эфир'!$B:$B=$A575,'Основной эфир'!$C:$C=$B575,'Основной эфир'!$I:$I=$C575)), 0) "),0.0)</f>
        <v>0</v>
      </c>
      <c r="K575" s="91" t="str">
        <f>IFERROR(__xludf.DUMMYFUNCTION("IFERROR(REGEXREPLACE(unique(filter('Основной эфир'!$A:$A, 'Основной эфир'!$B:$B=$A575,'Основной эфир'!$C:$C=$B575,'Основной эфир'!$I:$I=$C575)), ""\d+"", """"),"""")"),"")</f>
        <v/>
      </c>
      <c r="L575" s="91" t="str">
        <f>IFERROR(__xludf.DUMMYFUNCTION("IFERROR(unique(filter('Основной эфир'!$F:$F, 'Основной эфир'!$B:$B=$A575,'Основной эфир'!$C:$C=$B575,'Основной эфир'!$I:$I=$C575)),"""")"),"")</f>
        <v/>
      </c>
      <c r="M575" s="92" t="str">
        <f t="shared" si="1"/>
        <v/>
      </c>
      <c r="N575" s="93">
        <f>IFERROR(__xludf.DUMMYFUNCTION("IFERROR(SWITCH(lower(join("" "",L575:M575)),""а миллионник"", 62.5,""б миллионник"", 75,""а мск"", 50, ""б мск"", 62.5, ""a остальное"", 70, ""б остальное"", 80)/100,0)"),0.0)</f>
        <v>0</v>
      </c>
      <c r="O575" s="91">
        <f t="shared" si="2"/>
        <v>0</v>
      </c>
      <c r="P575" s="91">
        <f>IFERROR(__xludf.DUMMYFUNCTION("IFERROR(sum(filter('Генеральный баннер'!$O:$O, 'Генеральный баннер'!$B:$B=$A575,'Генеральный баннер'!$C:$C=$B575,'Генеральный баннер'!$I:$I=$C575)), 0) "),0.0)</f>
        <v>0</v>
      </c>
      <c r="Q575" s="91">
        <f>IFERROR(__xludf.DUMMYFUNCTION("IFERROR(sum(filter('Генеральный баннер'!$Q:$Q, 'Генеральный баннер'!$B:$B=$A575,'Генеральный баннер'!$C:$C=$B575,'Генеральный баннер'!$I:$I=$C575)), 0) "),0.0)</f>
        <v>0</v>
      </c>
      <c r="R575" s="91">
        <f>IFERROR(__xludf.DUMMYFUNCTION("IFERROR(AVERAGE(filter('Генеральный баннер'!$AA:$AA, 'Генеральный баннер'!$B:$B=$A575,'Генеральный баннер'!$C:$C=$B575,'Генеральный баннер'!$I:$I=$C575)), 0) "),0.0)</f>
        <v>0</v>
      </c>
      <c r="S575" s="91">
        <f>IFERROR(__xludf.DUMMYFUNCTION("IFERROR(SUM(filter('Генеральный баннер'!$AH:$AH, 'Генеральный баннер'!$B:$B=$A575,'Генеральный баннер'!$C:$C=$B575,'Генеральный баннер'!$I:$I=$C575)), 0) "),0.0)</f>
        <v>0</v>
      </c>
      <c r="T575" s="91" t="str">
        <f>IFERROR(__xludf.DUMMYFUNCTION("IFERROR(REGEXREPLACE(unique(filter('Генеральный баннер'!$A:$A, 'Генеральный баннер'!$B:$B=$A575,'Генеральный баннер'!$C:$C=$B575,'Генеральный баннер'!$I:$I=$C575)), ""\d+"", """"),"""")"),"")</f>
        <v/>
      </c>
      <c r="U575" s="91" t="str">
        <f>IFERROR(__xludf.DUMMYFUNCTION("IFERROR(unique(filter('Генеральный баннер'!$F:$F, 'Генеральный баннер'!$B:$B=$A575,'Генеральный баннер'!$C:$C=$B575,'Генеральный баннер'!$I:$I=$C575)),"""")"),"")</f>
        <v/>
      </c>
      <c r="V575" s="92" t="str">
        <f t="shared" si="3"/>
        <v/>
      </c>
      <c r="W575" s="93">
        <f>IFERROR(__xludf.DUMMYFUNCTION("IFERROR(SWITCH(lower(join("" "",U575:V575)),""а миллионник"", 62.5,""б миллионник"", 75,""а мск"", 50, ""б мск"", 62.5, ""a остальное"", 70, ""б остальное"", 80)/100,0)"),0.0)</f>
        <v>0</v>
      </c>
      <c r="X575" s="91">
        <f t="shared" si="4"/>
        <v>0</v>
      </c>
    </row>
    <row r="576">
      <c r="A576" s="12"/>
      <c r="B576" s="12"/>
      <c r="C576" s="12"/>
      <c r="D576" s="91">
        <f>IFERROR(__xludf.DUMMYFUNCTION("IFERROR(sum(filter('Основной эфир'!$AA:$AA, 'Основной эфир'!$B:$B=$A576,'Основной эфир'!$C:$C=$B576,'Основной эфир'!$I:$I=$C576)), 0) "),0.0)</f>
        <v>0</v>
      </c>
      <c r="E576" s="91">
        <f>IFERROR(__xludf.DUMMYFUNCTION("IFERROR(sum(filter('Основной эфир'!$AC:$AC, 'Основной эфир'!$B:$B=$A576,'Основной эфир'!$C:$C=$B576,'Основной эфир'!$I:$I=$C576)), 0) "),0.0)</f>
        <v>0</v>
      </c>
      <c r="F576" s="91">
        <f>IFERROR(__xludf.DUMMYFUNCTION("IFERROR(sum(filter('Основной эфир'!$O:$O, 'Основной эфир'!$B:$B=$A576,'Основной эфир'!$C:$C=$B576,'Основной эфир'!$I:$I=$C576)), 0) "),0.0)</f>
        <v>0</v>
      </c>
      <c r="G576" s="91">
        <f>IFERROR(__xludf.DUMMYFUNCTION("IFERROR(sum(filter('Основной эфир'!$Q:$Q, 'Основной эфир'!$B:$B=$A576,'Основной эфир'!$C:$C=$B576,'Основной эфир'!$I:$I=$C576)), 0) "),0.0)</f>
        <v>0</v>
      </c>
      <c r="H576" s="91">
        <f>IFERROR(__xludf.DUMMYFUNCTION("IFERROR(AVERAGE(filter('Основной эфир'!$Y:$Y, 'Основной эфир'!$B:$B=$A576,'Основной эфир'!$C:$C=$B576,'Основной эфир'!$I:$I=$C576)), 0) "),0.0)</f>
        <v>0</v>
      </c>
      <c r="I576" s="91">
        <f>IFERROR(__xludf.DUMMYFUNCTION("IFERROR(AVERAGE(filter('Основной эфир'!$AE:$AE, 'Основной эфир'!$B:$B=$A576,'Основной эфир'!$C:$C=$B576,'Основной эфир'!$I:$I=$C576)), 0) "),0.0)</f>
        <v>0</v>
      </c>
      <c r="J576" s="91">
        <f>IFERROR(__xludf.DUMMYFUNCTION("IFERROR(SUM(filter('Основной эфир'!$AL:$AL, 'Основной эфир'!$B:$B=$A576,'Основной эфир'!$C:$C=$B576,'Основной эфир'!$I:$I=$C576)), 0) "),0.0)</f>
        <v>0</v>
      </c>
      <c r="K576" s="91" t="str">
        <f>IFERROR(__xludf.DUMMYFUNCTION("IFERROR(REGEXREPLACE(unique(filter('Основной эфир'!$A:$A, 'Основной эфир'!$B:$B=$A576,'Основной эфир'!$C:$C=$B576,'Основной эфир'!$I:$I=$C576)), ""\d+"", """"),"""")"),"")</f>
        <v/>
      </c>
      <c r="L576" s="91" t="str">
        <f>IFERROR(__xludf.DUMMYFUNCTION("IFERROR(unique(filter('Основной эфир'!$F:$F, 'Основной эфир'!$B:$B=$A576,'Основной эфир'!$C:$C=$B576,'Основной эфир'!$I:$I=$C576)),"""")"),"")</f>
        <v/>
      </c>
      <c r="M576" s="92" t="str">
        <f t="shared" si="1"/>
        <v/>
      </c>
      <c r="N576" s="93">
        <f>IFERROR(__xludf.DUMMYFUNCTION("IFERROR(SWITCH(lower(join("" "",L576:M576)),""а миллионник"", 62.5,""б миллионник"", 75,""а мск"", 50, ""б мск"", 62.5, ""a остальное"", 70, ""б остальное"", 80)/100,0)"),0.0)</f>
        <v>0</v>
      </c>
      <c r="O576" s="91">
        <f t="shared" si="2"/>
        <v>0</v>
      </c>
      <c r="P576" s="91">
        <f>IFERROR(__xludf.DUMMYFUNCTION("IFERROR(sum(filter('Генеральный баннер'!$O:$O, 'Генеральный баннер'!$B:$B=$A576,'Генеральный баннер'!$C:$C=$B576,'Генеральный баннер'!$I:$I=$C576)), 0) "),0.0)</f>
        <v>0</v>
      </c>
      <c r="Q576" s="91">
        <f>IFERROR(__xludf.DUMMYFUNCTION("IFERROR(sum(filter('Генеральный баннер'!$Q:$Q, 'Генеральный баннер'!$B:$B=$A576,'Генеральный баннер'!$C:$C=$B576,'Генеральный баннер'!$I:$I=$C576)), 0) "),0.0)</f>
        <v>0</v>
      </c>
      <c r="R576" s="91">
        <f>IFERROR(__xludf.DUMMYFUNCTION("IFERROR(AVERAGE(filter('Генеральный баннер'!$AA:$AA, 'Генеральный баннер'!$B:$B=$A576,'Генеральный баннер'!$C:$C=$B576,'Генеральный баннер'!$I:$I=$C576)), 0) "),0.0)</f>
        <v>0</v>
      </c>
      <c r="S576" s="91">
        <f>IFERROR(__xludf.DUMMYFUNCTION("IFERROR(SUM(filter('Генеральный баннер'!$AH:$AH, 'Генеральный баннер'!$B:$B=$A576,'Генеральный баннер'!$C:$C=$B576,'Генеральный баннер'!$I:$I=$C576)), 0) "),0.0)</f>
        <v>0</v>
      </c>
      <c r="T576" s="91" t="str">
        <f>IFERROR(__xludf.DUMMYFUNCTION("IFERROR(REGEXREPLACE(unique(filter('Генеральный баннер'!$A:$A, 'Генеральный баннер'!$B:$B=$A576,'Генеральный баннер'!$C:$C=$B576,'Генеральный баннер'!$I:$I=$C576)), ""\d+"", """"),"""")"),"")</f>
        <v/>
      </c>
      <c r="U576" s="91" t="str">
        <f>IFERROR(__xludf.DUMMYFUNCTION("IFERROR(unique(filter('Генеральный баннер'!$F:$F, 'Генеральный баннер'!$B:$B=$A576,'Генеральный баннер'!$C:$C=$B576,'Генеральный баннер'!$I:$I=$C576)),"""")"),"")</f>
        <v/>
      </c>
      <c r="V576" s="92" t="str">
        <f t="shared" si="3"/>
        <v/>
      </c>
      <c r="W576" s="93">
        <f>IFERROR(__xludf.DUMMYFUNCTION("IFERROR(SWITCH(lower(join("" "",U576:V576)),""а миллионник"", 62.5,""б миллионник"", 75,""а мск"", 50, ""б мск"", 62.5, ""a остальное"", 70, ""б остальное"", 80)/100,0)"),0.0)</f>
        <v>0</v>
      </c>
      <c r="X576" s="91">
        <f t="shared" si="4"/>
        <v>0</v>
      </c>
    </row>
    <row r="577">
      <c r="A577" s="12"/>
      <c r="B577" s="12"/>
      <c r="C577" s="12"/>
      <c r="D577" s="91">
        <f>IFERROR(__xludf.DUMMYFUNCTION("IFERROR(sum(filter('Основной эфир'!$AA:$AA, 'Основной эфир'!$B:$B=$A577,'Основной эфир'!$C:$C=$B577,'Основной эфир'!$I:$I=$C577)), 0) "),0.0)</f>
        <v>0</v>
      </c>
      <c r="E577" s="91">
        <f>IFERROR(__xludf.DUMMYFUNCTION("IFERROR(sum(filter('Основной эфир'!$AC:$AC, 'Основной эфир'!$B:$B=$A577,'Основной эфир'!$C:$C=$B577,'Основной эфир'!$I:$I=$C577)), 0) "),0.0)</f>
        <v>0</v>
      </c>
      <c r="F577" s="91">
        <f>IFERROR(__xludf.DUMMYFUNCTION("IFERROR(sum(filter('Основной эфир'!$O:$O, 'Основной эфир'!$B:$B=$A577,'Основной эфир'!$C:$C=$B577,'Основной эфир'!$I:$I=$C577)), 0) "),0.0)</f>
        <v>0</v>
      </c>
      <c r="G577" s="91">
        <f>IFERROR(__xludf.DUMMYFUNCTION("IFERROR(sum(filter('Основной эфир'!$Q:$Q, 'Основной эфир'!$B:$B=$A577,'Основной эфир'!$C:$C=$B577,'Основной эфир'!$I:$I=$C577)), 0) "),0.0)</f>
        <v>0</v>
      </c>
      <c r="H577" s="91">
        <f>IFERROR(__xludf.DUMMYFUNCTION("IFERROR(AVERAGE(filter('Основной эфир'!$Y:$Y, 'Основной эфир'!$B:$B=$A577,'Основной эфир'!$C:$C=$B577,'Основной эфир'!$I:$I=$C577)), 0) "),0.0)</f>
        <v>0</v>
      </c>
      <c r="I577" s="91">
        <f>IFERROR(__xludf.DUMMYFUNCTION("IFERROR(AVERAGE(filter('Основной эфир'!$AE:$AE, 'Основной эфир'!$B:$B=$A577,'Основной эфир'!$C:$C=$B577,'Основной эфир'!$I:$I=$C577)), 0) "),0.0)</f>
        <v>0</v>
      </c>
      <c r="J577" s="91">
        <f>IFERROR(__xludf.DUMMYFUNCTION("IFERROR(SUM(filter('Основной эфир'!$AL:$AL, 'Основной эфир'!$B:$B=$A577,'Основной эфир'!$C:$C=$B577,'Основной эфир'!$I:$I=$C577)), 0) "),0.0)</f>
        <v>0</v>
      </c>
      <c r="K577" s="91" t="str">
        <f>IFERROR(__xludf.DUMMYFUNCTION("IFERROR(REGEXREPLACE(unique(filter('Основной эфир'!$A:$A, 'Основной эфир'!$B:$B=$A577,'Основной эфир'!$C:$C=$B577,'Основной эфир'!$I:$I=$C577)), ""\d+"", """"),"""")"),"")</f>
        <v/>
      </c>
      <c r="L577" s="91" t="str">
        <f>IFERROR(__xludf.DUMMYFUNCTION("IFERROR(unique(filter('Основной эфир'!$F:$F, 'Основной эфир'!$B:$B=$A577,'Основной эфир'!$C:$C=$B577,'Основной эфир'!$I:$I=$C577)),"""")"),"")</f>
        <v/>
      </c>
      <c r="M577" s="92" t="str">
        <f t="shared" si="1"/>
        <v/>
      </c>
      <c r="N577" s="93">
        <f>IFERROR(__xludf.DUMMYFUNCTION("IFERROR(SWITCH(lower(join("" "",L577:M577)),""а миллионник"", 62.5,""б миллионник"", 75,""а мск"", 50, ""б мск"", 62.5, ""a остальное"", 70, ""б остальное"", 80)/100,0)"),0.0)</f>
        <v>0</v>
      </c>
      <c r="O577" s="91">
        <f t="shared" si="2"/>
        <v>0</v>
      </c>
      <c r="P577" s="91">
        <f>IFERROR(__xludf.DUMMYFUNCTION("IFERROR(sum(filter('Генеральный баннер'!$O:$O, 'Генеральный баннер'!$B:$B=$A577,'Генеральный баннер'!$C:$C=$B577,'Генеральный баннер'!$I:$I=$C577)), 0) "),0.0)</f>
        <v>0</v>
      </c>
      <c r="Q577" s="91">
        <f>IFERROR(__xludf.DUMMYFUNCTION("IFERROR(sum(filter('Генеральный баннер'!$Q:$Q, 'Генеральный баннер'!$B:$B=$A577,'Генеральный баннер'!$C:$C=$B577,'Генеральный баннер'!$I:$I=$C577)), 0) "),0.0)</f>
        <v>0</v>
      </c>
      <c r="R577" s="91">
        <f>IFERROR(__xludf.DUMMYFUNCTION("IFERROR(AVERAGE(filter('Генеральный баннер'!$AA:$AA, 'Генеральный баннер'!$B:$B=$A577,'Генеральный баннер'!$C:$C=$B577,'Генеральный баннер'!$I:$I=$C577)), 0) "),0.0)</f>
        <v>0</v>
      </c>
      <c r="S577" s="91">
        <f>IFERROR(__xludf.DUMMYFUNCTION("IFERROR(SUM(filter('Генеральный баннер'!$AH:$AH, 'Генеральный баннер'!$B:$B=$A577,'Генеральный баннер'!$C:$C=$B577,'Генеральный баннер'!$I:$I=$C577)), 0) "),0.0)</f>
        <v>0</v>
      </c>
      <c r="T577" s="91" t="str">
        <f>IFERROR(__xludf.DUMMYFUNCTION("IFERROR(REGEXREPLACE(unique(filter('Генеральный баннер'!$A:$A, 'Генеральный баннер'!$B:$B=$A577,'Генеральный баннер'!$C:$C=$B577,'Генеральный баннер'!$I:$I=$C577)), ""\d+"", """"),"""")"),"")</f>
        <v/>
      </c>
      <c r="U577" s="91" t="str">
        <f>IFERROR(__xludf.DUMMYFUNCTION("IFERROR(unique(filter('Генеральный баннер'!$F:$F, 'Генеральный баннер'!$B:$B=$A577,'Генеральный баннер'!$C:$C=$B577,'Генеральный баннер'!$I:$I=$C577)),"""")"),"")</f>
        <v/>
      </c>
      <c r="V577" s="92" t="str">
        <f t="shared" si="3"/>
        <v/>
      </c>
      <c r="W577" s="93">
        <f>IFERROR(__xludf.DUMMYFUNCTION("IFERROR(SWITCH(lower(join("" "",U577:V577)),""а миллионник"", 62.5,""б миллионник"", 75,""а мск"", 50, ""б мск"", 62.5, ""a остальное"", 70, ""б остальное"", 80)/100,0)"),0.0)</f>
        <v>0</v>
      </c>
      <c r="X577" s="91">
        <f t="shared" si="4"/>
        <v>0</v>
      </c>
    </row>
    <row r="578">
      <c r="A578" s="12"/>
      <c r="B578" s="12"/>
      <c r="C578" s="12"/>
      <c r="D578" s="91">
        <f>IFERROR(__xludf.DUMMYFUNCTION("IFERROR(sum(filter('Основной эфир'!$AA:$AA, 'Основной эфир'!$B:$B=$A578,'Основной эфир'!$C:$C=$B578,'Основной эфир'!$I:$I=$C578)), 0) "),0.0)</f>
        <v>0</v>
      </c>
      <c r="E578" s="91">
        <f>IFERROR(__xludf.DUMMYFUNCTION("IFERROR(sum(filter('Основной эфир'!$AC:$AC, 'Основной эфир'!$B:$B=$A578,'Основной эфир'!$C:$C=$B578,'Основной эфир'!$I:$I=$C578)), 0) "),0.0)</f>
        <v>0</v>
      </c>
      <c r="F578" s="91">
        <f>IFERROR(__xludf.DUMMYFUNCTION("IFERROR(sum(filter('Основной эфир'!$O:$O, 'Основной эфир'!$B:$B=$A578,'Основной эфир'!$C:$C=$B578,'Основной эфир'!$I:$I=$C578)), 0) "),0.0)</f>
        <v>0</v>
      </c>
      <c r="G578" s="91">
        <f>IFERROR(__xludf.DUMMYFUNCTION("IFERROR(sum(filter('Основной эфир'!$Q:$Q, 'Основной эфир'!$B:$B=$A578,'Основной эфир'!$C:$C=$B578,'Основной эфир'!$I:$I=$C578)), 0) "),0.0)</f>
        <v>0</v>
      </c>
      <c r="H578" s="91">
        <f>IFERROR(__xludf.DUMMYFUNCTION("IFERROR(AVERAGE(filter('Основной эфир'!$Y:$Y, 'Основной эфир'!$B:$B=$A578,'Основной эфир'!$C:$C=$B578,'Основной эфир'!$I:$I=$C578)), 0) "),0.0)</f>
        <v>0</v>
      </c>
      <c r="I578" s="91">
        <f>IFERROR(__xludf.DUMMYFUNCTION("IFERROR(AVERAGE(filter('Основной эфир'!$AE:$AE, 'Основной эфир'!$B:$B=$A578,'Основной эфир'!$C:$C=$B578,'Основной эфир'!$I:$I=$C578)), 0) "),0.0)</f>
        <v>0</v>
      </c>
      <c r="J578" s="91">
        <f>IFERROR(__xludf.DUMMYFUNCTION("IFERROR(SUM(filter('Основной эфир'!$AL:$AL, 'Основной эфир'!$B:$B=$A578,'Основной эфир'!$C:$C=$B578,'Основной эфир'!$I:$I=$C578)), 0) "),0.0)</f>
        <v>0</v>
      </c>
      <c r="K578" s="91" t="str">
        <f>IFERROR(__xludf.DUMMYFUNCTION("IFERROR(REGEXREPLACE(unique(filter('Основной эфир'!$A:$A, 'Основной эфир'!$B:$B=$A578,'Основной эфир'!$C:$C=$B578,'Основной эфир'!$I:$I=$C578)), ""\d+"", """"),"""")"),"")</f>
        <v/>
      </c>
      <c r="L578" s="91" t="str">
        <f>IFERROR(__xludf.DUMMYFUNCTION("IFERROR(unique(filter('Основной эфир'!$F:$F, 'Основной эфир'!$B:$B=$A578,'Основной эфир'!$C:$C=$B578,'Основной эфир'!$I:$I=$C578)),"""")"),"")</f>
        <v/>
      </c>
      <c r="M578" s="92" t="str">
        <f t="shared" si="1"/>
        <v/>
      </c>
      <c r="N578" s="93">
        <f>IFERROR(__xludf.DUMMYFUNCTION("IFERROR(SWITCH(lower(join("" "",L578:M578)),""а миллионник"", 62.5,""б миллионник"", 75,""а мск"", 50, ""б мск"", 62.5, ""a остальное"", 70, ""б остальное"", 80)/100,0)"),0.0)</f>
        <v>0</v>
      </c>
      <c r="O578" s="91">
        <f t="shared" si="2"/>
        <v>0</v>
      </c>
      <c r="P578" s="91">
        <f>IFERROR(__xludf.DUMMYFUNCTION("IFERROR(sum(filter('Генеральный баннер'!$O:$O, 'Генеральный баннер'!$B:$B=$A578,'Генеральный баннер'!$C:$C=$B578,'Генеральный баннер'!$I:$I=$C578)), 0) "),0.0)</f>
        <v>0</v>
      </c>
      <c r="Q578" s="91">
        <f>IFERROR(__xludf.DUMMYFUNCTION("IFERROR(sum(filter('Генеральный баннер'!$Q:$Q, 'Генеральный баннер'!$B:$B=$A578,'Генеральный баннер'!$C:$C=$B578,'Генеральный баннер'!$I:$I=$C578)), 0) "),0.0)</f>
        <v>0</v>
      </c>
      <c r="R578" s="91">
        <f>IFERROR(__xludf.DUMMYFUNCTION("IFERROR(AVERAGE(filter('Генеральный баннер'!$AA:$AA, 'Генеральный баннер'!$B:$B=$A578,'Генеральный баннер'!$C:$C=$B578,'Генеральный баннер'!$I:$I=$C578)), 0) "),0.0)</f>
        <v>0</v>
      </c>
      <c r="S578" s="91">
        <f>IFERROR(__xludf.DUMMYFUNCTION("IFERROR(SUM(filter('Генеральный баннер'!$AH:$AH, 'Генеральный баннер'!$B:$B=$A578,'Генеральный баннер'!$C:$C=$B578,'Генеральный баннер'!$I:$I=$C578)), 0) "),0.0)</f>
        <v>0</v>
      </c>
      <c r="T578" s="91" t="str">
        <f>IFERROR(__xludf.DUMMYFUNCTION("IFERROR(REGEXREPLACE(unique(filter('Генеральный баннер'!$A:$A, 'Генеральный баннер'!$B:$B=$A578,'Генеральный баннер'!$C:$C=$B578,'Генеральный баннер'!$I:$I=$C578)), ""\d+"", """"),"""")"),"")</f>
        <v/>
      </c>
      <c r="U578" s="91" t="str">
        <f>IFERROR(__xludf.DUMMYFUNCTION("IFERROR(unique(filter('Генеральный баннер'!$F:$F, 'Генеральный баннер'!$B:$B=$A578,'Генеральный баннер'!$C:$C=$B578,'Генеральный баннер'!$I:$I=$C578)),"""")"),"")</f>
        <v/>
      </c>
      <c r="V578" s="92" t="str">
        <f t="shared" si="3"/>
        <v/>
      </c>
      <c r="W578" s="93">
        <f>IFERROR(__xludf.DUMMYFUNCTION("IFERROR(SWITCH(lower(join("" "",U578:V578)),""а миллионник"", 62.5,""б миллионник"", 75,""а мск"", 50, ""б мск"", 62.5, ""a остальное"", 70, ""б остальное"", 80)/100,0)"),0.0)</f>
        <v>0</v>
      </c>
      <c r="X578" s="91">
        <f t="shared" si="4"/>
        <v>0</v>
      </c>
    </row>
    <row r="579">
      <c r="A579" s="12"/>
      <c r="B579" s="12"/>
      <c r="C579" s="12"/>
      <c r="D579" s="91">
        <f>IFERROR(__xludf.DUMMYFUNCTION("IFERROR(sum(filter('Основной эфир'!$AA:$AA, 'Основной эфир'!$B:$B=$A579,'Основной эфир'!$C:$C=$B579,'Основной эфир'!$I:$I=$C579)), 0) "),0.0)</f>
        <v>0</v>
      </c>
      <c r="E579" s="91">
        <f>IFERROR(__xludf.DUMMYFUNCTION("IFERROR(sum(filter('Основной эфир'!$AC:$AC, 'Основной эфир'!$B:$B=$A579,'Основной эфир'!$C:$C=$B579,'Основной эфир'!$I:$I=$C579)), 0) "),0.0)</f>
        <v>0</v>
      </c>
      <c r="F579" s="91">
        <f>IFERROR(__xludf.DUMMYFUNCTION("IFERROR(sum(filter('Основной эфир'!$O:$O, 'Основной эфир'!$B:$B=$A579,'Основной эфир'!$C:$C=$B579,'Основной эфир'!$I:$I=$C579)), 0) "),0.0)</f>
        <v>0</v>
      </c>
      <c r="G579" s="91">
        <f>IFERROR(__xludf.DUMMYFUNCTION("IFERROR(sum(filter('Основной эфир'!$Q:$Q, 'Основной эфир'!$B:$B=$A579,'Основной эфир'!$C:$C=$B579,'Основной эфир'!$I:$I=$C579)), 0) "),0.0)</f>
        <v>0</v>
      </c>
      <c r="H579" s="91">
        <f>IFERROR(__xludf.DUMMYFUNCTION("IFERROR(AVERAGE(filter('Основной эфир'!$Y:$Y, 'Основной эфир'!$B:$B=$A579,'Основной эфир'!$C:$C=$B579,'Основной эфир'!$I:$I=$C579)), 0) "),0.0)</f>
        <v>0</v>
      </c>
      <c r="I579" s="91">
        <f>IFERROR(__xludf.DUMMYFUNCTION("IFERROR(AVERAGE(filter('Основной эфир'!$AE:$AE, 'Основной эфир'!$B:$B=$A579,'Основной эфир'!$C:$C=$B579,'Основной эфир'!$I:$I=$C579)), 0) "),0.0)</f>
        <v>0</v>
      </c>
      <c r="J579" s="91">
        <f>IFERROR(__xludf.DUMMYFUNCTION("IFERROR(SUM(filter('Основной эфир'!$AL:$AL, 'Основной эфир'!$B:$B=$A579,'Основной эфир'!$C:$C=$B579,'Основной эфир'!$I:$I=$C579)), 0) "),0.0)</f>
        <v>0</v>
      </c>
      <c r="K579" s="91" t="str">
        <f>IFERROR(__xludf.DUMMYFUNCTION("IFERROR(REGEXREPLACE(unique(filter('Основной эфир'!$A:$A, 'Основной эфир'!$B:$B=$A579,'Основной эфир'!$C:$C=$B579,'Основной эфир'!$I:$I=$C579)), ""\d+"", """"),"""")"),"")</f>
        <v/>
      </c>
      <c r="L579" s="91" t="str">
        <f>IFERROR(__xludf.DUMMYFUNCTION("IFERROR(unique(filter('Основной эфир'!$F:$F, 'Основной эфир'!$B:$B=$A579,'Основной эфир'!$C:$C=$B579,'Основной эфир'!$I:$I=$C579)),"""")"),"")</f>
        <v/>
      </c>
      <c r="M579" s="92" t="str">
        <f t="shared" si="1"/>
        <v/>
      </c>
      <c r="N579" s="93">
        <f>IFERROR(__xludf.DUMMYFUNCTION("IFERROR(SWITCH(lower(join("" "",L579:M579)),""а миллионник"", 62.5,""б миллионник"", 75,""а мск"", 50, ""б мск"", 62.5, ""a остальное"", 70, ""б остальное"", 80)/100,0)"),0.0)</f>
        <v>0</v>
      </c>
      <c r="O579" s="91">
        <f t="shared" si="2"/>
        <v>0</v>
      </c>
      <c r="P579" s="91">
        <f>IFERROR(__xludf.DUMMYFUNCTION("IFERROR(sum(filter('Генеральный баннер'!$O:$O, 'Генеральный баннер'!$B:$B=$A579,'Генеральный баннер'!$C:$C=$B579,'Генеральный баннер'!$I:$I=$C579)), 0) "),0.0)</f>
        <v>0</v>
      </c>
      <c r="Q579" s="91">
        <f>IFERROR(__xludf.DUMMYFUNCTION("IFERROR(sum(filter('Генеральный баннер'!$Q:$Q, 'Генеральный баннер'!$B:$B=$A579,'Генеральный баннер'!$C:$C=$B579,'Генеральный баннер'!$I:$I=$C579)), 0) "),0.0)</f>
        <v>0</v>
      </c>
      <c r="R579" s="91">
        <f>IFERROR(__xludf.DUMMYFUNCTION("IFERROR(AVERAGE(filter('Генеральный баннер'!$AA:$AA, 'Генеральный баннер'!$B:$B=$A579,'Генеральный баннер'!$C:$C=$B579,'Генеральный баннер'!$I:$I=$C579)), 0) "),0.0)</f>
        <v>0</v>
      </c>
      <c r="S579" s="91">
        <f>IFERROR(__xludf.DUMMYFUNCTION("IFERROR(SUM(filter('Генеральный баннер'!$AH:$AH, 'Генеральный баннер'!$B:$B=$A579,'Генеральный баннер'!$C:$C=$B579,'Генеральный баннер'!$I:$I=$C579)), 0) "),0.0)</f>
        <v>0</v>
      </c>
      <c r="T579" s="91" t="str">
        <f>IFERROR(__xludf.DUMMYFUNCTION("IFERROR(REGEXREPLACE(unique(filter('Генеральный баннер'!$A:$A, 'Генеральный баннер'!$B:$B=$A579,'Генеральный баннер'!$C:$C=$B579,'Генеральный баннер'!$I:$I=$C579)), ""\d+"", """"),"""")"),"")</f>
        <v/>
      </c>
      <c r="U579" s="91" t="str">
        <f>IFERROR(__xludf.DUMMYFUNCTION("IFERROR(unique(filter('Генеральный баннер'!$F:$F, 'Генеральный баннер'!$B:$B=$A579,'Генеральный баннер'!$C:$C=$B579,'Генеральный баннер'!$I:$I=$C579)),"""")"),"")</f>
        <v/>
      </c>
      <c r="V579" s="92" t="str">
        <f t="shared" si="3"/>
        <v/>
      </c>
      <c r="W579" s="93">
        <f>IFERROR(__xludf.DUMMYFUNCTION("IFERROR(SWITCH(lower(join("" "",U579:V579)),""а миллионник"", 62.5,""б миллионник"", 75,""а мск"", 50, ""б мск"", 62.5, ""a остальное"", 70, ""б остальное"", 80)/100,0)"),0.0)</f>
        <v>0</v>
      </c>
      <c r="X579" s="91">
        <f t="shared" si="4"/>
        <v>0</v>
      </c>
    </row>
    <row r="580">
      <c r="A580" s="12"/>
      <c r="B580" s="12"/>
      <c r="C580" s="12"/>
      <c r="D580" s="91">
        <f>IFERROR(__xludf.DUMMYFUNCTION("IFERROR(sum(filter('Основной эфир'!$AA:$AA, 'Основной эфир'!$B:$B=$A580,'Основной эфир'!$C:$C=$B580,'Основной эфир'!$I:$I=$C580)), 0) "),0.0)</f>
        <v>0</v>
      </c>
      <c r="E580" s="91">
        <f>IFERROR(__xludf.DUMMYFUNCTION("IFERROR(sum(filter('Основной эфир'!$AC:$AC, 'Основной эфир'!$B:$B=$A580,'Основной эфир'!$C:$C=$B580,'Основной эфир'!$I:$I=$C580)), 0) "),0.0)</f>
        <v>0</v>
      </c>
      <c r="F580" s="91">
        <f>IFERROR(__xludf.DUMMYFUNCTION("IFERROR(sum(filter('Основной эфир'!$O:$O, 'Основной эфир'!$B:$B=$A580,'Основной эфир'!$C:$C=$B580,'Основной эфир'!$I:$I=$C580)), 0) "),0.0)</f>
        <v>0</v>
      </c>
      <c r="G580" s="91">
        <f>IFERROR(__xludf.DUMMYFUNCTION("IFERROR(sum(filter('Основной эфир'!$Q:$Q, 'Основной эфир'!$B:$B=$A580,'Основной эфир'!$C:$C=$B580,'Основной эфир'!$I:$I=$C580)), 0) "),0.0)</f>
        <v>0</v>
      </c>
      <c r="H580" s="91">
        <f>IFERROR(__xludf.DUMMYFUNCTION("IFERROR(AVERAGE(filter('Основной эфир'!$Y:$Y, 'Основной эфир'!$B:$B=$A580,'Основной эфир'!$C:$C=$B580,'Основной эфир'!$I:$I=$C580)), 0) "),0.0)</f>
        <v>0</v>
      </c>
      <c r="I580" s="91">
        <f>IFERROR(__xludf.DUMMYFUNCTION("IFERROR(AVERAGE(filter('Основной эфир'!$AE:$AE, 'Основной эфир'!$B:$B=$A580,'Основной эфир'!$C:$C=$B580,'Основной эфир'!$I:$I=$C580)), 0) "),0.0)</f>
        <v>0</v>
      </c>
      <c r="J580" s="91">
        <f>IFERROR(__xludf.DUMMYFUNCTION("IFERROR(SUM(filter('Основной эфир'!$AL:$AL, 'Основной эфир'!$B:$B=$A580,'Основной эфир'!$C:$C=$B580,'Основной эфир'!$I:$I=$C580)), 0) "),0.0)</f>
        <v>0</v>
      </c>
      <c r="K580" s="91" t="str">
        <f>IFERROR(__xludf.DUMMYFUNCTION("IFERROR(REGEXREPLACE(unique(filter('Основной эфир'!$A:$A, 'Основной эфир'!$B:$B=$A580,'Основной эфир'!$C:$C=$B580,'Основной эфир'!$I:$I=$C580)), ""\d+"", """"),"""")"),"")</f>
        <v/>
      </c>
      <c r="L580" s="91" t="str">
        <f>IFERROR(__xludf.DUMMYFUNCTION("IFERROR(unique(filter('Основной эфир'!$F:$F, 'Основной эфир'!$B:$B=$A580,'Основной эфир'!$C:$C=$B580,'Основной эфир'!$I:$I=$C580)),"""")"),"")</f>
        <v/>
      </c>
      <c r="M580" s="92" t="str">
        <f t="shared" si="1"/>
        <v/>
      </c>
      <c r="N580" s="93">
        <f>IFERROR(__xludf.DUMMYFUNCTION("IFERROR(SWITCH(lower(join("" "",L580:M580)),""а миллионник"", 62.5,""б миллионник"", 75,""а мск"", 50, ""б мск"", 62.5, ""a остальное"", 70, ""б остальное"", 80)/100,0)"),0.0)</f>
        <v>0</v>
      </c>
      <c r="O580" s="91">
        <f t="shared" si="2"/>
        <v>0</v>
      </c>
      <c r="P580" s="91">
        <f>IFERROR(__xludf.DUMMYFUNCTION("IFERROR(sum(filter('Генеральный баннер'!$O:$O, 'Генеральный баннер'!$B:$B=$A580,'Генеральный баннер'!$C:$C=$B580,'Генеральный баннер'!$I:$I=$C580)), 0) "),0.0)</f>
        <v>0</v>
      </c>
      <c r="Q580" s="91">
        <f>IFERROR(__xludf.DUMMYFUNCTION("IFERROR(sum(filter('Генеральный баннер'!$Q:$Q, 'Генеральный баннер'!$B:$B=$A580,'Генеральный баннер'!$C:$C=$B580,'Генеральный баннер'!$I:$I=$C580)), 0) "),0.0)</f>
        <v>0</v>
      </c>
      <c r="R580" s="91">
        <f>IFERROR(__xludf.DUMMYFUNCTION("IFERROR(AVERAGE(filter('Генеральный баннер'!$AA:$AA, 'Генеральный баннер'!$B:$B=$A580,'Генеральный баннер'!$C:$C=$B580,'Генеральный баннер'!$I:$I=$C580)), 0) "),0.0)</f>
        <v>0</v>
      </c>
      <c r="S580" s="91">
        <f>IFERROR(__xludf.DUMMYFUNCTION("IFERROR(SUM(filter('Генеральный баннер'!$AH:$AH, 'Генеральный баннер'!$B:$B=$A580,'Генеральный баннер'!$C:$C=$B580,'Генеральный баннер'!$I:$I=$C580)), 0) "),0.0)</f>
        <v>0</v>
      </c>
      <c r="T580" s="91" t="str">
        <f>IFERROR(__xludf.DUMMYFUNCTION("IFERROR(REGEXREPLACE(unique(filter('Генеральный баннер'!$A:$A, 'Генеральный баннер'!$B:$B=$A580,'Генеральный баннер'!$C:$C=$B580,'Генеральный баннер'!$I:$I=$C580)), ""\d+"", """"),"""")"),"")</f>
        <v/>
      </c>
      <c r="U580" s="91" t="str">
        <f>IFERROR(__xludf.DUMMYFUNCTION("IFERROR(unique(filter('Генеральный баннер'!$F:$F, 'Генеральный баннер'!$B:$B=$A580,'Генеральный баннер'!$C:$C=$B580,'Генеральный баннер'!$I:$I=$C580)),"""")"),"")</f>
        <v/>
      </c>
      <c r="V580" s="92" t="str">
        <f t="shared" si="3"/>
        <v/>
      </c>
      <c r="W580" s="93">
        <f>IFERROR(__xludf.DUMMYFUNCTION("IFERROR(SWITCH(lower(join("" "",U580:V580)),""а миллионник"", 62.5,""б миллионник"", 75,""а мск"", 50, ""б мск"", 62.5, ""a остальное"", 70, ""б остальное"", 80)/100,0)"),0.0)</f>
        <v>0</v>
      </c>
      <c r="X580" s="91">
        <f t="shared" si="4"/>
        <v>0</v>
      </c>
    </row>
    <row r="581">
      <c r="A581" s="12"/>
      <c r="B581" s="12"/>
      <c r="C581" s="12"/>
      <c r="D581" s="91">
        <f>IFERROR(__xludf.DUMMYFUNCTION("IFERROR(sum(filter('Основной эфир'!$AA:$AA, 'Основной эфир'!$B:$B=$A581,'Основной эфир'!$C:$C=$B581,'Основной эфир'!$I:$I=$C581)), 0) "),0.0)</f>
        <v>0</v>
      </c>
      <c r="E581" s="91">
        <f>IFERROR(__xludf.DUMMYFUNCTION("IFERROR(sum(filter('Основной эфир'!$AC:$AC, 'Основной эфир'!$B:$B=$A581,'Основной эфир'!$C:$C=$B581,'Основной эфир'!$I:$I=$C581)), 0) "),0.0)</f>
        <v>0</v>
      </c>
      <c r="F581" s="91">
        <f>IFERROR(__xludf.DUMMYFUNCTION("IFERROR(sum(filter('Основной эфир'!$O:$O, 'Основной эфир'!$B:$B=$A581,'Основной эфир'!$C:$C=$B581,'Основной эфир'!$I:$I=$C581)), 0) "),0.0)</f>
        <v>0</v>
      </c>
      <c r="G581" s="91">
        <f>IFERROR(__xludf.DUMMYFUNCTION("IFERROR(sum(filter('Основной эфир'!$Q:$Q, 'Основной эфир'!$B:$B=$A581,'Основной эфир'!$C:$C=$B581,'Основной эфир'!$I:$I=$C581)), 0) "),0.0)</f>
        <v>0</v>
      </c>
      <c r="H581" s="91">
        <f>IFERROR(__xludf.DUMMYFUNCTION("IFERROR(AVERAGE(filter('Основной эфир'!$Y:$Y, 'Основной эфир'!$B:$B=$A581,'Основной эфир'!$C:$C=$B581,'Основной эфир'!$I:$I=$C581)), 0) "),0.0)</f>
        <v>0</v>
      </c>
      <c r="I581" s="91">
        <f>IFERROR(__xludf.DUMMYFUNCTION("IFERROR(AVERAGE(filter('Основной эфир'!$AE:$AE, 'Основной эфир'!$B:$B=$A581,'Основной эфир'!$C:$C=$B581,'Основной эфир'!$I:$I=$C581)), 0) "),0.0)</f>
        <v>0</v>
      </c>
      <c r="J581" s="91">
        <f>IFERROR(__xludf.DUMMYFUNCTION("IFERROR(SUM(filter('Основной эфир'!$AL:$AL, 'Основной эфир'!$B:$B=$A581,'Основной эфир'!$C:$C=$B581,'Основной эфир'!$I:$I=$C581)), 0) "),0.0)</f>
        <v>0</v>
      </c>
      <c r="K581" s="91" t="str">
        <f>IFERROR(__xludf.DUMMYFUNCTION("IFERROR(REGEXREPLACE(unique(filter('Основной эфир'!$A:$A, 'Основной эфир'!$B:$B=$A581,'Основной эфир'!$C:$C=$B581,'Основной эфир'!$I:$I=$C581)), ""\d+"", """"),"""")"),"")</f>
        <v/>
      </c>
      <c r="L581" s="91" t="str">
        <f>IFERROR(__xludf.DUMMYFUNCTION("IFERROR(unique(filter('Основной эфир'!$F:$F, 'Основной эфир'!$B:$B=$A581,'Основной эфир'!$C:$C=$B581,'Основной эфир'!$I:$I=$C581)),"""")"),"")</f>
        <v/>
      </c>
      <c r="M581" s="92" t="str">
        <f t="shared" si="1"/>
        <v/>
      </c>
      <c r="N581" s="93">
        <f>IFERROR(__xludf.DUMMYFUNCTION("IFERROR(SWITCH(lower(join("" "",L581:M581)),""а миллионник"", 62.5,""б миллионник"", 75,""а мск"", 50, ""б мск"", 62.5, ""a остальное"", 70, ""б остальное"", 80)/100,0)"),0.0)</f>
        <v>0</v>
      </c>
      <c r="O581" s="91">
        <f t="shared" si="2"/>
        <v>0</v>
      </c>
      <c r="P581" s="91">
        <f>IFERROR(__xludf.DUMMYFUNCTION("IFERROR(sum(filter('Генеральный баннер'!$O:$O, 'Генеральный баннер'!$B:$B=$A581,'Генеральный баннер'!$C:$C=$B581,'Генеральный баннер'!$I:$I=$C581)), 0) "),0.0)</f>
        <v>0</v>
      </c>
      <c r="Q581" s="91">
        <f>IFERROR(__xludf.DUMMYFUNCTION("IFERROR(sum(filter('Генеральный баннер'!$Q:$Q, 'Генеральный баннер'!$B:$B=$A581,'Генеральный баннер'!$C:$C=$B581,'Генеральный баннер'!$I:$I=$C581)), 0) "),0.0)</f>
        <v>0</v>
      </c>
      <c r="R581" s="91">
        <f>IFERROR(__xludf.DUMMYFUNCTION("IFERROR(AVERAGE(filter('Генеральный баннер'!$AA:$AA, 'Генеральный баннер'!$B:$B=$A581,'Генеральный баннер'!$C:$C=$B581,'Генеральный баннер'!$I:$I=$C581)), 0) "),0.0)</f>
        <v>0</v>
      </c>
      <c r="S581" s="91">
        <f>IFERROR(__xludf.DUMMYFUNCTION("IFERROR(SUM(filter('Генеральный баннер'!$AH:$AH, 'Генеральный баннер'!$B:$B=$A581,'Генеральный баннер'!$C:$C=$B581,'Генеральный баннер'!$I:$I=$C581)), 0) "),0.0)</f>
        <v>0</v>
      </c>
      <c r="T581" s="91" t="str">
        <f>IFERROR(__xludf.DUMMYFUNCTION("IFERROR(REGEXREPLACE(unique(filter('Генеральный баннер'!$A:$A, 'Генеральный баннер'!$B:$B=$A581,'Генеральный баннер'!$C:$C=$B581,'Генеральный баннер'!$I:$I=$C581)), ""\d+"", """"),"""")"),"")</f>
        <v/>
      </c>
      <c r="U581" s="91" t="str">
        <f>IFERROR(__xludf.DUMMYFUNCTION("IFERROR(unique(filter('Генеральный баннер'!$F:$F, 'Генеральный баннер'!$B:$B=$A581,'Генеральный баннер'!$C:$C=$B581,'Генеральный баннер'!$I:$I=$C581)),"""")"),"")</f>
        <v/>
      </c>
      <c r="V581" s="92" t="str">
        <f t="shared" si="3"/>
        <v/>
      </c>
      <c r="W581" s="93">
        <f>IFERROR(__xludf.DUMMYFUNCTION("IFERROR(SWITCH(lower(join("" "",U581:V581)),""а миллионник"", 62.5,""б миллионник"", 75,""а мск"", 50, ""б мск"", 62.5, ""a остальное"", 70, ""б остальное"", 80)/100,0)"),0.0)</f>
        <v>0</v>
      </c>
      <c r="X581" s="91">
        <f t="shared" si="4"/>
        <v>0</v>
      </c>
    </row>
    <row r="582">
      <c r="A582" s="12"/>
      <c r="B582" s="12"/>
      <c r="C582" s="12"/>
      <c r="D582" s="91">
        <f>IFERROR(__xludf.DUMMYFUNCTION("IFERROR(sum(filter('Основной эфир'!$AA:$AA, 'Основной эфир'!$B:$B=$A582,'Основной эфир'!$C:$C=$B582,'Основной эфир'!$I:$I=$C582)), 0) "),0.0)</f>
        <v>0</v>
      </c>
      <c r="E582" s="91">
        <f>IFERROR(__xludf.DUMMYFUNCTION("IFERROR(sum(filter('Основной эфир'!$AC:$AC, 'Основной эфир'!$B:$B=$A582,'Основной эфир'!$C:$C=$B582,'Основной эфир'!$I:$I=$C582)), 0) "),0.0)</f>
        <v>0</v>
      </c>
      <c r="F582" s="91">
        <f>IFERROR(__xludf.DUMMYFUNCTION("IFERROR(sum(filter('Основной эфир'!$O:$O, 'Основной эфир'!$B:$B=$A582,'Основной эфир'!$C:$C=$B582,'Основной эфир'!$I:$I=$C582)), 0) "),0.0)</f>
        <v>0</v>
      </c>
      <c r="G582" s="91">
        <f>IFERROR(__xludf.DUMMYFUNCTION("IFERROR(sum(filter('Основной эфир'!$Q:$Q, 'Основной эфир'!$B:$B=$A582,'Основной эфир'!$C:$C=$B582,'Основной эфир'!$I:$I=$C582)), 0) "),0.0)</f>
        <v>0</v>
      </c>
      <c r="H582" s="91">
        <f>IFERROR(__xludf.DUMMYFUNCTION("IFERROR(AVERAGE(filter('Основной эфир'!$Y:$Y, 'Основной эфир'!$B:$B=$A582,'Основной эфир'!$C:$C=$B582,'Основной эфир'!$I:$I=$C582)), 0) "),0.0)</f>
        <v>0</v>
      </c>
      <c r="I582" s="91">
        <f>IFERROR(__xludf.DUMMYFUNCTION("IFERROR(AVERAGE(filter('Основной эфир'!$AE:$AE, 'Основной эфир'!$B:$B=$A582,'Основной эфир'!$C:$C=$B582,'Основной эфир'!$I:$I=$C582)), 0) "),0.0)</f>
        <v>0</v>
      </c>
      <c r="J582" s="91">
        <f>IFERROR(__xludf.DUMMYFUNCTION("IFERROR(SUM(filter('Основной эфир'!$AL:$AL, 'Основной эфир'!$B:$B=$A582,'Основной эфир'!$C:$C=$B582,'Основной эфир'!$I:$I=$C582)), 0) "),0.0)</f>
        <v>0</v>
      </c>
      <c r="K582" s="91" t="str">
        <f>IFERROR(__xludf.DUMMYFUNCTION("IFERROR(REGEXREPLACE(unique(filter('Основной эфир'!$A:$A, 'Основной эфир'!$B:$B=$A582,'Основной эфир'!$C:$C=$B582,'Основной эфир'!$I:$I=$C582)), ""\d+"", """"),"""")"),"")</f>
        <v/>
      </c>
      <c r="L582" s="91" t="str">
        <f>IFERROR(__xludf.DUMMYFUNCTION("IFERROR(unique(filter('Основной эфир'!$F:$F, 'Основной эфир'!$B:$B=$A582,'Основной эфир'!$C:$C=$B582,'Основной эфир'!$I:$I=$C582)),"""")"),"")</f>
        <v/>
      </c>
      <c r="M582" s="92" t="str">
        <f t="shared" si="1"/>
        <v/>
      </c>
      <c r="N582" s="93">
        <f>IFERROR(__xludf.DUMMYFUNCTION("IFERROR(SWITCH(lower(join("" "",L582:M582)),""а миллионник"", 62.5,""б миллионник"", 75,""а мск"", 50, ""б мск"", 62.5, ""a остальное"", 70, ""б остальное"", 80)/100,0)"),0.0)</f>
        <v>0</v>
      </c>
      <c r="O582" s="91">
        <f t="shared" si="2"/>
        <v>0</v>
      </c>
      <c r="P582" s="91">
        <f>IFERROR(__xludf.DUMMYFUNCTION("IFERROR(sum(filter('Генеральный баннер'!$O:$O, 'Генеральный баннер'!$B:$B=$A582,'Генеральный баннер'!$C:$C=$B582,'Генеральный баннер'!$I:$I=$C582)), 0) "),0.0)</f>
        <v>0</v>
      </c>
      <c r="Q582" s="91">
        <f>IFERROR(__xludf.DUMMYFUNCTION("IFERROR(sum(filter('Генеральный баннер'!$Q:$Q, 'Генеральный баннер'!$B:$B=$A582,'Генеральный баннер'!$C:$C=$B582,'Генеральный баннер'!$I:$I=$C582)), 0) "),0.0)</f>
        <v>0</v>
      </c>
      <c r="R582" s="91">
        <f>IFERROR(__xludf.DUMMYFUNCTION("IFERROR(AVERAGE(filter('Генеральный баннер'!$AA:$AA, 'Генеральный баннер'!$B:$B=$A582,'Генеральный баннер'!$C:$C=$B582,'Генеральный баннер'!$I:$I=$C582)), 0) "),0.0)</f>
        <v>0</v>
      </c>
      <c r="S582" s="91">
        <f>IFERROR(__xludf.DUMMYFUNCTION("IFERROR(SUM(filter('Генеральный баннер'!$AH:$AH, 'Генеральный баннер'!$B:$B=$A582,'Генеральный баннер'!$C:$C=$B582,'Генеральный баннер'!$I:$I=$C582)), 0) "),0.0)</f>
        <v>0</v>
      </c>
      <c r="T582" s="91" t="str">
        <f>IFERROR(__xludf.DUMMYFUNCTION("IFERROR(REGEXREPLACE(unique(filter('Генеральный баннер'!$A:$A, 'Генеральный баннер'!$B:$B=$A582,'Генеральный баннер'!$C:$C=$B582,'Генеральный баннер'!$I:$I=$C582)), ""\d+"", """"),"""")"),"")</f>
        <v/>
      </c>
      <c r="U582" s="91" t="str">
        <f>IFERROR(__xludf.DUMMYFUNCTION("IFERROR(unique(filter('Генеральный баннер'!$F:$F, 'Генеральный баннер'!$B:$B=$A582,'Генеральный баннер'!$C:$C=$B582,'Генеральный баннер'!$I:$I=$C582)),"""")"),"")</f>
        <v/>
      </c>
      <c r="V582" s="92" t="str">
        <f t="shared" si="3"/>
        <v/>
      </c>
      <c r="W582" s="93">
        <f>IFERROR(__xludf.DUMMYFUNCTION("IFERROR(SWITCH(lower(join("" "",U582:V582)),""а миллионник"", 62.5,""б миллионник"", 75,""а мск"", 50, ""б мск"", 62.5, ""a остальное"", 70, ""б остальное"", 80)/100,0)"),0.0)</f>
        <v>0</v>
      </c>
      <c r="X582" s="91">
        <f t="shared" si="4"/>
        <v>0</v>
      </c>
    </row>
    <row r="583">
      <c r="A583" s="12"/>
      <c r="B583" s="12"/>
      <c r="C583" s="12"/>
      <c r="D583" s="91">
        <f>IFERROR(__xludf.DUMMYFUNCTION("IFERROR(sum(filter('Основной эфир'!$AA:$AA, 'Основной эфир'!$B:$B=$A583,'Основной эфир'!$C:$C=$B583,'Основной эфир'!$I:$I=$C583)), 0) "),0.0)</f>
        <v>0</v>
      </c>
      <c r="E583" s="91">
        <f>IFERROR(__xludf.DUMMYFUNCTION("IFERROR(sum(filter('Основной эфир'!$AC:$AC, 'Основной эфир'!$B:$B=$A583,'Основной эфир'!$C:$C=$B583,'Основной эфир'!$I:$I=$C583)), 0) "),0.0)</f>
        <v>0</v>
      </c>
      <c r="F583" s="91">
        <f>IFERROR(__xludf.DUMMYFUNCTION("IFERROR(sum(filter('Основной эфир'!$O:$O, 'Основной эфир'!$B:$B=$A583,'Основной эфир'!$C:$C=$B583,'Основной эфир'!$I:$I=$C583)), 0) "),0.0)</f>
        <v>0</v>
      </c>
      <c r="G583" s="91">
        <f>IFERROR(__xludf.DUMMYFUNCTION("IFERROR(sum(filter('Основной эфир'!$Q:$Q, 'Основной эфир'!$B:$B=$A583,'Основной эфир'!$C:$C=$B583,'Основной эфир'!$I:$I=$C583)), 0) "),0.0)</f>
        <v>0</v>
      </c>
      <c r="H583" s="91">
        <f>IFERROR(__xludf.DUMMYFUNCTION("IFERROR(AVERAGE(filter('Основной эфир'!$Y:$Y, 'Основной эфир'!$B:$B=$A583,'Основной эфир'!$C:$C=$B583,'Основной эфир'!$I:$I=$C583)), 0) "),0.0)</f>
        <v>0</v>
      </c>
      <c r="I583" s="91">
        <f>IFERROR(__xludf.DUMMYFUNCTION("IFERROR(AVERAGE(filter('Основной эфир'!$AE:$AE, 'Основной эфир'!$B:$B=$A583,'Основной эфир'!$C:$C=$B583,'Основной эфир'!$I:$I=$C583)), 0) "),0.0)</f>
        <v>0</v>
      </c>
      <c r="J583" s="91">
        <f>IFERROR(__xludf.DUMMYFUNCTION("IFERROR(SUM(filter('Основной эфир'!$AL:$AL, 'Основной эфир'!$B:$B=$A583,'Основной эфир'!$C:$C=$B583,'Основной эфир'!$I:$I=$C583)), 0) "),0.0)</f>
        <v>0</v>
      </c>
      <c r="K583" s="91" t="str">
        <f>IFERROR(__xludf.DUMMYFUNCTION("IFERROR(REGEXREPLACE(unique(filter('Основной эфир'!$A:$A, 'Основной эфир'!$B:$B=$A583,'Основной эфир'!$C:$C=$B583,'Основной эфир'!$I:$I=$C583)), ""\d+"", """"),"""")"),"")</f>
        <v/>
      </c>
      <c r="L583" s="91" t="str">
        <f>IFERROR(__xludf.DUMMYFUNCTION("IFERROR(unique(filter('Основной эфир'!$F:$F, 'Основной эфир'!$B:$B=$A583,'Основной эфир'!$C:$C=$B583,'Основной эфир'!$I:$I=$C583)),"""")"),"")</f>
        <v/>
      </c>
      <c r="M583" s="92" t="str">
        <f t="shared" si="1"/>
        <v/>
      </c>
      <c r="N583" s="93">
        <f>IFERROR(__xludf.DUMMYFUNCTION("IFERROR(SWITCH(lower(join("" "",L583:M583)),""а миллионник"", 62.5,""б миллионник"", 75,""а мск"", 50, ""б мск"", 62.5, ""a остальное"", 70, ""б остальное"", 80)/100,0)"),0.0)</f>
        <v>0</v>
      </c>
      <c r="O583" s="91">
        <f t="shared" si="2"/>
        <v>0</v>
      </c>
      <c r="P583" s="91">
        <f>IFERROR(__xludf.DUMMYFUNCTION("IFERROR(sum(filter('Генеральный баннер'!$O:$O, 'Генеральный баннер'!$B:$B=$A583,'Генеральный баннер'!$C:$C=$B583,'Генеральный баннер'!$I:$I=$C583)), 0) "),0.0)</f>
        <v>0</v>
      </c>
      <c r="Q583" s="91">
        <f>IFERROR(__xludf.DUMMYFUNCTION("IFERROR(sum(filter('Генеральный баннер'!$Q:$Q, 'Генеральный баннер'!$B:$B=$A583,'Генеральный баннер'!$C:$C=$B583,'Генеральный баннер'!$I:$I=$C583)), 0) "),0.0)</f>
        <v>0</v>
      </c>
      <c r="R583" s="91">
        <f>IFERROR(__xludf.DUMMYFUNCTION("IFERROR(AVERAGE(filter('Генеральный баннер'!$AA:$AA, 'Генеральный баннер'!$B:$B=$A583,'Генеральный баннер'!$C:$C=$B583,'Генеральный баннер'!$I:$I=$C583)), 0) "),0.0)</f>
        <v>0</v>
      </c>
      <c r="S583" s="91">
        <f>IFERROR(__xludf.DUMMYFUNCTION("IFERROR(SUM(filter('Генеральный баннер'!$AH:$AH, 'Генеральный баннер'!$B:$B=$A583,'Генеральный баннер'!$C:$C=$B583,'Генеральный баннер'!$I:$I=$C583)), 0) "),0.0)</f>
        <v>0</v>
      </c>
      <c r="T583" s="91" t="str">
        <f>IFERROR(__xludf.DUMMYFUNCTION("IFERROR(REGEXREPLACE(unique(filter('Генеральный баннер'!$A:$A, 'Генеральный баннер'!$B:$B=$A583,'Генеральный баннер'!$C:$C=$B583,'Генеральный баннер'!$I:$I=$C583)), ""\d+"", """"),"""")"),"")</f>
        <v/>
      </c>
      <c r="U583" s="91" t="str">
        <f>IFERROR(__xludf.DUMMYFUNCTION("IFERROR(unique(filter('Генеральный баннер'!$F:$F, 'Генеральный баннер'!$B:$B=$A583,'Генеральный баннер'!$C:$C=$B583,'Генеральный баннер'!$I:$I=$C583)),"""")"),"")</f>
        <v/>
      </c>
      <c r="V583" s="92" t="str">
        <f t="shared" si="3"/>
        <v/>
      </c>
      <c r="W583" s="93">
        <f>IFERROR(__xludf.DUMMYFUNCTION("IFERROR(SWITCH(lower(join("" "",U583:V583)),""а миллионник"", 62.5,""б миллионник"", 75,""а мск"", 50, ""б мск"", 62.5, ""a остальное"", 70, ""б остальное"", 80)/100,0)"),0.0)</f>
        <v>0</v>
      </c>
      <c r="X583" s="91">
        <f t="shared" si="4"/>
        <v>0</v>
      </c>
    </row>
    <row r="584">
      <c r="A584" s="12"/>
      <c r="B584" s="12"/>
      <c r="C584" s="12"/>
      <c r="D584" s="91">
        <f>IFERROR(__xludf.DUMMYFUNCTION("IFERROR(sum(filter('Основной эфир'!$AA:$AA, 'Основной эфир'!$B:$B=$A584,'Основной эфир'!$C:$C=$B584,'Основной эфир'!$I:$I=$C584)), 0) "),0.0)</f>
        <v>0</v>
      </c>
      <c r="E584" s="91">
        <f>IFERROR(__xludf.DUMMYFUNCTION("IFERROR(sum(filter('Основной эфир'!$AC:$AC, 'Основной эфир'!$B:$B=$A584,'Основной эфир'!$C:$C=$B584,'Основной эфир'!$I:$I=$C584)), 0) "),0.0)</f>
        <v>0</v>
      </c>
      <c r="F584" s="91">
        <f>IFERROR(__xludf.DUMMYFUNCTION("IFERROR(sum(filter('Основной эфир'!$O:$O, 'Основной эфир'!$B:$B=$A584,'Основной эфир'!$C:$C=$B584,'Основной эфир'!$I:$I=$C584)), 0) "),0.0)</f>
        <v>0</v>
      </c>
      <c r="G584" s="91">
        <f>IFERROR(__xludf.DUMMYFUNCTION("IFERROR(sum(filter('Основной эфир'!$Q:$Q, 'Основной эфир'!$B:$B=$A584,'Основной эфир'!$C:$C=$B584,'Основной эфир'!$I:$I=$C584)), 0) "),0.0)</f>
        <v>0</v>
      </c>
      <c r="H584" s="91">
        <f>IFERROR(__xludf.DUMMYFUNCTION("IFERROR(AVERAGE(filter('Основной эфир'!$Y:$Y, 'Основной эфир'!$B:$B=$A584,'Основной эфир'!$C:$C=$B584,'Основной эфир'!$I:$I=$C584)), 0) "),0.0)</f>
        <v>0</v>
      </c>
      <c r="I584" s="91">
        <f>IFERROR(__xludf.DUMMYFUNCTION("IFERROR(AVERAGE(filter('Основной эфир'!$AE:$AE, 'Основной эфир'!$B:$B=$A584,'Основной эфир'!$C:$C=$B584,'Основной эфир'!$I:$I=$C584)), 0) "),0.0)</f>
        <v>0</v>
      </c>
      <c r="J584" s="91">
        <f>IFERROR(__xludf.DUMMYFUNCTION("IFERROR(SUM(filter('Основной эфир'!$AL:$AL, 'Основной эфир'!$B:$B=$A584,'Основной эфир'!$C:$C=$B584,'Основной эфир'!$I:$I=$C584)), 0) "),0.0)</f>
        <v>0</v>
      </c>
      <c r="K584" s="91" t="str">
        <f>IFERROR(__xludf.DUMMYFUNCTION("IFERROR(REGEXREPLACE(unique(filter('Основной эфир'!$A:$A, 'Основной эфир'!$B:$B=$A584,'Основной эфир'!$C:$C=$B584,'Основной эфир'!$I:$I=$C584)), ""\d+"", """"),"""")"),"")</f>
        <v/>
      </c>
      <c r="L584" s="91" t="str">
        <f>IFERROR(__xludf.DUMMYFUNCTION("IFERROR(unique(filter('Основной эфир'!$F:$F, 'Основной эфир'!$B:$B=$A584,'Основной эфир'!$C:$C=$B584,'Основной эфир'!$I:$I=$C584)),"""")"),"")</f>
        <v/>
      </c>
      <c r="M584" s="92" t="str">
        <f t="shared" si="1"/>
        <v/>
      </c>
      <c r="N584" s="93">
        <f>IFERROR(__xludf.DUMMYFUNCTION("IFERROR(SWITCH(lower(join("" "",L584:M584)),""а миллионник"", 62.5,""б миллионник"", 75,""а мск"", 50, ""б мск"", 62.5, ""a остальное"", 70, ""б остальное"", 80)/100,0)"),0.0)</f>
        <v>0</v>
      </c>
      <c r="O584" s="91">
        <f t="shared" si="2"/>
        <v>0</v>
      </c>
      <c r="P584" s="91">
        <f>IFERROR(__xludf.DUMMYFUNCTION("IFERROR(sum(filter('Генеральный баннер'!$O:$O, 'Генеральный баннер'!$B:$B=$A584,'Генеральный баннер'!$C:$C=$B584,'Генеральный баннер'!$I:$I=$C584)), 0) "),0.0)</f>
        <v>0</v>
      </c>
      <c r="Q584" s="91">
        <f>IFERROR(__xludf.DUMMYFUNCTION("IFERROR(sum(filter('Генеральный баннер'!$Q:$Q, 'Генеральный баннер'!$B:$B=$A584,'Генеральный баннер'!$C:$C=$B584,'Генеральный баннер'!$I:$I=$C584)), 0) "),0.0)</f>
        <v>0</v>
      </c>
      <c r="R584" s="91">
        <f>IFERROR(__xludf.DUMMYFUNCTION("IFERROR(AVERAGE(filter('Генеральный баннер'!$AA:$AA, 'Генеральный баннер'!$B:$B=$A584,'Генеральный баннер'!$C:$C=$B584,'Генеральный баннер'!$I:$I=$C584)), 0) "),0.0)</f>
        <v>0</v>
      </c>
      <c r="S584" s="91">
        <f>IFERROR(__xludf.DUMMYFUNCTION("IFERROR(SUM(filter('Генеральный баннер'!$AH:$AH, 'Генеральный баннер'!$B:$B=$A584,'Генеральный баннер'!$C:$C=$B584,'Генеральный баннер'!$I:$I=$C584)), 0) "),0.0)</f>
        <v>0</v>
      </c>
      <c r="T584" s="91" t="str">
        <f>IFERROR(__xludf.DUMMYFUNCTION("IFERROR(REGEXREPLACE(unique(filter('Генеральный баннер'!$A:$A, 'Генеральный баннер'!$B:$B=$A584,'Генеральный баннер'!$C:$C=$B584,'Генеральный баннер'!$I:$I=$C584)), ""\d+"", """"),"""")"),"")</f>
        <v/>
      </c>
      <c r="U584" s="91" t="str">
        <f>IFERROR(__xludf.DUMMYFUNCTION("IFERROR(unique(filter('Генеральный баннер'!$F:$F, 'Генеральный баннер'!$B:$B=$A584,'Генеральный баннер'!$C:$C=$B584,'Генеральный баннер'!$I:$I=$C584)),"""")"),"")</f>
        <v/>
      </c>
      <c r="V584" s="92" t="str">
        <f t="shared" si="3"/>
        <v/>
      </c>
      <c r="W584" s="93">
        <f>IFERROR(__xludf.DUMMYFUNCTION("IFERROR(SWITCH(lower(join("" "",U584:V584)),""а миллионник"", 62.5,""б миллионник"", 75,""а мск"", 50, ""б мск"", 62.5, ""a остальное"", 70, ""б остальное"", 80)/100,0)"),0.0)</f>
        <v>0</v>
      </c>
      <c r="X584" s="91">
        <f t="shared" si="4"/>
        <v>0</v>
      </c>
    </row>
    <row r="585">
      <c r="A585" s="12"/>
      <c r="B585" s="12"/>
      <c r="C585" s="12"/>
      <c r="D585" s="91">
        <f>IFERROR(__xludf.DUMMYFUNCTION("IFERROR(sum(filter('Основной эфир'!$AA:$AA, 'Основной эфир'!$B:$B=$A585,'Основной эфир'!$C:$C=$B585,'Основной эфир'!$I:$I=$C585)), 0) "),0.0)</f>
        <v>0</v>
      </c>
      <c r="E585" s="91">
        <f>IFERROR(__xludf.DUMMYFUNCTION("IFERROR(sum(filter('Основной эфир'!$AC:$AC, 'Основной эфир'!$B:$B=$A585,'Основной эфир'!$C:$C=$B585,'Основной эфир'!$I:$I=$C585)), 0) "),0.0)</f>
        <v>0</v>
      </c>
      <c r="F585" s="91">
        <f>IFERROR(__xludf.DUMMYFUNCTION("IFERROR(sum(filter('Основной эфир'!$O:$O, 'Основной эфир'!$B:$B=$A585,'Основной эфир'!$C:$C=$B585,'Основной эфир'!$I:$I=$C585)), 0) "),0.0)</f>
        <v>0</v>
      </c>
      <c r="G585" s="91">
        <f>IFERROR(__xludf.DUMMYFUNCTION("IFERROR(sum(filter('Основной эфир'!$Q:$Q, 'Основной эфир'!$B:$B=$A585,'Основной эфир'!$C:$C=$B585,'Основной эфир'!$I:$I=$C585)), 0) "),0.0)</f>
        <v>0</v>
      </c>
      <c r="H585" s="91">
        <f>IFERROR(__xludf.DUMMYFUNCTION("IFERROR(AVERAGE(filter('Основной эфир'!$Y:$Y, 'Основной эфир'!$B:$B=$A585,'Основной эфир'!$C:$C=$B585,'Основной эфир'!$I:$I=$C585)), 0) "),0.0)</f>
        <v>0</v>
      </c>
      <c r="I585" s="91">
        <f>IFERROR(__xludf.DUMMYFUNCTION("IFERROR(AVERAGE(filter('Основной эфир'!$AE:$AE, 'Основной эфир'!$B:$B=$A585,'Основной эфир'!$C:$C=$B585,'Основной эфир'!$I:$I=$C585)), 0) "),0.0)</f>
        <v>0</v>
      </c>
      <c r="J585" s="91">
        <f>IFERROR(__xludf.DUMMYFUNCTION("IFERROR(SUM(filter('Основной эфир'!$AL:$AL, 'Основной эфир'!$B:$B=$A585,'Основной эфир'!$C:$C=$B585,'Основной эфир'!$I:$I=$C585)), 0) "),0.0)</f>
        <v>0</v>
      </c>
      <c r="K585" s="91" t="str">
        <f>IFERROR(__xludf.DUMMYFUNCTION("IFERROR(REGEXREPLACE(unique(filter('Основной эфир'!$A:$A, 'Основной эфир'!$B:$B=$A585,'Основной эфир'!$C:$C=$B585,'Основной эфир'!$I:$I=$C585)), ""\d+"", """"),"""")"),"")</f>
        <v/>
      </c>
      <c r="L585" s="91" t="str">
        <f>IFERROR(__xludf.DUMMYFUNCTION("IFERROR(unique(filter('Основной эфир'!$F:$F, 'Основной эфир'!$B:$B=$A585,'Основной эфир'!$C:$C=$B585,'Основной эфир'!$I:$I=$C585)),"""")"),"")</f>
        <v/>
      </c>
      <c r="M585" s="92" t="str">
        <f t="shared" si="1"/>
        <v/>
      </c>
      <c r="N585" s="93">
        <f>IFERROR(__xludf.DUMMYFUNCTION("IFERROR(SWITCH(lower(join("" "",L585:M585)),""а миллионник"", 62.5,""б миллионник"", 75,""а мск"", 50, ""б мск"", 62.5, ""a остальное"", 70, ""б остальное"", 80)/100,0)"),0.0)</f>
        <v>0</v>
      </c>
      <c r="O585" s="91">
        <f t="shared" si="2"/>
        <v>0</v>
      </c>
      <c r="P585" s="91">
        <f>IFERROR(__xludf.DUMMYFUNCTION("IFERROR(sum(filter('Генеральный баннер'!$O:$O, 'Генеральный баннер'!$B:$B=$A585,'Генеральный баннер'!$C:$C=$B585,'Генеральный баннер'!$I:$I=$C585)), 0) "),0.0)</f>
        <v>0</v>
      </c>
      <c r="Q585" s="91">
        <f>IFERROR(__xludf.DUMMYFUNCTION("IFERROR(sum(filter('Генеральный баннер'!$Q:$Q, 'Генеральный баннер'!$B:$B=$A585,'Генеральный баннер'!$C:$C=$B585,'Генеральный баннер'!$I:$I=$C585)), 0) "),0.0)</f>
        <v>0</v>
      </c>
      <c r="R585" s="91">
        <f>IFERROR(__xludf.DUMMYFUNCTION("IFERROR(AVERAGE(filter('Генеральный баннер'!$AA:$AA, 'Генеральный баннер'!$B:$B=$A585,'Генеральный баннер'!$C:$C=$B585,'Генеральный баннер'!$I:$I=$C585)), 0) "),0.0)</f>
        <v>0</v>
      </c>
      <c r="S585" s="91">
        <f>IFERROR(__xludf.DUMMYFUNCTION("IFERROR(SUM(filter('Генеральный баннер'!$AH:$AH, 'Генеральный баннер'!$B:$B=$A585,'Генеральный баннер'!$C:$C=$B585,'Генеральный баннер'!$I:$I=$C585)), 0) "),0.0)</f>
        <v>0</v>
      </c>
      <c r="T585" s="91" t="str">
        <f>IFERROR(__xludf.DUMMYFUNCTION("IFERROR(REGEXREPLACE(unique(filter('Генеральный баннер'!$A:$A, 'Генеральный баннер'!$B:$B=$A585,'Генеральный баннер'!$C:$C=$B585,'Генеральный баннер'!$I:$I=$C585)), ""\d+"", """"),"""")"),"")</f>
        <v/>
      </c>
      <c r="U585" s="91" t="str">
        <f>IFERROR(__xludf.DUMMYFUNCTION("IFERROR(unique(filter('Генеральный баннер'!$F:$F, 'Генеральный баннер'!$B:$B=$A585,'Генеральный баннер'!$C:$C=$B585,'Генеральный баннер'!$I:$I=$C585)),"""")"),"")</f>
        <v/>
      </c>
      <c r="V585" s="92" t="str">
        <f t="shared" si="3"/>
        <v/>
      </c>
      <c r="W585" s="93">
        <f>IFERROR(__xludf.DUMMYFUNCTION("IFERROR(SWITCH(lower(join("" "",U585:V585)),""а миллионник"", 62.5,""б миллионник"", 75,""а мск"", 50, ""б мск"", 62.5, ""a остальное"", 70, ""б остальное"", 80)/100,0)"),0.0)</f>
        <v>0</v>
      </c>
      <c r="X585" s="91">
        <f t="shared" si="4"/>
        <v>0</v>
      </c>
    </row>
    <row r="586">
      <c r="A586" s="12"/>
      <c r="B586" s="12"/>
      <c r="C586" s="12"/>
      <c r="D586" s="91">
        <f>IFERROR(__xludf.DUMMYFUNCTION("IFERROR(sum(filter('Основной эфир'!$AA:$AA, 'Основной эфир'!$B:$B=$A586,'Основной эфир'!$C:$C=$B586,'Основной эфир'!$I:$I=$C586)), 0) "),0.0)</f>
        <v>0</v>
      </c>
      <c r="E586" s="91">
        <f>IFERROR(__xludf.DUMMYFUNCTION("IFERROR(sum(filter('Основной эфир'!$AC:$AC, 'Основной эфир'!$B:$B=$A586,'Основной эфир'!$C:$C=$B586,'Основной эфир'!$I:$I=$C586)), 0) "),0.0)</f>
        <v>0</v>
      </c>
      <c r="F586" s="91">
        <f>IFERROR(__xludf.DUMMYFUNCTION("IFERROR(sum(filter('Основной эфир'!$O:$O, 'Основной эфир'!$B:$B=$A586,'Основной эфир'!$C:$C=$B586,'Основной эфир'!$I:$I=$C586)), 0) "),0.0)</f>
        <v>0</v>
      </c>
      <c r="G586" s="91">
        <f>IFERROR(__xludf.DUMMYFUNCTION("IFERROR(sum(filter('Основной эфир'!$Q:$Q, 'Основной эфир'!$B:$B=$A586,'Основной эфир'!$C:$C=$B586,'Основной эфир'!$I:$I=$C586)), 0) "),0.0)</f>
        <v>0</v>
      </c>
      <c r="H586" s="91">
        <f>IFERROR(__xludf.DUMMYFUNCTION("IFERROR(AVERAGE(filter('Основной эфир'!$Y:$Y, 'Основной эфир'!$B:$B=$A586,'Основной эфир'!$C:$C=$B586,'Основной эфир'!$I:$I=$C586)), 0) "),0.0)</f>
        <v>0</v>
      </c>
      <c r="I586" s="91">
        <f>IFERROR(__xludf.DUMMYFUNCTION("IFERROR(AVERAGE(filter('Основной эфир'!$AE:$AE, 'Основной эфир'!$B:$B=$A586,'Основной эфир'!$C:$C=$B586,'Основной эфир'!$I:$I=$C586)), 0) "),0.0)</f>
        <v>0</v>
      </c>
      <c r="J586" s="91">
        <f>IFERROR(__xludf.DUMMYFUNCTION("IFERROR(SUM(filter('Основной эфир'!$AL:$AL, 'Основной эфир'!$B:$B=$A586,'Основной эфир'!$C:$C=$B586,'Основной эфир'!$I:$I=$C586)), 0) "),0.0)</f>
        <v>0</v>
      </c>
      <c r="K586" s="91" t="str">
        <f>IFERROR(__xludf.DUMMYFUNCTION("IFERROR(REGEXREPLACE(unique(filter('Основной эфир'!$A:$A, 'Основной эфир'!$B:$B=$A586,'Основной эфир'!$C:$C=$B586,'Основной эфир'!$I:$I=$C586)), ""\d+"", """"),"""")"),"")</f>
        <v/>
      </c>
      <c r="L586" s="91" t="str">
        <f>IFERROR(__xludf.DUMMYFUNCTION("IFERROR(unique(filter('Основной эфир'!$F:$F, 'Основной эфир'!$B:$B=$A586,'Основной эфир'!$C:$C=$B586,'Основной эфир'!$I:$I=$C586)),"""")"),"")</f>
        <v/>
      </c>
      <c r="M586" s="92" t="str">
        <f t="shared" si="1"/>
        <v/>
      </c>
      <c r="N586" s="93">
        <f>IFERROR(__xludf.DUMMYFUNCTION("IFERROR(SWITCH(lower(join("" "",L586:M586)),""а миллионник"", 62.5,""б миллионник"", 75,""а мск"", 50, ""б мск"", 62.5, ""a остальное"", 70, ""б остальное"", 80)/100,0)"),0.0)</f>
        <v>0</v>
      </c>
      <c r="O586" s="91">
        <f t="shared" si="2"/>
        <v>0</v>
      </c>
      <c r="P586" s="91">
        <f>IFERROR(__xludf.DUMMYFUNCTION("IFERROR(sum(filter('Генеральный баннер'!$O:$O, 'Генеральный баннер'!$B:$B=$A586,'Генеральный баннер'!$C:$C=$B586,'Генеральный баннер'!$I:$I=$C586)), 0) "),0.0)</f>
        <v>0</v>
      </c>
      <c r="Q586" s="91">
        <f>IFERROR(__xludf.DUMMYFUNCTION("IFERROR(sum(filter('Генеральный баннер'!$Q:$Q, 'Генеральный баннер'!$B:$B=$A586,'Генеральный баннер'!$C:$C=$B586,'Генеральный баннер'!$I:$I=$C586)), 0) "),0.0)</f>
        <v>0</v>
      </c>
      <c r="R586" s="91">
        <f>IFERROR(__xludf.DUMMYFUNCTION("IFERROR(AVERAGE(filter('Генеральный баннер'!$AA:$AA, 'Генеральный баннер'!$B:$B=$A586,'Генеральный баннер'!$C:$C=$B586,'Генеральный баннер'!$I:$I=$C586)), 0) "),0.0)</f>
        <v>0</v>
      </c>
      <c r="S586" s="91">
        <f>IFERROR(__xludf.DUMMYFUNCTION("IFERROR(SUM(filter('Генеральный баннер'!$AH:$AH, 'Генеральный баннер'!$B:$B=$A586,'Генеральный баннер'!$C:$C=$B586,'Генеральный баннер'!$I:$I=$C586)), 0) "),0.0)</f>
        <v>0</v>
      </c>
      <c r="T586" s="91" t="str">
        <f>IFERROR(__xludf.DUMMYFUNCTION("IFERROR(REGEXREPLACE(unique(filter('Генеральный баннер'!$A:$A, 'Генеральный баннер'!$B:$B=$A586,'Генеральный баннер'!$C:$C=$B586,'Генеральный баннер'!$I:$I=$C586)), ""\d+"", """"),"""")"),"")</f>
        <v/>
      </c>
      <c r="U586" s="91" t="str">
        <f>IFERROR(__xludf.DUMMYFUNCTION("IFERROR(unique(filter('Генеральный баннер'!$F:$F, 'Генеральный баннер'!$B:$B=$A586,'Генеральный баннер'!$C:$C=$B586,'Генеральный баннер'!$I:$I=$C586)),"""")"),"")</f>
        <v/>
      </c>
      <c r="V586" s="92" t="str">
        <f t="shared" si="3"/>
        <v/>
      </c>
      <c r="W586" s="93">
        <f>IFERROR(__xludf.DUMMYFUNCTION("IFERROR(SWITCH(lower(join("" "",U586:V586)),""а миллионник"", 62.5,""б миллионник"", 75,""а мск"", 50, ""б мск"", 62.5, ""a остальное"", 70, ""б остальное"", 80)/100,0)"),0.0)</f>
        <v>0</v>
      </c>
      <c r="X586" s="91">
        <f t="shared" si="4"/>
        <v>0</v>
      </c>
    </row>
    <row r="587">
      <c r="A587" s="12"/>
      <c r="B587" s="12"/>
      <c r="C587" s="12"/>
      <c r="D587" s="91">
        <f>IFERROR(__xludf.DUMMYFUNCTION("IFERROR(sum(filter('Основной эфир'!$AA:$AA, 'Основной эфир'!$B:$B=$A587,'Основной эфир'!$C:$C=$B587,'Основной эфир'!$I:$I=$C587)), 0) "),0.0)</f>
        <v>0</v>
      </c>
      <c r="E587" s="91">
        <f>IFERROR(__xludf.DUMMYFUNCTION("IFERROR(sum(filter('Основной эфир'!$AC:$AC, 'Основной эфир'!$B:$B=$A587,'Основной эфир'!$C:$C=$B587,'Основной эфир'!$I:$I=$C587)), 0) "),0.0)</f>
        <v>0</v>
      </c>
      <c r="F587" s="91">
        <f>IFERROR(__xludf.DUMMYFUNCTION("IFERROR(sum(filter('Основной эфир'!$O:$O, 'Основной эфир'!$B:$B=$A587,'Основной эфир'!$C:$C=$B587,'Основной эфир'!$I:$I=$C587)), 0) "),0.0)</f>
        <v>0</v>
      </c>
      <c r="G587" s="91">
        <f>IFERROR(__xludf.DUMMYFUNCTION("IFERROR(sum(filter('Основной эфир'!$Q:$Q, 'Основной эфир'!$B:$B=$A587,'Основной эфир'!$C:$C=$B587,'Основной эфир'!$I:$I=$C587)), 0) "),0.0)</f>
        <v>0</v>
      </c>
      <c r="H587" s="91">
        <f>IFERROR(__xludf.DUMMYFUNCTION("IFERROR(AVERAGE(filter('Основной эфир'!$Y:$Y, 'Основной эфир'!$B:$B=$A587,'Основной эфир'!$C:$C=$B587,'Основной эфир'!$I:$I=$C587)), 0) "),0.0)</f>
        <v>0</v>
      </c>
      <c r="I587" s="91">
        <f>IFERROR(__xludf.DUMMYFUNCTION("IFERROR(AVERAGE(filter('Основной эфир'!$AE:$AE, 'Основной эфир'!$B:$B=$A587,'Основной эфир'!$C:$C=$B587,'Основной эфир'!$I:$I=$C587)), 0) "),0.0)</f>
        <v>0</v>
      </c>
      <c r="J587" s="91">
        <f>IFERROR(__xludf.DUMMYFUNCTION("IFERROR(SUM(filter('Основной эфир'!$AL:$AL, 'Основной эфир'!$B:$B=$A587,'Основной эфир'!$C:$C=$B587,'Основной эфир'!$I:$I=$C587)), 0) "),0.0)</f>
        <v>0</v>
      </c>
      <c r="K587" s="91" t="str">
        <f>IFERROR(__xludf.DUMMYFUNCTION("IFERROR(REGEXREPLACE(unique(filter('Основной эфир'!$A:$A, 'Основной эфир'!$B:$B=$A587,'Основной эфир'!$C:$C=$B587,'Основной эфир'!$I:$I=$C587)), ""\d+"", """"),"""")"),"")</f>
        <v/>
      </c>
      <c r="L587" s="91" t="str">
        <f>IFERROR(__xludf.DUMMYFUNCTION("IFERROR(unique(filter('Основной эфир'!$F:$F, 'Основной эфир'!$B:$B=$A587,'Основной эфир'!$C:$C=$B587,'Основной эфир'!$I:$I=$C587)),"""")"),"")</f>
        <v/>
      </c>
      <c r="M587" s="92" t="str">
        <f t="shared" si="1"/>
        <v/>
      </c>
      <c r="N587" s="93">
        <f>IFERROR(__xludf.DUMMYFUNCTION("IFERROR(SWITCH(lower(join("" "",L587:M587)),""а миллионник"", 62.5,""б миллионник"", 75,""а мск"", 50, ""б мск"", 62.5, ""a остальное"", 70, ""б остальное"", 80)/100,0)"),0.0)</f>
        <v>0</v>
      </c>
      <c r="O587" s="91">
        <f t="shared" si="2"/>
        <v>0</v>
      </c>
      <c r="P587" s="91">
        <f>IFERROR(__xludf.DUMMYFUNCTION("IFERROR(sum(filter('Генеральный баннер'!$O:$O, 'Генеральный баннер'!$B:$B=$A587,'Генеральный баннер'!$C:$C=$B587,'Генеральный баннер'!$I:$I=$C587)), 0) "),0.0)</f>
        <v>0</v>
      </c>
      <c r="Q587" s="91">
        <f>IFERROR(__xludf.DUMMYFUNCTION("IFERROR(sum(filter('Генеральный баннер'!$Q:$Q, 'Генеральный баннер'!$B:$B=$A587,'Генеральный баннер'!$C:$C=$B587,'Генеральный баннер'!$I:$I=$C587)), 0) "),0.0)</f>
        <v>0</v>
      </c>
      <c r="R587" s="91">
        <f>IFERROR(__xludf.DUMMYFUNCTION("IFERROR(AVERAGE(filter('Генеральный баннер'!$AA:$AA, 'Генеральный баннер'!$B:$B=$A587,'Генеральный баннер'!$C:$C=$B587,'Генеральный баннер'!$I:$I=$C587)), 0) "),0.0)</f>
        <v>0</v>
      </c>
      <c r="S587" s="91">
        <f>IFERROR(__xludf.DUMMYFUNCTION("IFERROR(SUM(filter('Генеральный баннер'!$AH:$AH, 'Генеральный баннер'!$B:$B=$A587,'Генеральный баннер'!$C:$C=$B587,'Генеральный баннер'!$I:$I=$C587)), 0) "),0.0)</f>
        <v>0</v>
      </c>
      <c r="T587" s="91" t="str">
        <f>IFERROR(__xludf.DUMMYFUNCTION("IFERROR(REGEXREPLACE(unique(filter('Генеральный баннер'!$A:$A, 'Генеральный баннер'!$B:$B=$A587,'Генеральный баннер'!$C:$C=$B587,'Генеральный баннер'!$I:$I=$C587)), ""\d+"", """"),"""")"),"")</f>
        <v/>
      </c>
      <c r="U587" s="91" t="str">
        <f>IFERROR(__xludf.DUMMYFUNCTION("IFERROR(unique(filter('Генеральный баннер'!$F:$F, 'Генеральный баннер'!$B:$B=$A587,'Генеральный баннер'!$C:$C=$B587,'Генеральный баннер'!$I:$I=$C587)),"""")"),"")</f>
        <v/>
      </c>
      <c r="V587" s="92" t="str">
        <f t="shared" si="3"/>
        <v/>
      </c>
      <c r="W587" s="93">
        <f>IFERROR(__xludf.DUMMYFUNCTION("IFERROR(SWITCH(lower(join("" "",U587:V587)),""а миллионник"", 62.5,""б миллионник"", 75,""а мск"", 50, ""б мск"", 62.5, ""a остальное"", 70, ""б остальное"", 80)/100,0)"),0.0)</f>
        <v>0</v>
      </c>
      <c r="X587" s="91">
        <f t="shared" si="4"/>
        <v>0</v>
      </c>
    </row>
    <row r="588">
      <c r="A588" s="12"/>
      <c r="B588" s="12"/>
      <c r="C588" s="12"/>
      <c r="D588" s="91">
        <f>IFERROR(__xludf.DUMMYFUNCTION("IFERROR(sum(filter('Основной эфир'!$AA:$AA, 'Основной эфир'!$B:$B=$A588,'Основной эфир'!$C:$C=$B588,'Основной эфир'!$I:$I=$C588)), 0) "),0.0)</f>
        <v>0</v>
      </c>
      <c r="E588" s="91">
        <f>IFERROR(__xludf.DUMMYFUNCTION("IFERROR(sum(filter('Основной эфир'!$AC:$AC, 'Основной эфир'!$B:$B=$A588,'Основной эфир'!$C:$C=$B588,'Основной эфир'!$I:$I=$C588)), 0) "),0.0)</f>
        <v>0</v>
      </c>
      <c r="F588" s="91">
        <f>IFERROR(__xludf.DUMMYFUNCTION("IFERROR(sum(filter('Основной эфир'!$O:$O, 'Основной эфир'!$B:$B=$A588,'Основной эфир'!$C:$C=$B588,'Основной эфир'!$I:$I=$C588)), 0) "),0.0)</f>
        <v>0</v>
      </c>
      <c r="G588" s="91">
        <f>IFERROR(__xludf.DUMMYFUNCTION("IFERROR(sum(filter('Основной эфир'!$Q:$Q, 'Основной эфир'!$B:$B=$A588,'Основной эфир'!$C:$C=$B588,'Основной эфир'!$I:$I=$C588)), 0) "),0.0)</f>
        <v>0</v>
      </c>
      <c r="H588" s="91">
        <f>IFERROR(__xludf.DUMMYFUNCTION("IFERROR(AVERAGE(filter('Основной эфир'!$Y:$Y, 'Основной эфир'!$B:$B=$A588,'Основной эфир'!$C:$C=$B588,'Основной эфир'!$I:$I=$C588)), 0) "),0.0)</f>
        <v>0</v>
      </c>
      <c r="I588" s="91">
        <f>IFERROR(__xludf.DUMMYFUNCTION("IFERROR(AVERAGE(filter('Основной эфир'!$AE:$AE, 'Основной эфир'!$B:$B=$A588,'Основной эфир'!$C:$C=$B588,'Основной эфир'!$I:$I=$C588)), 0) "),0.0)</f>
        <v>0</v>
      </c>
      <c r="J588" s="91">
        <f>IFERROR(__xludf.DUMMYFUNCTION("IFERROR(SUM(filter('Основной эфир'!$AL:$AL, 'Основной эфир'!$B:$B=$A588,'Основной эфир'!$C:$C=$B588,'Основной эфир'!$I:$I=$C588)), 0) "),0.0)</f>
        <v>0</v>
      </c>
      <c r="K588" s="91" t="str">
        <f>IFERROR(__xludf.DUMMYFUNCTION("IFERROR(REGEXREPLACE(unique(filter('Основной эфир'!$A:$A, 'Основной эфир'!$B:$B=$A588,'Основной эфир'!$C:$C=$B588,'Основной эфир'!$I:$I=$C588)), ""\d+"", """"),"""")"),"")</f>
        <v/>
      </c>
      <c r="L588" s="91" t="str">
        <f>IFERROR(__xludf.DUMMYFUNCTION("IFERROR(unique(filter('Основной эфир'!$F:$F, 'Основной эфир'!$B:$B=$A588,'Основной эфир'!$C:$C=$B588,'Основной эфир'!$I:$I=$C588)),"""")"),"")</f>
        <v/>
      </c>
      <c r="M588" s="92" t="str">
        <f t="shared" si="1"/>
        <v/>
      </c>
      <c r="N588" s="93">
        <f>IFERROR(__xludf.DUMMYFUNCTION("IFERROR(SWITCH(lower(join("" "",L588:M588)),""а миллионник"", 62.5,""б миллионник"", 75,""а мск"", 50, ""б мск"", 62.5, ""a остальное"", 70, ""б остальное"", 80)/100,0)"),0.0)</f>
        <v>0</v>
      </c>
      <c r="O588" s="91">
        <f t="shared" si="2"/>
        <v>0</v>
      </c>
      <c r="P588" s="91">
        <f>IFERROR(__xludf.DUMMYFUNCTION("IFERROR(sum(filter('Генеральный баннер'!$O:$O, 'Генеральный баннер'!$B:$B=$A588,'Генеральный баннер'!$C:$C=$B588,'Генеральный баннер'!$I:$I=$C588)), 0) "),0.0)</f>
        <v>0</v>
      </c>
      <c r="Q588" s="91">
        <f>IFERROR(__xludf.DUMMYFUNCTION("IFERROR(sum(filter('Генеральный баннер'!$Q:$Q, 'Генеральный баннер'!$B:$B=$A588,'Генеральный баннер'!$C:$C=$B588,'Генеральный баннер'!$I:$I=$C588)), 0) "),0.0)</f>
        <v>0</v>
      </c>
      <c r="R588" s="91">
        <f>IFERROR(__xludf.DUMMYFUNCTION("IFERROR(AVERAGE(filter('Генеральный баннер'!$AA:$AA, 'Генеральный баннер'!$B:$B=$A588,'Генеральный баннер'!$C:$C=$B588,'Генеральный баннер'!$I:$I=$C588)), 0) "),0.0)</f>
        <v>0</v>
      </c>
      <c r="S588" s="91">
        <f>IFERROR(__xludf.DUMMYFUNCTION("IFERROR(SUM(filter('Генеральный баннер'!$AH:$AH, 'Генеральный баннер'!$B:$B=$A588,'Генеральный баннер'!$C:$C=$B588,'Генеральный баннер'!$I:$I=$C588)), 0) "),0.0)</f>
        <v>0</v>
      </c>
      <c r="T588" s="91" t="str">
        <f>IFERROR(__xludf.DUMMYFUNCTION("IFERROR(REGEXREPLACE(unique(filter('Генеральный баннер'!$A:$A, 'Генеральный баннер'!$B:$B=$A588,'Генеральный баннер'!$C:$C=$B588,'Генеральный баннер'!$I:$I=$C588)), ""\d+"", """"),"""")"),"")</f>
        <v/>
      </c>
      <c r="U588" s="91" t="str">
        <f>IFERROR(__xludf.DUMMYFUNCTION("IFERROR(unique(filter('Генеральный баннер'!$F:$F, 'Генеральный баннер'!$B:$B=$A588,'Генеральный баннер'!$C:$C=$B588,'Генеральный баннер'!$I:$I=$C588)),"""")"),"")</f>
        <v/>
      </c>
      <c r="V588" s="92" t="str">
        <f t="shared" si="3"/>
        <v/>
      </c>
      <c r="W588" s="93">
        <f>IFERROR(__xludf.DUMMYFUNCTION("IFERROR(SWITCH(lower(join("" "",U588:V588)),""а миллионник"", 62.5,""б миллионник"", 75,""а мск"", 50, ""б мск"", 62.5, ""a остальное"", 70, ""б остальное"", 80)/100,0)"),0.0)</f>
        <v>0</v>
      </c>
      <c r="X588" s="91">
        <f t="shared" si="4"/>
        <v>0</v>
      </c>
    </row>
    <row r="589">
      <c r="A589" s="12"/>
      <c r="B589" s="12"/>
      <c r="C589" s="12"/>
      <c r="D589" s="91">
        <f>IFERROR(__xludf.DUMMYFUNCTION("IFERROR(sum(filter('Основной эфир'!$AA:$AA, 'Основной эфир'!$B:$B=$A589,'Основной эфир'!$C:$C=$B589,'Основной эфир'!$I:$I=$C589)), 0) "),0.0)</f>
        <v>0</v>
      </c>
      <c r="E589" s="91">
        <f>IFERROR(__xludf.DUMMYFUNCTION("IFERROR(sum(filter('Основной эфир'!$AC:$AC, 'Основной эфир'!$B:$B=$A589,'Основной эфир'!$C:$C=$B589,'Основной эфир'!$I:$I=$C589)), 0) "),0.0)</f>
        <v>0</v>
      </c>
      <c r="F589" s="91">
        <f>IFERROR(__xludf.DUMMYFUNCTION("IFERROR(sum(filter('Основной эфир'!$O:$O, 'Основной эфир'!$B:$B=$A589,'Основной эфир'!$C:$C=$B589,'Основной эфир'!$I:$I=$C589)), 0) "),0.0)</f>
        <v>0</v>
      </c>
      <c r="G589" s="91">
        <f>IFERROR(__xludf.DUMMYFUNCTION("IFERROR(sum(filter('Основной эфир'!$Q:$Q, 'Основной эфир'!$B:$B=$A589,'Основной эфир'!$C:$C=$B589,'Основной эфир'!$I:$I=$C589)), 0) "),0.0)</f>
        <v>0</v>
      </c>
      <c r="H589" s="91">
        <f>IFERROR(__xludf.DUMMYFUNCTION("IFERROR(AVERAGE(filter('Основной эфир'!$Y:$Y, 'Основной эфир'!$B:$B=$A589,'Основной эфир'!$C:$C=$B589,'Основной эфир'!$I:$I=$C589)), 0) "),0.0)</f>
        <v>0</v>
      </c>
      <c r="I589" s="91">
        <f>IFERROR(__xludf.DUMMYFUNCTION("IFERROR(AVERAGE(filter('Основной эфир'!$AE:$AE, 'Основной эфир'!$B:$B=$A589,'Основной эфир'!$C:$C=$B589,'Основной эфир'!$I:$I=$C589)), 0) "),0.0)</f>
        <v>0</v>
      </c>
      <c r="J589" s="91">
        <f>IFERROR(__xludf.DUMMYFUNCTION("IFERROR(SUM(filter('Основной эфир'!$AL:$AL, 'Основной эфир'!$B:$B=$A589,'Основной эфир'!$C:$C=$B589,'Основной эфир'!$I:$I=$C589)), 0) "),0.0)</f>
        <v>0</v>
      </c>
      <c r="K589" s="91" t="str">
        <f>IFERROR(__xludf.DUMMYFUNCTION("IFERROR(REGEXREPLACE(unique(filter('Основной эфир'!$A:$A, 'Основной эфир'!$B:$B=$A589,'Основной эфир'!$C:$C=$B589,'Основной эфир'!$I:$I=$C589)), ""\d+"", """"),"""")"),"")</f>
        <v/>
      </c>
      <c r="L589" s="91" t="str">
        <f>IFERROR(__xludf.DUMMYFUNCTION("IFERROR(unique(filter('Основной эфир'!$F:$F, 'Основной эфир'!$B:$B=$A589,'Основной эфир'!$C:$C=$B589,'Основной эфир'!$I:$I=$C589)),"""")"),"")</f>
        <v/>
      </c>
      <c r="M589" s="92" t="str">
        <f t="shared" si="1"/>
        <v/>
      </c>
      <c r="N589" s="93">
        <f>IFERROR(__xludf.DUMMYFUNCTION("IFERROR(SWITCH(lower(join("" "",L589:M589)),""а миллионник"", 62.5,""б миллионник"", 75,""а мск"", 50, ""б мск"", 62.5, ""a остальное"", 70, ""б остальное"", 80)/100,0)"),0.0)</f>
        <v>0</v>
      </c>
      <c r="O589" s="91">
        <f t="shared" si="2"/>
        <v>0</v>
      </c>
      <c r="P589" s="91">
        <f>IFERROR(__xludf.DUMMYFUNCTION("IFERROR(sum(filter('Генеральный баннер'!$O:$O, 'Генеральный баннер'!$B:$B=$A589,'Генеральный баннер'!$C:$C=$B589,'Генеральный баннер'!$I:$I=$C589)), 0) "),0.0)</f>
        <v>0</v>
      </c>
      <c r="Q589" s="91">
        <f>IFERROR(__xludf.DUMMYFUNCTION("IFERROR(sum(filter('Генеральный баннер'!$Q:$Q, 'Генеральный баннер'!$B:$B=$A589,'Генеральный баннер'!$C:$C=$B589,'Генеральный баннер'!$I:$I=$C589)), 0) "),0.0)</f>
        <v>0</v>
      </c>
      <c r="R589" s="91">
        <f>IFERROR(__xludf.DUMMYFUNCTION("IFERROR(AVERAGE(filter('Генеральный баннер'!$AA:$AA, 'Генеральный баннер'!$B:$B=$A589,'Генеральный баннер'!$C:$C=$B589,'Генеральный баннер'!$I:$I=$C589)), 0) "),0.0)</f>
        <v>0</v>
      </c>
      <c r="S589" s="91">
        <f>IFERROR(__xludf.DUMMYFUNCTION("IFERROR(SUM(filter('Генеральный баннер'!$AH:$AH, 'Генеральный баннер'!$B:$B=$A589,'Генеральный баннер'!$C:$C=$B589,'Генеральный баннер'!$I:$I=$C589)), 0) "),0.0)</f>
        <v>0</v>
      </c>
      <c r="T589" s="91" t="str">
        <f>IFERROR(__xludf.DUMMYFUNCTION("IFERROR(REGEXREPLACE(unique(filter('Генеральный баннер'!$A:$A, 'Генеральный баннер'!$B:$B=$A589,'Генеральный баннер'!$C:$C=$B589,'Генеральный баннер'!$I:$I=$C589)), ""\d+"", """"),"""")"),"")</f>
        <v/>
      </c>
      <c r="U589" s="91" t="str">
        <f>IFERROR(__xludf.DUMMYFUNCTION("IFERROR(unique(filter('Генеральный баннер'!$F:$F, 'Генеральный баннер'!$B:$B=$A589,'Генеральный баннер'!$C:$C=$B589,'Генеральный баннер'!$I:$I=$C589)),"""")"),"")</f>
        <v/>
      </c>
      <c r="V589" s="92" t="str">
        <f t="shared" si="3"/>
        <v/>
      </c>
      <c r="W589" s="93">
        <f>IFERROR(__xludf.DUMMYFUNCTION("IFERROR(SWITCH(lower(join("" "",U589:V589)),""а миллионник"", 62.5,""б миллионник"", 75,""а мск"", 50, ""б мск"", 62.5, ""a остальное"", 70, ""б остальное"", 80)/100,0)"),0.0)</f>
        <v>0</v>
      </c>
      <c r="X589" s="91">
        <f t="shared" si="4"/>
        <v>0</v>
      </c>
    </row>
    <row r="590">
      <c r="A590" s="12"/>
      <c r="B590" s="12"/>
      <c r="C590" s="12"/>
      <c r="D590" s="91">
        <f>IFERROR(__xludf.DUMMYFUNCTION("IFERROR(sum(filter('Основной эфир'!$AA:$AA, 'Основной эфир'!$B:$B=$A590,'Основной эфир'!$C:$C=$B590,'Основной эфир'!$I:$I=$C590)), 0) "),0.0)</f>
        <v>0</v>
      </c>
      <c r="E590" s="91">
        <f>IFERROR(__xludf.DUMMYFUNCTION("IFERROR(sum(filter('Основной эфир'!$AC:$AC, 'Основной эфир'!$B:$B=$A590,'Основной эфир'!$C:$C=$B590,'Основной эфир'!$I:$I=$C590)), 0) "),0.0)</f>
        <v>0</v>
      </c>
      <c r="F590" s="91">
        <f>IFERROR(__xludf.DUMMYFUNCTION("IFERROR(sum(filter('Основной эфир'!$O:$O, 'Основной эфир'!$B:$B=$A590,'Основной эфир'!$C:$C=$B590,'Основной эфир'!$I:$I=$C590)), 0) "),0.0)</f>
        <v>0</v>
      </c>
      <c r="G590" s="91">
        <f>IFERROR(__xludf.DUMMYFUNCTION("IFERROR(sum(filter('Основной эфир'!$Q:$Q, 'Основной эфир'!$B:$B=$A590,'Основной эфир'!$C:$C=$B590,'Основной эфир'!$I:$I=$C590)), 0) "),0.0)</f>
        <v>0</v>
      </c>
      <c r="H590" s="91">
        <f>IFERROR(__xludf.DUMMYFUNCTION("IFERROR(AVERAGE(filter('Основной эфир'!$Y:$Y, 'Основной эфир'!$B:$B=$A590,'Основной эфир'!$C:$C=$B590,'Основной эфир'!$I:$I=$C590)), 0) "),0.0)</f>
        <v>0</v>
      </c>
      <c r="I590" s="91">
        <f>IFERROR(__xludf.DUMMYFUNCTION("IFERROR(AVERAGE(filter('Основной эфир'!$AE:$AE, 'Основной эфир'!$B:$B=$A590,'Основной эфир'!$C:$C=$B590,'Основной эфир'!$I:$I=$C590)), 0) "),0.0)</f>
        <v>0</v>
      </c>
      <c r="J590" s="91">
        <f>IFERROR(__xludf.DUMMYFUNCTION("IFERROR(SUM(filter('Основной эфир'!$AL:$AL, 'Основной эфир'!$B:$B=$A590,'Основной эфир'!$C:$C=$B590,'Основной эфир'!$I:$I=$C590)), 0) "),0.0)</f>
        <v>0</v>
      </c>
      <c r="K590" s="91" t="str">
        <f>IFERROR(__xludf.DUMMYFUNCTION("IFERROR(REGEXREPLACE(unique(filter('Основной эфир'!$A:$A, 'Основной эфир'!$B:$B=$A590,'Основной эфир'!$C:$C=$B590,'Основной эфир'!$I:$I=$C590)), ""\d+"", """"),"""")"),"")</f>
        <v/>
      </c>
      <c r="L590" s="91" t="str">
        <f>IFERROR(__xludf.DUMMYFUNCTION("IFERROR(unique(filter('Основной эфир'!$F:$F, 'Основной эфир'!$B:$B=$A590,'Основной эфир'!$C:$C=$B590,'Основной эфир'!$I:$I=$C590)),"""")"),"")</f>
        <v/>
      </c>
      <c r="M590" s="92" t="str">
        <f t="shared" si="1"/>
        <v/>
      </c>
      <c r="N590" s="93">
        <f>IFERROR(__xludf.DUMMYFUNCTION("IFERROR(SWITCH(lower(join("" "",L590:M590)),""а миллионник"", 62.5,""б миллионник"", 75,""а мск"", 50, ""б мск"", 62.5, ""a остальное"", 70, ""б остальное"", 80)/100,0)"),0.0)</f>
        <v>0</v>
      </c>
      <c r="O590" s="91">
        <f t="shared" si="2"/>
        <v>0</v>
      </c>
      <c r="P590" s="91">
        <f>IFERROR(__xludf.DUMMYFUNCTION("IFERROR(sum(filter('Генеральный баннер'!$O:$O, 'Генеральный баннер'!$B:$B=$A590,'Генеральный баннер'!$C:$C=$B590,'Генеральный баннер'!$I:$I=$C590)), 0) "),0.0)</f>
        <v>0</v>
      </c>
      <c r="Q590" s="91">
        <f>IFERROR(__xludf.DUMMYFUNCTION("IFERROR(sum(filter('Генеральный баннер'!$Q:$Q, 'Генеральный баннер'!$B:$B=$A590,'Генеральный баннер'!$C:$C=$B590,'Генеральный баннер'!$I:$I=$C590)), 0) "),0.0)</f>
        <v>0</v>
      </c>
      <c r="R590" s="91">
        <f>IFERROR(__xludf.DUMMYFUNCTION("IFERROR(AVERAGE(filter('Генеральный баннер'!$AA:$AA, 'Генеральный баннер'!$B:$B=$A590,'Генеральный баннер'!$C:$C=$B590,'Генеральный баннер'!$I:$I=$C590)), 0) "),0.0)</f>
        <v>0</v>
      </c>
      <c r="S590" s="91">
        <f>IFERROR(__xludf.DUMMYFUNCTION("IFERROR(SUM(filter('Генеральный баннер'!$AH:$AH, 'Генеральный баннер'!$B:$B=$A590,'Генеральный баннер'!$C:$C=$B590,'Генеральный баннер'!$I:$I=$C590)), 0) "),0.0)</f>
        <v>0</v>
      </c>
      <c r="T590" s="91" t="str">
        <f>IFERROR(__xludf.DUMMYFUNCTION("IFERROR(REGEXREPLACE(unique(filter('Генеральный баннер'!$A:$A, 'Генеральный баннер'!$B:$B=$A590,'Генеральный баннер'!$C:$C=$B590,'Генеральный баннер'!$I:$I=$C590)), ""\d+"", """"),"""")"),"")</f>
        <v/>
      </c>
      <c r="U590" s="91" t="str">
        <f>IFERROR(__xludf.DUMMYFUNCTION("IFERROR(unique(filter('Генеральный баннер'!$F:$F, 'Генеральный баннер'!$B:$B=$A590,'Генеральный баннер'!$C:$C=$B590,'Генеральный баннер'!$I:$I=$C590)),"""")"),"")</f>
        <v/>
      </c>
      <c r="V590" s="92" t="str">
        <f t="shared" si="3"/>
        <v/>
      </c>
      <c r="W590" s="93">
        <f>IFERROR(__xludf.DUMMYFUNCTION("IFERROR(SWITCH(lower(join("" "",U590:V590)),""а миллионник"", 62.5,""б миллионник"", 75,""а мск"", 50, ""б мск"", 62.5, ""a остальное"", 70, ""б остальное"", 80)/100,0)"),0.0)</f>
        <v>0</v>
      </c>
      <c r="X590" s="91">
        <f t="shared" si="4"/>
        <v>0</v>
      </c>
    </row>
    <row r="591">
      <c r="A591" s="12"/>
      <c r="B591" s="12"/>
      <c r="C591" s="12"/>
      <c r="D591" s="91">
        <f>IFERROR(__xludf.DUMMYFUNCTION("IFERROR(sum(filter('Основной эфир'!$AA:$AA, 'Основной эфир'!$B:$B=$A591,'Основной эфир'!$C:$C=$B591,'Основной эфир'!$I:$I=$C591)), 0) "),0.0)</f>
        <v>0</v>
      </c>
      <c r="E591" s="91">
        <f>IFERROR(__xludf.DUMMYFUNCTION("IFERROR(sum(filter('Основной эфир'!$AC:$AC, 'Основной эфир'!$B:$B=$A591,'Основной эфир'!$C:$C=$B591,'Основной эфир'!$I:$I=$C591)), 0) "),0.0)</f>
        <v>0</v>
      </c>
      <c r="F591" s="91">
        <f>IFERROR(__xludf.DUMMYFUNCTION("IFERROR(sum(filter('Основной эфир'!$O:$O, 'Основной эфир'!$B:$B=$A591,'Основной эфир'!$C:$C=$B591,'Основной эфир'!$I:$I=$C591)), 0) "),0.0)</f>
        <v>0</v>
      </c>
      <c r="G591" s="91">
        <f>IFERROR(__xludf.DUMMYFUNCTION("IFERROR(sum(filter('Основной эфир'!$Q:$Q, 'Основной эфир'!$B:$B=$A591,'Основной эфир'!$C:$C=$B591,'Основной эфир'!$I:$I=$C591)), 0) "),0.0)</f>
        <v>0</v>
      </c>
      <c r="H591" s="91">
        <f>IFERROR(__xludf.DUMMYFUNCTION("IFERROR(AVERAGE(filter('Основной эфир'!$Y:$Y, 'Основной эфир'!$B:$B=$A591,'Основной эфир'!$C:$C=$B591,'Основной эфир'!$I:$I=$C591)), 0) "),0.0)</f>
        <v>0</v>
      </c>
      <c r="I591" s="91">
        <f>IFERROR(__xludf.DUMMYFUNCTION("IFERROR(AVERAGE(filter('Основной эфир'!$AE:$AE, 'Основной эфир'!$B:$B=$A591,'Основной эфир'!$C:$C=$B591,'Основной эфир'!$I:$I=$C591)), 0) "),0.0)</f>
        <v>0</v>
      </c>
      <c r="J591" s="91">
        <f>IFERROR(__xludf.DUMMYFUNCTION("IFERROR(SUM(filter('Основной эфир'!$AL:$AL, 'Основной эфир'!$B:$B=$A591,'Основной эфир'!$C:$C=$B591,'Основной эфир'!$I:$I=$C591)), 0) "),0.0)</f>
        <v>0</v>
      </c>
      <c r="K591" s="91" t="str">
        <f>IFERROR(__xludf.DUMMYFUNCTION("IFERROR(REGEXREPLACE(unique(filter('Основной эфир'!$A:$A, 'Основной эфир'!$B:$B=$A591,'Основной эфир'!$C:$C=$B591,'Основной эфир'!$I:$I=$C591)), ""\d+"", """"),"""")"),"")</f>
        <v/>
      </c>
      <c r="L591" s="91" t="str">
        <f>IFERROR(__xludf.DUMMYFUNCTION("IFERROR(unique(filter('Основной эфир'!$F:$F, 'Основной эфир'!$B:$B=$A591,'Основной эфир'!$C:$C=$B591,'Основной эфир'!$I:$I=$C591)),"""")"),"")</f>
        <v/>
      </c>
      <c r="M591" s="92" t="str">
        <f t="shared" si="1"/>
        <v/>
      </c>
      <c r="N591" s="93">
        <f>IFERROR(__xludf.DUMMYFUNCTION("IFERROR(SWITCH(lower(join("" "",L591:M591)),""а миллионник"", 62.5,""б миллионник"", 75,""а мск"", 50, ""б мск"", 62.5, ""a остальное"", 70, ""б остальное"", 80)/100,0)"),0.0)</f>
        <v>0</v>
      </c>
      <c r="O591" s="91">
        <f t="shared" si="2"/>
        <v>0</v>
      </c>
      <c r="P591" s="91">
        <f>IFERROR(__xludf.DUMMYFUNCTION("IFERROR(sum(filter('Генеральный баннер'!$O:$O, 'Генеральный баннер'!$B:$B=$A591,'Генеральный баннер'!$C:$C=$B591,'Генеральный баннер'!$I:$I=$C591)), 0) "),0.0)</f>
        <v>0</v>
      </c>
      <c r="Q591" s="91">
        <f>IFERROR(__xludf.DUMMYFUNCTION("IFERROR(sum(filter('Генеральный баннер'!$Q:$Q, 'Генеральный баннер'!$B:$B=$A591,'Генеральный баннер'!$C:$C=$B591,'Генеральный баннер'!$I:$I=$C591)), 0) "),0.0)</f>
        <v>0</v>
      </c>
      <c r="R591" s="91">
        <f>IFERROR(__xludf.DUMMYFUNCTION("IFERROR(AVERAGE(filter('Генеральный баннер'!$AA:$AA, 'Генеральный баннер'!$B:$B=$A591,'Генеральный баннер'!$C:$C=$B591,'Генеральный баннер'!$I:$I=$C591)), 0) "),0.0)</f>
        <v>0</v>
      </c>
      <c r="S591" s="91">
        <f>IFERROR(__xludf.DUMMYFUNCTION("IFERROR(SUM(filter('Генеральный баннер'!$AH:$AH, 'Генеральный баннер'!$B:$B=$A591,'Генеральный баннер'!$C:$C=$B591,'Генеральный баннер'!$I:$I=$C591)), 0) "),0.0)</f>
        <v>0</v>
      </c>
      <c r="T591" s="91" t="str">
        <f>IFERROR(__xludf.DUMMYFUNCTION("IFERROR(REGEXREPLACE(unique(filter('Генеральный баннер'!$A:$A, 'Генеральный баннер'!$B:$B=$A591,'Генеральный баннер'!$C:$C=$B591,'Генеральный баннер'!$I:$I=$C591)), ""\d+"", """"),"""")"),"")</f>
        <v/>
      </c>
      <c r="U591" s="91" t="str">
        <f>IFERROR(__xludf.DUMMYFUNCTION("IFERROR(unique(filter('Генеральный баннер'!$F:$F, 'Генеральный баннер'!$B:$B=$A591,'Генеральный баннер'!$C:$C=$B591,'Генеральный баннер'!$I:$I=$C591)),"""")"),"")</f>
        <v/>
      </c>
      <c r="V591" s="92" t="str">
        <f t="shared" si="3"/>
        <v/>
      </c>
      <c r="W591" s="93">
        <f>IFERROR(__xludf.DUMMYFUNCTION("IFERROR(SWITCH(lower(join("" "",U591:V591)),""а миллионник"", 62.5,""б миллионник"", 75,""а мск"", 50, ""б мск"", 62.5, ""a остальное"", 70, ""б остальное"", 80)/100,0)"),0.0)</f>
        <v>0</v>
      </c>
      <c r="X591" s="91">
        <f t="shared" si="4"/>
        <v>0</v>
      </c>
    </row>
    <row r="592">
      <c r="A592" s="12"/>
      <c r="B592" s="12"/>
      <c r="C592" s="12"/>
      <c r="D592" s="91">
        <f>IFERROR(__xludf.DUMMYFUNCTION("IFERROR(sum(filter('Основной эфир'!$AA:$AA, 'Основной эфир'!$B:$B=$A592,'Основной эфир'!$C:$C=$B592,'Основной эфир'!$I:$I=$C592)), 0) "),0.0)</f>
        <v>0</v>
      </c>
      <c r="E592" s="91">
        <f>IFERROR(__xludf.DUMMYFUNCTION("IFERROR(sum(filter('Основной эфир'!$AC:$AC, 'Основной эфир'!$B:$B=$A592,'Основной эфир'!$C:$C=$B592,'Основной эфир'!$I:$I=$C592)), 0) "),0.0)</f>
        <v>0</v>
      </c>
      <c r="F592" s="91">
        <f>IFERROR(__xludf.DUMMYFUNCTION("IFERROR(sum(filter('Основной эфир'!$O:$O, 'Основной эфир'!$B:$B=$A592,'Основной эфир'!$C:$C=$B592,'Основной эфир'!$I:$I=$C592)), 0) "),0.0)</f>
        <v>0</v>
      </c>
      <c r="G592" s="91">
        <f>IFERROR(__xludf.DUMMYFUNCTION("IFERROR(sum(filter('Основной эфир'!$Q:$Q, 'Основной эфир'!$B:$B=$A592,'Основной эфир'!$C:$C=$B592,'Основной эфир'!$I:$I=$C592)), 0) "),0.0)</f>
        <v>0</v>
      </c>
      <c r="H592" s="91">
        <f>IFERROR(__xludf.DUMMYFUNCTION("IFERROR(AVERAGE(filter('Основной эфир'!$Y:$Y, 'Основной эфир'!$B:$B=$A592,'Основной эфир'!$C:$C=$B592,'Основной эфир'!$I:$I=$C592)), 0) "),0.0)</f>
        <v>0</v>
      </c>
      <c r="I592" s="91">
        <f>IFERROR(__xludf.DUMMYFUNCTION("IFERROR(AVERAGE(filter('Основной эфир'!$AE:$AE, 'Основной эфир'!$B:$B=$A592,'Основной эфир'!$C:$C=$B592,'Основной эфир'!$I:$I=$C592)), 0) "),0.0)</f>
        <v>0</v>
      </c>
      <c r="J592" s="91">
        <f>IFERROR(__xludf.DUMMYFUNCTION("IFERROR(SUM(filter('Основной эфир'!$AL:$AL, 'Основной эфир'!$B:$B=$A592,'Основной эфир'!$C:$C=$B592,'Основной эфир'!$I:$I=$C592)), 0) "),0.0)</f>
        <v>0</v>
      </c>
      <c r="K592" s="91" t="str">
        <f>IFERROR(__xludf.DUMMYFUNCTION("IFERROR(REGEXREPLACE(unique(filter('Основной эфир'!$A:$A, 'Основной эфир'!$B:$B=$A592,'Основной эфир'!$C:$C=$B592,'Основной эфир'!$I:$I=$C592)), ""\d+"", """"),"""")"),"")</f>
        <v/>
      </c>
      <c r="L592" s="91" t="str">
        <f>IFERROR(__xludf.DUMMYFUNCTION("IFERROR(unique(filter('Основной эфир'!$F:$F, 'Основной эфир'!$B:$B=$A592,'Основной эфир'!$C:$C=$B592,'Основной эфир'!$I:$I=$C592)),"""")"),"")</f>
        <v/>
      </c>
      <c r="M592" s="92" t="str">
        <f t="shared" si="1"/>
        <v/>
      </c>
      <c r="N592" s="93">
        <f>IFERROR(__xludf.DUMMYFUNCTION("IFERROR(SWITCH(lower(join("" "",L592:M592)),""а миллионник"", 62.5,""б миллионник"", 75,""а мск"", 50, ""б мск"", 62.5, ""a остальное"", 70, ""б остальное"", 80)/100,0)"),0.0)</f>
        <v>0</v>
      </c>
      <c r="O592" s="91">
        <f t="shared" si="2"/>
        <v>0</v>
      </c>
      <c r="P592" s="91">
        <f>IFERROR(__xludf.DUMMYFUNCTION("IFERROR(sum(filter('Генеральный баннер'!$O:$O, 'Генеральный баннер'!$B:$B=$A592,'Генеральный баннер'!$C:$C=$B592,'Генеральный баннер'!$I:$I=$C592)), 0) "),0.0)</f>
        <v>0</v>
      </c>
      <c r="Q592" s="91">
        <f>IFERROR(__xludf.DUMMYFUNCTION("IFERROR(sum(filter('Генеральный баннер'!$Q:$Q, 'Генеральный баннер'!$B:$B=$A592,'Генеральный баннер'!$C:$C=$B592,'Генеральный баннер'!$I:$I=$C592)), 0) "),0.0)</f>
        <v>0</v>
      </c>
      <c r="R592" s="91">
        <f>IFERROR(__xludf.DUMMYFUNCTION("IFERROR(AVERAGE(filter('Генеральный баннер'!$AA:$AA, 'Генеральный баннер'!$B:$B=$A592,'Генеральный баннер'!$C:$C=$B592,'Генеральный баннер'!$I:$I=$C592)), 0) "),0.0)</f>
        <v>0</v>
      </c>
      <c r="S592" s="91">
        <f>IFERROR(__xludf.DUMMYFUNCTION("IFERROR(SUM(filter('Генеральный баннер'!$AH:$AH, 'Генеральный баннер'!$B:$B=$A592,'Генеральный баннер'!$C:$C=$B592,'Генеральный баннер'!$I:$I=$C592)), 0) "),0.0)</f>
        <v>0</v>
      </c>
      <c r="T592" s="91" t="str">
        <f>IFERROR(__xludf.DUMMYFUNCTION("IFERROR(REGEXREPLACE(unique(filter('Генеральный баннер'!$A:$A, 'Генеральный баннер'!$B:$B=$A592,'Генеральный баннер'!$C:$C=$B592,'Генеральный баннер'!$I:$I=$C592)), ""\d+"", """"),"""")"),"")</f>
        <v/>
      </c>
      <c r="U592" s="91" t="str">
        <f>IFERROR(__xludf.DUMMYFUNCTION("IFERROR(unique(filter('Генеральный баннер'!$F:$F, 'Генеральный баннер'!$B:$B=$A592,'Генеральный баннер'!$C:$C=$B592,'Генеральный баннер'!$I:$I=$C592)),"""")"),"")</f>
        <v/>
      </c>
      <c r="V592" s="92" t="str">
        <f t="shared" si="3"/>
        <v/>
      </c>
      <c r="W592" s="93">
        <f>IFERROR(__xludf.DUMMYFUNCTION("IFERROR(SWITCH(lower(join("" "",U592:V592)),""а миллионник"", 62.5,""б миллионник"", 75,""а мск"", 50, ""б мск"", 62.5, ""a остальное"", 70, ""б остальное"", 80)/100,0)"),0.0)</f>
        <v>0</v>
      </c>
      <c r="X592" s="91">
        <f t="shared" si="4"/>
        <v>0</v>
      </c>
    </row>
    <row r="593">
      <c r="A593" s="12"/>
      <c r="B593" s="12"/>
      <c r="C593" s="12"/>
      <c r="D593" s="91">
        <f>IFERROR(__xludf.DUMMYFUNCTION("IFERROR(sum(filter('Основной эфир'!$AA:$AA, 'Основной эфир'!$B:$B=$A593,'Основной эфир'!$C:$C=$B593,'Основной эфир'!$I:$I=$C593)), 0) "),0.0)</f>
        <v>0</v>
      </c>
      <c r="E593" s="91">
        <f>IFERROR(__xludf.DUMMYFUNCTION("IFERROR(sum(filter('Основной эфир'!$AC:$AC, 'Основной эфир'!$B:$B=$A593,'Основной эфир'!$C:$C=$B593,'Основной эфир'!$I:$I=$C593)), 0) "),0.0)</f>
        <v>0</v>
      </c>
      <c r="F593" s="91">
        <f>IFERROR(__xludf.DUMMYFUNCTION("IFERROR(sum(filter('Основной эфир'!$O:$O, 'Основной эфир'!$B:$B=$A593,'Основной эфир'!$C:$C=$B593,'Основной эфир'!$I:$I=$C593)), 0) "),0.0)</f>
        <v>0</v>
      </c>
      <c r="G593" s="91">
        <f>IFERROR(__xludf.DUMMYFUNCTION("IFERROR(sum(filter('Основной эфир'!$Q:$Q, 'Основной эфир'!$B:$B=$A593,'Основной эфир'!$C:$C=$B593,'Основной эфир'!$I:$I=$C593)), 0) "),0.0)</f>
        <v>0</v>
      </c>
      <c r="H593" s="91">
        <f>IFERROR(__xludf.DUMMYFUNCTION("IFERROR(AVERAGE(filter('Основной эфир'!$Y:$Y, 'Основной эфир'!$B:$B=$A593,'Основной эфир'!$C:$C=$B593,'Основной эфир'!$I:$I=$C593)), 0) "),0.0)</f>
        <v>0</v>
      </c>
      <c r="I593" s="91">
        <f>IFERROR(__xludf.DUMMYFUNCTION("IFERROR(AVERAGE(filter('Основной эфир'!$AE:$AE, 'Основной эфир'!$B:$B=$A593,'Основной эфир'!$C:$C=$B593,'Основной эфир'!$I:$I=$C593)), 0) "),0.0)</f>
        <v>0</v>
      </c>
      <c r="J593" s="91">
        <f>IFERROR(__xludf.DUMMYFUNCTION("IFERROR(SUM(filter('Основной эфир'!$AL:$AL, 'Основной эфир'!$B:$B=$A593,'Основной эфир'!$C:$C=$B593,'Основной эфир'!$I:$I=$C593)), 0) "),0.0)</f>
        <v>0</v>
      </c>
      <c r="K593" s="91" t="str">
        <f>IFERROR(__xludf.DUMMYFUNCTION("IFERROR(REGEXREPLACE(unique(filter('Основной эфир'!$A:$A, 'Основной эфир'!$B:$B=$A593,'Основной эфир'!$C:$C=$B593,'Основной эфир'!$I:$I=$C593)), ""\d+"", """"),"""")"),"")</f>
        <v/>
      </c>
      <c r="L593" s="91" t="str">
        <f>IFERROR(__xludf.DUMMYFUNCTION("IFERROR(unique(filter('Основной эфир'!$F:$F, 'Основной эфир'!$B:$B=$A593,'Основной эфир'!$C:$C=$B593,'Основной эфир'!$I:$I=$C593)),"""")"),"")</f>
        <v/>
      </c>
      <c r="M593" s="92" t="str">
        <f t="shared" si="1"/>
        <v/>
      </c>
      <c r="N593" s="93">
        <f>IFERROR(__xludf.DUMMYFUNCTION("IFERROR(SWITCH(lower(join("" "",L593:M593)),""а миллионник"", 62.5,""б миллионник"", 75,""а мск"", 50, ""б мск"", 62.5, ""a остальное"", 70, ""б остальное"", 80)/100,0)"),0.0)</f>
        <v>0</v>
      </c>
      <c r="O593" s="91">
        <f t="shared" si="2"/>
        <v>0</v>
      </c>
      <c r="P593" s="91">
        <f>IFERROR(__xludf.DUMMYFUNCTION("IFERROR(sum(filter('Генеральный баннер'!$O:$O, 'Генеральный баннер'!$B:$B=$A593,'Генеральный баннер'!$C:$C=$B593,'Генеральный баннер'!$I:$I=$C593)), 0) "),0.0)</f>
        <v>0</v>
      </c>
      <c r="Q593" s="91">
        <f>IFERROR(__xludf.DUMMYFUNCTION("IFERROR(sum(filter('Генеральный баннер'!$Q:$Q, 'Генеральный баннер'!$B:$B=$A593,'Генеральный баннер'!$C:$C=$B593,'Генеральный баннер'!$I:$I=$C593)), 0) "),0.0)</f>
        <v>0</v>
      </c>
      <c r="R593" s="91">
        <f>IFERROR(__xludf.DUMMYFUNCTION("IFERROR(AVERAGE(filter('Генеральный баннер'!$AA:$AA, 'Генеральный баннер'!$B:$B=$A593,'Генеральный баннер'!$C:$C=$B593,'Генеральный баннер'!$I:$I=$C593)), 0) "),0.0)</f>
        <v>0</v>
      </c>
      <c r="S593" s="91">
        <f>IFERROR(__xludf.DUMMYFUNCTION("IFERROR(SUM(filter('Генеральный баннер'!$AH:$AH, 'Генеральный баннер'!$B:$B=$A593,'Генеральный баннер'!$C:$C=$B593,'Генеральный баннер'!$I:$I=$C593)), 0) "),0.0)</f>
        <v>0</v>
      </c>
      <c r="T593" s="91" t="str">
        <f>IFERROR(__xludf.DUMMYFUNCTION("IFERROR(REGEXREPLACE(unique(filter('Генеральный баннер'!$A:$A, 'Генеральный баннер'!$B:$B=$A593,'Генеральный баннер'!$C:$C=$B593,'Генеральный баннер'!$I:$I=$C593)), ""\d+"", """"),"""")"),"")</f>
        <v/>
      </c>
      <c r="U593" s="91" t="str">
        <f>IFERROR(__xludf.DUMMYFUNCTION("IFERROR(unique(filter('Генеральный баннер'!$F:$F, 'Генеральный баннер'!$B:$B=$A593,'Генеральный баннер'!$C:$C=$B593,'Генеральный баннер'!$I:$I=$C593)),"""")"),"")</f>
        <v/>
      </c>
      <c r="V593" s="92" t="str">
        <f t="shared" si="3"/>
        <v/>
      </c>
      <c r="W593" s="93">
        <f>IFERROR(__xludf.DUMMYFUNCTION("IFERROR(SWITCH(lower(join("" "",U593:V593)),""а миллионник"", 62.5,""б миллионник"", 75,""а мск"", 50, ""б мск"", 62.5, ""a остальное"", 70, ""б остальное"", 80)/100,0)"),0.0)</f>
        <v>0</v>
      </c>
      <c r="X593" s="91">
        <f t="shared" si="4"/>
        <v>0</v>
      </c>
    </row>
    <row r="594">
      <c r="A594" s="12"/>
      <c r="B594" s="12"/>
      <c r="C594" s="12"/>
      <c r="D594" s="91">
        <f>IFERROR(__xludf.DUMMYFUNCTION("IFERROR(sum(filter('Основной эфир'!$AA:$AA, 'Основной эфир'!$B:$B=$A594,'Основной эфир'!$C:$C=$B594,'Основной эфир'!$I:$I=$C594)), 0) "),0.0)</f>
        <v>0</v>
      </c>
      <c r="E594" s="91">
        <f>IFERROR(__xludf.DUMMYFUNCTION("IFERROR(sum(filter('Основной эфир'!$AC:$AC, 'Основной эфир'!$B:$B=$A594,'Основной эфир'!$C:$C=$B594,'Основной эфир'!$I:$I=$C594)), 0) "),0.0)</f>
        <v>0</v>
      </c>
      <c r="F594" s="91">
        <f>IFERROR(__xludf.DUMMYFUNCTION("IFERROR(sum(filter('Основной эфир'!$O:$O, 'Основной эфир'!$B:$B=$A594,'Основной эфир'!$C:$C=$B594,'Основной эфир'!$I:$I=$C594)), 0) "),0.0)</f>
        <v>0</v>
      </c>
      <c r="G594" s="91">
        <f>IFERROR(__xludf.DUMMYFUNCTION("IFERROR(sum(filter('Основной эфир'!$Q:$Q, 'Основной эфир'!$B:$B=$A594,'Основной эфир'!$C:$C=$B594,'Основной эфир'!$I:$I=$C594)), 0) "),0.0)</f>
        <v>0</v>
      </c>
      <c r="H594" s="91">
        <f>IFERROR(__xludf.DUMMYFUNCTION("IFERROR(AVERAGE(filter('Основной эфир'!$Y:$Y, 'Основной эфир'!$B:$B=$A594,'Основной эфир'!$C:$C=$B594,'Основной эфир'!$I:$I=$C594)), 0) "),0.0)</f>
        <v>0</v>
      </c>
      <c r="I594" s="91">
        <f>IFERROR(__xludf.DUMMYFUNCTION("IFERROR(AVERAGE(filter('Основной эфир'!$AE:$AE, 'Основной эфир'!$B:$B=$A594,'Основной эфир'!$C:$C=$B594,'Основной эфир'!$I:$I=$C594)), 0) "),0.0)</f>
        <v>0</v>
      </c>
      <c r="J594" s="91">
        <f>IFERROR(__xludf.DUMMYFUNCTION("IFERROR(SUM(filter('Основной эфир'!$AL:$AL, 'Основной эфир'!$B:$B=$A594,'Основной эфир'!$C:$C=$B594,'Основной эфир'!$I:$I=$C594)), 0) "),0.0)</f>
        <v>0</v>
      </c>
      <c r="K594" s="91" t="str">
        <f>IFERROR(__xludf.DUMMYFUNCTION("IFERROR(REGEXREPLACE(unique(filter('Основной эфир'!$A:$A, 'Основной эфир'!$B:$B=$A594,'Основной эфир'!$C:$C=$B594,'Основной эфир'!$I:$I=$C594)), ""\d+"", """"),"""")"),"")</f>
        <v/>
      </c>
      <c r="L594" s="91" t="str">
        <f>IFERROR(__xludf.DUMMYFUNCTION("IFERROR(unique(filter('Основной эфир'!$F:$F, 'Основной эфир'!$B:$B=$A594,'Основной эфир'!$C:$C=$B594,'Основной эфир'!$I:$I=$C594)),"""")"),"")</f>
        <v/>
      </c>
      <c r="M594" s="92" t="str">
        <f t="shared" si="1"/>
        <v/>
      </c>
      <c r="N594" s="93">
        <f>IFERROR(__xludf.DUMMYFUNCTION("IFERROR(SWITCH(lower(join("" "",L594:M594)),""а миллионник"", 62.5,""б миллионник"", 75,""а мск"", 50, ""б мск"", 62.5, ""a остальное"", 70, ""б остальное"", 80)/100,0)"),0.0)</f>
        <v>0</v>
      </c>
      <c r="O594" s="91">
        <f t="shared" si="2"/>
        <v>0</v>
      </c>
      <c r="P594" s="91">
        <f>IFERROR(__xludf.DUMMYFUNCTION("IFERROR(sum(filter('Генеральный баннер'!$O:$O, 'Генеральный баннер'!$B:$B=$A594,'Генеральный баннер'!$C:$C=$B594,'Генеральный баннер'!$I:$I=$C594)), 0) "),0.0)</f>
        <v>0</v>
      </c>
      <c r="Q594" s="91">
        <f>IFERROR(__xludf.DUMMYFUNCTION("IFERROR(sum(filter('Генеральный баннер'!$Q:$Q, 'Генеральный баннер'!$B:$B=$A594,'Генеральный баннер'!$C:$C=$B594,'Генеральный баннер'!$I:$I=$C594)), 0) "),0.0)</f>
        <v>0</v>
      </c>
      <c r="R594" s="91">
        <f>IFERROR(__xludf.DUMMYFUNCTION("IFERROR(AVERAGE(filter('Генеральный баннер'!$AA:$AA, 'Генеральный баннер'!$B:$B=$A594,'Генеральный баннер'!$C:$C=$B594,'Генеральный баннер'!$I:$I=$C594)), 0) "),0.0)</f>
        <v>0</v>
      </c>
      <c r="S594" s="91">
        <f>IFERROR(__xludf.DUMMYFUNCTION("IFERROR(SUM(filter('Генеральный баннер'!$AH:$AH, 'Генеральный баннер'!$B:$B=$A594,'Генеральный баннер'!$C:$C=$B594,'Генеральный баннер'!$I:$I=$C594)), 0) "),0.0)</f>
        <v>0</v>
      </c>
      <c r="T594" s="91" t="str">
        <f>IFERROR(__xludf.DUMMYFUNCTION("IFERROR(REGEXREPLACE(unique(filter('Генеральный баннер'!$A:$A, 'Генеральный баннер'!$B:$B=$A594,'Генеральный баннер'!$C:$C=$B594,'Генеральный баннер'!$I:$I=$C594)), ""\d+"", """"),"""")"),"")</f>
        <v/>
      </c>
      <c r="U594" s="91" t="str">
        <f>IFERROR(__xludf.DUMMYFUNCTION("IFERROR(unique(filter('Генеральный баннер'!$F:$F, 'Генеральный баннер'!$B:$B=$A594,'Генеральный баннер'!$C:$C=$B594,'Генеральный баннер'!$I:$I=$C594)),"""")"),"")</f>
        <v/>
      </c>
      <c r="V594" s="92" t="str">
        <f t="shared" si="3"/>
        <v/>
      </c>
      <c r="W594" s="93">
        <f>IFERROR(__xludf.DUMMYFUNCTION("IFERROR(SWITCH(lower(join("" "",U594:V594)),""а миллионник"", 62.5,""б миллионник"", 75,""а мск"", 50, ""б мск"", 62.5, ""a остальное"", 70, ""б остальное"", 80)/100,0)"),0.0)</f>
        <v>0</v>
      </c>
      <c r="X594" s="91">
        <f t="shared" si="4"/>
        <v>0</v>
      </c>
    </row>
    <row r="595">
      <c r="A595" s="12"/>
      <c r="B595" s="12"/>
      <c r="C595" s="12"/>
      <c r="D595" s="91">
        <f>IFERROR(__xludf.DUMMYFUNCTION("IFERROR(sum(filter('Основной эфир'!$AA:$AA, 'Основной эфир'!$B:$B=$A595,'Основной эфир'!$C:$C=$B595,'Основной эфир'!$I:$I=$C595)), 0) "),0.0)</f>
        <v>0</v>
      </c>
      <c r="E595" s="91">
        <f>IFERROR(__xludf.DUMMYFUNCTION("IFERROR(sum(filter('Основной эфир'!$AC:$AC, 'Основной эфир'!$B:$B=$A595,'Основной эфир'!$C:$C=$B595,'Основной эфир'!$I:$I=$C595)), 0) "),0.0)</f>
        <v>0</v>
      </c>
      <c r="F595" s="91">
        <f>IFERROR(__xludf.DUMMYFUNCTION("IFERROR(sum(filter('Основной эфир'!$O:$O, 'Основной эфир'!$B:$B=$A595,'Основной эфир'!$C:$C=$B595,'Основной эфир'!$I:$I=$C595)), 0) "),0.0)</f>
        <v>0</v>
      </c>
      <c r="G595" s="91">
        <f>IFERROR(__xludf.DUMMYFUNCTION("IFERROR(sum(filter('Основной эфир'!$Q:$Q, 'Основной эфир'!$B:$B=$A595,'Основной эфир'!$C:$C=$B595,'Основной эфир'!$I:$I=$C595)), 0) "),0.0)</f>
        <v>0</v>
      </c>
      <c r="H595" s="91">
        <f>IFERROR(__xludf.DUMMYFUNCTION("IFERROR(AVERAGE(filter('Основной эфир'!$Y:$Y, 'Основной эфир'!$B:$B=$A595,'Основной эфир'!$C:$C=$B595,'Основной эфир'!$I:$I=$C595)), 0) "),0.0)</f>
        <v>0</v>
      </c>
      <c r="I595" s="91">
        <f>IFERROR(__xludf.DUMMYFUNCTION("IFERROR(AVERAGE(filter('Основной эфир'!$AE:$AE, 'Основной эфир'!$B:$B=$A595,'Основной эфир'!$C:$C=$B595,'Основной эфир'!$I:$I=$C595)), 0) "),0.0)</f>
        <v>0</v>
      </c>
      <c r="J595" s="91">
        <f>IFERROR(__xludf.DUMMYFUNCTION("IFERROR(SUM(filter('Основной эфир'!$AL:$AL, 'Основной эфир'!$B:$B=$A595,'Основной эфир'!$C:$C=$B595,'Основной эфир'!$I:$I=$C595)), 0) "),0.0)</f>
        <v>0</v>
      </c>
      <c r="K595" s="91" t="str">
        <f>IFERROR(__xludf.DUMMYFUNCTION("IFERROR(REGEXREPLACE(unique(filter('Основной эфир'!$A:$A, 'Основной эфир'!$B:$B=$A595,'Основной эфир'!$C:$C=$B595,'Основной эфир'!$I:$I=$C595)), ""\d+"", """"),"""")"),"")</f>
        <v/>
      </c>
      <c r="L595" s="91" t="str">
        <f>IFERROR(__xludf.DUMMYFUNCTION("IFERROR(unique(filter('Основной эфир'!$F:$F, 'Основной эфир'!$B:$B=$A595,'Основной эфир'!$C:$C=$B595,'Основной эфир'!$I:$I=$C595)),"""")"),"")</f>
        <v/>
      </c>
      <c r="M595" s="92" t="str">
        <f t="shared" si="1"/>
        <v/>
      </c>
      <c r="N595" s="93">
        <f>IFERROR(__xludf.DUMMYFUNCTION("IFERROR(SWITCH(lower(join("" "",L595:M595)),""а миллионник"", 62.5,""б миллионник"", 75,""а мск"", 50, ""б мск"", 62.5, ""a остальное"", 70, ""б остальное"", 80)/100,0)"),0.0)</f>
        <v>0</v>
      </c>
      <c r="O595" s="91">
        <f t="shared" si="2"/>
        <v>0</v>
      </c>
      <c r="P595" s="91">
        <f>IFERROR(__xludf.DUMMYFUNCTION("IFERROR(sum(filter('Генеральный баннер'!$O:$O, 'Генеральный баннер'!$B:$B=$A595,'Генеральный баннер'!$C:$C=$B595,'Генеральный баннер'!$I:$I=$C595)), 0) "),0.0)</f>
        <v>0</v>
      </c>
      <c r="Q595" s="91">
        <f>IFERROR(__xludf.DUMMYFUNCTION("IFERROR(sum(filter('Генеральный баннер'!$Q:$Q, 'Генеральный баннер'!$B:$B=$A595,'Генеральный баннер'!$C:$C=$B595,'Генеральный баннер'!$I:$I=$C595)), 0) "),0.0)</f>
        <v>0</v>
      </c>
      <c r="R595" s="91">
        <f>IFERROR(__xludf.DUMMYFUNCTION("IFERROR(AVERAGE(filter('Генеральный баннер'!$AA:$AA, 'Генеральный баннер'!$B:$B=$A595,'Генеральный баннер'!$C:$C=$B595,'Генеральный баннер'!$I:$I=$C595)), 0) "),0.0)</f>
        <v>0</v>
      </c>
      <c r="S595" s="91">
        <f>IFERROR(__xludf.DUMMYFUNCTION("IFERROR(SUM(filter('Генеральный баннер'!$AH:$AH, 'Генеральный баннер'!$B:$B=$A595,'Генеральный баннер'!$C:$C=$B595,'Генеральный баннер'!$I:$I=$C595)), 0) "),0.0)</f>
        <v>0</v>
      </c>
      <c r="T595" s="91" t="str">
        <f>IFERROR(__xludf.DUMMYFUNCTION("IFERROR(REGEXREPLACE(unique(filter('Генеральный баннер'!$A:$A, 'Генеральный баннер'!$B:$B=$A595,'Генеральный баннер'!$C:$C=$B595,'Генеральный баннер'!$I:$I=$C595)), ""\d+"", """"),"""")"),"")</f>
        <v/>
      </c>
      <c r="U595" s="91" t="str">
        <f>IFERROR(__xludf.DUMMYFUNCTION("IFERROR(unique(filter('Генеральный баннер'!$F:$F, 'Генеральный баннер'!$B:$B=$A595,'Генеральный баннер'!$C:$C=$B595,'Генеральный баннер'!$I:$I=$C595)),"""")"),"")</f>
        <v/>
      </c>
      <c r="V595" s="92" t="str">
        <f t="shared" si="3"/>
        <v/>
      </c>
      <c r="W595" s="93">
        <f>IFERROR(__xludf.DUMMYFUNCTION("IFERROR(SWITCH(lower(join("" "",U595:V595)),""а миллионник"", 62.5,""б миллионник"", 75,""а мск"", 50, ""б мск"", 62.5, ""a остальное"", 70, ""б остальное"", 80)/100,0)"),0.0)</f>
        <v>0</v>
      </c>
      <c r="X595" s="91">
        <f t="shared" si="4"/>
        <v>0</v>
      </c>
    </row>
    <row r="596">
      <c r="A596" s="12"/>
      <c r="B596" s="12"/>
      <c r="C596" s="12"/>
      <c r="D596" s="91">
        <f>IFERROR(__xludf.DUMMYFUNCTION("IFERROR(sum(filter('Основной эфир'!$AA:$AA, 'Основной эфир'!$B:$B=$A596,'Основной эфир'!$C:$C=$B596,'Основной эфир'!$I:$I=$C596)), 0) "),0.0)</f>
        <v>0</v>
      </c>
      <c r="E596" s="91">
        <f>IFERROR(__xludf.DUMMYFUNCTION("IFERROR(sum(filter('Основной эфир'!$AC:$AC, 'Основной эфир'!$B:$B=$A596,'Основной эфир'!$C:$C=$B596,'Основной эфир'!$I:$I=$C596)), 0) "),0.0)</f>
        <v>0</v>
      </c>
      <c r="F596" s="91">
        <f>IFERROR(__xludf.DUMMYFUNCTION("IFERROR(sum(filter('Основной эфир'!$O:$O, 'Основной эфир'!$B:$B=$A596,'Основной эфир'!$C:$C=$B596,'Основной эфир'!$I:$I=$C596)), 0) "),0.0)</f>
        <v>0</v>
      </c>
      <c r="G596" s="91">
        <f>IFERROR(__xludf.DUMMYFUNCTION("IFERROR(sum(filter('Основной эфир'!$Q:$Q, 'Основной эфир'!$B:$B=$A596,'Основной эфир'!$C:$C=$B596,'Основной эфир'!$I:$I=$C596)), 0) "),0.0)</f>
        <v>0</v>
      </c>
      <c r="H596" s="91">
        <f>IFERROR(__xludf.DUMMYFUNCTION("IFERROR(AVERAGE(filter('Основной эфир'!$Y:$Y, 'Основной эфир'!$B:$B=$A596,'Основной эфир'!$C:$C=$B596,'Основной эфир'!$I:$I=$C596)), 0) "),0.0)</f>
        <v>0</v>
      </c>
      <c r="I596" s="91">
        <f>IFERROR(__xludf.DUMMYFUNCTION("IFERROR(AVERAGE(filter('Основной эфир'!$AE:$AE, 'Основной эфир'!$B:$B=$A596,'Основной эфир'!$C:$C=$B596,'Основной эфир'!$I:$I=$C596)), 0) "),0.0)</f>
        <v>0</v>
      </c>
      <c r="J596" s="91">
        <f>IFERROR(__xludf.DUMMYFUNCTION("IFERROR(SUM(filter('Основной эфир'!$AL:$AL, 'Основной эфир'!$B:$B=$A596,'Основной эфир'!$C:$C=$B596,'Основной эфир'!$I:$I=$C596)), 0) "),0.0)</f>
        <v>0</v>
      </c>
      <c r="K596" s="91" t="str">
        <f>IFERROR(__xludf.DUMMYFUNCTION("IFERROR(REGEXREPLACE(unique(filter('Основной эфир'!$A:$A, 'Основной эфир'!$B:$B=$A596,'Основной эфир'!$C:$C=$B596,'Основной эфир'!$I:$I=$C596)), ""\d+"", """"),"""")"),"")</f>
        <v/>
      </c>
      <c r="L596" s="91" t="str">
        <f>IFERROR(__xludf.DUMMYFUNCTION("IFERROR(unique(filter('Основной эфир'!$F:$F, 'Основной эфир'!$B:$B=$A596,'Основной эфир'!$C:$C=$B596,'Основной эфир'!$I:$I=$C596)),"""")"),"")</f>
        <v/>
      </c>
      <c r="M596" s="92" t="str">
        <f t="shared" si="1"/>
        <v/>
      </c>
      <c r="N596" s="93">
        <f>IFERROR(__xludf.DUMMYFUNCTION("IFERROR(SWITCH(lower(join("" "",L596:M596)),""а миллионник"", 62.5,""б миллионник"", 75,""а мск"", 50, ""б мск"", 62.5, ""a остальное"", 70, ""б остальное"", 80)/100,0)"),0.0)</f>
        <v>0</v>
      </c>
      <c r="O596" s="91">
        <f t="shared" si="2"/>
        <v>0</v>
      </c>
      <c r="P596" s="91">
        <f>IFERROR(__xludf.DUMMYFUNCTION("IFERROR(sum(filter('Генеральный баннер'!$O:$O, 'Генеральный баннер'!$B:$B=$A596,'Генеральный баннер'!$C:$C=$B596,'Генеральный баннер'!$I:$I=$C596)), 0) "),0.0)</f>
        <v>0</v>
      </c>
      <c r="Q596" s="91">
        <f>IFERROR(__xludf.DUMMYFUNCTION("IFERROR(sum(filter('Генеральный баннер'!$Q:$Q, 'Генеральный баннер'!$B:$B=$A596,'Генеральный баннер'!$C:$C=$B596,'Генеральный баннер'!$I:$I=$C596)), 0) "),0.0)</f>
        <v>0</v>
      </c>
      <c r="R596" s="91">
        <f>IFERROR(__xludf.DUMMYFUNCTION("IFERROR(AVERAGE(filter('Генеральный баннер'!$AA:$AA, 'Генеральный баннер'!$B:$B=$A596,'Генеральный баннер'!$C:$C=$B596,'Генеральный баннер'!$I:$I=$C596)), 0) "),0.0)</f>
        <v>0</v>
      </c>
      <c r="S596" s="91">
        <f>IFERROR(__xludf.DUMMYFUNCTION("IFERROR(SUM(filter('Генеральный баннер'!$AH:$AH, 'Генеральный баннер'!$B:$B=$A596,'Генеральный баннер'!$C:$C=$B596,'Генеральный баннер'!$I:$I=$C596)), 0) "),0.0)</f>
        <v>0</v>
      </c>
      <c r="T596" s="91" t="str">
        <f>IFERROR(__xludf.DUMMYFUNCTION("IFERROR(REGEXREPLACE(unique(filter('Генеральный баннер'!$A:$A, 'Генеральный баннер'!$B:$B=$A596,'Генеральный баннер'!$C:$C=$B596,'Генеральный баннер'!$I:$I=$C596)), ""\d+"", """"),"""")"),"")</f>
        <v/>
      </c>
      <c r="U596" s="91" t="str">
        <f>IFERROR(__xludf.DUMMYFUNCTION("IFERROR(unique(filter('Генеральный баннер'!$F:$F, 'Генеральный баннер'!$B:$B=$A596,'Генеральный баннер'!$C:$C=$B596,'Генеральный баннер'!$I:$I=$C596)),"""")"),"")</f>
        <v/>
      </c>
      <c r="V596" s="92" t="str">
        <f t="shared" si="3"/>
        <v/>
      </c>
      <c r="W596" s="93">
        <f>IFERROR(__xludf.DUMMYFUNCTION("IFERROR(SWITCH(lower(join("" "",U596:V596)),""а миллионник"", 62.5,""б миллионник"", 75,""а мск"", 50, ""б мск"", 62.5, ""a остальное"", 70, ""б остальное"", 80)/100,0)"),0.0)</f>
        <v>0</v>
      </c>
      <c r="X596" s="91">
        <f t="shared" si="4"/>
        <v>0</v>
      </c>
    </row>
    <row r="597">
      <c r="A597" s="12"/>
      <c r="B597" s="12"/>
      <c r="C597" s="12"/>
      <c r="D597" s="91">
        <f>IFERROR(__xludf.DUMMYFUNCTION("IFERROR(sum(filter('Основной эфир'!$AA:$AA, 'Основной эфир'!$B:$B=$A597,'Основной эфир'!$C:$C=$B597,'Основной эфир'!$I:$I=$C597)), 0) "),0.0)</f>
        <v>0</v>
      </c>
      <c r="E597" s="91">
        <f>IFERROR(__xludf.DUMMYFUNCTION("IFERROR(sum(filter('Основной эфир'!$AC:$AC, 'Основной эфир'!$B:$B=$A597,'Основной эфир'!$C:$C=$B597,'Основной эфир'!$I:$I=$C597)), 0) "),0.0)</f>
        <v>0</v>
      </c>
      <c r="F597" s="91">
        <f>IFERROR(__xludf.DUMMYFUNCTION("IFERROR(sum(filter('Основной эфир'!$O:$O, 'Основной эфир'!$B:$B=$A597,'Основной эфир'!$C:$C=$B597,'Основной эфир'!$I:$I=$C597)), 0) "),0.0)</f>
        <v>0</v>
      </c>
      <c r="G597" s="91">
        <f>IFERROR(__xludf.DUMMYFUNCTION("IFERROR(sum(filter('Основной эфир'!$Q:$Q, 'Основной эфир'!$B:$B=$A597,'Основной эфир'!$C:$C=$B597,'Основной эфир'!$I:$I=$C597)), 0) "),0.0)</f>
        <v>0</v>
      </c>
      <c r="H597" s="91">
        <f>IFERROR(__xludf.DUMMYFUNCTION("IFERROR(AVERAGE(filter('Основной эфир'!$Y:$Y, 'Основной эфир'!$B:$B=$A597,'Основной эфир'!$C:$C=$B597,'Основной эфир'!$I:$I=$C597)), 0) "),0.0)</f>
        <v>0</v>
      </c>
      <c r="I597" s="91">
        <f>IFERROR(__xludf.DUMMYFUNCTION("IFERROR(AVERAGE(filter('Основной эфир'!$AE:$AE, 'Основной эфир'!$B:$B=$A597,'Основной эфир'!$C:$C=$B597,'Основной эфир'!$I:$I=$C597)), 0) "),0.0)</f>
        <v>0</v>
      </c>
      <c r="J597" s="91">
        <f>IFERROR(__xludf.DUMMYFUNCTION("IFERROR(SUM(filter('Основной эфир'!$AL:$AL, 'Основной эфир'!$B:$B=$A597,'Основной эфир'!$C:$C=$B597,'Основной эфир'!$I:$I=$C597)), 0) "),0.0)</f>
        <v>0</v>
      </c>
      <c r="K597" s="91" t="str">
        <f>IFERROR(__xludf.DUMMYFUNCTION("IFERROR(REGEXREPLACE(unique(filter('Основной эфир'!$A:$A, 'Основной эфир'!$B:$B=$A597,'Основной эфир'!$C:$C=$B597,'Основной эфир'!$I:$I=$C597)), ""\d+"", """"),"""")"),"")</f>
        <v/>
      </c>
      <c r="L597" s="91" t="str">
        <f>IFERROR(__xludf.DUMMYFUNCTION("IFERROR(unique(filter('Основной эфир'!$F:$F, 'Основной эфир'!$B:$B=$A597,'Основной эфир'!$C:$C=$B597,'Основной эфир'!$I:$I=$C597)),"""")"),"")</f>
        <v/>
      </c>
      <c r="M597" s="92" t="str">
        <f t="shared" si="1"/>
        <v/>
      </c>
      <c r="N597" s="93">
        <f>IFERROR(__xludf.DUMMYFUNCTION("IFERROR(SWITCH(lower(join("" "",L597:M597)),""а миллионник"", 62.5,""б миллионник"", 75,""а мск"", 50, ""б мск"", 62.5, ""a остальное"", 70, ""б остальное"", 80)/100,0)"),0.0)</f>
        <v>0</v>
      </c>
      <c r="O597" s="91">
        <f t="shared" si="2"/>
        <v>0</v>
      </c>
      <c r="P597" s="91">
        <f>IFERROR(__xludf.DUMMYFUNCTION("IFERROR(sum(filter('Генеральный баннер'!$O:$O, 'Генеральный баннер'!$B:$B=$A597,'Генеральный баннер'!$C:$C=$B597,'Генеральный баннер'!$I:$I=$C597)), 0) "),0.0)</f>
        <v>0</v>
      </c>
      <c r="Q597" s="91">
        <f>IFERROR(__xludf.DUMMYFUNCTION("IFERROR(sum(filter('Генеральный баннер'!$Q:$Q, 'Генеральный баннер'!$B:$B=$A597,'Генеральный баннер'!$C:$C=$B597,'Генеральный баннер'!$I:$I=$C597)), 0) "),0.0)</f>
        <v>0</v>
      </c>
      <c r="R597" s="91">
        <f>IFERROR(__xludf.DUMMYFUNCTION("IFERROR(AVERAGE(filter('Генеральный баннер'!$AA:$AA, 'Генеральный баннер'!$B:$B=$A597,'Генеральный баннер'!$C:$C=$B597,'Генеральный баннер'!$I:$I=$C597)), 0) "),0.0)</f>
        <v>0</v>
      </c>
      <c r="S597" s="91">
        <f>IFERROR(__xludf.DUMMYFUNCTION("IFERROR(SUM(filter('Генеральный баннер'!$AH:$AH, 'Генеральный баннер'!$B:$B=$A597,'Генеральный баннер'!$C:$C=$B597,'Генеральный баннер'!$I:$I=$C597)), 0) "),0.0)</f>
        <v>0</v>
      </c>
      <c r="T597" s="91" t="str">
        <f>IFERROR(__xludf.DUMMYFUNCTION("IFERROR(REGEXREPLACE(unique(filter('Генеральный баннер'!$A:$A, 'Генеральный баннер'!$B:$B=$A597,'Генеральный баннер'!$C:$C=$B597,'Генеральный баннер'!$I:$I=$C597)), ""\d+"", """"),"""")"),"")</f>
        <v/>
      </c>
      <c r="U597" s="91" t="str">
        <f>IFERROR(__xludf.DUMMYFUNCTION("IFERROR(unique(filter('Генеральный баннер'!$F:$F, 'Генеральный баннер'!$B:$B=$A597,'Генеральный баннер'!$C:$C=$B597,'Генеральный баннер'!$I:$I=$C597)),"""")"),"")</f>
        <v/>
      </c>
      <c r="V597" s="92" t="str">
        <f t="shared" si="3"/>
        <v/>
      </c>
      <c r="W597" s="93">
        <f>IFERROR(__xludf.DUMMYFUNCTION("IFERROR(SWITCH(lower(join("" "",U597:V597)),""а миллионник"", 62.5,""б миллионник"", 75,""а мск"", 50, ""б мск"", 62.5, ""a остальное"", 70, ""б остальное"", 80)/100,0)"),0.0)</f>
        <v>0</v>
      </c>
      <c r="X597" s="91">
        <f t="shared" si="4"/>
        <v>0</v>
      </c>
    </row>
    <row r="598">
      <c r="A598" s="12"/>
      <c r="B598" s="12"/>
      <c r="C598" s="12"/>
      <c r="D598" s="91">
        <f>IFERROR(__xludf.DUMMYFUNCTION("IFERROR(sum(filter('Основной эфир'!$AA:$AA, 'Основной эфир'!$B:$B=$A598,'Основной эфир'!$C:$C=$B598,'Основной эфир'!$I:$I=$C598)), 0) "),0.0)</f>
        <v>0</v>
      </c>
      <c r="E598" s="91">
        <f>IFERROR(__xludf.DUMMYFUNCTION("IFERROR(sum(filter('Основной эфир'!$AC:$AC, 'Основной эфир'!$B:$B=$A598,'Основной эфир'!$C:$C=$B598,'Основной эфир'!$I:$I=$C598)), 0) "),0.0)</f>
        <v>0</v>
      </c>
      <c r="F598" s="91">
        <f>IFERROR(__xludf.DUMMYFUNCTION("IFERROR(sum(filter('Основной эфир'!$O:$O, 'Основной эфир'!$B:$B=$A598,'Основной эфир'!$C:$C=$B598,'Основной эфир'!$I:$I=$C598)), 0) "),0.0)</f>
        <v>0</v>
      </c>
      <c r="G598" s="91">
        <f>IFERROR(__xludf.DUMMYFUNCTION("IFERROR(sum(filter('Основной эфир'!$Q:$Q, 'Основной эфир'!$B:$B=$A598,'Основной эфир'!$C:$C=$B598,'Основной эфир'!$I:$I=$C598)), 0) "),0.0)</f>
        <v>0</v>
      </c>
      <c r="H598" s="91">
        <f>IFERROR(__xludf.DUMMYFUNCTION("IFERROR(AVERAGE(filter('Основной эфир'!$Y:$Y, 'Основной эфир'!$B:$B=$A598,'Основной эфир'!$C:$C=$B598,'Основной эфир'!$I:$I=$C598)), 0) "),0.0)</f>
        <v>0</v>
      </c>
      <c r="I598" s="91">
        <f>IFERROR(__xludf.DUMMYFUNCTION("IFERROR(AVERAGE(filter('Основной эфир'!$AE:$AE, 'Основной эфир'!$B:$B=$A598,'Основной эфир'!$C:$C=$B598,'Основной эфир'!$I:$I=$C598)), 0) "),0.0)</f>
        <v>0</v>
      </c>
      <c r="J598" s="91">
        <f>IFERROR(__xludf.DUMMYFUNCTION("IFERROR(SUM(filter('Основной эфир'!$AL:$AL, 'Основной эфир'!$B:$B=$A598,'Основной эфир'!$C:$C=$B598,'Основной эфир'!$I:$I=$C598)), 0) "),0.0)</f>
        <v>0</v>
      </c>
      <c r="K598" s="91" t="str">
        <f>IFERROR(__xludf.DUMMYFUNCTION("IFERROR(REGEXREPLACE(unique(filter('Основной эфир'!$A:$A, 'Основной эфир'!$B:$B=$A598,'Основной эфир'!$C:$C=$B598,'Основной эфир'!$I:$I=$C598)), ""\d+"", """"),"""")"),"")</f>
        <v/>
      </c>
      <c r="L598" s="91" t="str">
        <f>IFERROR(__xludf.DUMMYFUNCTION("IFERROR(unique(filter('Основной эфир'!$F:$F, 'Основной эфир'!$B:$B=$A598,'Основной эфир'!$C:$C=$B598,'Основной эфир'!$I:$I=$C598)),"""")"),"")</f>
        <v/>
      </c>
      <c r="M598" s="92" t="str">
        <f t="shared" si="1"/>
        <v/>
      </c>
      <c r="N598" s="93">
        <f>IFERROR(__xludf.DUMMYFUNCTION("IFERROR(SWITCH(lower(join("" "",L598:M598)),""а миллионник"", 62.5,""б миллионник"", 75,""а мск"", 50, ""б мск"", 62.5, ""a остальное"", 70, ""б остальное"", 80)/100,0)"),0.0)</f>
        <v>0</v>
      </c>
      <c r="O598" s="91">
        <f t="shared" si="2"/>
        <v>0</v>
      </c>
      <c r="P598" s="91">
        <f>IFERROR(__xludf.DUMMYFUNCTION("IFERROR(sum(filter('Генеральный баннер'!$O:$O, 'Генеральный баннер'!$B:$B=$A598,'Генеральный баннер'!$C:$C=$B598,'Генеральный баннер'!$I:$I=$C598)), 0) "),0.0)</f>
        <v>0</v>
      </c>
      <c r="Q598" s="91">
        <f>IFERROR(__xludf.DUMMYFUNCTION("IFERROR(sum(filter('Генеральный баннер'!$Q:$Q, 'Генеральный баннер'!$B:$B=$A598,'Генеральный баннер'!$C:$C=$B598,'Генеральный баннер'!$I:$I=$C598)), 0) "),0.0)</f>
        <v>0</v>
      </c>
      <c r="R598" s="91">
        <f>IFERROR(__xludf.DUMMYFUNCTION("IFERROR(AVERAGE(filter('Генеральный баннер'!$AA:$AA, 'Генеральный баннер'!$B:$B=$A598,'Генеральный баннер'!$C:$C=$B598,'Генеральный баннер'!$I:$I=$C598)), 0) "),0.0)</f>
        <v>0</v>
      </c>
      <c r="S598" s="91">
        <f>IFERROR(__xludf.DUMMYFUNCTION("IFERROR(SUM(filter('Генеральный баннер'!$AH:$AH, 'Генеральный баннер'!$B:$B=$A598,'Генеральный баннер'!$C:$C=$B598,'Генеральный баннер'!$I:$I=$C598)), 0) "),0.0)</f>
        <v>0</v>
      </c>
      <c r="T598" s="91" t="str">
        <f>IFERROR(__xludf.DUMMYFUNCTION("IFERROR(REGEXREPLACE(unique(filter('Генеральный баннер'!$A:$A, 'Генеральный баннер'!$B:$B=$A598,'Генеральный баннер'!$C:$C=$B598,'Генеральный баннер'!$I:$I=$C598)), ""\d+"", """"),"""")"),"")</f>
        <v/>
      </c>
      <c r="U598" s="91" t="str">
        <f>IFERROR(__xludf.DUMMYFUNCTION("IFERROR(unique(filter('Генеральный баннер'!$F:$F, 'Генеральный баннер'!$B:$B=$A598,'Генеральный баннер'!$C:$C=$B598,'Генеральный баннер'!$I:$I=$C598)),"""")"),"")</f>
        <v/>
      </c>
      <c r="V598" s="92" t="str">
        <f t="shared" si="3"/>
        <v/>
      </c>
      <c r="W598" s="93">
        <f>IFERROR(__xludf.DUMMYFUNCTION("IFERROR(SWITCH(lower(join("" "",U598:V598)),""а миллионник"", 62.5,""б миллионник"", 75,""а мск"", 50, ""б мск"", 62.5, ""a остальное"", 70, ""б остальное"", 80)/100,0)"),0.0)</f>
        <v>0</v>
      </c>
      <c r="X598" s="91">
        <f t="shared" si="4"/>
        <v>0</v>
      </c>
    </row>
    <row r="599">
      <c r="A599" s="12"/>
      <c r="B599" s="12"/>
      <c r="C599" s="12"/>
      <c r="D599" s="91">
        <f>IFERROR(__xludf.DUMMYFUNCTION("IFERROR(sum(filter('Основной эфир'!$AA:$AA, 'Основной эфир'!$B:$B=$A599,'Основной эфир'!$C:$C=$B599,'Основной эфир'!$I:$I=$C599)), 0) "),0.0)</f>
        <v>0</v>
      </c>
      <c r="E599" s="91">
        <f>IFERROR(__xludf.DUMMYFUNCTION("IFERROR(sum(filter('Основной эфир'!$AC:$AC, 'Основной эфир'!$B:$B=$A599,'Основной эфир'!$C:$C=$B599,'Основной эфир'!$I:$I=$C599)), 0) "),0.0)</f>
        <v>0</v>
      </c>
      <c r="F599" s="91">
        <f>IFERROR(__xludf.DUMMYFUNCTION("IFERROR(sum(filter('Основной эфир'!$O:$O, 'Основной эфир'!$B:$B=$A599,'Основной эфир'!$C:$C=$B599,'Основной эфир'!$I:$I=$C599)), 0) "),0.0)</f>
        <v>0</v>
      </c>
      <c r="G599" s="91">
        <f>IFERROR(__xludf.DUMMYFUNCTION("IFERROR(sum(filter('Основной эфир'!$Q:$Q, 'Основной эфир'!$B:$B=$A599,'Основной эфир'!$C:$C=$B599,'Основной эфир'!$I:$I=$C599)), 0) "),0.0)</f>
        <v>0</v>
      </c>
      <c r="H599" s="91">
        <f>IFERROR(__xludf.DUMMYFUNCTION("IFERROR(AVERAGE(filter('Основной эфир'!$Y:$Y, 'Основной эфир'!$B:$B=$A599,'Основной эфир'!$C:$C=$B599,'Основной эфир'!$I:$I=$C599)), 0) "),0.0)</f>
        <v>0</v>
      </c>
      <c r="I599" s="91">
        <f>IFERROR(__xludf.DUMMYFUNCTION("IFERROR(AVERAGE(filter('Основной эфир'!$AE:$AE, 'Основной эфир'!$B:$B=$A599,'Основной эфир'!$C:$C=$B599,'Основной эфир'!$I:$I=$C599)), 0) "),0.0)</f>
        <v>0</v>
      </c>
      <c r="J599" s="91">
        <f>IFERROR(__xludf.DUMMYFUNCTION("IFERROR(SUM(filter('Основной эфир'!$AL:$AL, 'Основной эфир'!$B:$B=$A599,'Основной эфир'!$C:$C=$B599,'Основной эфир'!$I:$I=$C599)), 0) "),0.0)</f>
        <v>0</v>
      </c>
      <c r="K599" s="91" t="str">
        <f>IFERROR(__xludf.DUMMYFUNCTION("IFERROR(REGEXREPLACE(unique(filter('Основной эфир'!$A:$A, 'Основной эфир'!$B:$B=$A599,'Основной эфир'!$C:$C=$B599,'Основной эфир'!$I:$I=$C599)), ""\d+"", """"),"""")"),"")</f>
        <v/>
      </c>
      <c r="L599" s="91" t="str">
        <f>IFERROR(__xludf.DUMMYFUNCTION("IFERROR(unique(filter('Основной эфир'!$F:$F, 'Основной эфир'!$B:$B=$A599,'Основной эфир'!$C:$C=$B599,'Основной эфир'!$I:$I=$C599)),"""")"),"")</f>
        <v/>
      </c>
      <c r="M599" s="92" t="str">
        <f t="shared" si="1"/>
        <v/>
      </c>
      <c r="N599" s="93">
        <f>IFERROR(__xludf.DUMMYFUNCTION("IFERROR(SWITCH(lower(join("" "",L599:M599)),""а миллионник"", 62.5,""б миллионник"", 75,""а мск"", 50, ""б мск"", 62.5, ""a остальное"", 70, ""б остальное"", 80)/100,0)"),0.0)</f>
        <v>0</v>
      </c>
      <c r="O599" s="91">
        <f t="shared" si="2"/>
        <v>0</v>
      </c>
      <c r="P599" s="91">
        <f>IFERROR(__xludf.DUMMYFUNCTION("IFERROR(sum(filter('Генеральный баннер'!$O:$O, 'Генеральный баннер'!$B:$B=$A599,'Генеральный баннер'!$C:$C=$B599,'Генеральный баннер'!$I:$I=$C599)), 0) "),0.0)</f>
        <v>0</v>
      </c>
      <c r="Q599" s="91">
        <f>IFERROR(__xludf.DUMMYFUNCTION("IFERROR(sum(filter('Генеральный баннер'!$Q:$Q, 'Генеральный баннер'!$B:$B=$A599,'Генеральный баннер'!$C:$C=$B599,'Генеральный баннер'!$I:$I=$C599)), 0) "),0.0)</f>
        <v>0</v>
      </c>
      <c r="R599" s="91">
        <f>IFERROR(__xludf.DUMMYFUNCTION("IFERROR(AVERAGE(filter('Генеральный баннер'!$AA:$AA, 'Генеральный баннер'!$B:$B=$A599,'Генеральный баннер'!$C:$C=$B599,'Генеральный баннер'!$I:$I=$C599)), 0) "),0.0)</f>
        <v>0</v>
      </c>
      <c r="S599" s="91">
        <f>IFERROR(__xludf.DUMMYFUNCTION("IFERROR(SUM(filter('Генеральный баннер'!$AH:$AH, 'Генеральный баннер'!$B:$B=$A599,'Генеральный баннер'!$C:$C=$B599,'Генеральный баннер'!$I:$I=$C599)), 0) "),0.0)</f>
        <v>0</v>
      </c>
      <c r="T599" s="91" t="str">
        <f>IFERROR(__xludf.DUMMYFUNCTION("IFERROR(REGEXREPLACE(unique(filter('Генеральный баннер'!$A:$A, 'Генеральный баннер'!$B:$B=$A599,'Генеральный баннер'!$C:$C=$B599,'Генеральный баннер'!$I:$I=$C599)), ""\d+"", """"),"""")"),"")</f>
        <v/>
      </c>
      <c r="U599" s="91" t="str">
        <f>IFERROR(__xludf.DUMMYFUNCTION("IFERROR(unique(filter('Генеральный баннер'!$F:$F, 'Генеральный баннер'!$B:$B=$A599,'Генеральный баннер'!$C:$C=$B599,'Генеральный баннер'!$I:$I=$C599)),"""")"),"")</f>
        <v/>
      </c>
      <c r="V599" s="92" t="str">
        <f t="shared" si="3"/>
        <v/>
      </c>
      <c r="W599" s="93">
        <f>IFERROR(__xludf.DUMMYFUNCTION("IFERROR(SWITCH(lower(join("" "",U599:V599)),""а миллионник"", 62.5,""б миллионник"", 75,""а мск"", 50, ""б мск"", 62.5, ""a остальное"", 70, ""б остальное"", 80)/100,0)"),0.0)</f>
        <v>0</v>
      </c>
      <c r="X599" s="91">
        <f t="shared" si="4"/>
        <v>0</v>
      </c>
    </row>
    <row r="600">
      <c r="A600" s="12"/>
      <c r="B600" s="12"/>
      <c r="C600" s="12"/>
      <c r="D600" s="91">
        <f>IFERROR(__xludf.DUMMYFUNCTION("IFERROR(sum(filter('Основной эфир'!$AA:$AA, 'Основной эфир'!$B:$B=$A600,'Основной эфир'!$C:$C=$B600,'Основной эфир'!$I:$I=$C600)), 0) "),0.0)</f>
        <v>0</v>
      </c>
      <c r="E600" s="91">
        <f>IFERROR(__xludf.DUMMYFUNCTION("IFERROR(sum(filter('Основной эфир'!$AC:$AC, 'Основной эфир'!$B:$B=$A600,'Основной эфир'!$C:$C=$B600,'Основной эфир'!$I:$I=$C600)), 0) "),0.0)</f>
        <v>0</v>
      </c>
      <c r="F600" s="91">
        <f>IFERROR(__xludf.DUMMYFUNCTION("IFERROR(sum(filter('Основной эфир'!$O:$O, 'Основной эфир'!$B:$B=$A600,'Основной эфир'!$C:$C=$B600,'Основной эфир'!$I:$I=$C600)), 0) "),0.0)</f>
        <v>0</v>
      </c>
      <c r="G600" s="91">
        <f>IFERROR(__xludf.DUMMYFUNCTION("IFERROR(sum(filter('Основной эфир'!$Q:$Q, 'Основной эфир'!$B:$B=$A600,'Основной эфир'!$C:$C=$B600,'Основной эфир'!$I:$I=$C600)), 0) "),0.0)</f>
        <v>0</v>
      </c>
      <c r="H600" s="91">
        <f>IFERROR(__xludf.DUMMYFUNCTION("IFERROR(AVERAGE(filter('Основной эфир'!$Y:$Y, 'Основной эфир'!$B:$B=$A600,'Основной эфир'!$C:$C=$B600,'Основной эфир'!$I:$I=$C600)), 0) "),0.0)</f>
        <v>0</v>
      </c>
      <c r="I600" s="91">
        <f>IFERROR(__xludf.DUMMYFUNCTION("IFERROR(AVERAGE(filter('Основной эфир'!$AE:$AE, 'Основной эфир'!$B:$B=$A600,'Основной эфир'!$C:$C=$B600,'Основной эфир'!$I:$I=$C600)), 0) "),0.0)</f>
        <v>0</v>
      </c>
      <c r="J600" s="91">
        <f>IFERROR(__xludf.DUMMYFUNCTION("IFERROR(SUM(filter('Основной эфир'!$AL:$AL, 'Основной эфир'!$B:$B=$A600,'Основной эфир'!$C:$C=$B600,'Основной эфир'!$I:$I=$C600)), 0) "),0.0)</f>
        <v>0</v>
      </c>
      <c r="K600" s="91" t="str">
        <f>IFERROR(__xludf.DUMMYFUNCTION("IFERROR(REGEXREPLACE(unique(filter('Основной эфир'!$A:$A, 'Основной эфир'!$B:$B=$A600,'Основной эфир'!$C:$C=$B600,'Основной эфир'!$I:$I=$C600)), ""\d+"", """"),"""")"),"")</f>
        <v/>
      </c>
      <c r="L600" s="91" t="str">
        <f>IFERROR(__xludf.DUMMYFUNCTION("IFERROR(unique(filter('Основной эфир'!$F:$F, 'Основной эфир'!$B:$B=$A600,'Основной эфир'!$C:$C=$B600,'Основной эфир'!$I:$I=$C600)),"""")"),"")</f>
        <v/>
      </c>
      <c r="M600" s="92" t="str">
        <f t="shared" si="1"/>
        <v/>
      </c>
      <c r="N600" s="93">
        <f>IFERROR(__xludf.DUMMYFUNCTION("IFERROR(SWITCH(lower(join("" "",L600:M600)),""а миллионник"", 62.5,""б миллионник"", 75,""а мск"", 50, ""б мск"", 62.5, ""a остальное"", 70, ""б остальное"", 80)/100,0)"),0.0)</f>
        <v>0</v>
      </c>
      <c r="O600" s="91">
        <f t="shared" si="2"/>
        <v>0</v>
      </c>
      <c r="P600" s="91">
        <f>IFERROR(__xludf.DUMMYFUNCTION("IFERROR(sum(filter('Генеральный баннер'!$O:$O, 'Генеральный баннер'!$B:$B=$A600,'Генеральный баннер'!$C:$C=$B600,'Генеральный баннер'!$I:$I=$C600)), 0) "),0.0)</f>
        <v>0</v>
      </c>
      <c r="Q600" s="91">
        <f>IFERROR(__xludf.DUMMYFUNCTION("IFERROR(sum(filter('Генеральный баннер'!$Q:$Q, 'Генеральный баннер'!$B:$B=$A600,'Генеральный баннер'!$C:$C=$B600,'Генеральный баннер'!$I:$I=$C600)), 0) "),0.0)</f>
        <v>0</v>
      </c>
      <c r="R600" s="91">
        <f>IFERROR(__xludf.DUMMYFUNCTION("IFERROR(AVERAGE(filter('Генеральный баннер'!$AA:$AA, 'Генеральный баннер'!$B:$B=$A600,'Генеральный баннер'!$C:$C=$B600,'Генеральный баннер'!$I:$I=$C600)), 0) "),0.0)</f>
        <v>0</v>
      </c>
      <c r="S600" s="91">
        <f>IFERROR(__xludf.DUMMYFUNCTION("IFERROR(SUM(filter('Генеральный баннер'!$AH:$AH, 'Генеральный баннер'!$B:$B=$A600,'Генеральный баннер'!$C:$C=$B600,'Генеральный баннер'!$I:$I=$C600)), 0) "),0.0)</f>
        <v>0</v>
      </c>
      <c r="T600" s="91" t="str">
        <f>IFERROR(__xludf.DUMMYFUNCTION("IFERROR(REGEXREPLACE(unique(filter('Генеральный баннер'!$A:$A, 'Генеральный баннер'!$B:$B=$A600,'Генеральный баннер'!$C:$C=$B600,'Генеральный баннер'!$I:$I=$C600)), ""\d+"", """"),"""")"),"")</f>
        <v/>
      </c>
      <c r="U600" s="91" t="str">
        <f>IFERROR(__xludf.DUMMYFUNCTION("IFERROR(unique(filter('Генеральный баннер'!$F:$F, 'Генеральный баннер'!$B:$B=$A600,'Генеральный баннер'!$C:$C=$B600,'Генеральный баннер'!$I:$I=$C600)),"""")"),"")</f>
        <v/>
      </c>
      <c r="V600" s="92" t="str">
        <f t="shared" si="3"/>
        <v/>
      </c>
      <c r="W600" s="93">
        <f>IFERROR(__xludf.DUMMYFUNCTION("IFERROR(SWITCH(lower(join("" "",U600:V600)),""а миллионник"", 62.5,""б миллионник"", 75,""а мск"", 50, ""б мск"", 62.5, ""a остальное"", 70, ""б остальное"", 80)/100,0)"),0.0)</f>
        <v>0</v>
      </c>
      <c r="X600" s="91">
        <f t="shared" si="4"/>
        <v>0</v>
      </c>
    </row>
    <row r="601">
      <c r="A601" s="12"/>
      <c r="B601" s="12"/>
      <c r="C601" s="12"/>
      <c r="D601" s="91">
        <f>IFERROR(__xludf.DUMMYFUNCTION("IFERROR(sum(filter('Основной эфир'!$AA:$AA, 'Основной эфир'!$B:$B=$A601,'Основной эфир'!$C:$C=$B601,'Основной эфир'!$I:$I=$C601)), 0) "),0.0)</f>
        <v>0</v>
      </c>
      <c r="E601" s="91">
        <f>IFERROR(__xludf.DUMMYFUNCTION("IFERROR(sum(filter('Основной эфир'!$AC:$AC, 'Основной эфир'!$B:$B=$A601,'Основной эфир'!$C:$C=$B601,'Основной эфир'!$I:$I=$C601)), 0) "),0.0)</f>
        <v>0</v>
      </c>
      <c r="F601" s="91">
        <f>IFERROR(__xludf.DUMMYFUNCTION("IFERROR(sum(filter('Основной эфир'!$O:$O, 'Основной эфир'!$B:$B=$A601,'Основной эфир'!$C:$C=$B601,'Основной эфир'!$I:$I=$C601)), 0) "),0.0)</f>
        <v>0</v>
      </c>
      <c r="G601" s="91">
        <f>IFERROR(__xludf.DUMMYFUNCTION("IFERROR(sum(filter('Основной эфир'!$Q:$Q, 'Основной эфир'!$B:$B=$A601,'Основной эфир'!$C:$C=$B601,'Основной эфир'!$I:$I=$C601)), 0) "),0.0)</f>
        <v>0</v>
      </c>
      <c r="H601" s="91">
        <f>IFERROR(__xludf.DUMMYFUNCTION("IFERROR(AVERAGE(filter('Основной эфир'!$Y:$Y, 'Основной эфир'!$B:$B=$A601,'Основной эфир'!$C:$C=$B601,'Основной эфир'!$I:$I=$C601)), 0) "),0.0)</f>
        <v>0</v>
      </c>
      <c r="I601" s="91">
        <f>IFERROR(__xludf.DUMMYFUNCTION("IFERROR(AVERAGE(filter('Основной эфир'!$AE:$AE, 'Основной эфир'!$B:$B=$A601,'Основной эфир'!$C:$C=$B601,'Основной эфир'!$I:$I=$C601)), 0) "),0.0)</f>
        <v>0</v>
      </c>
      <c r="J601" s="91">
        <f>IFERROR(__xludf.DUMMYFUNCTION("IFERROR(SUM(filter('Основной эфир'!$AL:$AL, 'Основной эфир'!$B:$B=$A601,'Основной эфир'!$C:$C=$B601,'Основной эфир'!$I:$I=$C601)), 0) "),0.0)</f>
        <v>0</v>
      </c>
      <c r="K601" s="91" t="str">
        <f>IFERROR(__xludf.DUMMYFUNCTION("IFERROR(REGEXREPLACE(unique(filter('Основной эфир'!$A:$A, 'Основной эфир'!$B:$B=$A601,'Основной эфир'!$C:$C=$B601,'Основной эфир'!$I:$I=$C601)), ""\d+"", """"),"""")"),"")</f>
        <v/>
      </c>
      <c r="L601" s="91" t="str">
        <f>IFERROR(__xludf.DUMMYFUNCTION("IFERROR(unique(filter('Основной эфир'!$F:$F, 'Основной эфир'!$B:$B=$A601,'Основной эфир'!$C:$C=$B601,'Основной эфир'!$I:$I=$C601)),"""")"),"")</f>
        <v/>
      </c>
      <c r="M601" s="92" t="str">
        <f t="shared" si="1"/>
        <v/>
      </c>
      <c r="N601" s="93">
        <f>IFERROR(__xludf.DUMMYFUNCTION("IFERROR(SWITCH(lower(join("" "",L601:M601)),""а миллионник"", 62.5,""б миллионник"", 75,""а мск"", 50, ""б мск"", 62.5, ""a остальное"", 70, ""б остальное"", 80)/100,0)"),0.0)</f>
        <v>0</v>
      </c>
      <c r="O601" s="91">
        <f t="shared" si="2"/>
        <v>0</v>
      </c>
      <c r="P601" s="91">
        <f>IFERROR(__xludf.DUMMYFUNCTION("IFERROR(sum(filter('Генеральный баннер'!$O:$O, 'Генеральный баннер'!$B:$B=$A601,'Генеральный баннер'!$C:$C=$B601,'Генеральный баннер'!$I:$I=$C601)), 0) "),0.0)</f>
        <v>0</v>
      </c>
      <c r="Q601" s="91">
        <f>IFERROR(__xludf.DUMMYFUNCTION("IFERROR(sum(filter('Генеральный баннер'!$Q:$Q, 'Генеральный баннер'!$B:$B=$A601,'Генеральный баннер'!$C:$C=$B601,'Генеральный баннер'!$I:$I=$C601)), 0) "),0.0)</f>
        <v>0</v>
      </c>
      <c r="R601" s="91">
        <f>IFERROR(__xludf.DUMMYFUNCTION("IFERROR(AVERAGE(filter('Генеральный баннер'!$AA:$AA, 'Генеральный баннер'!$B:$B=$A601,'Генеральный баннер'!$C:$C=$B601,'Генеральный баннер'!$I:$I=$C601)), 0) "),0.0)</f>
        <v>0</v>
      </c>
      <c r="S601" s="91">
        <f>IFERROR(__xludf.DUMMYFUNCTION("IFERROR(SUM(filter('Генеральный баннер'!$AH:$AH, 'Генеральный баннер'!$B:$B=$A601,'Генеральный баннер'!$C:$C=$B601,'Генеральный баннер'!$I:$I=$C601)), 0) "),0.0)</f>
        <v>0</v>
      </c>
      <c r="T601" s="91" t="str">
        <f>IFERROR(__xludf.DUMMYFUNCTION("IFERROR(REGEXREPLACE(unique(filter('Генеральный баннер'!$A:$A, 'Генеральный баннер'!$B:$B=$A601,'Генеральный баннер'!$C:$C=$B601,'Генеральный баннер'!$I:$I=$C601)), ""\d+"", """"),"""")"),"")</f>
        <v/>
      </c>
      <c r="U601" s="91" t="str">
        <f>IFERROR(__xludf.DUMMYFUNCTION("IFERROR(unique(filter('Генеральный баннер'!$F:$F, 'Генеральный баннер'!$B:$B=$A601,'Генеральный баннер'!$C:$C=$B601,'Генеральный баннер'!$I:$I=$C601)),"""")"),"")</f>
        <v/>
      </c>
      <c r="V601" s="92" t="str">
        <f t="shared" si="3"/>
        <v/>
      </c>
      <c r="W601" s="93">
        <f>IFERROR(__xludf.DUMMYFUNCTION("IFERROR(SWITCH(lower(join("" "",U601:V601)),""а миллионник"", 62.5,""б миллионник"", 75,""а мск"", 50, ""б мск"", 62.5, ""a остальное"", 70, ""б остальное"", 80)/100,0)"),0.0)</f>
        <v>0</v>
      </c>
      <c r="X601" s="91">
        <f t="shared" si="4"/>
        <v>0</v>
      </c>
    </row>
    <row r="602">
      <c r="A602" s="12"/>
      <c r="B602" s="12"/>
      <c r="C602" s="12"/>
      <c r="D602" s="91">
        <f>IFERROR(__xludf.DUMMYFUNCTION("IFERROR(sum(filter('Основной эфир'!$AA:$AA, 'Основной эфир'!$B:$B=$A602,'Основной эфир'!$C:$C=$B602,'Основной эфир'!$I:$I=$C602)), 0) "),0.0)</f>
        <v>0</v>
      </c>
      <c r="E602" s="91">
        <f>IFERROR(__xludf.DUMMYFUNCTION("IFERROR(sum(filter('Основной эфир'!$AC:$AC, 'Основной эфир'!$B:$B=$A602,'Основной эфир'!$C:$C=$B602,'Основной эфир'!$I:$I=$C602)), 0) "),0.0)</f>
        <v>0</v>
      </c>
      <c r="F602" s="91">
        <f>IFERROR(__xludf.DUMMYFUNCTION("IFERROR(sum(filter('Основной эфир'!$O:$O, 'Основной эфир'!$B:$B=$A602,'Основной эфир'!$C:$C=$B602,'Основной эфир'!$I:$I=$C602)), 0) "),0.0)</f>
        <v>0</v>
      </c>
      <c r="G602" s="91">
        <f>IFERROR(__xludf.DUMMYFUNCTION("IFERROR(sum(filter('Основной эфир'!$Q:$Q, 'Основной эфир'!$B:$B=$A602,'Основной эфир'!$C:$C=$B602,'Основной эфир'!$I:$I=$C602)), 0) "),0.0)</f>
        <v>0</v>
      </c>
      <c r="H602" s="91">
        <f>IFERROR(__xludf.DUMMYFUNCTION("IFERROR(AVERAGE(filter('Основной эфир'!$Y:$Y, 'Основной эфир'!$B:$B=$A602,'Основной эфир'!$C:$C=$B602,'Основной эфир'!$I:$I=$C602)), 0) "),0.0)</f>
        <v>0</v>
      </c>
      <c r="I602" s="91">
        <f>IFERROR(__xludf.DUMMYFUNCTION("IFERROR(AVERAGE(filter('Основной эфир'!$AE:$AE, 'Основной эфир'!$B:$B=$A602,'Основной эфир'!$C:$C=$B602,'Основной эфир'!$I:$I=$C602)), 0) "),0.0)</f>
        <v>0</v>
      </c>
      <c r="J602" s="91">
        <f>IFERROR(__xludf.DUMMYFUNCTION("IFERROR(SUM(filter('Основной эфир'!$AL:$AL, 'Основной эфир'!$B:$B=$A602,'Основной эфир'!$C:$C=$B602,'Основной эфир'!$I:$I=$C602)), 0) "),0.0)</f>
        <v>0</v>
      </c>
      <c r="K602" s="91" t="str">
        <f>IFERROR(__xludf.DUMMYFUNCTION("IFERROR(REGEXREPLACE(unique(filter('Основной эфир'!$A:$A, 'Основной эфир'!$B:$B=$A602,'Основной эфир'!$C:$C=$B602,'Основной эфир'!$I:$I=$C602)), ""\d+"", """"),"""")"),"")</f>
        <v/>
      </c>
      <c r="L602" s="91" t="str">
        <f>IFERROR(__xludf.DUMMYFUNCTION("IFERROR(unique(filter('Основной эфир'!$F:$F, 'Основной эфир'!$B:$B=$A602,'Основной эфир'!$C:$C=$B602,'Основной эфир'!$I:$I=$C602)),"""")"),"")</f>
        <v/>
      </c>
      <c r="M602" s="92" t="str">
        <f t="shared" si="1"/>
        <v/>
      </c>
      <c r="N602" s="93">
        <f>IFERROR(__xludf.DUMMYFUNCTION("IFERROR(SWITCH(lower(join("" "",L602:M602)),""а миллионник"", 62.5,""б миллионник"", 75,""а мск"", 50, ""б мск"", 62.5, ""a остальное"", 70, ""б остальное"", 80)/100,0)"),0.0)</f>
        <v>0</v>
      </c>
      <c r="O602" s="91">
        <f t="shared" si="2"/>
        <v>0</v>
      </c>
      <c r="P602" s="91">
        <f>IFERROR(__xludf.DUMMYFUNCTION("IFERROR(sum(filter('Генеральный баннер'!$O:$O, 'Генеральный баннер'!$B:$B=$A602,'Генеральный баннер'!$C:$C=$B602,'Генеральный баннер'!$I:$I=$C602)), 0) "),0.0)</f>
        <v>0</v>
      </c>
      <c r="Q602" s="91">
        <f>IFERROR(__xludf.DUMMYFUNCTION("IFERROR(sum(filter('Генеральный баннер'!$Q:$Q, 'Генеральный баннер'!$B:$B=$A602,'Генеральный баннер'!$C:$C=$B602,'Генеральный баннер'!$I:$I=$C602)), 0) "),0.0)</f>
        <v>0</v>
      </c>
      <c r="R602" s="91">
        <f>IFERROR(__xludf.DUMMYFUNCTION("IFERROR(AVERAGE(filter('Генеральный баннер'!$AA:$AA, 'Генеральный баннер'!$B:$B=$A602,'Генеральный баннер'!$C:$C=$B602,'Генеральный баннер'!$I:$I=$C602)), 0) "),0.0)</f>
        <v>0</v>
      </c>
      <c r="S602" s="91">
        <f>IFERROR(__xludf.DUMMYFUNCTION("IFERROR(SUM(filter('Генеральный баннер'!$AH:$AH, 'Генеральный баннер'!$B:$B=$A602,'Генеральный баннер'!$C:$C=$B602,'Генеральный баннер'!$I:$I=$C602)), 0) "),0.0)</f>
        <v>0</v>
      </c>
      <c r="T602" s="91" t="str">
        <f>IFERROR(__xludf.DUMMYFUNCTION("IFERROR(REGEXREPLACE(unique(filter('Генеральный баннер'!$A:$A, 'Генеральный баннер'!$B:$B=$A602,'Генеральный баннер'!$C:$C=$B602,'Генеральный баннер'!$I:$I=$C602)), ""\d+"", """"),"""")"),"")</f>
        <v/>
      </c>
      <c r="U602" s="91" t="str">
        <f>IFERROR(__xludf.DUMMYFUNCTION("IFERROR(unique(filter('Генеральный баннер'!$F:$F, 'Генеральный баннер'!$B:$B=$A602,'Генеральный баннер'!$C:$C=$B602,'Генеральный баннер'!$I:$I=$C602)),"""")"),"")</f>
        <v/>
      </c>
      <c r="V602" s="92" t="str">
        <f t="shared" si="3"/>
        <v/>
      </c>
      <c r="W602" s="93">
        <f>IFERROR(__xludf.DUMMYFUNCTION("IFERROR(SWITCH(lower(join("" "",U602:V602)),""а миллионник"", 62.5,""б миллионник"", 75,""а мск"", 50, ""б мск"", 62.5, ""a остальное"", 70, ""б остальное"", 80)/100,0)"),0.0)</f>
        <v>0</v>
      </c>
      <c r="X602" s="91">
        <f t="shared" si="4"/>
        <v>0</v>
      </c>
    </row>
    <row r="603">
      <c r="A603" s="12"/>
      <c r="B603" s="12"/>
      <c r="C603" s="12"/>
      <c r="D603" s="91">
        <f>IFERROR(__xludf.DUMMYFUNCTION("IFERROR(sum(filter('Основной эфир'!$AA:$AA, 'Основной эфир'!$B:$B=$A603,'Основной эфир'!$C:$C=$B603,'Основной эфир'!$I:$I=$C603)), 0) "),0.0)</f>
        <v>0</v>
      </c>
      <c r="E603" s="91">
        <f>IFERROR(__xludf.DUMMYFUNCTION("IFERROR(sum(filter('Основной эфир'!$AC:$AC, 'Основной эфир'!$B:$B=$A603,'Основной эфир'!$C:$C=$B603,'Основной эфир'!$I:$I=$C603)), 0) "),0.0)</f>
        <v>0</v>
      </c>
      <c r="F603" s="91">
        <f>IFERROR(__xludf.DUMMYFUNCTION("IFERROR(sum(filter('Основной эфир'!$O:$O, 'Основной эфир'!$B:$B=$A603,'Основной эфир'!$C:$C=$B603,'Основной эфир'!$I:$I=$C603)), 0) "),0.0)</f>
        <v>0</v>
      </c>
      <c r="G603" s="91">
        <f>IFERROR(__xludf.DUMMYFUNCTION("IFERROR(sum(filter('Основной эфир'!$Q:$Q, 'Основной эфир'!$B:$B=$A603,'Основной эфир'!$C:$C=$B603,'Основной эфир'!$I:$I=$C603)), 0) "),0.0)</f>
        <v>0</v>
      </c>
      <c r="H603" s="91">
        <f>IFERROR(__xludf.DUMMYFUNCTION("IFERROR(AVERAGE(filter('Основной эфир'!$Y:$Y, 'Основной эфир'!$B:$B=$A603,'Основной эфир'!$C:$C=$B603,'Основной эфир'!$I:$I=$C603)), 0) "),0.0)</f>
        <v>0</v>
      </c>
      <c r="I603" s="91">
        <f>IFERROR(__xludf.DUMMYFUNCTION("IFERROR(AVERAGE(filter('Основной эфир'!$AE:$AE, 'Основной эфир'!$B:$B=$A603,'Основной эфир'!$C:$C=$B603,'Основной эфир'!$I:$I=$C603)), 0) "),0.0)</f>
        <v>0</v>
      </c>
      <c r="J603" s="91">
        <f>IFERROR(__xludf.DUMMYFUNCTION("IFERROR(SUM(filter('Основной эфир'!$AL:$AL, 'Основной эфир'!$B:$B=$A603,'Основной эфир'!$C:$C=$B603,'Основной эфир'!$I:$I=$C603)), 0) "),0.0)</f>
        <v>0</v>
      </c>
      <c r="K603" s="91" t="str">
        <f>IFERROR(__xludf.DUMMYFUNCTION("IFERROR(REGEXREPLACE(unique(filter('Основной эфир'!$A:$A, 'Основной эфир'!$B:$B=$A603,'Основной эфир'!$C:$C=$B603,'Основной эфир'!$I:$I=$C603)), ""\d+"", """"),"""")"),"")</f>
        <v/>
      </c>
      <c r="L603" s="91" t="str">
        <f>IFERROR(__xludf.DUMMYFUNCTION("IFERROR(unique(filter('Основной эфир'!$F:$F, 'Основной эфир'!$B:$B=$A603,'Основной эфир'!$C:$C=$B603,'Основной эфир'!$I:$I=$C603)),"""")"),"")</f>
        <v/>
      </c>
      <c r="M603" s="92" t="str">
        <f t="shared" si="1"/>
        <v/>
      </c>
      <c r="N603" s="93">
        <f>IFERROR(__xludf.DUMMYFUNCTION("IFERROR(SWITCH(lower(join("" "",L603:M603)),""а миллионник"", 62.5,""б миллионник"", 75,""а мск"", 50, ""б мск"", 62.5, ""a остальное"", 70, ""б остальное"", 80)/100,0)"),0.0)</f>
        <v>0</v>
      </c>
      <c r="O603" s="91">
        <f t="shared" si="2"/>
        <v>0</v>
      </c>
      <c r="P603" s="91">
        <f>IFERROR(__xludf.DUMMYFUNCTION("IFERROR(sum(filter('Генеральный баннер'!$O:$O, 'Генеральный баннер'!$B:$B=$A603,'Генеральный баннер'!$C:$C=$B603,'Генеральный баннер'!$I:$I=$C603)), 0) "),0.0)</f>
        <v>0</v>
      </c>
      <c r="Q603" s="91">
        <f>IFERROR(__xludf.DUMMYFUNCTION("IFERROR(sum(filter('Генеральный баннер'!$Q:$Q, 'Генеральный баннер'!$B:$B=$A603,'Генеральный баннер'!$C:$C=$B603,'Генеральный баннер'!$I:$I=$C603)), 0) "),0.0)</f>
        <v>0</v>
      </c>
      <c r="R603" s="91">
        <f>IFERROR(__xludf.DUMMYFUNCTION("IFERROR(AVERAGE(filter('Генеральный баннер'!$AA:$AA, 'Генеральный баннер'!$B:$B=$A603,'Генеральный баннер'!$C:$C=$B603,'Генеральный баннер'!$I:$I=$C603)), 0) "),0.0)</f>
        <v>0</v>
      </c>
      <c r="S603" s="91">
        <f>IFERROR(__xludf.DUMMYFUNCTION("IFERROR(SUM(filter('Генеральный баннер'!$AH:$AH, 'Генеральный баннер'!$B:$B=$A603,'Генеральный баннер'!$C:$C=$B603,'Генеральный баннер'!$I:$I=$C603)), 0) "),0.0)</f>
        <v>0</v>
      </c>
      <c r="T603" s="91" t="str">
        <f>IFERROR(__xludf.DUMMYFUNCTION("IFERROR(REGEXREPLACE(unique(filter('Генеральный баннер'!$A:$A, 'Генеральный баннер'!$B:$B=$A603,'Генеральный баннер'!$C:$C=$B603,'Генеральный баннер'!$I:$I=$C603)), ""\d+"", """"),"""")"),"")</f>
        <v/>
      </c>
      <c r="U603" s="91" t="str">
        <f>IFERROR(__xludf.DUMMYFUNCTION("IFERROR(unique(filter('Генеральный баннер'!$F:$F, 'Генеральный баннер'!$B:$B=$A603,'Генеральный баннер'!$C:$C=$B603,'Генеральный баннер'!$I:$I=$C603)),"""")"),"")</f>
        <v/>
      </c>
      <c r="V603" s="92" t="str">
        <f t="shared" si="3"/>
        <v/>
      </c>
      <c r="W603" s="93">
        <f>IFERROR(__xludf.DUMMYFUNCTION("IFERROR(SWITCH(lower(join("" "",U603:V603)),""а миллионник"", 62.5,""б миллионник"", 75,""а мск"", 50, ""б мск"", 62.5, ""a остальное"", 70, ""б остальное"", 80)/100,0)"),0.0)</f>
        <v>0</v>
      </c>
      <c r="X603" s="91">
        <f t="shared" si="4"/>
        <v>0</v>
      </c>
    </row>
    <row r="604">
      <c r="A604" s="12"/>
      <c r="B604" s="12"/>
      <c r="C604" s="12"/>
      <c r="D604" s="91">
        <f>IFERROR(__xludf.DUMMYFUNCTION("IFERROR(sum(filter('Основной эфир'!$AA:$AA, 'Основной эфир'!$B:$B=$A604,'Основной эфир'!$C:$C=$B604,'Основной эфир'!$I:$I=$C604)), 0) "),0.0)</f>
        <v>0</v>
      </c>
      <c r="E604" s="91">
        <f>IFERROR(__xludf.DUMMYFUNCTION("IFERROR(sum(filter('Основной эфир'!$AC:$AC, 'Основной эфир'!$B:$B=$A604,'Основной эфир'!$C:$C=$B604,'Основной эфир'!$I:$I=$C604)), 0) "),0.0)</f>
        <v>0</v>
      </c>
      <c r="F604" s="91">
        <f>IFERROR(__xludf.DUMMYFUNCTION("IFERROR(sum(filter('Основной эфир'!$O:$O, 'Основной эфир'!$B:$B=$A604,'Основной эфир'!$C:$C=$B604,'Основной эфир'!$I:$I=$C604)), 0) "),0.0)</f>
        <v>0</v>
      </c>
      <c r="G604" s="91">
        <f>IFERROR(__xludf.DUMMYFUNCTION("IFERROR(sum(filter('Основной эфир'!$Q:$Q, 'Основной эфир'!$B:$B=$A604,'Основной эфир'!$C:$C=$B604,'Основной эфир'!$I:$I=$C604)), 0) "),0.0)</f>
        <v>0</v>
      </c>
      <c r="H604" s="91">
        <f>IFERROR(__xludf.DUMMYFUNCTION("IFERROR(AVERAGE(filter('Основной эфир'!$Y:$Y, 'Основной эфир'!$B:$B=$A604,'Основной эфир'!$C:$C=$B604,'Основной эфир'!$I:$I=$C604)), 0) "),0.0)</f>
        <v>0</v>
      </c>
      <c r="I604" s="91">
        <f>IFERROR(__xludf.DUMMYFUNCTION("IFERROR(AVERAGE(filter('Основной эфир'!$AE:$AE, 'Основной эфир'!$B:$B=$A604,'Основной эфир'!$C:$C=$B604,'Основной эфир'!$I:$I=$C604)), 0) "),0.0)</f>
        <v>0</v>
      </c>
      <c r="J604" s="91">
        <f>IFERROR(__xludf.DUMMYFUNCTION("IFERROR(SUM(filter('Основной эфир'!$AL:$AL, 'Основной эфир'!$B:$B=$A604,'Основной эфир'!$C:$C=$B604,'Основной эфир'!$I:$I=$C604)), 0) "),0.0)</f>
        <v>0</v>
      </c>
      <c r="K604" s="91" t="str">
        <f>IFERROR(__xludf.DUMMYFUNCTION("IFERROR(REGEXREPLACE(unique(filter('Основной эфир'!$A:$A, 'Основной эфир'!$B:$B=$A604,'Основной эфир'!$C:$C=$B604,'Основной эфир'!$I:$I=$C604)), ""\d+"", """"),"""")"),"")</f>
        <v/>
      </c>
      <c r="L604" s="91" t="str">
        <f>IFERROR(__xludf.DUMMYFUNCTION("IFERROR(unique(filter('Основной эфир'!$F:$F, 'Основной эфир'!$B:$B=$A604,'Основной эфир'!$C:$C=$B604,'Основной эфир'!$I:$I=$C604)),"""")"),"")</f>
        <v/>
      </c>
      <c r="M604" s="92" t="str">
        <f t="shared" si="1"/>
        <v/>
      </c>
      <c r="N604" s="93">
        <f>IFERROR(__xludf.DUMMYFUNCTION("IFERROR(SWITCH(lower(join("" "",L604:M604)),""а миллионник"", 62.5,""б миллионник"", 75,""а мск"", 50, ""б мск"", 62.5, ""a остальное"", 70, ""б остальное"", 80)/100,0)"),0.0)</f>
        <v>0</v>
      </c>
      <c r="O604" s="91">
        <f t="shared" si="2"/>
        <v>0</v>
      </c>
      <c r="P604" s="91">
        <f>IFERROR(__xludf.DUMMYFUNCTION("IFERROR(sum(filter('Генеральный баннер'!$O:$O, 'Генеральный баннер'!$B:$B=$A604,'Генеральный баннер'!$C:$C=$B604,'Генеральный баннер'!$I:$I=$C604)), 0) "),0.0)</f>
        <v>0</v>
      </c>
      <c r="Q604" s="91">
        <f>IFERROR(__xludf.DUMMYFUNCTION("IFERROR(sum(filter('Генеральный баннер'!$Q:$Q, 'Генеральный баннер'!$B:$B=$A604,'Генеральный баннер'!$C:$C=$B604,'Генеральный баннер'!$I:$I=$C604)), 0) "),0.0)</f>
        <v>0</v>
      </c>
      <c r="R604" s="91">
        <f>IFERROR(__xludf.DUMMYFUNCTION("IFERROR(AVERAGE(filter('Генеральный баннер'!$AA:$AA, 'Генеральный баннер'!$B:$B=$A604,'Генеральный баннер'!$C:$C=$B604,'Генеральный баннер'!$I:$I=$C604)), 0) "),0.0)</f>
        <v>0</v>
      </c>
      <c r="S604" s="91">
        <f>IFERROR(__xludf.DUMMYFUNCTION("IFERROR(SUM(filter('Генеральный баннер'!$AH:$AH, 'Генеральный баннер'!$B:$B=$A604,'Генеральный баннер'!$C:$C=$B604,'Генеральный баннер'!$I:$I=$C604)), 0) "),0.0)</f>
        <v>0</v>
      </c>
      <c r="T604" s="91" t="str">
        <f>IFERROR(__xludf.DUMMYFUNCTION("IFERROR(REGEXREPLACE(unique(filter('Генеральный баннер'!$A:$A, 'Генеральный баннер'!$B:$B=$A604,'Генеральный баннер'!$C:$C=$B604,'Генеральный баннер'!$I:$I=$C604)), ""\d+"", """"),"""")"),"")</f>
        <v/>
      </c>
      <c r="U604" s="91" t="str">
        <f>IFERROR(__xludf.DUMMYFUNCTION("IFERROR(unique(filter('Генеральный баннер'!$F:$F, 'Генеральный баннер'!$B:$B=$A604,'Генеральный баннер'!$C:$C=$B604,'Генеральный баннер'!$I:$I=$C604)),"""")"),"")</f>
        <v/>
      </c>
      <c r="V604" s="92" t="str">
        <f t="shared" si="3"/>
        <v/>
      </c>
      <c r="W604" s="93">
        <f>IFERROR(__xludf.DUMMYFUNCTION("IFERROR(SWITCH(lower(join("" "",U604:V604)),""а миллионник"", 62.5,""б миллионник"", 75,""а мск"", 50, ""б мск"", 62.5, ""a остальное"", 70, ""б остальное"", 80)/100,0)"),0.0)</f>
        <v>0</v>
      </c>
      <c r="X604" s="91">
        <f t="shared" si="4"/>
        <v>0</v>
      </c>
    </row>
    <row r="605">
      <c r="A605" s="12"/>
      <c r="B605" s="12"/>
      <c r="C605" s="12"/>
      <c r="D605" s="91">
        <f>IFERROR(__xludf.DUMMYFUNCTION("IFERROR(sum(filter('Основной эфир'!$AA:$AA, 'Основной эфир'!$B:$B=$A605,'Основной эфир'!$C:$C=$B605,'Основной эфир'!$I:$I=$C605)), 0) "),0.0)</f>
        <v>0</v>
      </c>
      <c r="E605" s="91">
        <f>IFERROR(__xludf.DUMMYFUNCTION("IFERROR(sum(filter('Основной эфир'!$AC:$AC, 'Основной эфир'!$B:$B=$A605,'Основной эфир'!$C:$C=$B605,'Основной эфир'!$I:$I=$C605)), 0) "),0.0)</f>
        <v>0</v>
      </c>
      <c r="F605" s="91">
        <f>IFERROR(__xludf.DUMMYFUNCTION("IFERROR(sum(filter('Основной эфир'!$O:$O, 'Основной эфир'!$B:$B=$A605,'Основной эфир'!$C:$C=$B605,'Основной эфир'!$I:$I=$C605)), 0) "),0.0)</f>
        <v>0</v>
      </c>
      <c r="G605" s="91">
        <f>IFERROR(__xludf.DUMMYFUNCTION("IFERROR(sum(filter('Основной эфир'!$Q:$Q, 'Основной эфир'!$B:$B=$A605,'Основной эфир'!$C:$C=$B605,'Основной эфир'!$I:$I=$C605)), 0) "),0.0)</f>
        <v>0</v>
      </c>
      <c r="H605" s="91">
        <f>IFERROR(__xludf.DUMMYFUNCTION("IFERROR(AVERAGE(filter('Основной эфир'!$Y:$Y, 'Основной эфир'!$B:$B=$A605,'Основной эфир'!$C:$C=$B605,'Основной эфир'!$I:$I=$C605)), 0) "),0.0)</f>
        <v>0</v>
      </c>
      <c r="I605" s="91">
        <f>IFERROR(__xludf.DUMMYFUNCTION("IFERROR(AVERAGE(filter('Основной эфир'!$AE:$AE, 'Основной эфир'!$B:$B=$A605,'Основной эфир'!$C:$C=$B605,'Основной эфир'!$I:$I=$C605)), 0) "),0.0)</f>
        <v>0</v>
      </c>
      <c r="J605" s="91">
        <f>IFERROR(__xludf.DUMMYFUNCTION("IFERROR(SUM(filter('Основной эфир'!$AL:$AL, 'Основной эфир'!$B:$B=$A605,'Основной эфир'!$C:$C=$B605,'Основной эфир'!$I:$I=$C605)), 0) "),0.0)</f>
        <v>0</v>
      </c>
      <c r="K605" s="91" t="str">
        <f>IFERROR(__xludf.DUMMYFUNCTION("IFERROR(REGEXREPLACE(unique(filter('Основной эфир'!$A:$A, 'Основной эфир'!$B:$B=$A605,'Основной эфир'!$C:$C=$B605,'Основной эфир'!$I:$I=$C605)), ""\d+"", """"),"""")"),"")</f>
        <v/>
      </c>
      <c r="L605" s="91" t="str">
        <f>IFERROR(__xludf.DUMMYFUNCTION("IFERROR(unique(filter('Основной эфир'!$F:$F, 'Основной эфир'!$B:$B=$A605,'Основной эфир'!$C:$C=$B605,'Основной эфир'!$I:$I=$C605)),"""")"),"")</f>
        <v/>
      </c>
      <c r="M605" s="92" t="str">
        <f t="shared" si="1"/>
        <v/>
      </c>
      <c r="N605" s="93">
        <f>IFERROR(__xludf.DUMMYFUNCTION("IFERROR(SWITCH(lower(join("" "",L605:M605)),""а миллионник"", 62.5,""б миллионник"", 75,""а мск"", 50, ""б мск"", 62.5, ""a остальное"", 70, ""б остальное"", 80)/100,0)"),0.0)</f>
        <v>0</v>
      </c>
      <c r="O605" s="91">
        <f t="shared" si="2"/>
        <v>0</v>
      </c>
      <c r="P605" s="91">
        <f>IFERROR(__xludf.DUMMYFUNCTION("IFERROR(sum(filter('Генеральный баннер'!$O:$O, 'Генеральный баннер'!$B:$B=$A605,'Генеральный баннер'!$C:$C=$B605,'Генеральный баннер'!$I:$I=$C605)), 0) "),0.0)</f>
        <v>0</v>
      </c>
      <c r="Q605" s="91">
        <f>IFERROR(__xludf.DUMMYFUNCTION("IFERROR(sum(filter('Генеральный баннер'!$Q:$Q, 'Генеральный баннер'!$B:$B=$A605,'Генеральный баннер'!$C:$C=$B605,'Генеральный баннер'!$I:$I=$C605)), 0) "),0.0)</f>
        <v>0</v>
      </c>
      <c r="R605" s="91">
        <f>IFERROR(__xludf.DUMMYFUNCTION("IFERROR(AVERAGE(filter('Генеральный баннер'!$AA:$AA, 'Генеральный баннер'!$B:$B=$A605,'Генеральный баннер'!$C:$C=$B605,'Генеральный баннер'!$I:$I=$C605)), 0) "),0.0)</f>
        <v>0</v>
      </c>
      <c r="S605" s="91">
        <f>IFERROR(__xludf.DUMMYFUNCTION("IFERROR(SUM(filter('Генеральный баннер'!$AH:$AH, 'Генеральный баннер'!$B:$B=$A605,'Генеральный баннер'!$C:$C=$B605,'Генеральный баннер'!$I:$I=$C605)), 0) "),0.0)</f>
        <v>0</v>
      </c>
      <c r="T605" s="91" t="str">
        <f>IFERROR(__xludf.DUMMYFUNCTION("IFERROR(REGEXREPLACE(unique(filter('Генеральный баннер'!$A:$A, 'Генеральный баннер'!$B:$B=$A605,'Генеральный баннер'!$C:$C=$B605,'Генеральный баннер'!$I:$I=$C605)), ""\d+"", """"),"""")"),"")</f>
        <v/>
      </c>
      <c r="U605" s="91" t="str">
        <f>IFERROR(__xludf.DUMMYFUNCTION("IFERROR(unique(filter('Генеральный баннер'!$F:$F, 'Генеральный баннер'!$B:$B=$A605,'Генеральный баннер'!$C:$C=$B605,'Генеральный баннер'!$I:$I=$C605)),"""")"),"")</f>
        <v/>
      </c>
      <c r="V605" s="92" t="str">
        <f t="shared" si="3"/>
        <v/>
      </c>
      <c r="W605" s="93">
        <f>IFERROR(__xludf.DUMMYFUNCTION("IFERROR(SWITCH(lower(join("" "",U605:V605)),""а миллионник"", 62.5,""б миллионник"", 75,""а мск"", 50, ""б мск"", 62.5, ""a остальное"", 70, ""б остальное"", 80)/100,0)"),0.0)</f>
        <v>0</v>
      </c>
      <c r="X605" s="91">
        <f t="shared" si="4"/>
        <v>0</v>
      </c>
    </row>
    <row r="606">
      <c r="A606" s="12"/>
      <c r="B606" s="12"/>
      <c r="C606" s="12"/>
      <c r="D606" s="91">
        <f>IFERROR(__xludf.DUMMYFUNCTION("IFERROR(sum(filter('Основной эфир'!$AA:$AA, 'Основной эфир'!$B:$B=$A606,'Основной эфир'!$C:$C=$B606,'Основной эфир'!$I:$I=$C606)), 0) "),0.0)</f>
        <v>0</v>
      </c>
      <c r="E606" s="91">
        <f>IFERROR(__xludf.DUMMYFUNCTION("IFERROR(sum(filter('Основной эфир'!$AC:$AC, 'Основной эфир'!$B:$B=$A606,'Основной эфир'!$C:$C=$B606,'Основной эфир'!$I:$I=$C606)), 0) "),0.0)</f>
        <v>0</v>
      </c>
      <c r="F606" s="91">
        <f>IFERROR(__xludf.DUMMYFUNCTION("IFERROR(sum(filter('Основной эфир'!$O:$O, 'Основной эфир'!$B:$B=$A606,'Основной эфир'!$C:$C=$B606,'Основной эфир'!$I:$I=$C606)), 0) "),0.0)</f>
        <v>0</v>
      </c>
      <c r="G606" s="91">
        <f>IFERROR(__xludf.DUMMYFUNCTION("IFERROR(sum(filter('Основной эфир'!$Q:$Q, 'Основной эфир'!$B:$B=$A606,'Основной эфир'!$C:$C=$B606,'Основной эфир'!$I:$I=$C606)), 0) "),0.0)</f>
        <v>0</v>
      </c>
      <c r="H606" s="91">
        <f>IFERROR(__xludf.DUMMYFUNCTION("IFERROR(AVERAGE(filter('Основной эфир'!$Y:$Y, 'Основной эфир'!$B:$B=$A606,'Основной эфир'!$C:$C=$B606,'Основной эфир'!$I:$I=$C606)), 0) "),0.0)</f>
        <v>0</v>
      </c>
      <c r="I606" s="91">
        <f>IFERROR(__xludf.DUMMYFUNCTION("IFERROR(AVERAGE(filter('Основной эфир'!$AE:$AE, 'Основной эфир'!$B:$B=$A606,'Основной эфир'!$C:$C=$B606,'Основной эфир'!$I:$I=$C606)), 0) "),0.0)</f>
        <v>0</v>
      </c>
      <c r="J606" s="91">
        <f>IFERROR(__xludf.DUMMYFUNCTION("IFERROR(SUM(filter('Основной эфир'!$AL:$AL, 'Основной эфир'!$B:$B=$A606,'Основной эфир'!$C:$C=$B606,'Основной эфир'!$I:$I=$C606)), 0) "),0.0)</f>
        <v>0</v>
      </c>
      <c r="K606" s="91" t="str">
        <f>IFERROR(__xludf.DUMMYFUNCTION("IFERROR(REGEXREPLACE(unique(filter('Основной эфир'!$A:$A, 'Основной эфир'!$B:$B=$A606,'Основной эфир'!$C:$C=$B606,'Основной эфир'!$I:$I=$C606)), ""\d+"", """"),"""")"),"")</f>
        <v/>
      </c>
      <c r="L606" s="91" t="str">
        <f>IFERROR(__xludf.DUMMYFUNCTION("IFERROR(unique(filter('Основной эфир'!$F:$F, 'Основной эфир'!$B:$B=$A606,'Основной эфир'!$C:$C=$B606,'Основной эфир'!$I:$I=$C606)),"""")"),"")</f>
        <v/>
      </c>
      <c r="M606" s="92" t="str">
        <f t="shared" si="1"/>
        <v/>
      </c>
      <c r="N606" s="93">
        <f>IFERROR(__xludf.DUMMYFUNCTION("IFERROR(SWITCH(lower(join("" "",L606:M606)),""а миллионник"", 62.5,""б миллионник"", 75,""а мск"", 50, ""б мск"", 62.5, ""a остальное"", 70, ""б остальное"", 80)/100,0)"),0.0)</f>
        <v>0</v>
      </c>
      <c r="O606" s="91">
        <f t="shared" si="2"/>
        <v>0</v>
      </c>
      <c r="P606" s="91">
        <f>IFERROR(__xludf.DUMMYFUNCTION("IFERROR(sum(filter('Генеральный баннер'!$O:$O, 'Генеральный баннер'!$B:$B=$A606,'Генеральный баннер'!$C:$C=$B606,'Генеральный баннер'!$I:$I=$C606)), 0) "),0.0)</f>
        <v>0</v>
      </c>
      <c r="Q606" s="91">
        <f>IFERROR(__xludf.DUMMYFUNCTION("IFERROR(sum(filter('Генеральный баннер'!$Q:$Q, 'Генеральный баннер'!$B:$B=$A606,'Генеральный баннер'!$C:$C=$B606,'Генеральный баннер'!$I:$I=$C606)), 0) "),0.0)</f>
        <v>0</v>
      </c>
      <c r="R606" s="91">
        <f>IFERROR(__xludf.DUMMYFUNCTION("IFERROR(AVERAGE(filter('Генеральный баннер'!$AA:$AA, 'Генеральный баннер'!$B:$B=$A606,'Генеральный баннер'!$C:$C=$B606,'Генеральный баннер'!$I:$I=$C606)), 0) "),0.0)</f>
        <v>0</v>
      </c>
      <c r="S606" s="91">
        <f>IFERROR(__xludf.DUMMYFUNCTION("IFERROR(SUM(filter('Генеральный баннер'!$AH:$AH, 'Генеральный баннер'!$B:$B=$A606,'Генеральный баннер'!$C:$C=$B606,'Генеральный баннер'!$I:$I=$C606)), 0) "),0.0)</f>
        <v>0</v>
      </c>
      <c r="T606" s="91" t="str">
        <f>IFERROR(__xludf.DUMMYFUNCTION("IFERROR(REGEXREPLACE(unique(filter('Генеральный баннер'!$A:$A, 'Генеральный баннер'!$B:$B=$A606,'Генеральный баннер'!$C:$C=$B606,'Генеральный баннер'!$I:$I=$C606)), ""\d+"", """"),"""")"),"")</f>
        <v/>
      </c>
      <c r="U606" s="91" t="str">
        <f>IFERROR(__xludf.DUMMYFUNCTION("IFERROR(unique(filter('Генеральный баннер'!$F:$F, 'Генеральный баннер'!$B:$B=$A606,'Генеральный баннер'!$C:$C=$B606,'Генеральный баннер'!$I:$I=$C606)),"""")"),"")</f>
        <v/>
      </c>
      <c r="V606" s="92" t="str">
        <f t="shared" si="3"/>
        <v/>
      </c>
      <c r="W606" s="93">
        <f>IFERROR(__xludf.DUMMYFUNCTION("IFERROR(SWITCH(lower(join("" "",U606:V606)),""а миллионник"", 62.5,""б миллионник"", 75,""а мск"", 50, ""б мск"", 62.5, ""a остальное"", 70, ""б остальное"", 80)/100,0)"),0.0)</f>
        <v>0</v>
      </c>
      <c r="X606" s="91">
        <f t="shared" si="4"/>
        <v>0</v>
      </c>
    </row>
    <row r="607">
      <c r="A607" s="12"/>
      <c r="B607" s="12"/>
      <c r="C607" s="12"/>
      <c r="D607" s="91">
        <f>IFERROR(__xludf.DUMMYFUNCTION("IFERROR(sum(filter('Основной эфир'!$AA:$AA, 'Основной эфир'!$B:$B=$A607,'Основной эфир'!$C:$C=$B607,'Основной эфир'!$I:$I=$C607)), 0) "),0.0)</f>
        <v>0</v>
      </c>
      <c r="E607" s="91">
        <f>IFERROR(__xludf.DUMMYFUNCTION("IFERROR(sum(filter('Основной эфир'!$AC:$AC, 'Основной эфир'!$B:$B=$A607,'Основной эфир'!$C:$C=$B607,'Основной эфир'!$I:$I=$C607)), 0) "),0.0)</f>
        <v>0</v>
      </c>
      <c r="F607" s="91">
        <f>IFERROR(__xludf.DUMMYFUNCTION("IFERROR(sum(filter('Основной эфир'!$O:$O, 'Основной эфир'!$B:$B=$A607,'Основной эфир'!$C:$C=$B607,'Основной эфир'!$I:$I=$C607)), 0) "),0.0)</f>
        <v>0</v>
      </c>
      <c r="G607" s="91">
        <f>IFERROR(__xludf.DUMMYFUNCTION("IFERROR(sum(filter('Основной эфир'!$Q:$Q, 'Основной эфир'!$B:$B=$A607,'Основной эфир'!$C:$C=$B607,'Основной эфир'!$I:$I=$C607)), 0) "),0.0)</f>
        <v>0</v>
      </c>
      <c r="H607" s="91">
        <f>IFERROR(__xludf.DUMMYFUNCTION("IFERROR(AVERAGE(filter('Основной эфир'!$Y:$Y, 'Основной эфир'!$B:$B=$A607,'Основной эфир'!$C:$C=$B607,'Основной эфир'!$I:$I=$C607)), 0) "),0.0)</f>
        <v>0</v>
      </c>
      <c r="I607" s="91">
        <f>IFERROR(__xludf.DUMMYFUNCTION("IFERROR(AVERAGE(filter('Основной эфир'!$AE:$AE, 'Основной эфир'!$B:$B=$A607,'Основной эфир'!$C:$C=$B607,'Основной эфир'!$I:$I=$C607)), 0) "),0.0)</f>
        <v>0</v>
      </c>
      <c r="J607" s="91">
        <f>IFERROR(__xludf.DUMMYFUNCTION("IFERROR(SUM(filter('Основной эфир'!$AL:$AL, 'Основной эфир'!$B:$B=$A607,'Основной эфир'!$C:$C=$B607,'Основной эфир'!$I:$I=$C607)), 0) "),0.0)</f>
        <v>0</v>
      </c>
      <c r="K607" s="91" t="str">
        <f>IFERROR(__xludf.DUMMYFUNCTION("IFERROR(REGEXREPLACE(unique(filter('Основной эфир'!$A:$A, 'Основной эфир'!$B:$B=$A607,'Основной эфир'!$C:$C=$B607,'Основной эфир'!$I:$I=$C607)), ""\d+"", """"),"""")"),"")</f>
        <v/>
      </c>
      <c r="L607" s="91" t="str">
        <f>IFERROR(__xludf.DUMMYFUNCTION("IFERROR(unique(filter('Основной эфир'!$F:$F, 'Основной эфир'!$B:$B=$A607,'Основной эфир'!$C:$C=$B607,'Основной эфир'!$I:$I=$C607)),"""")"),"")</f>
        <v/>
      </c>
      <c r="M607" s="92" t="str">
        <f t="shared" si="1"/>
        <v/>
      </c>
      <c r="N607" s="93">
        <f>IFERROR(__xludf.DUMMYFUNCTION("IFERROR(SWITCH(lower(join("" "",L607:M607)),""а миллионник"", 62.5,""б миллионник"", 75,""а мск"", 50, ""б мск"", 62.5, ""a остальное"", 70, ""б остальное"", 80)/100,0)"),0.0)</f>
        <v>0</v>
      </c>
      <c r="O607" s="91">
        <f t="shared" si="2"/>
        <v>0</v>
      </c>
      <c r="P607" s="91">
        <f>IFERROR(__xludf.DUMMYFUNCTION("IFERROR(sum(filter('Генеральный баннер'!$O:$O, 'Генеральный баннер'!$B:$B=$A607,'Генеральный баннер'!$C:$C=$B607,'Генеральный баннер'!$I:$I=$C607)), 0) "),0.0)</f>
        <v>0</v>
      </c>
      <c r="Q607" s="91">
        <f>IFERROR(__xludf.DUMMYFUNCTION("IFERROR(sum(filter('Генеральный баннер'!$Q:$Q, 'Генеральный баннер'!$B:$B=$A607,'Генеральный баннер'!$C:$C=$B607,'Генеральный баннер'!$I:$I=$C607)), 0) "),0.0)</f>
        <v>0</v>
      </c>
      <c r="R607" s="91">
        <f>IFERROR(__xludf.DUMMYFUNCTION("IFERROR(AVERAGE(filter('Генеральный баннер'!$AA:$AA, 'Генеральный баннер'!$B:$B=$A607,'Генеральный баннер'!$C:$C=$B607,'Генеральный баннер'!$I:$I=$C607)), 0) "),0.0)</f>
        <v>0</v>
      </c>
      <c r="S607" s="91">
        <f>IFERROR(__xludf.DUMMYFUNCTION("IFERROR(SUM(filter('Генеральный баннер'!$AH:$AH, 'Генеральный баннер'!$B:$B=$A607,'Генеральный баннер'!$C:$C=$B607,'Генеральный баннер'!$I:$I=$C607)), 0) "),0.0)</f>
        <v>0</v>
      </c>
      <c r="T607" s="91" t="str">
        <f>IFERROR(__xludf.DUMMYFUNCTION("IFERROR(REGEXREPLACE(unique(filter('Генеральный баннер'!$A:$A, 'Генеральный баннер'!$B:$B=$A607,'Генеральный баннер'!$C:$C=$B607,'Генеральный баннер'!$I:$I=$C607)), ""\d+"", """"),"""")"),"")</f>
        <v/>
      </c>
      <c r="U607" s="91" t="str">
        <f>IFERROR(__xludf.DUMMYFUNCTION("IFERROR(unique(filter('Генеральный баннер'!$F:$F, 'Генеральный баннер'!$B:$B=$A607,'Генеральный баннер'!$C:$C=$B607,'Генеральный баннер'!$I:$I=$C607)),"""")"),"")</f>
        <v/>
      </c>
      <c r="V607" s="92" t="str">
        <f t="shared" si="3"/>
        <v/>
      </c>
      <c r="W607" s="93">
        <f>IFERROR(__xludf.DUMMYFUNCTION("IFERROR(SWITCH(lower(join("" "",U607:V607)),""а миллионник"", 62.5,""б миллионник"", 75,""а мск"", 50, ""б мск"", 62.5, ""a остальное"", 70, ""б остальное"", 80)/100,0)"),0.0)</f>
        <v>0</v>
      </c>
      <c r="X607" s="91">
        <f t="shared" si="4"/>
        <v>0</v>
      </c>
    </row>
    <row r="608">
      <c r="A608" s="12"/>
      <c r="B608" s="12"/>
      <c r="C608" s="12"/>
      <c r="D608" s="91">
        <f>IFERROR(__xludf.DUMMYFUNCTION("IFERROR(sum(filter('Основной эфир'!$AA:$AA, 'Основной эфир'!$B:$B=$A608,'Основной эфир'!$C:$C=$B608,'Основной эфир'!$I:$I=$C608)), 0) "),0.0)</f>
        <v>0</v>
      </c>
      <c r="E608" s="91">
        <f>IFERROR(__xludf.DUMMYFUNCTION("IFERROR(sum(filter('Основной эфир'!$AC:$AC, 'Основной эфир'!$B:$B=$A608,'Основной эфир'!$C:$C=$B608,'Основной эфир'!$I:$I=$C608)), 0) "),0.0)</f>
        <v>0</v>
      </c>
      <c r="F608" s="91">
        <f>IFERROR(__xludf.DUMMYFUNCTION("IFERROR(sum(filter('Основной эфир'!$O:$O, 'Основной эфир'!$B:$B=$A608,'Основной эфир'!$C:$C=$B608,'Основной эфир'!$I:$I=$C608)), 0) "),0.0)</f>
        <v>0</v>
      </c>
      <c r="G608" s="91">
        <f>IFERROR(__xludf.DUMMYFUNCTION("IFERROR(sum(filter('Основной эфир'!$Q:$Q, 'Основной эфир'!$B:$B=$A608,'Основной эфир'!$C:$C=$B608,'Основной эфир'!$I:$I=$C608)), 0) "),0.0)</f>
        <v>0</v>
      </c>
      <c r="H608" s="91">
        <f>IFERROR(__xludf.DUMMYFUNCTION("IFERROR(AVERAGE(filter('Основной эфир'!$Y:$Y, 'Основной эфир'!$B:$B=$A608,'Основной эфир'!$C:$C=$B608,'Основной эфир'!$I:$I=$C608)), 0) "),0.0)</f>
        <v>0</v>
      </c>
      <c r="I608" s="91">
        <f>IFERROR(__xludf.DUMMYFUNCTION("IFERROR(AVERAGE(filter('Основной эфир'!$AE:$AE, 'Основной эфир'!$B:$B=$A608,'Основной эфир'!$C:$C=$B608,'Основной эфир'!$I:$I=$C608)), 0) "),0.0)</f>
        <v>0</v>
      </c>
      <c r="J608" s="91">
        <f>IFERROR(__xludf.DUMMYFUNCTION("IFERROR(SUM(filter('Основной эфир'!$AL:$AL, 'Основной эфир'!$B:$B=$A608,'Основной эфир'!$C:$C=$B608,'Основной эфир'!$I:$I=$C608)), 0) "),0.0)</f>
        <v>0</v>
      </c>
      <c r="K608" s="91" t="str">
        <f>IFERROR(__xludf.DUMMYFUNCTION("IFERROR(REGEXREPLACE(unique(filter('Основной эфир'!$A:$A, 'Основной эфир'!$B:$B=$A608,'Основной эфир'!$C:$C=$B608,'Основной эфир'!$I:$I=$C608)), ""\d+"", """"),"""")"),"")</f>
        <v/>
      </c>
      <c r="L608" s="91" t="str">
        <f>IFERROR(__xludf.DUMMYFUNCTION("IFERROR(unique(filter('Основной эфир'!$F:$F, 'Основной эфир'!$B:$B=$A608,'Основной эфир'!$C:$C=$B608,'Основной эфир'!$I:$I=$C608)),"""")"),"")</f>
        <v/>
      </c>
      <c r="M608" s="92" t="str">
        <f t="shared" si="1"/>
        <v/>
      </c>
      <c r="N608" s="93">
        <f>IFERROR(__xludf.DUMMYFUNCTION("IFERROR(SWITCH(lower(join("" "",L608:M608)),""а миллионник"", 62.5,""б миллионник"", 75,""а мск"", 50, ""б мск"", 62.5, ""a остальное"", 70, ""б остальное"", 80)/100,0)"),0.0)</f>
        <v>0</v>
      </c>
      <c r="O608" s="91">
        <f t="shared" si="2"/>
        <v>0</v>
      </c>
      <c r="P608" s="91">
        <f>IFERROR(__xludf.DUMMYFUNCTION("IFERROR(sum(filter('Генеральный баннер'!$O:$O, 'Генеральный баннер'!$B:$B=$A608,'Генеральный баннер'!$C:$C=$B608,'Генеральный баннер'!$I:$I=$C608)), 0) "),0.0)</f>
        <v>0</v>
      </c>
      <c r="Q608" s="91">
        <f>IFERROR(__xludf.DUMMYFUNCTION("IFERROR(sum(filter('Генеральный баннер'!$Q:$Q, 'Генеральный баннер'!$B:$B=$A608,'Генеральный баннер'!$C:$C=$B608,'Генеральный баннер'!$I:$I=$C608)), 0) "),0.0)</f>
        <v>0</v>
      </c>
      <c r="R608" s="91">
        <f>IFERROR(__xludf.DUMMYFUNCTION("IFERROR(AVERAGE(filter('Генеральный баннер'!$AA:$AA, 'Генеральный баннер'!$B:$B=$A608,'Генеральный баннер'!$C:$C=$B608,'Генеральный баннер'!$I:$I=$C608)), 0) "),0.0)</f>
        <v>0</v>
      </c>
      <c r="S608" s="91">
        <f>IFERROR(__xludf.DUMMYFUNCTION("IFERROR(SUM(filter('Генеральный баннер'!$AH:$AH, 'Генеральный баннер'!$B:$B=$A608,'Генеральный баннер'!$C:$C=$B608,'Генеральный баннер'!$I:$I=$C608)), 0) "),0.0)</f>
        <v>0</v>
      </c>
      <c r="T608" s="91" t="str">
        <f>IFERROR(__xludf.DUMMYFUNCTION("IFERROR(REGEXREPLACE(unique(filter('Генеральный баннер'!$A:$A, 'Генеральный баннер'!$B:$B=$A608,'Генеральный баннер'!$C:$C=$B608,'Генеральный баннер'!$I:$I=$C608)), ""\d+"", """"),"""")"),"")</f>
        <v/>
      </c>
      <c r="U608" s="91" t="str">
        <f>IFERROR(__xludf.DUMMYFUNCTION("IFERROR(unique(filter('Генеральный баннер'!$F:$F, 'Генеральный баннер'!$B:$B=$A608,'Генеральный баннер'!$C:$C=$B608,'Генеральный баннер'!$I:$I=$C608)),"""")"),"")</f>
        <v/>
      </c>
      <c r="V608" s="92" t="str">
        <f t="shared" si="3"/>
        <v/>
      </c>
      <c r="W608" s="93">
        <f>IFERROR(__xludf.DUMMYFUNCTION("IFERROR(SWITCH(lower(join("" "",U608:V608)),""а миллионник"", 62.5,""б миллионник"", 75,""а мск"", 50, ""б мск"", 62.5, ""a остальное"", 70, ""б остальное"", 80)/100,0)"),0.0)</f>
        <v>0</v>
      </c>
      <c r="X608" s="91">
        <f t="shared" si="4"/>
        <v>0</v>
      </c>
    </row>
    <row r="609">
      <c r="A609" s="12"/>
      <c r="B609" s="12"/>
      <c r="C609" s="12"/>
      <c r="D609" s="91">
        <f>IFERROR(__xludf.DUMMYFUNCTION("IFERROR(sum(filter('Основной эфир'!$AA:$AA, 'Основной эфир'!$B:$B=$A609,'Основной эфир'!$C:$C=$B609,'Основной эфир'!$I:$I=$C609)), 0) "),0.0)</f>
        <v>0</v>
      </c>
      <c r="E609" s="91">
        <f>IFERROR(__xludf.DUMMYFUNCTION("IFERROR(sum(filter('Основной эфир'!$AC:$AC, 'Основной эфир'!$B:$B=$A609,'Основной эфир'!$C:$C=$B609,'Основной эфир'!$I:$I=$C609)), 0) "),0.0)</f>
        <v>0</v>
      </c>
      <c r="F609" s="91">
        <f>IFERROR(__xludf.DUMMYFUNCTION("IFERROR(sum(filter('Основной эфир'!$O:$O, 'Основной эфир'!$B:$B=$A609,'Основной эфир'!$C:$C=$B609,'Основной эфир'!$I:$I=$C609)), 0) "),0.0)</f>
        <v>0</v>
      </c>
      <c r="G609" s="91">
        <f>IFERROR(__xludf.DUMMYFUNCTION("IFERROR(sum(filter('Основной эфир'!$Q:$Q, 'Основной эфир'!$B:$B=$A609,'Основной эфир'!$C:$C=$B609,'Основной эфир'!$I:$I=$C609)), 0) "),0.0)</f>
        <v>0</v>
      </c>
      <c r="H609" s="91">
        <f>IFERROR(__xludf.DUMMYFUNCTION("IFERROR(AVERAGE(filter('Основной эфир'!$Y:$Y, 'Основной эфир'!$B:$B=$A609,'Основной эфир'!$C:$C=$B609,'Основной эфир'!$I:$I=$C609)), 0) "),0.0)</f>
        <v>0</v>
      </c>
      <c r="I609" s="91">
        <f>IFERROR(__xludf.DUMMYFUNCTION("IFERROR(AVERAGE(filter('Основной эфир'!$AE:$AE, 'Основной эфир'!$B:$B=$A609,'Основной эфир'!$C:$C=$B609,'Основной эфир'!$I:$I=$C609)), 0) "),0.0)</f>
        <v>0</v>
      </c>
      <c r="J609" s="91">
        <f>IFERROR(__xludf.DUMMYFUNCTION("IFERROR(SUM(filter('Основной эфир'!$AL:$AL, 'Основной эфир'!$B:$B=$A609,'Основной эфир'!$C:$C=$B609,'Основной эфир'!$I:$I=$C609)), 0) "),0.0)</f>
        <v>0</v>
      </c>
      <c r="K609" s="91" t="str">
        <f>IFERROR(__xludf.DUMMYFUNCTION("IFERROR(REGEXREPLACE(unique(filter('Основной эфир'!$A:$A, 'Основной эфир'!$B:$B=$A609,'Основной эфир'!$C:$C=$B609,'Основной эфир'!$I:$I=$C609)), ""\d+"", """"),"""")"),"")</f>
        <v/>
      </c>
      <c r="L609" s="91" t="str">
        <f>IFERROR(__xludf.DUMMYFUNCTION("IFERROR(unique(filter('Основной эфир'!$F:$F, 'Основной эфир'!$B:$B=$A609,'Основной эфир'!$C:$C=$B609,'Основной эфир'!$I:$I=$C609)),"""")"),"")</f>
        <v/>
      </c>
      <c r="M609" s="92" t="str">
        <f t="shared" si="1"/>
        <v/>
      </c>
      <c r="N609" s="93">
        <f>IFERROR(__xludf.DUMMYFUNCTION("IFERROR(SWITCH(lower(join("" "",L609:M609)),""а миллионник"", 62.5,""б миллионник"", 75,""а мск"", 50, ""б мск"", 62.5, ""a остальное"", 70, ""б остальное"", 80)/100,0)"),0.0)</f>
        <v>0</v>
      </c>
      <c r="O609" s="91">
        <f t="shared" si="2"/>
        <v>0</v>
      </c>
      <c r="P609" s="91">
        <f>IFERROR(__xludf.DUMMYFUNCTION("IFERROR(sum(filter('Генеральный баннер'!$O:$O, 'Генеральный баннер'!$B:$B=$A609,'Генеральный баннер'!$C:$C=$B609,'Генеральный баннер'!$I:$I=$C609)), 0) "),0.0)</f>
        <v>0</v>
      </c>
      <c r="Q609" s="91">
        <f>IFERROR(__xludf.DUMMYFUNCTION("IFERROR(sum(filter('Генеральный баннер'!$Q:$Q, 'Генеральный баннер'!$B:$B=$A609,'Генеральный баннер'!$C:$C=$B609,'Генеральный баннер'!$I:$I=$C609)), 0) "),0.0)</f>
        <v>0</v>
      </c>
      <c r="R609" s="91">
        <f>IFERROR(__xludf.DUMMYFUNCTION("IFERROR(AVERAGE(filter('Генеральный баннер'!$AA:$AA, 'Генеральный баннер'!$B:$B=$A609,'Генеральный баннер'!$C:$C=$B609,'Генеральный баннер'!$I:$I=$C609)), 0) "),0.0)</f>
        <v>0</v>
      </c>
      <c r="S609" s="91">
        <f>IFERROR(__xludf.DUMMYFUNCTION("IFERROR(SUM(filter('Генеральный баннер'!$AH:$AH, 'Генеральный баннер'!$B:$B=$A609,'Генеральный баннер'!$C:$C=$B609,'Генеральный баннер'!$I:$I=$C609)), 0) "),0.0)</f>
        <v>0</v>
      </c>
      <c r="T609" s="91" t="str">
        <f>IFERROR(__xludf.DUMMYFUNCTION("IFERROR(REGEXREPLACE(unique(filter('Генеральный баннер'!$A:$A, 'Генеральный баннер'!$B:$B=$A609,'Генеральный баннер'!$C:$C=$B609,'Генеральный баннер'!$I:$I=$C609)), ""\d+"", """"),"""")"),"")</f>
        <v/>
      </c>
      <c r="U609" s="91" t="str">
        <f>IFERROR(__xludf.DUMMYFUNCTION("IFERROR(unique(filter('Генеральный баннер'!$F:$F, 'Генеральный баннер'!$B:$B=$A609,'Генеральный баннер'!$C:$C=$B609,'Генеральный баннер'!$I:$I=$C609)),"""")"),"")</f>
        <v/>
      </c>
      <c r="V609" s="92" t="str">
        <f t="shared" si="3"/>
        <v/>
      </c>
      <c r="W609" s="93">
        <f>IFERROR(__xludf.DUMMYFUNCTION("IFERROR(SWITCH(lower(join("" "",U609:V609)),""а миллионник"", 62.5,""б миллионник"", 75,""а мск"", 50, ""б мск"", 62.5, ""a остальное"", 70, ""б остальное"", 80)/100,0)"),0.0)</f>
        <v>0</v>
      </c>
      <c r="X609" s="91">
        <f t="shared" si="4"/>
        <v>0</v>
      </c>
    </row>
    <row r="610">
      <c r="A610" s="12"/>
      <c r="B610" s="12"/>
      <c r="C610" s="12"/>
      <c r="D610" s="91">
        <f>IFERROR(__xludf.DUMMYFUNCTION("IFERROR(sum(filter('Основной эфир'!$AA:$AA, 'Основной эфир'!$B:$B=$A610,'Основной эфир'!$C:$C=$B610,'Основной эфир'!$I:$I=$C610)), 0) "),0.0)</f>
        <v>0</v>
      </c>
      <c r="E610" s="91">
        <f>IFERROR(__xludf.DUMMYFUNCTION("IFERROR(sum(filter('Основной эфир'!$AC:$AC, 'Основной эфир'!$B:$B=$A610,'Основной эфир'!$C:$C=$B610,'Основной эфир'!$I:$I=$C610)), 0) "),0.0)</f>
        <v>0</v>
      </c>
      <c r="F610" s="91">
        <f>IFERROR(__xludf.DUMMYFUNCTION("IFERROR(sum(filter('Основной эфир'!$O:$O, 'Основной эфир'!$B:$B=$A610,'Основной эфир'!$C:$C=$B610,'Основной эфир'!$I:$I=$C610)), 0) "),0.0)</f>
        <v>0</v>
      </c>
      <c r="G610" s="91">
        <f>IFERROR(__xludf.DUMMYFUNCTION("IFERROR(sum(filter('Основной эфир'!$Q:$Q, 'Основной эфир'!$B:$B=$A610,'Основной эфир'!$C:$C=$B610,'Основной эфир'!$I:$I=$C610)), 0) "),0.0)</f>
        <v>0</v>
      </c>
      <c r="H610" s="91">
        <f>IFERROR(__xludf.DUMMYFUNCTION("IFERROR(AVERAGE(filter('Основной эфир'!$Y:$Y, 'Основной эфир'!$B:$B=$A610,'Основной эфир'!$C:$C=$B610,'Основной эфир'!$I:$I=$C610)), 0) "),0.0)</f>
        <v>0</v>
      </c>
      <c r="I610" s="91">
        <f>IFERROR(__xludf.DUMMYFUNCTION("IFERROR(AVERAGE(filter('Основной эфир'!$AE:$AE, 'Основной эфир'!$B:$B=$A610,'Основной эфир'!$C:$C=$B610,'Основной эфир'!$I:$I=$C610)), 0) "),0.0)</f>
        <v>0</v>
      </c>
      <c r="J610" s="91">
        <f>IFERROR(__xludf.DUMMYFUNCTION("IFERROR(SUM(filter('Основной эфир'!$AL:$AL, 'Основной эфир'!$B:$B=$A610,'Основной эфир'!$C:$C=$B610,'Основной эфир'!$I:$I=$C610)), 0) "),0.0)</f>
        <v>0</v>
      </c>
      <c r="K610" s="91" t="str">
        <f>IFERROR(__xludf.DUMMYFUNCTION("IFERROR(REGEXREPLACE(unique(filter('Основной эфир'!$A:$A, 'Основной эфир'!$B:$B=$A610,'Основной эфир'!$C:$C=$B610,'Основной эфир'!$I:$I=$C610)), ""\d+"", """"),"""")"),"")</f>
        <v/>
      </c>
      <c r="L610" s="91" t="str">
        <f>IFERROR(__xludf.DUMMYFUNCTION("IFERROR(unique(filter('Основной эфир'!$F:$F, 'Основной эфир'!$B:$B=$A610,'Основной эфир'!$C:$C=$B610,'Основной эфир'!$I:$I=$C610)),"""")"),"")</f>
        <v/>
      </c>
      <c r="M610" s="92" t="str">
        <f t="shared" si="1"/>
        <v/>
      </c>
      <c r="N610" s="93">
        <f>IFERROR(__xludf.DUMMYFUNCTION("IFERROR(SWITCH(lower(join("" "",L610:M610)),""а миллионник"", 62.5,""б миллионник"", 75,""а мск"", 50, ""б мск"", 62.5, ""a остальное"", 70, ""б остальное"", 80)/100,0)"),0.0)</f>
        <v>0</v>
      </c>
      <c r="O610" s="91">
        <f t="shared" si="2"/>
        <v>0</v>
      </c>
      <c r="P610" s="91">
        <f>IFERROR(__xludf.DUMMYFUNCTION("IFERROR(sum(filter('Генеральный баннер'!$O:$O, 'Генеральный баннер'!$B:$B=$A610,'Генеральный баннер'!$C:$C=$B610,'Генеральный баннер'!$I:$I=$C610)), 0) "),0.0)</f>
        <v>0</v>
      </c>
      <c r="Q610" s="91">
        <f>IFERROR(__xludf.DUMMYFUNCTION("IFERROR(sum(filter('Генеральный баннер'!$Q:$Q, 'Генеральный баннер'!$B:$B=$A610,'Генеральный баннер'!$C:$C=$B610,'Генеральный баннер'!$I:$I=$C610)), 0) "),0.0)</f>
        <v>0</v>
      </c>
      <c r="R610" s="91">
        <f>IFERROR(__xludf.DUMMYFUNCTION("IFERROR(AVERAGE(filter('Генеральный баннер'!$AA:$AA, 'Генеральный баннер'!$B:$B=$A610,'Генеральный баннер'!$C:$C=$B610,'Генеральный баннер'!$I:$I=$C610)), 0) "),0.0)</f>
        <v>0</v>
      </c>
      <c r="S610" s="91">
        <f>IFERROR(__xludf.DUMMYFUNCTION("IFERROR(SUM(filter('Генеральный баннер'!$AH:$AH, 'Генеральный баннер'!$B:$B=$A610,'Генеральный баннер'!$C:$C=$B610,'Генеральный баннер'!$I:$I=$C610)), 0) "),0.0)</f>
        <v>0</v>
      </c>
      <c r="T610" s="91" t="str">
        <f>IFERROR(__xludf.DUMMYFUNCTION("IFERROR(REGEXREPLACE(unique(filter('Генеральный баннер'!$A:$A, 'Генеральный баннер'!$B:$B=$A610,'Генеральный баннер'!$C:$C=$B610,'Генеральный баннер'!$I:$I=$C610)), ""\d+"", """"),"""")"),"")</f>
        <v/>
      </c>
      <c r="U610" s="91" t="str">
        <f>IFERROR(__xludf.DUMMYFUNCTION("IFERROR(unique(filter('Генеральный баннер'!$F:$F, 'Генеральный баннер'!$B:$B=$A610,'Генеральный баннер'!$C:$C=$B610,'Генеральный баннер'!$I:$I=$C610)),"""")"),"")</f>
        <v/>
      </c>
      <c r="V610" s="92" t="str">
        <f t="shared" si="3"/>
        <v/>
      </c>
      <c r="W610" s="93">
        <f>IFERROR(__xludf.DUMMYFUNCTION("IFERROR(SWITCH(lower(join("" "",U610:V610)),""а миллионник"", 62.5,""б миллионник"", 75,""а мск"", 50, ""б мск"", 62.5, ""a остальное"", 70, ""б остальное"", 80)/100,0)"),0.0)</f>
        <v>0</v>
      </c>
      <c r="X610" s="91">
        <f t="shared" si="4"/>
        <v>0</v>
      </c>
    </row>
    <row r="611">
      <c r="A611" s="12"/>
      <c r="B611" s="12"/>
      <c r="C611" s="12"/>
      <c r="D611" s="91">
        <f>IFERROR(__xludf.DUMMYFUNCTION("IFERROR(sum(filter('Основной эфир'!$AA:$AA, 'Основной эфир'!$B:$B=$A611,'Основной эфир'!$C:$C=$B611,'Основной эфир'!$I:$I=$C611)), 0) "),0.0)</f>
        <v>0</v>
      </c>
      <c r="E611" s="91">
        <f>IFERROR(__xludf.DUMMYFUNCTION("IFERROR(sum(filter('Основной эфир'!$AC:$AC, 'Основной эфир'!$B:$B=$A611,'Основной эфир'!$C:$C=$B611,'Основной эфир'!$I:$I=$C611)), 0) "),0.0)</f>
        <v>0</v>
      </c>
      <c r="F611" s="91">
        <f>IFERROR(__xludf.DUMMYFUNCTION("IFERROR(sum(filter('Основной эфир'!$O:$O, 'Основной эфир'!$B:$B=$A611,'Основной эфир'!$C:$C=$B611,'Основной эфир'!$I:$I=$C611)), 0) "),0.0)</f>
        <v>0</v>
      </c>
      <c r="G611" s="91">
        <f>IFERROR(__xludf.DUMMYFUNCTION("IFERROR(sum(filter('Основной эфир'!$Q:$Q, 'Основной эфир'!$B:$B=$A611,'Основной эфир'!$C:$C=$B611,'Основной эфир'!$I:$I=$C611)), 0) "),0.0)</f>
        <v>0</v>
      </c>
      <c r="H611" s="91">
        <f>IFERROR(__xludf.DUMMYFUNCTION("IFERROR(AVERAGE(filter('Основной эфир'!$Y:$Y, 'Основной эфир'!$B:$B=$A611,'Основной эфир'!$C:$C=$B611,'Основной эфир'!$I:$I=$C611)), 0) "),0.0)</f>
        <v>0</v>
      </c>
      <c r="I611" s="91">
        <f>IFERROR(__xludf.DUMMYFUNCTION("IFERROR(AVERAGE(filter('Основной эфир'!$AE:$AE, 'Основной эфир'!$B:$B=$A611,'Основной эфир'!$C:$C=$B611,'Основной эфир'!$I:$I=$C611)), 0) "),0.0)</f>
        <v>0</v>
      </c>
      <c r="J611" s="91">
        <f>IFERROR(__xludf.DUMMYFUNCTION("IFERROR(SUM(filter('Основной эфир'!$AL:$AL, 'Основной эфир'!$B:$B=$A611,'Основной эфир'!$C:$C=$B611,'Основной эфир'!$I:$I=$C611)), 0) "),0.0)</f>
        <v>0</v>
      </c>
      <c r="K611" s="91" t="str">
        <f>IFERROR(__xludf.DUMMYFUNCTION("IFERROR(REGEXREPLACE(unique(filter('Основной эфир'!$A:$A, 'Основной эфир'!$B:$B=$A611,'Основной эфир'!$C:$C=$B611,'Основной эфир'!$I:$I=$C611)), ""\d+"", """"),"""")"),"")</f>
        <v/>
      </c>
      <c r="L611" s="91" t="str">
        <f>IFERROR(__xludf.DUMMYFUNCTION("IFERROR(unique(filter('Основной эфир'!$F:$F, 'Основной эфир'!$B:$B=$A611,'Основной эфир'!$C:$C=$B611,'Основной эфир'!$I:$I=$C611)),"""")"),"")</f>
        <v/>
      </c>
      <c r="M611" s="92" t="str">
        <f t="shared" si="1"/>
        <v/>
      </c>
      <c r="N611" s="93">
        <f>IFERROR(__xludf.DUMMYFUNCTION("IFERROR(SWITCH(lower(join("" "",L611:M611)),""а миллионник"", 62.5,""б миллионник"", 75,""а мск"", 50, ""б мск"", 62.5, ""a остальное"", 70, ""б остальное"", 80)/100,0)"),0.0)</f>
        <v>0</v>
      </c>
      <c r="O611" s="91">
        <f t="shared" si="2"/>
        <v>0</v>
      </c>
      <c r="P611" s="91">
        <f>IFERROR(__xludf.DUMMYFUNCTION("IFERROR(sum(filter('Генеральный баннер'!$O:$O, 'Генеральный баннер'!$B:$B=$A611,'Генеральный баннер'!$C:$C=$B611,'Генеральный баннер'!$I:$I=$C611)), 0) "),0.0)</f>
        <v>0</v>
      </c>
      <c r="Q611" s="91">
        <f>IFERROR(__xludf.DUMMYFUNCTION("IFERROR(sum(filter('Генеральный баннер'!$Q:$Q, 'Генеральный баннер'!$B:$B=$A611,'Генеральный баннер'!$C:$C=$B611,'Генеральный баннер'!$I:$I=$C611)), 0) "),0.0)</f>
        <v>0</v>
      </c>
      <c r="R611" s="91">
        <f>IFERROR(__xludf.DUMMYFUNCTION("IFERROR(AVERAGE(filter('Генеральный баннер'!$AA:$AA, 'Генеральный баннер'!$B:$B=$A611,'Генеральный баннер'!$C:$C=$B611,'Генеральный баннер'!$I:$I=$C611)), 0) "),0.0)</f>
        <v>0</v>
      </c>
      <c r="S611" s="91">
        <f>IFERROR(__xludf.DUMMYFUNCTION("IFERROR(SUM(filter('Генеральный баннер'!$AH:$AH, 'Генеральный баннер'!$B:$B=$A611,'Генеральный баннер'!$C:$C=$B611,'Генеральный баннер'!$I:$I=$C611)), 0) "),0.0)</f>
        <v>0</v>
      </c>
      <c r="T611" s="91" t="str">
        <f>IFERROR(__xludf.DUMMYFUNCTION("IFERROR(REGEXREPLACE(unique(filter('Генеральный баннер'!$A:$A, 'Генеральный баннер'!$B:$B=$A611,'Генеральный баннер'!$C:$C=$B611,'Генеральный баннер'!$I:$I=$C611)), ""\d+"", """"),"""")"),"")</f>
        <v/>
      </c>
      <c r="U611" s="91" t="str">
        <f>IFERROR(__xludf.DUMMYFUNCTION("IFERROR(unique(filter('Генеральный баннер'!$F:$F, 'Генеральный баннер'!$B:$B=$A611,'Генеральный баннер'!$C:$C=$B611,'Генеральный баннер'!$I:$I=$C611)),"""")"),"")</f>
        <v/>
      </c>
      <c r="V611" s="92" t="str">
        <f t="shared" si="3"/>
        <v/>
      </c>
      <c r="W611" s="93">
        <f>IFERROR(__xludf.DUMMYFUNCTION("IFERROR(SWITCH(lower(join("" "",U611:V611)),""а миллионник"", 62.5,""б миллионник"", 75,""а мск"", 50, ""б мск"", 62.5, ""a остальное"", 70, ""б остальное"", 80)/100,0)"),0.0)</f>
        <v>0</v>
      </c>
      <c r="X611" s="91">
        <f t="shared" si="4"/>
        <v>0</v>
      </c>
    </row>
    <row r="612">
      <c r="A612" s="12"/>
      <c r="B612" s="12"/>
      <c r="C612" s="12"/>
      <c r="D612" s="91">
        <f>IFERROR(__xludf.DUMMYFUNCTION("IFERROR(sum(filter('Основной эфир'!$AA:$AA, 'Основной эфир'!$B:$B=$A612,'Основной эфир'!$C:$C=$B612,'Основной эфир'!$I:$I=$C612)), 0) "),0.0)</f>
        <v>0</v>
      </c>
      <c r="E612" s="91">
        <f>IFERROR(__xludf.DUMMYFUNCTION("IFERROR(sum(filter('Основной эфир'!$AC:$AC, 'Основной эфир'!$B:$B=$A612,'Основной эфир'!$C:$C=$B612,'Основной эфир'!$I:$I=$C612)), 0) "),0.0)</f>
        <v>0</v>
      </c>
      <c r="F612" s="91">
        <f>IFERROR(__xludf.DUMMYFUNCTION("IFERROR(sum(filter('Основной эфир'!$O:$O, 'Основной эфир'!$B:$B=$A612,'Основной эфир'!$C:$C=$B612,'Основной эфир'!$I:$I=$C612)), 0) "),0.0)</f>
        <v>0</v>
      </c>
      <c r="G612" s="91">
        <f>IFERROR(__xludf.DUMMYFUNCTION("IFERROR(sum(filter('Основной эфир'!$Q:$Q, 'Основной эфир'!$B:$B=$A612,'Основной эфир'!$C:$C=$B612,'Основной эфир'!$I:$I=$C612)), 0) "),0.0)</f>
        <v>0</v>
      </c>
      <c r="H612" s="91">
        <f>IFERROR(__xludf.DUMMYFUNCTION("IFERROR(AVERAGE(filter('Основной эфир'!$Y:$Y, 'Основной эфир'!$B:$B=$A612,'Основной эфир'!$C:$C=$B612,'Основной эфир'!$I:$I=$C612)), 0) "),0.0)</f>
        <v>0</v>
      </c>
      <c r="I612" s="91">
        <f>IFERROR(__xludf.DUMMYFUNCTION("IFERROR(AVERAGE(filter('Основной эфир'!$AE:$AE, 'Основной эфир'!$B:$B=$A612,'Основной эфир'!$C:$C=$B612,'Основной эфир'!$I:$I=$C612)), 0) "),0.0)</f>
        <v>0</v>
      </c>
      <c r="J612" s="91">
        <f>IFERROR(__xludf.DUMMYFUNCTION("IFERROR(SUM(filter('Основной эфир'!$AL:$AL, 'Основной эфир'!$B:$B=$A612,'Основной эфир'!$C:$C=$B612,'Основной эфир'!$I:$I=$C612)), 0) "),0.0)</f>
        <v>0</v>
      </c>
      <c r="K612" s="91" t="str">
        <f>IFERROR(__xludf.DUMMYFUNCTION("IFERROR(REGEXREPLACE(unique(filter('Основной эфир'!$A:$A, 'Основной эфир'!$B:$B=$A612,'Основной эфир'!$C:$C=$B612,'Основной эфир'!$I:$I=$C612)), ""\d+"", """"),"""")"),"")</f>
        <v/>
      </c>
      <c r="L612" s="91" t="str">
        <f>IFERROR(__xludf.DUMMYFUNCTION("IFERROR(unique(filter('Основной эфир'!$F:$F, 'Основной эфир'!$B:$B=$A612,'Основной эфир'!$C:$C=$B612,'Основной эфир'!$I:$I=$C612)),"""")"),"")</f>
        <v/>
      </c>
      <c r="M612" s="92" t="str">
        <f t="shared" si="1"/>
        <v/>
      </c>
      <c r="N612" s="93">
        <f>IFERROR(__xludf.DUMMYFUNCTION("IFERROR(SWITCH(lower(join("" "",L612:M612)),""а миллионник"", 62.5,""б миллионник"", 75,""а мск"", 50, ""б мск"", 62.5, ""a остальное"", 70, ""б остальное"", 80)/100,0)"),0.0)</f>
        <v>0</v>
      </c>
      <c r="O612" s="91">
        <f t="shared" si="2"/>
        <v>0</v>
      </c>
      <c r="P612" s="91">
        <f>IFERROR(__xludf.DUMMYFUNCTION("IFERROR(sum(filter('Генеральный баннер'!$O:$O, 'Генеральный баннер'!$B:$B=$A612,'Генеральный баннер'!$C:$C=$B612,'Генеральный баннер'!$I:$I=$C612)), 0) "),0.0)</f>
        <v>0</v>
      </c>
      <c r="Q612" s="91">
        <f>IFERROR(__xludf.DUMMYFUNCTION("IFERROR(sum(filter('Генеральный баннер'!$Q:$Q, 'Генеральный баннер'!$B:$B=$A612,'Генеральный баннер'!$C:$C=$B612,'Генеральный баннер'!$I:$I=$C612)), 0) "),0.0)</f>
        <v>0</v>
      </c>
      <c r="R612" s="91">
        <f>IFERROR(__xludf.DUMMYFUNCTION("IFERROR(AVERAGE(filter('Генеральный баннер'!$AA:$AA, 'Генеральный баннер'!$B:$B=$A612,'Генеральный баннер'!$C:$C=$B612,'Генеральный баннер'!$I:$I=$C612)), 0) "),0.0)</f>
        <v>0</v>
      </c>
      <c r="S612" s="91">
        <f>IFERROR(__xludf.DUMMYFUNCTION("IFERROR(SUM(filter('Генеральный баннер'!$AH:$AH, 'Генеральный баннер'!$B:$B=$A612,'Генеральный баннер'!$C:$C=$B612,'Генеральный баннер'!$I:$I=$C612)), 0) "),0.0)</f>
        <v>0</v>
      </c>
      <c r="T612" s="91" t="str">
        <f>IFERROR(__xludf.DUMMYFUNCTION("IFERROR(REGEXREPLACE(unique(filter('Генеральный баннер'!$A:$A, 'Генеральный баннер'!$B:$B=$A612,'Генеральный баннер'!$C:$C=$B612,'Генеральный баннер'!$I:$I=$C612)), ""\d+"", """"),"""")"),"")</f>
        <v/>
      </c>
      <c r="U612" s="91" t="str">
        <f>IFERROR(__xludf.DUMMYFUNCTION("IFERROR(unique(filter('Генеральный баннер'!$F:$F, 'Генеральный баннер'!$B:$B=$A612,'Генеральный баннер'!$C:$C=$B612,'Генеральный баннер'!$I:$I=$C612)),"""")"),"")</f>
        <v/>
      </c>
      <c r="V612" s="92" t="str">
        <f t="shared" si="3"/>
        <v/>
      </c>
      <c r="W612" s="93">
        <f>IFERROR(__xludf.DUMMYFUNCTION("IFERROR(SWITCH(lower(join("" "",U612:V612)),""а миллионник"", 62.5,""б миллионник"", 75,""а мск"", 50, ""б мск"", 62.5, ""a остальное"", 70, ""б остальное"", 80)/100,0)"),0.0)</f>
        <v>0</v>
      </c>
      <c r="X612" s="91">
        <f t="shared" si="4"/>
        <v>0</v>
      </c>
    </row>
    <row r="613">
      <c r="A613" s="12"/>
      <c r="B613" s="12"/>
      <c r="C613" s="12"/>
      <c r="D613" s="91">
        <f>IFERROR(__xludf.DUMMYFUNCTION("IFERROR(sum(filter('Основной эфир'!$AA:$AA, 'Основной эфир'!$B:$B=$A613,'Основной эфир'!$C:$C=$B613,'Основной эфир'!$I:$I=$C613)), 0) "),0.0)</f>
        <v>0</v>
      </c>
      <c r="E613" s="91">
        <f>IFERROR(__xludf.DUMMYFUNCTION("IFERROR(sum(filter('Основной эфир'!$AC:$AC, 'Основной эфир'!$B:$B=$A613,'Основной эфир'!$C:$C=$B613,'Основной эфир'!$I:$I=$C613)), 0) "),0.0)</f>
        <v>0</v>
      </c>
      <c r="F613" s="91">
        <f>IFERROR(__xludf.DUMMYFUNCTION("IFERROR(sum(filter('Основной эфир'!$O:$O, 'Основной эфир'!$B:$B=$A613,'Основной эфир'!$C:$C=$B613,'Основной эфир'!$I:$I=$C613)), 0) "),0.0)</f>
        <v>0</v>
      </c>
      <c r="G613" s="91">
        <f>IFERROR(__xludf.DUMMYFUNCTION("IFERROR(sum(filter('Основной эфир'!$Q:$Q, 'Основной эфир'!$B:$B=$A613,'Основной эфир'!$C:$C=$B613,'Основной эфир'!$I:$I=$C613)), 0) "),0.0)</f>
        <v>0</v>
      </c>
      <c r="H613" s="91">
        <f>IFERROR(__xludf.DUMMYFUNCTION("IFERROR(AVERAGE(filter('Основной эфир'!$Y:$Y, 'Основной эфир'!$B:$B=$A613,'Основной эфир'!$C:$C=$B613,'Основной эфир'!$I:$I=$C613)), 0) "),0.0)</f>
        <v>0</v>
      </c>
      <c r="I613" s="91">
        <f>IFERROR(__xludf.DUMMYFUNCTION("IFERROR(AVERAGE(filter('Основной эфир'!$AE:$AE, 'Основной эфир'!$B:$B=$A613,'Основной эфир'!$C:$C=$B613,'Основной эфир'!$I:$I=$C613)), 0) "),0.0)</f>
        <v>0</v>
      </c>
      <c r="J613" s="91">
        <f>IFERROR(__xludf.DUMMYFUNCTION("IFERROR(SUM(filter('Основной эфир'!$AL:$AL, 'Основной эфир'!$B:$B=$A613,'Основной эфир'!$C:$C=$B613,'Основной эфир'!$I:$I=$C613)), 0) "),0.0)</f>
        <v>0</v>
      </c>
      <c r="K613" s="91" t="str">
        <f>IFERROR(__xludf.DUMMYFUNCTION("IFERROR(REGEXREPLACE(unique(filter('Основной эфир'!$A:$A, 'Основной эфир'!$B:$B=$A613,'Основной эфир'!$C:$C=$B613,'Основной эфир'!$I:$I=$C613)), ""\d+"", """"),"""")"),"")</f>
        <v/>
      </c>
      <c r="L613" s="91" t="str">
        <f>IFERROR(__xludf.DUMMYFUNCTION("IFERROR(unique(filter('Основной эфир'!$F:$F, 'Основной эфир'!$B:$B=$A613,'Основной эфир'!$C:$C=$B613,'Основной эфир'!$I:$I=$C613)),"""")"),"")</f>
        <v/>
      </c>
      <c r="M613" s="92" t="str">
        <f t="shared" si="1"/>
        <v/>
      </c>
      <c r="N613" s="93">
        <f>IFERROR(__xludf.DUMMYFUNCTION("IFERROR(SWITCH(lower(join("" "",L613:M613)),""а миллионник"", 62.5,""б миллионник"", 75,""а мск"", 50, ""б мск"", 62.5, ""a остальное"", 70, ""б остальное"", 80)/100,0)"),0.0)</f>
        <v>0</v>
      </c>
      <c r="O613" s="91">
        <f t="shared" si="2"/>
        <v>0</v>
      </c>
      <c r="P613" s="91">
        <f>IFERROR(__xludf.DUMMYFUNCTION("IFERROR(sum(filter('Генеральный баннер'!$O:$O, 'Генеральный баннер'!$B:$B=$A613,'Генеральный баннер'!$C:$C=$B613,'Генеральный баннер'!$I:$I=$C613)), 0) "),0.0)</f>
        <v>0</v>
      </c>
      <c r="Q613" s="91">
        <f>IFERROR(__xludf.DUMMYFUNCTION("IFERROR(sum(filter('Генеральный баннер'!$Q:$Q, 'Генеральный баннер'!$B:$B=$A613,'Генеральный баннер'!$C:$C=$B613,'Генеральный баннер'!$I:$I=$C613)), 0) "),0.0)</f>
        <v>0</v>
      </c>
      <c r="R613" s="91">
        <f>IFERROR(__xludf.DUMMYFUNCTION("IFERROR(AVERAGE(filter('Генеральный баннер'!$AA:$AA, 'Генеральный баннер'!$B:$B=$A613,'Генеральный баннер'!$C:$C=$B613,'Генеральный баннер'!$I:$I=$C613)), 0) "),0.0)</f>
        <v>0</v>
      </c>
      <c r="S613" s="91">
        <f>IFERROR(__xludf.DUMMYFUNCTION("IFERROR(SUM(filter('Генеральный баннер'!$AH:$AH, 'Генеральный баннер'!$B:$B=$A613,'Генеральный баннер'!$C:$C=$B613,'Генеральный баннер'!$I:$I=$C613)), 0) "),0.0)</f>
        <v>0</v>
      </c>
      <c r="T613" s="91" t="str">
        <f>IFERROR(__xludf.DUMMYFUNCTION("IFERROR(REGEXREPLACE(unique(filter('Генеральный баннер'!$A:$A, 'Генеральный баннер'!$B:$B=$A613,'Генеральный баннер'!$C:$C=$B613,'Генеральный баннер'!$I:$I=$C613)), ""\d+"", """"),"""")"),"")</f>
        <v/>
      </c>
      <c r="U613" s="91" t="str">
        <f>IFERROR(__xludf.DUMMYFUNCTION("IFERROR(unique(filter('Генеральный баннер'!$F:$F, 'Генеральный баннер'!$B:$B=$A613,'Генеральный баннер'!$C:$C=$B613,'Генеральный баннер'!$I:$I=$C613)),"""")"),"")</f>
        <v/>
      </c>
      <c r="V613" s="92" t="str">
        <f t="shared" si="3"/>
        <v/>
      </c>
      <c r="W613" s="93">
        <f>IFERROR(__xludf.DUMMYFUNCTION("IFERROR(SWITCH(lower(join("" "",U613:V613)),""а миллионник"", 62.5,""б миллионник"", 75,""а мск"", 50, ""б мск"", 62.5, ""a остальное"", 70, ""б остальное"", 80)/100,0)"),0.0)</f>
        <v>0</v>
      </c>
      <c r="X613" s="91">
        <f t="shared" si="4"/>
        <v>0</v>
      </c>
    </row>
    <row r="614">
      <c r="A614" s="12"/>
      <c r="B614" s="12"/>
      <c r="C614" s="12"/>
      <c r="D614" s="91">
        <f>IFERROR(__xludf.DUMMYFUNCTION("IFERROR(sum(filter('Основной эфир'!$AA:$AA, 'Основной эфир'!$B:$B=$A614,'Основной эфир'!$C:$C=$B614,'Основной эфир'!$I:$I=$C614)), 0) "),0.0)</f>
        <v>0</v>
      </c>
      <c r="E614" s="91">
        <f>IFERROR(__xludf.DUMMYFUNCTION("IFERROR(sum(filter('Основной эфир'!$AC:$AC, 'Основной эфир'!$B:$B=$A614,'Основной эфир'!$C:$C=$B614,'Основной эфир'!$I:$I=$C614)), 0) "),0.0)</f>
        <v>0</v>
      </c>
      <c r="F614" s="91">
        <f>IFERROR(__xludf.DUMMYFUNCTION("IFERROR(sum(filter('Основной эфир'!$O:$O, 'Основной эфир'!$B:$B=$A614,'Основной эфир'!$C:$C=$B614,'Основной эфир'!$I:$I=$C614)), 0) "),0.0)</f>
        <v>0</v>
      </c>
      <c r="G614" s="91">
        <f>IFERROR(__xludf.DUMMYFUNCTION("IFERROR(sum(filter('Основной эфир'!$Q:$Q, 'Основной эфир'!$B:$B=$A614,'Основной эфир'!$C:$C=$B614,'Основной эфир'!$I:$I=$C614)), 0) "),0.0)</f>
        <v>0</v>
      </c>
      <c r="H614" s="91">
        <f>IFERROR(__xludf.DUMMYFUNCTION("IFERROR(AVERAGE(filter('Основной эфир'!$Y:$Y, 'Основной эфир'!$B:$B=$A614,'Основной эфир'!$C:$C=$B614,'Основной эфир'!$I:$I=$C614)), 0) "),0.0)</f>
        <v>0</v>
      </c>
      <c r="I614" s="91">
        <f>IFERROR(__xludf.DUMMYFUNCTION("IFERROR(AVERAGE(filter('Основной эфир'!$AE:$AE, 'Основной эфир'!$B:$B=$A614,'Основной эфир'!$C:$C=$B614,'Основной эфир'!$I:$I=$C614)), 0) "),0.0)</f>
        <v>0</v>
      </c>
      <c r="J614" s="91">
        <f>IFERROR(__xludf.DUMMYFUNCTION("IFERROR(SUM(filter('Основной эфир'!$AL:$AL, 'Основной эфир'!$B:$B=$A614,'Основной эфир'!$C:$C=$B614,'Основной эфир'!$I:$I=$C614)), 0) "),0.0)</f>
        <v>0</v>
      </c>
      <c r="K614" s="91" t="str">
        <f>IFERROR(__xludf.DUMMYFUNCTION("IFERROR(REGEXREPLACE(unique(filter('Основной эфир'!$A:$A, 'Основной эфир'!$B:$B=$A614,'Основной эфир'!$C:$C=$B614,'Основной эфир'!$I:$I=$C614)), ""\d+"", """"),"""")"),"")</f>
        <v/>
      </c>
      <c r="L614" s="91" t="str">
        <f>IFERROR(__xludf.DUMMYFUNCTION("IFERROR(unique(filter('Основной эфир'!$F:$F, 'Основной эфир'!$B:$B=$A614,'Основной эфир'!$C:$C=$B614,'Основной эфир'!$I:$I=$C614)),"""")"),"")</f>
        <v/>
      </c>
      <c r="M614" s="92" t="str">
        <f t="shared" si="1"/>
        <v/>
      </c>
      <c r="N614" s="93">
        <f>IFERROR(__xludf.DUMMYFUNCTION("IFERROR(SWITCH(lower(join("" "",L614:M614)),""а миллионник"", 62.5,""б миллионник"", 75,""а мск"", 50, ""б мск"", 62.5, ""a остальное"", 70, ""б остальное"", 80)/100,0)"),0.0)</f>
        <v>0</v>
      </c>
      <c r="O614" s="91">
        <f t="shared" si="2"/>
        <v>0</v>
      </c>
      <c r="P614" s="91">
        <f>IFERROR(__xludf.DUMMYFUNCTION("IFERROR(sum(filter('Генеральный баннер'!$O:$O, 'Генеральный баннер'!$B:$B=$A614,'Генеральный баннер'!$C:$C=$B614,'Генеральный баннер'!$I:$I=$C614)), 0) "),0.0)</f>
        <v>0</v>
      </c>
      <c r="Q614" s="91">
        <f>IFERROR(__xludf.DUMMYFUNCTION("IFERROR(sum(filter('Генеральный баннер'!$Q:$Q, 'Генеральный баннер'!$B:$B=$A614,'Генеральный баннер'!$C:$C=$B614,'Генеральный баннер'!$I:$I=$C614)), 0) "),0.0)</f>
        <v>0</v>
      </c>
      <c r="R614" s="91">
        <f>IFERROR(__xludf.DUMMYFUNCTION("IFERROR(AVERAGE(filter('Генеральный баннер'!$AA:$AA, 'Генеральный баннер'!$B:$B=$A614,'Генеральный баннер'!$C:$C=$B614,'Генеральный баннер'!$I:$I=$C614)), 0) "),0.0)</f>
        <v>0</v>
      </c>
      <c r="S614" s="91">
        <f>IFERROR(__xludf.DUMMYFUNCTION("IFERROR(SUM(filter('Генеральный баннер'!$AH:$AH, 'Генеральный баннер'!$B:$B=$A614,'Генеральный баннер'!$C:$C=$B614,'Генеральный баннер'!$I:$I=$C614)), 0) "),0.0)</f>
        <v>0</v>
      </c>
      <c r="T614" s="91" t="str">
        <f>IFERROR(__xludf.DUMMYFUNCTION("IFERROR(REGEXREPLACE(unique(filter('Генеральный баннер'!$A:$A, 'Генеральный баннер'!$B:$B=$A614,'Генеральный баннер'!$C:$C=$B614,'Генеральный баннер'!$I:$I=$C614)), ""\d+"", """"),"""")"),"")</f>
        <v/>
      </c>
      <c r="U614" s="91" t="str">
        <f>IFERROR(__xludf.DUMMYFUNCTION("IFERROR(unique(filter('Генеральный баннер'!$F:$F, 'Генеральный баннер'!$B:$B=$A614,'Генеральный баннер'!$C:$C=$B614,'Генеральный баннер'!$I:$I=$C614)),"""")"),"")</f>
        <v/>
      </c>
      <c r="V614" s="92" t="str">
        <f t="shared" si="3"/>
        <v/>
      </c>
      <c r="W614" s="93">
        <f>IFERROR(__xludf.DUMMYFUNCTION("IFERROR(SWITCH(lower(join("" "",U614:V614)),""а миллионник"", 62.5,""б миллионник"", 75,""а мск"", 50, ""б мск"", 62.5, ""a остальное"", 70, ""б остальное"", 80)/100,0)"),0.0)</f>
        <v>0</v>
      </c>
      <c r="X614" s="91">
        <f t="shared" si="4"/>
        <v>0</v>
      </c>
    </row>
    <row r="615">
      <c r="A615" s="12"/>
      <c r="B615" s="12"/>
      <c r="C615" s="12"/>
      <c r="D615" s="91">
        <f>IFERROR(__xludf.DUMMYFUNCTION("IFERROR(sum(filter('Основной эфир'!$AA:$AA, 'Основной эфир'!$B:$B=$A615,'Основной эфир'!$C:$C=$B615,'Основной эфир'!$I:$I=$C615)), 0) "),0.0)</f>
        <v>0</v>
      </c>
      <c r="E615" s="91">
        <f>IFERROR(__xludf.DUMMYFUNCTION("IFERROR(sum(filter('Основной эфир'!$AC:$AC, 'Основной эфир'!$B:$B=$A615,'Основной эфир'!$C:$C=$B615,'Основной эфир'!$I:$I=$C615)), 0) "),0.0)</f>
        <v>0</v>
      </c>
      <c r="F615" s="91">
        <f>IFERROR(__xludf.DUMMYFUNCTION("IFERROR(sum(filter('Основной эфир'!$O:$O, 'Основной эфир'!$B:$B=$A615,'Основной эфир'!$C:$C=$B615,'Основной эфир'!$I:$I=$C615)), 0) "),0.0)</f>
        <v>0</v>
      </c>
      <c r="G615" s="91">
        <f>IFERROR(__xludf.DUMMYFUNCTION("IFERROR(sum(filter('Основной эфир'!$Q:$Q, 'Основной эфир'!$B:$B=$A615,'Основной эфир'!$C:$C=$B615,'Основной эфир'!$I:$I=$C615)), 0) "),0.0)</f>
        <v>0</v>
      </c>
      <c r="H615" s="91">
        <f>IFERROR(__xludf.DUMMYFUNCTION("IFERROR(AVERAGE(filter('Основной эфир'!$Y:$Y, 'Основной эфир'!$B:$B=$A615,'Основной эфир'!$C:$C=$B615,'Основной эфир'!$I:$I=$C615)), 0) "),0.0)</f>
        <v>0</v>
      </c>
      <c r="I615" s="91">
        <f>IFERROR(__xludf.DUMMYFUNCTION("IFERROR(AVERAGE(filter('Основной эфир'!$AE:$AE, 'Основной эфир'!$B:$B=$A615,'Основной эфир'!$C:$C=$B615,'Основной эфир'!$I:$I=$C615)), 0) "),0.0)</f>
        <v>0</v>
      </c>
      <c r="J615" s="91">
        <f>IFERROR(__xludf.DUMMYFUNCTION("IFERROR(SUM(filter('Основной эфир'!$AL:$AL, 'Основной эфир'!$B:$B=$A615,'Основной эфир'!$C:$C=$B615,'Основной эфир'!$I:$I=$C615)), 0) "),0.0)</f>
        <v>0</v>
      </c>
      <c r="K615" s="91" t="str">
        <f>IFERROR(__xludf.DUMMYFUNCTION("IFERROR(REGEXREPLACE(unique(filter('Основной эфир'!$A:$A, 'Основной эфир'!$B:$B=$A615,'Основной эфир'!$C:$C=$B615,'Основной эфир'!$I:$I=$C615)), ""\d+"", """"),"""")"),"")</f>
        <v/>
      </c>
      <c r="L615" s="91" t="str">
        <f>IFERROR(__xludf.DUMMYFUNCTION("IFERROR(unique(filter('Основной эфир'!$F:$F, 'Основной эфир'!$B:$B=$A615,'Основной эфир'!$C:$C=$B615,'Основной эфир'!$I:$I=$C615)),"""")"),"")</f>
        <v/>
      </c>
      <c r="M615" s="92" t="str">
        <f t="shared" si="1"/>
        <v/>
      </c>
      <c r="N615" s="93">
        <f>IFERROR(__xludf.DUMMYFUNCTION("IFERROR(SWITCH(lower(join("" "",L615:M615)),""а миллионник"", 62.5,""б миллионник"", 75,""а мск"", 50, ""б мск"", 62.5, ""a остальное"", 70, ""б остальное"", 80)/100,0)"),0.0)</f>
        <v>0</v>
      </c>
      <c r="O615" s="91">
        <f t="shared" si="2"/>
        <v>0</v>
      </c>
      <c r="P615" s="91">
        <f>IFERROR(__xludf.DUMMYFUNCTION("IFERROR(sum(filter('Генеральный баннер'!$O:$O, 'Генеральный баннер'!$B:$B=$A615,'Генеральный баннер'!$C:$C=$B615,'Генеральный баннер'!$I:$I=$C615)), 0) "),0.0)</f>
        <v>0</v>
      </c>
      <c r="Q615" s="91">
        <f>IFERROR(__xludf.DUMMYFUNCTION("IFERROR(sum(filter('Генеральный баннер'!$Q:$Q, 'Генеральный баннер'!$B:$B=$A615,'Генеральный баннер'!$C:$C=$B615,'Генеральный баннер'!$I:$I=$C615)), 0) "),0.0)</f>
        <v>0</v>
      </c>
      <c r="R615" s="91">
        <f>IFERROR(__xludf.DUMMYFUNCTION("IFERROR(AVERAGE(filter('Генеральный баннер'!$AA:$AA, 'Генеральный баннер'!$B:$B=$A615,'Генеральный баннер'!$C:$C=$B615,'Генеральный баннер'!$I:$I=$C615)), 0) "),0.0)</f>
        <v>0</v>
      </c>
      <c r="S615" s="91">
        <f>IFERROR(__xludf.DUMMYFUNCTION("IFERROR(SUM(filter('Генеральный баннер'!$AH:$AH, 'Генеральный баннер'!$B:$B=$A615,'Генеральный баннер'!$C:$C=$B615,'Генеральный баннер'!$I:$I=$C615)), 0) "),0.0)</f>
        <v>0</v>
      </c>
      <c r="T615" s="91" t="str">
        <f>IFERROR(__xludf.DUMMYFUNCTION("IFERROR(REGEXREPLACE(unique(filter('Генеральный баннер'!$A:$A, 'Генеральный баннер'!$B:$B=$A615,'Генеральный баннер'!$C:$C=$B615,'Генеральный баннер'!$I:$I=$C615)), ""\d+"", """"),"""")"),"")</f>
        <v/>
      </c>
      <c r="U615" s="91" t="str">
        <f>IFERROR(__xludf.DUMMYFUNCTION("IFERROR(unique(filter('Генеральный баннер'!$F:$F, 'Генеральный баннер'!$B:$B=$A615,'Генеральный баннер'!$C:$C=$B615,'Генеральный баннер'!$I:$I=$C615)),"""")"),"")</f>
        <v/>
      </c>
      <c r="V615" s="92" t="str">
        <f t="shared" si="3"/>
        <v/>
      </c>
      <c r="W615" s="93">
        <f>IFERROR(__xludf.DUMMYFUNCTION("IFERROR(SWITCH(lower(join("" "",U615:V615)),""а миллионник"", 62.5,""б миллионник"", 75,""а мск"", 50, ""б мск"", 62.5, ""a остальное"", 70, ""б остальное"", 80)/100,0)"),0.0)</f>
        <v>0</v>
      </c>
      <c r="X615" s="91">
        <f t="shared" si="4"/>
        <v>0</v>
      </c>
    </row>
    <row r="616">
      <c r="A616" s="12"/>
      <c r="B616" s="12"/>
      <c r="C616" s="12"/>
      <c r="D616" s="91">
        <f>IFERROR(__xludf.DUMMYFUNCTION("IFERROR(sum(filter('Основной эфир'!$AA:$AA, 'Основной эфир'!$B:$B=$A616,'Основной эфир'!$C:$C=$B616,'Основной эфир'!$I:$I=$C616)), 0) "),0.0)</f>
        <v>0</v>
      </c>
      <c r="E616" s="91">
        <f>IFERROR(__xludf.DUMMYFUNCTION("IFERROR(sum(filter('Основной эфир'!$AC:$AC, 'Основной эфир'!$B:$B=$A616,'Основной эфир'!$C:$C=$B616,'Основной эфир'!$I:$I=$C616)), 0) "),0.0)</f>
        <v>0</v>
      </c>
      <c r="F616" s="91">
        <f>IFERROR(__xludf.DUMMYFUNCTION("IFERROR(sum(filter('Основной эфир'!$O:$O, 'Основной эфир'!$B:$B=$A616,'Основной эфир'!$C:$C=$B616,'Основной эфир'!$I:$I=$C616)), 0) "),0.0)</f>
        <v>0</v>
      </c>
      <c r="G616" s="91">
        <f>IFERROR(__xludf.DUMMYFUNCTION("IFERROR(sum(filter('Основной эфир'!$Q:$Q, 'Основной эфир'!$B:$B=$A616,'Основной эфир'!$C:$C=$B616,'Основной эфир'!$I:$I=$C616)), 0) "),0.0)</f>
        <v>0</v>
      </c>
      <c r="H616" s="91">
        <f>IFERROR(__xludf.DUMMYFUNCTION("IFERROR(AVERAGE(filter('Основной эфир'!$Y:$Y, 'Основной эфир'!$B:$B=$A616,'Основной эфир'!$C:$C=$B616,'Основной эфир'!$I:$I=$C616)), 0) "),0.0)</f>
        <v>0</v>
      </c>
      <c r="I616" s="91">
        <f>IFERROR(__xludf.DUMMYFUNCTION("IFERROR(AVERAGE(filter('Основной эфир'!$AE:$AE, 'Основной эфир'!$B:$B=$A616,'Основной эфир'!$C:$C=$B616,'Основной эфир'!$I:$I=$C616)), 0) "),0.0)</f>
        <v>0</v>
      </c>
      <c r="J616" s="91">
        <f>IFERROR(__xludf.DUMMYFUNCTION("IFERROR(SUM(filter('Основной эфир'!$AL:$AL, 'Основной эфир'!$B:$B=$A616,'Основной эфир'!$C:$C=$B616,'Основной эфир'!$I:$I=$C616)), 0) "),0.0)</f>
        <v>0</v>
      </c>
      <c r="K616" s="91" t="str">
        <f>IFERROR(__xludf.DUMMYFUNCTION("IFERROR(REGEXREPLACE(unique(filter('Основной эфир'!$A:$A, 'Основной эфир'!$B:$B=$A616,'Основной эфир'!$C:$C=$B616,'Основной эфир'!$I:$I=$C616)), ""\d+"", """"),"""")"),"")</f>
        <v/>
      </c>
      <c r="L616" s="91" t="str">
        <f>IFERROR(__xludf.DUMMYFUNCTION("IFERROR(unique(filter('Основной эфир'!$F:$F, 'Основной эфир'!$B:$B=$A616,'Основной эфир'!$C:$C=$B616,'Основной эфир'!$I:$I=$C616)),"""")"),"")</f>
        <v/>
      </c>
      <c r="M616" s="92" t="str">
        <f t="shared" si="1"/>
        <v/>
      </c>
      <c r="N616" s="93">
        <f>IFERROR(__xludf.DUMMYFUNCTION("IFERROR(SWITCH(lower(join("" "",L616:M616)),""а миллионник"", 62.5,""б миллионник"", 75,""а мск"", 50, ""б мск"", 62.5, ""a остальное"", 70, ""б остальное"", 80)/100,0)"),0.0)</f>
        <v>0</v>
      </c>
      <c r="O616" s="91">
        <f t="shared" si="2"/>
        <v>0</v>
      </c>
      <c r="P616" s="91">
        <f>IFERROR(__xludf.DUMMYFUNCTION("IFERROR(sum(filter('Генеральный баннер'!$O:$O, 'Генеральный баннер'!$B:$B=$A616,'Генеральный баннер'!$C:$C=$B616,'Генеральный баннер'!$I:$I=$C616)), 0) "),0.0)</f>
        <v>0</v>
      </c>
      <c r="Q616" s="91">
        <f>IFERROR(__xludf.DUMMYFUNCTION("IFERROR(sum(filter('Генеральный баннер'!$Q:$Q, 'Генеральный баннер'!$B:$B=$A616,'Генеральный баннер'!$C:$C=$B616,'Генеральный баннер'!$I:$I=$C616)), 0) "),0.0)</f>
        <v>0</v>
      </c>
      <c r="R616" s="91">
        <f>IFERROR(__xludf.DUMMYFUNCTION("IFERROR(AVERAGE(filter('Генеральный баннер'!$AA:$AA, 'Генеральный баннер'!$B:$B=$A616,'Генеральный баннер'!$C:$C=$B616,'Генеральный баннер'!$I:$I=$C616)), 0) "),0.0)</f>
        <v>0</v>
      </c>
      <c r="S616" s="91">
        <f>IFERROR(__xludf.DUMMYFUNCTION("IFERROR(SUM(filter('Генеральный баннер'!$AH:$AH, 'Генеральный баннер'!$B:$B=$A616,'Генеральный баннер'!$C:$C=$B616,'Генеральный баннер'!$I:$I=$C616)), 0) "),0.0)</f>
        <v>0</v>
      </c>
      <c r="T616" s="91" t="str">
        <f>IFERROR(__xludf.DUMMYFUNCTION("IFERROR(REGEXREPLACE(unique(filter('Генеральный баннер'!$A:$A, 'Генеральный баннер'!$B:$B=$A616,'Генеральный баннер'!$C:$C=$B616,'Генеральный баннер'!$I:$I=$C616)), ""\d+"", """"),"""")"),"")</f>
        <v/>
      </c>
      <c r="U616" s="91" t="str">
        <f>IFERROR(__xludf.DUMMYFUNCTION("IFERROR(unique(filter('Генеральный баннер'!$F:$F, 'Генеральный баннер'!$B:$B=$A616,'Генеральный баннер'!$C:$C=$B616,'Генеральный баннер'!$I:$I=$C616)),"""")"),"")</f>
        <v/>
      </c>
      <c r="V616" s="92" t="str">
        <f t="shared" si="3"/>
        <v/>
      </c>
      <c r="W616" s="93">
        <f>IFERROR(__xludf.DUMMYFUNCTION("IFERROR(SWITCH(lower(join("" "",U616:V616)),""а миллионник"", 62.5,""б миллионник"", 75,""а мск"", 50, ""б мск"", 62.5, ""a остальное"", 70, ""б остальное"", 80)/100,0)"),0.0)</f>
        <v>0</v>
      </c>
      <c r="X616" s="91">
        <f t="shared" si="4"/>
        <v>0</v>
      </c>
    </row>
    <row r="617">
      <c r="A617" s="12"/>
      <c r="B617" s="12"/>
      <c r="C617" s="12"/>
      <c r="D617" s="91">
        <f>IFERROR(__xludf.DUMMYFUNCTION("IFERROR(sum(filter('Основной эфир'!$AA:$AA, 'Основной эфир'!$B:$B=$A617,'Основной эфир'!$C:$C=$B617,'Основной эфир'!$I:$I=$C617)), 0) "),0.0)</f>
        <v>0</v>
      </c>
      <c r="E617" s="91">
        <f>IFERROR(__xludf.DUMMYFUNCTION("IFERROR(sum(filter('Основной эфир'!$AC:$AC, 'Основной эфир'!$B:$B=$A617,'Основной эфир'!$C:$C=$B617,'Основной эфир'!$I:$I=$C617)), 0) "),0.0)</f>
        <v>0</v>
      </c>
      <c r="F617" s="91">
        <f>IFERROR(__xludf.DUMMYFUNCTION("IFERROR(sum(filter('Основной эфир'!$O:$O, 'Основной эфир'!$B:$B=$A617,'Основной эфир'!$C:$C=$B617,'Основной эфир'!$I:$I=$C617)), 0) "),0.0)</f>
        <v>0</v>
      </c>
      <c r="G617" s="91">
        <f>IFERROR(__xludf.DUMMYFUNCTION("IFERROR(sum(filter('Основной эфир'!$Q:$Q, 'Основной эфир'!$B:$B=$A617,'Основной эфир'!$C:$C=$B617,'Основной эфир'!$I:$I=$C617)), 0) "),0.0)</f>
        <v>0</v>
      </c>
      <c r="H617" s="91">
        <f>IFERROR(__xludf.DUMMYFUNCTION("IFERROR(AVERAGE(filter('Основной эфир'!$Y:$Y, 'Основной эфир'!$B:$B=$A617,'Основной эфир'!$C:$C=$B617,'Основной эфир'!$I:$I=$C617)), 0) "),0.0)</f>
        <v>0</v>
      </c>
      <c r="I617" s="91">
        <f>IFERROR(__xludf.DUMMYFUNCTION("IFERROR(AVERAGE(filter('Основной эфир'!$AE:$AE, 'Основной эфир'!$B:$B=$A617,'Основной эфир'!$C:$C=$B617,'Основной эфир'!$I:$I=$C617)), 0) "),0.0)</f>
        <v>0</v>
      </c>
      <c r="J617" s="91">
        <f>IFERROR(__xludf.DUMMYFUNCTION("IFERROR(SUM(filter('Основной эфир'!$AL:$AL, 'Основной эфир'!$B:$B=$A617,'Основной эфир'!$C:$C=$B617,'Основной эфир'!$I:$I=$C617)), 0) "),0.0)</f>
        <v>0</v>
      </c>
      <c r="K617" s="91" t="str">
        <f>IFERROR(__xludf.DUMMYFUNCTION("IFERROR(REGEXREPLACE(unique(filter('Основной эфир'!$A:$A, 'Основной эфир'!$B:$B=$A617,'Основной эфир'!$C:$C=$B617,'Основной эфир'!$I:$I=$C617)), ""\d+"", """"),"""")"),"")</f>
        <v/>
      </c>
      <c r="L617" s="91" t="str">
        <f>IFERROR(__xludf.DUMMYFUNCTION("IFERROR(unique(filter('Основной эфир'!$F:$F, 'Основной эфир'!$B:$B=$A617,'Основной эфир'!$C:$C=$B617,'Основной эфир'!$I:$I=$C617)),"""")"),"")</f>
        <v/>
      </c>
      <c r="M617" s="92" t="str">
        <f t="shared" si="1"/>
        <v/>
      </c>
      <c r="N617" s="93">
        <f>IFERROR(__xludf.DUMMYFUNCTION("IFERROR(SWITCH(lower(join("" "",L617:M617)),""а миллионник"", 62.5,""б миллионник"", 75,""а мск"", 50, ""б мск"", 62.5, ""a остальное"", 70, ""б остальное"", 80)/100,0)"),0.0)</f>
        <v>0</v>
      </c>
      <c r="O617" s="91">
        <f t="shared" si="2"/>
        <v>0</v>
      </c>
      <c r="P617" s="91">
        <f>IFERROR(__xludf.DUMMYFUNCTION("IFERROR(sum(filter('Генеральный баннер'!$O:$O, 'Генеральный баннер'!$B:$B=$A617,'Генеральный баннер'!$C:$C=$B617,'Генеральный баннер'!$I:$I=$C617)), 0) "),0.0)</f>
        <v>0</v>
      </c>
      <c r="Q617" s="91">
        <f>IFERROR(__xludf.DUMMYFUNCTION("IFERROR(sum(filter('Генеральный баннер'!$Q:$Q, 'Генеральный баннер'!$B:$B=$A617,'Генеральный баннер'!$C:$C=$B617,'Генеральный баннер'!$I:$I=$C617)), 0) "),0.0)</f>
        <v>0</v>
      </c>
      <c r="R617" s="91">
        <f>IFERROR(__xludf.DUMMYFUNCTION("IFERROR(AVERAGE(filter('Генеральный баннер'!$AA:$AA, 'Генеральный баннер'!$B:$B=$A617,'Генеральный баннер'!$C:$C=$B617,'Генеральный баннер'!$I:$I=$C617)), 0) "),0.0)</f>
        <v>0</v>
      </c>
      <c r="S617" s="91">
        <f>IFERROR(__xludf.DUMMYFUNCTION("IFERROR(SUM(filter('Генеральный баннер'!$AH:$AH, 'Генеральный баннер'!$B:$B=$A617,'Генеральный баннер'!$C:$C=$B617,'Генеральный баннер'!$I:$I=$C617)), 0) "),0.0)</f>
        <v>0</v>
      </c>
      <c r="T617" s="91" t="str">
        <f>IFERROR(__xludf.DUMMYFUNCTION("IFERROR(REGEXREPLACE(unique(filter('Генеральный баннер'!$A:$A, 'Генеральный баннер'!$B:$B=$A617,'Генеральный баннер'!$C:$C=$B617,'Генеральный баннер'!$I:$I=$C617)), ""\d+"", """"),"""")"),"")</f>
        <v/>
      </c>
      <c r="U617" s="91" t="str">
        <f>IFERROR(__xludf.DUMMYFUNCTION("IFERROR(unique(filter('Генеральный баннер'!$F:$F, 'Генеральный баннер'!$B:$B=$A617,'Генеральный баннер'!$C:$C=$B617,'Генеральный баннер'!$I:$I=$C617)),"""")"),"")</f>
        <v/>
      </c>
      <c r="V617" s="92" t="str">
        <f t="shared" si="3"/>
        <v/>
      </c>
      <c r="W617" s="93">
        <f>IFERROR(__xludf.DUMMYFUNCTION("IFERROR(SWITCH(lower(join("" "",U617:V617)),""а миллионник"", 62.5,""б миллионник"", 75,""а мск"", 50, ""б мск"", 62.5, ""a остальное"", 70, ""б остальное"", 80)/100,0)"),0.0)</f>
        <v>0</v>
      </c>
      <c r="X617" s="91">
        <f t="shared" si="4"/>
        <v>0</v>
      </c>
    </row>
    <row r="618">
      <c r="A618" s="12"/>
      <c r="B618" s="12"/>
      <c r="C618" s="12"/>
      <c r="D618" s="91">
        <f>IFERROR(__xludf.DUMMYFUNCTION("IFERROR(sum(filter('Основной эфир'!$AA:$AA, 'Основной эфир'!$B:$B=$A618,'Основной эфир'!$C:$C=$B618,'Основной эфир'!$I:$I=$C618)), 0) "),0.0)</f>
        <v>0</v>
      </c>
      <c r="E618" s="91">
        <f>IFERROR(__xludf.DUMMYFUNCTION("IFERROR(sum(filter('Основной эфир'!$AC:$AC, 'Основной эфир'!$B:$B=$A618,'Основной эфир'!$C:$C=$B618,'Основной эфир'!$I:$I=$C618)), 0) "),0.0)</f>
        <v>0</v>
      </c>
      <c r="F618" s="91">
        <f>IFERROR(__xludf.DUMMYFUNCTION("IFERROR(sum(filter('Основной эфир'!$O:$O, 'Основной эфир'!$B:$B=$A618,'Основной эфир'!$C:$C=$B618,'Основной эфир'!$I:$I=$C618)), 0) "),0.0)</f>
        <v>0</v>
      </c>
      <c r="G618" s="91">
        <f>IFERROR(__xludf.DUMMYFUNCTION("IFERROR(sum(filter('Основной эфир'!$Q:$Q, 'Основной эфир'!$B:$B=$A618,'Основной эфир'!$C:$C=$B618,'Основной эфир'!$I:$I=$C618)), 0) "),0.0)</f>
        <v>0</v>
      </c>
      <c r="H618" s="91">
        <f>IFERROR(__xludf.DUMMYFUNCTION("IFERROR(AVERAGE(filter('Основной эфир'!$Y:$Y, 'Основной эфир'!$B:$B=$A618,'Основной эфир'!$C:$C=$B618,'Основной эфир'!$I:$I=$C618)), 0) "),0.0)</f>
        <v>0</v>
      </c>
      <c r="I618" s="91">
        <f>IFERROR(__xludf.DUMMYFUNCTION("IFERROR(AVERAGE(filter('Основной эфир'!$AE:$AE, 'Основной эфир'!$B:$B=$A618,'Основной эфир'!$C:$C=$B618,'Основной эфир'!$I:$I=$C618)), 0) "),0.0)</f>
        <v>0</v>
      </c>
      <c r="J618" s="91">
        <f>IFERROR(__xludf.DUMMYFUNCTION("IFERROR(SUM(filter('Основной эфир'!$AL:$AL, 'Основной эфир'!$B:$B=$A618,'Основной эфир'!$C:$C=$B618,'Основной эфир'!$I:$I=$C618)), 0) "),0.0)</f>
        <v>0</v>
      </c>
      <c r="K618" s="91" t="str">
        <f>IFERROR(__xludf.DUMMYFUNCTION("IFERROR(REGEXREPLACE(unique(filter('Основной эфир'!$A:$A, 'Основной эфир'!$B:$B=$A618,'Основной эфир'!$C:$C=$B618,'Основной эфир'!$I:$I=$C618)), ""\d+"", """"),"""")"),"")</f>
        <v/>
      </c>
      <c r="L618" s="91" t="str">
        <f>IFERROR(__xludf.DUMMYFUNCTION("IFERROR(unique(filter('Основной эфир'!$F:$F, 'Основной эфир'!$B:$B=$A618,'Основной эфир'!$C:$C=$B618,'Основной эфир'!$I:$I=$C618)),"""")"),"")</f>
        <v/>
      </c>
      <c r="M618" s="92" t="str">
        <f t="shared" si="1"/>
        <v/>
      </c>
      <c r="N618" s="93">
        <f>IFERROR(__xludf.DUMMYFUNCTION("IFERROR(SWITCH(lower(join("" "",L618:M618)),""а миллионник"", 62.5,""б миллионник"", 75,""а мск"", 50, ""б мск"", 62.5, ""a остальное"", 70, ""б остальное"", 80)/100,0)"),0.0)</f>
        <v>0</v>
      </c>
      <c r="O618" s="91">
        <f t="shared" si="2"/>
        <v>0</v>
      </c>
      <c r="P618" s="91">
        <f>IFERROR(__xludf.DUMMYFUNCTION("IFERROR(sum(filter('Генеральный баннер'!$O:$O, 'Генеральный баннер'!$B:$B=$A618,'Генеральный баннер'!$C:$C=$B618,'Генеральный баннер'!$I:$I=$C618)), 0) "),0.0)</f>
        <v>0</v>
      </c>
      <c r="Q618" s="91">
        <f>IFERROR(__xludf.DUMMYFUNCTION("IFERROR(sum(filter('Генеральный баннер'!$Q:$Q, 'Генеральный баннер'!$B:$B=$A618,'Генеральный баннер'!$C:$C=$B618,'Генеральный баннер'!$I:$I=$C618)), 0) "),0.0)</f>
        <v>0</v>
      </c>
      <c r="R618" s="91">
        <f>IFERROR(__xludf.DUMMYFUNCTION("IFERROR(AVERAGE(filter('Генеральный баннер'!$AA:$AA, 'Генеральный баннер'!$B:$B=$A618,'Генеральный баннер'!$C:$C=$B618,'Генеральный баннер'!$I:$I=$C618)), 0) "),0.0)</f>
        <v>0</v>
      </c>
      <c r="S618" s="91">
        <f>IFERROR(__xludf.DUMMYFUNCTION("IFERROR(SUM(filter('Генеральный баннер'!$AH:$AH, 'Генеральный баннер'!$B:$B=$A618,'Генеральный баннер'!$C:$C=$B618,'Генеральный баннер'!$I:$I=$C618)), 0) "),0.0)</f>
        <v>0</v>
      </c>
      <c r="T618" s="91" t="str">
        <f>IFERROR(__xludf.DUMMYFUNCTION("IFERROR(REGEXREPLACE(unique(filter('Генеральный баннер'!$A:$A, 'Генеральный баннер'!$B:$B=$A618,'Генеральный баннер'!$C:$C=$B618,'Генеральный баннер'!$I:$I=$C618)), ""\d+"", """"),"""")"),"")</f>
        <v/>
      </c>
      <c r="U618" s="91" t="str">
        <f>IFERROR(__xludf.DUMMYFUNCTION("IFERROR(unique(filter('Генеральный баннер'!$F:$F, 'Генеральный баннер'!$B:$B=$A618,'Генеральный баннер'!$C:$C=$B618,'Генеральный баннер'!$I:$I=$C618)),"""")"),"")</f>
        <v/>
      </c>
      <c r="V618" s="92" t="str">
        <f t="shared" si="3"/>
        <v/>
      </c>
      <c r="W618" s="93">
        <f>IFERROR(__xludf.DUMMYFUNCTION("IFERROR(SWITCH(lower(join("" "",U618:V618)),""а миллионник"", 62.5,""б миллионник"", 75,""а мск"", 50, ""б мск"", 62.5, ""a остальное"", 70, ""б остальное"", 80)/100,0)"),0.0)</f>
        <v>0</v>
      </c>
      <c r="X618" s="91">
        <f t="shared" si="4"/>
        <v>0</v>
      </c>
    </row>
    <row r="619">
      <c r="A619" s="12"/>
      <c r="B619" s="12"/>
      <c r="C619" s="12"/>
      <c r="D619" s="91">
        <f>IFERROR(__xludf.DUMMYFUNCTION("IFERROR(sum(filter('Основной эфир'!$AA:$AA, 'Основной эфир'!$B:$B=$A619,'Основной эфир'!$C:$C=$B619,'Основной эфир'!$I:$I=$C619)), 0) "),0.0)</f>
        <v>0</v>
      </c>
      <c r="E619" s="91">
        <f>IFERROR(__xludf.DUMMYFUNCTION("IFERROR(sum(filter('Основной эфир'!$AC:$AC, 'Основной эфир'!$B:$B=$A619,'Основной эфир'!$C:$C=$B619,'Основной эфир'!$I:$I=$C619)), 0) "),0.0)</f>
        <v>0</v>
      </c>
      <c r="F619" s="91">
        <f>IFERROR(__xludf.DUMMYFUNCTION("IFERROR(sum(filter('Основной эфир'!$O:$O, 'Основной эфир'!$B:$B=$A619,'Основной эфир'!$C:$C=$B619,'Основной эфир'!$I:$I=$C619)), 0) "),0.0)</f>
        <v>0</v>
      </c>
      <c r="G619" s="91">
        <f>IFERROR(__xludf.DUMMYFUNCTION("IFERROR(sum(filter('Основной эфир'!$Q:$Q, 'Основной эфир'!$B:$B=$A619,'Основной эфир'!$C:$C=$B619,'Основной эфир'!$I:$I=$C619)), 0) "),0.0)</f>
        <v>0</v>
      </c>
      <c r="H619" s="91">
        <f>IFERROR(__xludf.DUMMYFUNCTION("IFERROR(AVERAGE(filter('Основной эфир'!$Y:$Y, 'Основной эфир'!$B:$B=$A619,'Основной эфир'!$C:$C=$B619,'Основной эфир'!$I:$I=$C619)), 0) "),0.0)</f>
        <v>0</v>
      </c>
      <c r="I619" s="91">
        <f>IFERROR(__xludf.DUMMYFUNCTION("IFERROR(AVERAGE(filter('Основной эфир'!$AE:$AE, 'Основной эфир'!$B:$B=$A619,'Основной эфир'!$C:$C=$B619,'Основной эфир'!$I:$I=$C619)), 0) "),0.0)</f>
        <v>0</v>
      </c>
      <c r="J619" s="91">
        <f>IFERROR(__xludf.DUMMYFUNCTION("IFERROR(SUM(filter('Основной эфир'!$AL:$AL, 'Основной эфир'!$B:$B=$A619,'Основной эфир'!$C:$C=$B619,'Основной эфир'!$I:$I=$C619)), 0) "),0.0)</f>
        <v>0</v>
      </c>
      <c r="K619" s="91" t="str">
        <f>IFERROR(__xludf.DUMMYFUNCTION("IFERROR(REGEXREPLACE(unique(filter('Основной эфир'!$A:$A, 'Основной эфир'!$B:$B=$A619,'Основной эфир'!$C:$C=$B619,'Основной эфир'!$I:$I=$C619)), ""\d+"", """"),"""")"),"")</f>
        <v/>
      </c>
      <c r="L619" s="91" t="str">
        <f>IFERROR(__xludf.DUMMYFUNCTION("IFERROR(unique(filter('Основной эфир'!$F:$F, 'Основной эфир'!$B:$B=$A619,'Основной эфир'!$C:$C=$B619,'Основной эфир'!$I:$I=$C619)),"""")"),"")</f>
        <v/>
      </c>
      <c r="M619" s="92" t="str">
        <f t="shared" si="1"/>
        <v/>
      </c>
      <c r="N619" s="93">
        <f>IFERROR(__xludf.DUMMYFUNCTION("IFERROR(SWITCH(lower(join("" "",L619:M619)),""а миллионник"", 62.5,""б миллионник"", 75,""а мск"", 50, ""б мск"", 62.5, ""a остальное"", 70, ""б остальное"", 80)/100,0)"),0.0)</f>
        <v>0</v>
      </c>
      <c r="O619" s="91">
        <f t="shared" si="2"/>
        <v>0</v>
      </c>
      <c r="P619" s="91">
        <f>IFERROR(__xludf.DUMMYFUNCTION("IFERROR(sum(filter('Генеральный баннер'!$O:$O, 'Генеральный баннер'!$B:$B=$A619,'Генеральный баннер'!$C:$C=$B619,'Генеральный баннер'!$I:$I=$C619)), 0) "),0.0)</f>
        <v>0</v>
      </c>
      <c r="Q619" s="91">
        <f>IFERROR(__xludf.DUMMYFUNCTION("IFERROR(sum(filter('Генеральный баннер'!$Q:$Q, 'Генеральный баннер'!$B:$B=$A619,'Генеральный баннер'!$C:$C=$B619,'Генеральный баннер'!$I:$I=$C619)), 0) "),0.0)</f>
        <v>0</v>
      </c>
      <c r="R619" s="91">
        <f>IFERROR(__xludf.DUMMYFUNCTION("IFERROR(AVERAGE(filter('Генеральный баннер'!$AA:$AA, 'Генеральный баннер'!$B:$B=$A619,'Генеральный баннер'!$C:$C=$B619,'Генеральный баннер'!$I:$I=$C619)), 0) "),0.0)</f>
        <v>0</v>
      </c>
      <c r="S619" s="91">
        <f>IFERROR(__xludf.DUMMYFUNCTION("IFERROR(SUM(filter('Генеральный баннер'!$AH:$AH, 'Генеральный баннер'!$B:$B=$A619,'Генеральный баннер'!$C:$C=$B619,'Генеральный баннер'!$I:$I=$C619)), 0) "),0.0)</f>
        <v>0</v>
      </c>
      <c r="T619" s="91" t="str">
        <f>IFERROR(__xludf.DUMMYFUNCTION("IFERROR(REGEXREPLACE(unique(filter('Генеральный баннер'!$A:$A, 'Генеральный баннер'!$B:$B=$A619,'Генеральный баннер'!$C:$C=$B619,'Генеральный баннер'!$I:$I=$C619)), ""\d+"", """"),"""")"),"")</f>
        <v/>
      </c>
      <c r="U619" s="91" t="str">
        <f>IFERROR(__xludf.DUMMYFUNCTION("IFERROR(unique(filter('Генеральный баннер'!$F:$F, 'Генеральный баннер'!$B:$B=$A619,'Генеральный баннер'!$C:$C=$B619,'Генеральный баннер'!$I:$I=$C619)),"""")"),"")</f>
        <v/>
      </c>
      <c r="V619" s="92" t="str">
        <f t="shared" si="3"/>
        <v/>
      </c>
      <c r="W619" s="93">
        <f>IFERROR(__xludf.DUMMYFUNCTION("IFERROR(SWITCH(lower(join("" "",U619:V619)),""а миллионник"", 62.5,""б миллионник"", 75,""а мск"", 50, ""б мск"", 62.5, ""a остальное"", 70, ""б остальное"", 80)/100,0)"),0.0)</f>
        <v>0</v>
      </c>
      <c r="X619" s="91">
        <f t="shared" si="4"/>
        <v>0</v>
      </c>
    </row>
    <row r="620">
      <c r="A620" s="12"/>
      <c r="B620" s="12"/>
      <c r="C620" s="12"/>
      <c r="D620" s="91">
        <f>IFERROR(__xludf.DUMMYFUNCTION("IFERROR(sum(filter('Основной эфир'!$AA:$AA, 'Основной эфир'!$B:$B=$A620,'Основной эфир'!$C:$C=$B620,'Основной эфир'!$I:$I=$C620)), 0) "),0.0)</f>
        <v>0</v>
      </c>
      <c r="E620" s="91">
        <f>IFERROR(__xludf.DUMMYFUNCTION("IFERROR(sum(filter('Основной эфир'!$AC:$AC, 'Основной эфир'!$B:$B=$A620,'Основной эфир'!$C:$C=$B620,'Основной эфир'!$I:$I=$C620)), 0) "),0.0)</f>
        <v>0</v>
      </c>
      <c r="F620" s="91">
        <f>IFERROR(__xludf.DUMMYFUNCTION("IFERROR(sum(filter('Основной эфир'!$O:$O, 'Основной эфир'!$B:$B=$A620,'Основной эфир'!$C:$C=$B620,'Основной эфир'!$I:$I=$C620)), 0) "),0.0)</f>
        <v>0</v>
      </c>
      <c r="G620" s="91">
        <f>IFERROR(__xludf.DUMMYFUNCTION("IFERROR(sum(filter('Основной эфир'!$Q:$Q, 'Основной эфир'!$B:$B=$A620,'Основной эфир'!$C:$C=$B620,'Основной эфир'!$I:$I=$C620)), 0) "),0.0)</f>
        <v>0</v>
      </c>
      <c r="H620" s="91">
        <f>IFERROR(__xludf.DUMMYFUNCTION("IFERROR(AVERAGE(filter('Основной эфир'!$Y:$Y, 'Основной эфир'!$B:$B=$A620,'Основной эфир'!$C:$C=$B620,'Основной эфир'!$I:$I=$C620)), 0) "),0.0)</f>
        <v>0</v>
      </c>
      <c r="I620" s="91">
        <f>IFERROR(__xludf.DUMMYFUNCTION("IFERROR(AVERAGE(filter('Основной эфир'!$AE:$AE, 'Основной эфир'!$B:$B=$A620,'Основной эфир'!$C:$C=$B620,'Основной эфир'!$I:$I=$C620)), 0) "),0.0)</f>
        <v>0</v>
      </c>
      <c r="J620" s="91">
        <f>IFERROR(__xludf.DUMMYFUNCTION("IFERROR(SUM(filter('Основной эфир'!$AL:$AL, 'Основной эфир'!$B:$B=$A620,'Основной эфир'!$C:$C=$B620,'Основной эфир'!$I:$I=$C620)), 0) "),0.0)</f>
        <v>0</v>
      </c>
      <c r="K620" s="91" t="str">
        <f>IFERROR(__xludf.DUMMYFUNCTION("IFERROR(REGEXREPLACE(unique(filter('Основной эфир'!$A:$A, 'Основной эфир'!$B:$B=$A620,'Основной эфир'!$C:$C=$B620,'Основной эфир'!$I:$I=$C620)), ""\d+"", """"),"""")"),"")</f>
        <v/>
      </c>
      <c r="L620" s="91" t="str">
        <f>IFERROR(__xludf.DUMMYFUNCTION("IFERROR(unique(filter('Основной эфир'!$F:$F, 'Основной эфир'!$B:$B=$A620,'Основной эфир'!$C:$C=$B620,'Основной эфир'!$I:$I=$C620)),"""")"),"")</f>
        <v/>
      </c>
      <c r="M620" s="92" t="str">
        <f t="shared" si="1"/>
        <v/>
      </c>
      <c r="N620" s="93">
        <f>IFERROR(__xludf.DUMMYFUNCTION("IFERROR(SWITCH(lower(join("" "",L620:M620)),""а миллионник"", 62.5,""б миллионник"", 75,""а мск"", 50, ""б мск"", 62.5, ""a остальное"", 70, ""б остальное"", 80)/100,0)"),0.0)</f>
        <v>0</v>
      </c>
      <c r="O620" s="91">
        <f t="shared" si="2"/>
        <v>0</v>
      </c>
      <c r="P620" s="91">
        <f>IFERROR(__xludf.DUMMYFUNCTION("IFERROR(sum(filter('Генеральный баннер'!$O:$O, 'Генеральный баннер'!$B:$B=$A620,'Генеральный баннер'!$C:$C=$B620,'Генеральный баннер'!$I:$I=$C620)), 0) "),0.0)</f>
        <v>0</v>
      </c>
      <c r="Q620" s="91">
        <f>IFERROR(__xludf.DUMMYFUNCTION("IFERROR(sum(filter('Генеральный баннер'!$Q:$Q, 'Генеральный баннер'!$B:$B=$A620,'Генеральный баннер'!$C:$C=$B620,'Генеральный баннер'!$I:$I=$C620)), 0) "),0.0)</f>
        <v>0</v>
      </c>
      <c r="R620" s="91">
        <f>IFERROR(__xludf.DUMMYFUNCTION("IFERROR(AVERAGE(filter('Генеральный баннер'!$AA:$AA, 'Генеральный баннер'!$B:$B=$A620,'Генеральный баннер'!$C:$C=$B620,'Генеральный баннер'!$I:$I=$C620)), 0) "),0.0)</f>
        <v>0</v>
      </c>
      <c r="S620" s="91">
        <f>IFERROR(__xludf.DUMMYFUNCTION("IFERROR(SUM(filter('Генеральный баннер'!$AH:$AH, 'Генеральный баннер'!$B:$B=$A620,'Генеральный баннер'!$C:$C=$B620,'Генеральный баннер'!$I:$I=$C620)), 0) "),0.0)</f>
        <v>0</v>
      </c>
      <c r="T620" s="91" t="str">
        <f>IFERROR(__xludf.DUMMYFUNCTION("IFERROR(REGEXREPLACE(unique(filter('Генеральный баннер'!$A:$A, 'Генеральный баннер'!$B:$B=$A620,'Генеральный баннер'!$C:$C=$B620,'Генеральный баннер'!$I:$I=$C620)), ""\d+"", """"),"""")"),"")</f>
        <v/>
      </c>
      <c r="U620" s="91" t="str">
        <f>IFERROR(__xludf.DUMMYFUNCTION("IFERROR(unique(filter('Генеральный баннер'!$F:$F, 'Генеральный баннер'!$B:$B=$A620,'Генеральный баннер'!$C:$C=$B620,'Генеральный баннер'!$I:$I=$C620)),"""")"),"")</f>
        <v/>
      </c>
      <c r="V620" s="92" t="str">
        <f t="shared" si="3"/>
        <v/>
      </c>
      <c r="W620" s="93">
        <f>IFERROR(__xludf.DUMMYFUNCTION("IFERROR(SWITCH(lower(join("" "",U620:V620)),""а миллионник"", 62.5,""б миллионник"", 75,""а мск"", 50, ""б мск"", 62.5, ""a остальное"", 70, ""б остальное"", 80)/100,0)"),0.0)</f>
        <v>0</v>
      </c>
      <c r="X620" s="91">
        <f t="shared" si="4"/>
        <v>0</v>
      </c>
    </row>
    <row r="621">
      <c r="A621" s="12"/>
      <c r="B621" s="12"/>
      <c r="C621" s="12"/>
      <c r="D621" s="91">
        <f>IFERROR(__xludf.DUMMYFUNCTION("IFERROR(sum(filter('Основной эфир'!$AA:$AA, 'Основной эфир'!$B:$B=$A621,'Основной эфир'!$C:$C=$B621,'Основной эфир'!$I:$I=$C621)), 0) "),0.0)</f>
        <v>0</v>
      </c>
      <c r="E621" s="91">
        <f>IFERROR(__xludf.DUMMYFUNCTION("IFERROR(sum(filter('Основной эфир'!$AC:$AC, 'Основной эфир'!$B:$B=$A621,'Основной эфир'!$C:$C=$B621,'Основной эфир'!$I:$I=$C621)), 0) "),0.0)</f>
        <v>0</v>
      </c>
      <c r="F621" s="91">
        <f>IFERROR(__xludf.DUMMYFUNCTION("IFERROR(sum(filter('Основной эфир'!$O:$O, 'Основной эфир'!$B:$B=$A621,'Основной эфир'!$C:$C=$B621,'Основной эфир'!$I:$I=$C621)), 0) "),0.0)</f>
        <v>0</v>
      </c>
      <c r="G621" s="91">
        <f>IFERROR(__xludf.DUMMYFUNCTION("IFERROR(sum(filter('Основной эфир'!$Q:$Q, 'Основной эфир'!$B:$B=$A621,'Основной эфир'!$C:$C=$B621,'Основной эфир'!$I:$I=$C621)), 0) "),0.0)</f>
        <v>0</v>
      </c>
      <c r="H621" s="91">
        <f>IFERROR(__xludf.DUMMYFUNCTION("IFERROR(AVERAGE(filter('Основной эфир'!$Y:$Y, 'Основной эфир'!$B:$B=$A621,'Основной эфир'!$C:$C=$B621,'Основной эфир'!$I:$I=$C621)), 0) "),0.0)</f>
        <v>0</v>
      </c>
      <c r="I621" s="91">
        <f>IFERROR(__xludf.DUMMYFUNCTION("IFERROR(AVERAGE(filter('Основной эфир'!$AE:$AE, 'Основной эфир'!$B:$B=$A621,'Основной эфир'!$C:$C=$B621,'Основной эфир'!$I:$I=$C621)), 0) "),0.0)</f>
        <v>0</v>
      </c>
      <c r="J621" s="91">
        <f>IFERROR(__xludf.DUMMYFUNCTION("IFERROR(SUM(filter('Основной эфир'!$AL:$AL, 'Основной эфир'!$B:$B=$A621,'Основной эфир'!$C:$C=$B621,'Основной эфир'!$I:$I=$C621)), 0) "),0.0)</f>
        <v>0</v>
      </c>
      <c r="K621" s="91" t="str">
        <f>IFERROR(__xludf.DUMMYFUNCTION("IFERROR(REGEXREPLACE(unique(filter('Основной эфир'!$A:$A, 'Основной эфир'!$B:$B=$A621,'Основной эфир'!$C:$C=$B621,'Основной эфир'!$I:$I=$C621)), ""\d+"", """"),"""")"),"")</f>
        <v/>
      </c>
      <c r="L621" s="91" t="str">
        <f>IFERROR(__xludf.DUMMYFUNCTION("IFERROR(unique(filter('Основной эфир'!$F:$F, 'Основной эфир'!$B:$B=$A621,'Основной эфир'!$C:$C=$B621,'Основной эфир'!$I:$I=$C621)),"""")"),"")</f>
        <v/>
      </c>
      <c r="M621" s="92" t="str">
        <f t="shared" si="1"/>
        <v/>
      </c>
      <c r="N621" s="93">
        <f>IFERROR(__xludf.DUMMYFUNCTION("IFERROR(SWITCH(lower(join("" "",L621:M621)),""а миллионник"", 62.5,""б миллионник"", 75,""а мск"", 50, ""б мск"", 62.5, ""a остальное"", 70, ""б остальное"", 80)/100,0)"),0.0)</f>
        <v>0</v>
      </c>
      <c r="O621" s="91">
        <f t="shared" si="2"/>
        <v>0</v>
      </c>
      <c r="P621" s="91">
        <f>IFERROR(__xludf.DUMMYFUNCTION("IFERROR(sum(filter('Генеральный баннер'!$O:$O, 'Генеральный баннер'!$B:$B=$A621,'Генеральный баннер'!$C:$C=$B621,'Генеральный баннер'!$I:$I=$C621)), 0) "),0.0)</f>
        <v>0</v>
      </c>
      <c r="Q621" s="91">
        <f>IFERROR(__xludf.DUMMYFUNCTION("IFERROR(sum(filter('Генеральный баннер'!$Q:$Q, 'Генеральный баннер'!$B:$B=$A621,'Генеральный баннер'!$C:$C=$B621,'Генеральный баннер'!$I:$I=$C621)), 0) "),0.0)</f>
        <v>0</v>
      </c>
      <c r="R621" s="91">
        <f>IFERROR(__xludf.DUMMYFUNCTION("IFERROR(AVERAGE(filter('Генеральный баннер'!$AA:$AA, 'Генеральный баннер'!$B:$B=$A621,'Генеральный баннер'!$C:$C=$B621,'Генеральный баннер'!$I:$I=$C621)), 0) "),0.0)</f>
        <v>0</v>
      </c>
      <c r="S621" s="91">
        <f>IFERROR(__xludf.DUMMYFUNCTION("IFERROR(SUM(filter('Генеральный баннер'!$AH:$AH, 'Генеральный баннер'!$B:$B=$A621,'Генеральный баннер'!$C:$C=$B621,'Генеральный баннер'!$I:$I=$C621)), 0) "),0.0)</f>
        <v>0</v>
      </c>
      <c r="T621" s="91" t="str">
        <f>IFERROR(__xludf.DUMMYFUNCTION("IFERROR(REGEXREPLACE(unique(filter('Генеральный баннер'!$A:$A, 'Генеральный баннер'!$B:$B=$A621,'Генеральный баннер'!$C:$C=$B621,'Генеральный баннер'!$I:$I=$C621)), ""\d+"", """"),"""")"),"")</f>
        <v/>
      </c>
      <c r="U621" s="91" t="str">
        <f>IFERROR(__xludf.DUMMYFUNCTION("IFERROR(unique(filter('Генеральный баннер'!$F:$F, 'Генеральный баннер'!$B:$B=$A621,'Генеральный баннер'!$C:$C=$B621,'Генеральный баннер'!$I:$I=$C621)),"""")"),"")</f>
        <v/>
      </c>
      <c r="V621" s="92" t="str">
        <f t="shared" si="3"/>
        <v/>
      </c>
      <c r="W621" s="93">
        <f>IFERROR(__xludf.DUMMYFUNCTION("IFERROR(SWITCH(lower(join("" "",U621:V621)),""а миллионник"", 62.5,""б миллионник"", 75,""а мск"", 50, ""б мск"", 62.5, ""a остальное"", 70, ""б остальное"", 80)/100,0)"),0.0)</f>
        <v>0</v>
      </c>
      <c r="X621" s="91">
        <f t="shared" si="4"/>
        <v>0</v>
      </c>
    </row>
    <row r="622">
      <c r="A622" s="12"/>
      <c r="B622" s="12"/>
      <c r="C622" s="12"/>
      <c r="D622" s="91">
        <f>IFERROR(__xludf.DUMMYFUNCTION("IFERROR(sum(filter('Основной эфир'!$AA:$AA, 'Основной эфир'!$B:$B=$A622,'Основной эфир'!$C:$C=$B622,'Основной эфир'!$I:$I=$C622)), 0) "),0.0)</f>
        <v>0</v>
      </c>
      <c r="E622" s="91">
        <f>IFERROR(__xludf.DUMMYFUNCTION("IFERROR(sum(filter('Основной эфир'!$AC:$AC, 'Основной эфир'!$B:$B=$A622,'Основной эфир'!$C:$C=$B622,'Основной эфир'!$I:$I=$C622)), 0) "),0.0)</f>
        <v>0</v>
      </c>
      <c r="F622" s="91">
        <f>IFERROR(__xludf.DUMMYFUNCTION("IFERROR(sum(filter('Основной эфир'!$O:$O, 'Основной эфир'!$B:$B=$A622,'Основной эфир'!$C:$C=$B622,'Основной эфир'!$I:$I=$C622)), 0) "),0.0)</f>
        <v>0</v>
      </c>
      <c r="G622" s="91">
        <f>IFERROR(__xludf.DUMMYFUNCTION("IFERROR(sum(filter('Основной эфир'!$Q:$Q, 'Основной эфир'!$B:$B=$A622,'Основной эфир'!$C:$C=$B622,'Основной эфир'!$I:$I=$C622)), 0) "),0.0)</f>
        <v>0</v>
      </c>
      <c r="H622" s="91">
        <f>IFERROR(__xludf.DUMMYFUNCTION("IFERROR(AVERAGE(filter('Основной эфир'!$Y:$Y, 'Основной эфир'!$B:$B=$A622,'Основной эфир'!$C:$C=$B622,'Основной эфир'!$I:$I=$C622)), 0) "),0.0)</f>
        <v>0</v>
      </c>
      <c r="I622" s="91">
        <f>IFERROR(__xludf.DUMMYFUNCTION("IFERROR(AVERAGE(filter('Основной эфир'!$AE:$AE, 'Основной эфир'!$B:$B=$A622,'Основной эфир'!$C:$C=$B622,'Основной эфир'!$I:$I=$C622)), 0) "),0.0)</f>
        <v>0</v>
      </c>
      <c r="J622" s="91">
        <f>IFERROR(__xludf.DUMMYFUNCTION("IFERROR(SUM(filter('Основной эфир'!$AL:$AL, 'Основной эфир'!$B:$B=$A622,'Основной эфир'!$C:$C=$B622,'Основной эфир'!$I:$I=$C622)), 0) "),0.0)</f>
        <v>0</v>
      </c>
      <c r="K622" s="91" t="str">
        <f>IFERROR(__xludf.DUMMYFUNCTION("IFERROR(REGEXREPLACE(unique(filter('Основной эфир'!$A:$A, 'Основной эфир'!$B:$B=$A622,'Основной эфир'!$C:$C=$B622,'Основной эфир'!$I:$I=$C622)), ""\d+"", """"),"""")"),"")</f>
        <v/>
      </c>
      <c r="L622" s="91" t="str">
        <f>IFERROR(__xludf.DUMMYFUNCTION("IFERROR(unique(filter('Основной эфир'!$F:$F, 'Основной эфир'!$B:$B=$A622,'Основной эфир'!$C:$C=$B622,'Основной эфир'!$I:$I=$C622)),"""")"),"")</f>
        <v/>
      </c>
      <c r="M622" s="92" t="str">
        <f t="shared" si="1"/>
        <v/>
      </c>
      <c r="N622" s="93">
        <f>IFERROR(__xludf.DUMMYFUNCTION("IFERROR(SWITCH(lower(join("" "",L622:M622)),""а миллионник"", 62.5,""б миллионник"", 75,""а мск"", 50, ""б мск"", 62.5, ""a остальное"", 70, ""б остальное"", 80)/100,0)"),0.0)</f>
        <v>0</v>
      </c>
      <c r="O622" s="91">
        <f t="shared" si="2"/>
        <v>0</v>
      </c>
      <c r="P622" s="91">
        <f>IFERROR(__xludf.DUMMYFUNCTION("IFERROR(sum(filter('Генеральный баннер'!$O:$O, 'Генеральный баннер'!$B:$B=$A622,'Генеральный баннер'!$C:$C=$B622,'Генеральный баннер'!$I:$I=$C622)), 0) "),0.0)</f>
        <v>0</v>
      </c>
      <c r="Q622" s="91">
        <f>IFERROR(__xludf.DUMMYFUNCTION("IFERROR(sum(filter('Генеральный баннер'!$Q:$Q, 'Генеральный баннер'!$B:$B=$A622,'Генеральный баннер'!$C:$C=$B622,'Генеральный баннер'!$I:$I=$C622)), 0) "),0.0)</f>
        <v>0</v>
      </c>
      <c r="R622" s="91">
        <f>IFERROR(__xludf.DUMMYFUNCTION("IFERROR(AVERAGE(filter('Генеральный баннер'!$AA:$AA, 'Генеральный баннер'!$B:$B=$A622,'Генеральный баннер'!$C:$C=$B622,'Генеральный баннер'!$I:$I=$C622)), 0) "),0.0)</f>
        <v>0</v>
      </c>
      <c r="S622" s="91">
        <f>IFERROR(__xludf.DUMMYFUNCTION("IFERROR(SUM(filter('Генеральный баннер'!$AH:$AH, 'Генеральный баннер'!$B:$B=$A622,'Генеральный баннер'!$C:$C=$B622,'Генеральный баннер'!$I:$I=$C622)), 0) "),0.0)</f>
        <v>0</v>
      </c>
      <c r="T622" s="91" t="str">
        <f>IFERROR(__xludf.DUMMYFUNCTION("IFERROR(REGEXREPLACE(unique(filter('Генеральный баннер'!$A:$A, 'Генеральный баннер'!$B:$B=$A622,'Генеральный баннер'!$C:$C=$B622,'Генеральный баннер'!$I:$I=$C622)), ""\d+"", """"),"""")"),"")</f>
        <v/>
      </c>
      <c r="U622" s="91" t="str">
        <f>IFERROR(__xludf.DUMMYFUNCTION("IFERROR(unique(filter('Генеральный баннер'!$F:$F, 'Генеральный баннер'!$B:$B=$A622,'Генеральный баннер'!$C:$C=$B622,'Генеральный баннер'!$I:$I=$C622)),"""")"),"")</f>
        <v/>
      </c>
      <c r="V622" s="92" t="str">
        <f t="shared" si="3"/>
        <v/>
      </c>
      <c r="W622" s="93">
        <f>IFERROR(__xludf.DUMMYFUNCTION("IFERROR(SWITCH(lower(join("" "",U622:V622)),""а миллионник"", 62.5,""б миллионник"", 75,""а мск"", 50, ""б мск"", 62.5, ""a остальное"", 70, ""б остальное"", 80)/100,0)"),0.0)</f>
        <v>0</v>
      </c>
      <c r="X622" s="91">
        <f t="shared" si="4"/>
        <v>0</v>
      </c>
    </row>
    <row r="623">
      <c r="A623" s="12"/>
      <c r="B623" s="12"/>
      <c r="C623" s="12"/>
      <c r="D623" s="91">
        <f>IFERROR(__xludf.DUMMYFUNCTION("IFERROR(sum(filter('Основной эфир'!$AA:$AA, 'Основной эфир'!$B:$B=$A623,'Основной эфир'!$C:$C=$B623,'Основной эфир'!$I:$I=$C623)), 0) "),0.0)</f>
        <v>0</v>
      </c>
      <c r="E623" s="91">
        <f>IFERROR(__xludf.DUMMYFUNCTION("IFERROR(sum(filter('Основной эфир'!$AC:$AC, 'Основной эфир'!$B:$B=$A623,'Основной эфир'!$C:$C=$B623,'Основной эфир'!$I:$I=$C623)), 0) "),0.0)</f>
        <v>0</v>
      </c>
      <c r="F623" s="91">
        <f>IFERROR(__xludf.DUMMYFUNCTION("IFERROR(sum(filter('Основной эфир'!$O:$O, 'Основной эфир'!$B:$B=$A623,'Основной эфир'!$C:$C=$B623,'Основной эфир'!$I:$I=$C623)), 0) "),0.0)</f>
        <v>0</v>
      </c>
      <c r="G623" s="91">
        <f>IFERROR(__xludf.DUMMYFUNCTION("IFERROR(sum(filter('Основной эфир'!$Q:$Q, 'Основной эфир'!$B:$B=$A623,'Основной эфир'!$C:$C=$B623,'Основной эфир'!$I:$I=$C623)), 0) "),0.0)</f>
        <v>0</v>
      </c>
      <c r="H623" s="91">
        <f>IFERROR(__xludf.DUMMYFUNCTION("IFERROR(AVERAGE(filter('Основной эфир'!$Y:$Y, 'Основной эфир'!$B:$B=$A623,'Основной эфир'!$C:$C=$B623,'Основной эфир'!$I:$I=$C623)), 0) "),0.0)</f>
        <v>0</v>
      </c>
      <c r="I623" s="91">
        <f>IFERROR(__xludf.DUMMYFUNCTION("IFERROR(AVERAGE(filter('Основной эфир'!$AE:$AE, 'Основной эфир'!$B:$B=$A623,'Основной эфир'!$C:$C=$B623,'Основной эфир'!$I:$I=$C623)), 0) "),0.0)</f>
        <v>0</v>
      </c>
      <c r="J623" s="91">
        <f>IFERROR(__xludf.DUMMYFUNCTION("IFERROR(SUM(filter('Основной эфир'!$AL:$AL, 'Основной эфир'!$B:$B=$A623,'Основной эфир'!$C:$C=$B623,'Основной эфир'!$I:$I=$C623)), 0) "),0.0)</f>
        <v>0</v>
      </c>
      <c r="K623" s="91" t="str">
        <f>IFERROR(__xludf.DUMMYFUNCTION("IFERROR(REGEXREPLACE(unique(filter('Основной эфир'!$A:$A, 'Основной эфир'!$B:$B=$A623,'Основной эфир'!$C:$C=$B623,'Основной эфир'!$I:$I=$C623)), ""\d+"", """"),"""")"),"")</f>
        <v/>
      </c>
      <c r="L623" s="91" t="str">
        <f>IFERROR(__xludf.DUMMYFUNCTION("IFERROR(unique(filter('Основной эфир'!$F:$F, 'Основной эфир'!$B:$B=$A623,'Основной эфир'!$C:$C=$B623,'Основной эфир'!$I:$I=$C623)),"""")"),"")</f>
        <v/>
      </c>
      <c r="M623" s="92" t="str">
        <f t="shared" si="1"/>
        <v/>
      </c>
      <c r="N623" s="93">
        <f>IFERROR(__xludf.DUMMYFUNCTION("IFERROR(SWITCH(lower(join("" "",L623:M623)),""а миллионник"", 62.5,""б миллионник"", 75,""а мск"", 50, ""б мск"", 62.5, ""a остальное"", 70, ""б остальное"", 80)/100,0)"),0.0)</f>
        <v>0</v>
      </c>
      <c r="O623" s="91">
        <f t="shared" si="2"/>
        <v>0</v>
      </c>
      <c r="P623" s="91">
        <f>IFERROR(__xludf.DUMMYFUNCTION("IFERROR(sum(filter('Генеральный баннер'!$O:$O, 'Генеральный баннер'!$B:$B=$A623,'Генеральный баннер'!$C:$C=$B623,'Генеральный баннер'!$I:$I=$C623)), 0) "),0.0)</f>
        <v>0</v>
      </c>
      <c r="Q623" s="91">
        <f>IFERROR(__xludf.DUMMYFUNCTION("IFERROR(sum(filter('Генеральный баннер'!$Q:$Q, 'Генеральный баннер'!$B:$B=$A623,'Генеральный баннер'!$C:$C=$B623,'Генеральный баннер'!$I:$I=$C623)), 0) "),0.0)</f>
        <v>0</v>
      </c>
      <c r="R623" s="91">
        <f>IFERROR(__xludf.DUMMYFUNCTION("IFERROR(AVERAGE(filter('Генеральный баннер'!$AA:$AA, 'Генеральный баннер'!$B:$B=$A623,'Генеральный баннер'!$C:$C=$B623,'Генеральный баннер'!$I:$I=$C623)), 0) "),0.0)</f>
        <v>0</v>
      </c>
      <c r="S623" s="91">
        <f>IFERROR(__xludf.DUMMYFUNCTION("IFERROR(SUM(filter('Генеральный баннер'!$AH:$AH, 'Генеральный баннер'!$B:$B=$A623,'Генеральный баннер'!$C:$C=$B623,'Генеральный баннер'!$I:$I=$C623)), 0) "),0.0)</f>
        <v>0</v>
      </c>
      <c r="T623" s="91" t="str">
        <f>IFERROR(__xludf.DUMMYFUNCTION("IFERROR(REGEXREPLACE(unique(filter('Генеральный баннер'!$A:$A, 'Генеральный баннер'!$B:$B=$A623,'Генеральный баннер'!$C:$C=$B623,'Генеральный баннер'!$I:$I=$C623)), ""\d+"", """"),"""")"),"")</f>
        <v/>
      </c>
      <c r="U623" s="91" t="str">
        <f>IFERROR(__xludf.DUMMYFUNCTION("IFERROR(unique(filter('Генеральный баннер'!$F:$F, 'Генеральный баннер'!$B:$B=$A623,'Генеральный баннер'!$C:$C=$B623,'Генеральный баннер'!$I:$I=$C623)),"""")"),"")</f>
        <v/>
      </c>
      <c r="V623" s="92" t="str">
        <f t="shared" si="3"/>
        <v/>
      </c>
      <c r="W623" s="93">
        <f>IFERROR(__xludf.DUMMYFUNCTION("IFERROR(SWITCH(lower(join("" "",U623:V623)),""а миллионник"", 62.5,""б миллионник"", 75,""а мск"", 50, ""б мск"", 62.5, ""a остальное"", 70, ""б остальное"", 80)/100,0)"),0.0)</f>
        <v>0</v>
      </c>
      <c r="X623" s="91">
        <f t="shared" si="4"/>
        <v>0</v>
      </c>
    </row>
    <row r="624">
      <c r="A624" s="12"/>
      <c r="B624" s="12"/>
      <c r="C624" s="12"/>
      <c r="D624" s="91">
        <f>IFERROR(__xludf.DUMMYFUNCTION("IFERROR(sum(filter('Основной эфир'!$AA:$AA, 'Основной эфир'!$B:$B=$A624,'Основной эфир'!$C:$C=$B624,'Основной эфир'!$I:$I=$C624)), 0) "),0.0)</f>
        <v>0</v>
      </c>
      <c r="E624" s="91">
        <f>IFERROR(__xludf.DUMMYFUNCTION("IFERROR(sum(filter('Основной эфир'!$AC:$AC, 'Основной эфир'!$B:$B=$A624,'Основной эфир'!$C:$C=$B624,'Основной эфир'!$I:$I=$C624)), 0) "),0.0)</f>
        <v>0</v>
      </c>
      <c r="F624" s="91">
        <f>IFERROR(__xludf.DUMMYFUNCTION("IFERROR(sum(filter('Основной эфир'!$O:$O, 'Основной эфир'!$B:$B=$A624,'Основной эфир'!$C:$C=$B624,'Основной эфир'!$I:$I=$C624)), 0) "),0.0)</f>
        <v>0</v>
      </c>
      <c r="G624" s="91">
        <f>IFERROR(__xludf.DUMMYFUNCTION("IFERROR(sum(filter('Основной эфир'!$Q:$Q, 'Основной эфир'!$B:$B=$A624,'Основной эфир'!$C:$C=$B624,'Основной эфир'!$I:$I=$C624)), 0) "),0.0)</f>
        <v>0</v>
      </c>
      <c r="H624" s="91">
        <f>IFERROR(__xludf.DUMMYFUNCTION("IFERROR(AVERAGE(filter('Основной эфир'!$Y:$Y, 'Основной эфир'!$B:$B=$A624,'Основной эфир'!$C:$C=$B624,'Основной эфир'!$I:$I=$C624)), 0) "),0.0)</f>
        <v>0</v>
      </c>
      <c r="I624" s="91">
        <f>IFERROR(__xludf.DUMMYFUNCTION("IFERROR(AVERAGE(filter('Основной эфир'!$AE:$AE, 'Основной эфир'!$B:$B=$A624,'Основной эфир'!$C:$C=$B624,'Основной эфир'!$I:$I=$C624)), 0) "),0.0)</f>
        <v>0</v>
      </c>
      <c r="J624" s="91">
        <f>IFERROR(__xludf.DUMMYFUNCTION("IFERROR(SUM(filter('Основной эфир'!$AL:$AL, 'Основной эфир'!$B:$B=$A624,'Основной эфир'!$C:$C=$B624,'Основной эфир'!$I:$I=$C624)), 0) "),0.0)</f>
        <v>0</v>
      </c>
      <c r="K624" s="91" t="str">
        <f>IFERROR(__xludf.DUMMYFUNCTION("IFERROR(REGEXREPLACE(unique(filter('Основной эфир'!$A:$A, 'Основной эфир'!$B:$B=$A624,'Основной эфир'!$C:$C=$B624,'Основной эфир'!$I:$I=$C624)), ""\d+"", """"),"""")"),"")</f>
        <v/>
      </c>
      <c r="L624" s="91" t="str">
        <f>IFERROR(__xludf.DUMMYFUNCTION("IFERROR(unique(filter('Основной эфир'!$F:$F, 'Основной эфир'!$B:$B=$A624,'Основной эфир'!$C:$C=$B624,'Основной эфир'!$I:$I=$C624)),"""")"),"")</f>
        <v/>
      </c>
      <c r="M624" s="92" t="str">
        <f t="shared" si="1"/>
        <v/>
      </c>
      <c r="N624" s="93">
        <f>IFERROR(__xludf.DUMMYFUNCTION("IFERROR(SWITCH(lower(join("" "",L624:M624)),""а миллионник"", 62.5,""б миллионник"", 75,""а мск"", 50, ""б мск"", 62.5, ""a остальное"", 70, ""б остальное"", 80)/100,0)"),0.0)</f>
        <v>0</v>
      </c>
      <c r="O624" s="91">
        <f t="shared" si="2"/>
        <v>0</v>
      </c>
      <c r="P624" s="91">
        <f>IFERROR(__xludf.DUMMYFUNCTION("IFERROR(sum(filter('Генеральный баннер'!$O:$O, 'Генеральный баннер'!$B:$B=$A624,'Генеральный баннер'!$C:$C=$B624,'Генеральный баннер'!$I:$I=$C624)), 0) "),0.0)</f>
        <v>0</v>
      </c>
      <c r="Q624" s="91">
        <f>IFERROR(__xludf.DUMMYFUNCTION("IFERROR(sum(filter('Генеральный баннер'!$Q:$Q, 'Генеральный баннер'!$B:$B=$A624,'Генеральный баннер'!$C:$C=$B624,'Генеральный баннер'!$I:$I=$C624)), 0) "),0.0)</f>
        <v>0</v>
      </c>
      <c r="R624" s="91">
        <f>IFERROR(__xludf.DUMMYFUNCTION("IFERROR(AVERAGE(filter('Генеральный баннер'!$AA:$AA, 'Генеральный баннер'!$B:$B=$A624,'Генеральный баннер'!$C:$C=$B624,'Генеральный баннер'!$I:$I=$C624)), 0) "),0.0)</f>
        <v>0</v>
      </c>
      <c r="S624" s="91">
        <f>IFERROR(__xludf.DUMMYFUNCTION("IFERROR(SUM(filter('Генеральный баннер'!$AH:$AH, 'Генеральный баннер'!$B:$B=$A624,'Генеральный баннер'!$C:$C=$B624,'Генеральный баннер'!$I:$I=$C624)), 0) "),0.0)</f>
        <v>0</v>
      </c>
      <c r="T624" s="91" t="str">
        <f>IFERROR(__xludf.DUMMYFUNCTION("IFERROR(REGEXREPLACE(unique(filter('Генеральный баннер'!$A:$A, 'Генеральный баннер'!$B:$B=$A624,'Генеральный баннер'!$C:$C=$B624,'Генеральный баннер'!$I:$I=$C624)), ""\d+"", """"),"""")"),"")</f>
        <v/>
      </c>
      <c r="U624" s="91" t="str">
        <f>IFERROR(__xludf.DUMMYFUNCTION("IFERROR(unique(filter('Генеральный баннер'!$F:$F, 'Генеральный баннер'!$B:$B=$A624,'Генеральный баннер'!$C:$C=$B624,'Генеральный баннер'!$I:$I=$C624)),"""")"),"")</f>
        <v/>
      </c>
      <c r="V624" s="92" t="str">
        <f t="shared" si="3"/>
        <v/>
      </c>
      <c r="W624" s="93">
        <f>IFERROR(__xludf.DUMMYFUNCTION("IFERROR(SWITCH(lower(join("" "",U624:V624)),""а миллионник"", 62.5,""б миллионник"", 75,""а мск"", 50, ""б мск"", 62.5, ""a остальное"", 70, ""б остальное"", 80)/100,0)"),0.0)</f>
        <v>0</v>
      </c>
      <c r="X624" s="91">
        <f t="shared" si="4"/>
        <v>0</v>
      </c>
    </row>
    <row r="625">
      <c r="A625" s="12"/>
      <c r="B625" s="12"/>
      <c r="C625" s="12"/>
      <c r="D625" s="91">
        <f>IFERROR(__xludf.DUMMYFUNCTION("IFERROR(sum(filter('Основной эфир'!$AA:$AA, 'Основной эфир'!$B:$B=$A625,'Основной эфир'!$C:$C=$B625,'Основной эфир'!$I:$I=$C625)), 0) "),0.0)</f>
        <v>0</v>
      </c>
      <c r="E625" s="91">
        <f>IFERROR(__xludf.DUMMYFUNCTION("IFERROR(sum(filter('Основной эфир'!$AC:$AC, 'Основной эфир'!$B:$B=$A625,'Основной эфир'!$C:$C=$B625,'Основной эфир'!$I:$I=$C625)), 0) "),0.0)</f>
        <v>0</v>
      </c>
      <c r="F625" s="91">
        <f>IFERROR(__xludf.DUMMYFUNCTION("IFERROR(sum(filter('Основной эфир'!$O:$O, 'Основной эфир'!$B:$B=$A625,'Основной эфир'!$C:$C=$B625,'Основной эфир'!$I:$I=$C625)), 0) "),0.0)</f>
        <v>0</v>
      </c>
      <c r="G625" s="91">
        <f>IFERROR(__xludf.DUMMYFUNCTION("IFERROR(sum(filter('Основной эфир'!$Q:$Q, 'Основной эфир'!$B:$B=$A625,'Основной эфир'!$C:$C=$B625,'Основной эфир'!$I:$I=$C625)), 0) "),0.0)</f>
        <v>0</v>
      </c>
      <c r="H625" s="91">
        <f>IFERROR(__xludf.DUMMYFUNCTION("IFERROR(AVERAGE(filter('Основной эфир'!$Y:$Y, 'Основной эфир'!$B:$B=$A625,'Основной эфир'!$C:$C=$B625,'Основной эфир'!$I:$I=$C625)), 0) "),0.0)</f>
        <v>0</v>
      </c>
      <c r="I625" s="91">
        <f>IFERROR(__xludf.DUMMYFUNCTION("IFERROR(AVERAGE(filter('Основной эфир'!$AE:$AE, 'Основной эфир'!$B:$B=$A625,'Основной эфир'!$C:$C=$B625,'Основной эфир'!$I:$I=$C625)), 0) "),0.0)</f>
        <v>0</v>
      </c>
      <c r="J625" s="91">
        <f>IFERROR(__xludf.DUMMYFUNCTION("IFERROR(SUM(filter('Основной эфир'!$AL:$AL, 'Основной эфир'!$B:$B=$A625,'Основной эфир'!$C:$C=$B625,'Основной эфир'!$I:$I=$C625)), 0) "),0.0)</f>
        <v>0</v>
      </c>
      <c r="K625" s="91" t="str">
        <f>IFERROR(__xludf.DUMMYFUNCTION("IFERROR(REGEXREPLACE(unique(filter('Основной эфир'!$A:$A, 'Основной эфир'!$B:$B=$A625,'Основной эфир'!$C:$C=$B625,'Основной эфир'!$I:$I=$C625)), ""\d+"", """"),"""")"),"")</f>
        <v/>
      </c>
      <c r="L625" s="91" t="str">
        <f>IFERROR(__xludf.DUMMYFUNCTION("IFERROR(unique(filter('Основной эфир'!$F:$F, 'Основной эфир'!$B:$B=$A625,'Основной эфир'!$C:$C=$B625,'Основной эфир'!$I:$I=$C625)),"""")"),"")</f>
        <v/>
      </c>
      <c r="M625" s="92" t="str">
        <f t="shared" si="1"/>
        <v/>
      </c>
      <c r="N625" s="93">
        <f>IFERROR(__xludf.DUMMYFUNCTION("IFERROR(SWITCH(lower(join("" "",L625:M625)),""а миллионник"", 62.5,""б миллионник"", 75,""а мск"", 50, ""б мск"", 62.5, ""a остальное"", 70, ""б остальное"", 80)/100,0)"),0.0)</f>
        <v>0</v>
      </c>
      <c r="O625" s="91">
        <f t="shared" si="2"/>
        <v>0</v>
      </c>
      <c r="P625" s="91">
        <f>IFERROR(__xludf.DUMMYFUNCTION("IFERROR(sum(filter('Генеральный баннер'!$O:$O, 'Генеральный баннер'!$B:$B=$A625,'Генеральный баннер'!$C:$C=$B625,'Генеральный баннер'!$I:$I=$C625)), 0) "),0.0)</f>
        <v>0</v>
      </c>
      <c r="Q625" s="91">
        <f>IFERROR(__xludf.DUMMYFUNCTION("IFERROR(sum(filter('Генеральный баннер'!$Q:$Q, 'Генеральный баннер'!$B:$B=$A625,'Генеральный баннер'!$C:$C=$B625,'Генеральный баннер'!$I:$I=$C625)), 0) "),0.0)</f>
        <v>0</v>
      </c>
      <c r="R625" s="91">
        <f>IFERROR(__xludf.DUMMYFUNCTION("IFERROR(AVERAGE(filter('Генеральный баннер'!$AA:$AA, 'Генеральный баннер'!$B:$B=$A625,'Генеральный баннер'!$C:$C=$B625,'Генеральный баннер'!$I:$I=$C625)), 0) "),0.0)</f>
        <v>0</v>
      </c>
      <c r="S625" s="91">
        <f>IFERROR(__xludf.DUMMYFUNCTION("IFERROR(SUM(filter('Генеральный баннер'!$AH:$AH, 'Генеральный баннер'!$B:$B=$A625,'Генеральный баннер'!$C:$C=$B625,'Генеральный баннер'!$I:$I=$C625)), 0) "),0.0)</f>
        <v>0</v>
      </c>
      <c r="T625" s="91" t="str">
        <f>IFERROR(__xludf.DUMMYFUNCTION("IFERROR(REGEXREPLACE(unique(filter('Генеральный баннер'!$A:$A, 'Генеральный баннер'!$B:$B=$A625,'Генеральный баннер'!$C:$C=$B625,'Генеральный баннер'!$I:$I=$C625)), ""\d+"", """"),"""")"),"")</f>
        <v/>
      </c>
      <c r="U625" s="91" t="str">
        <f>IFERROR(__xludf.DUMMYFUNCTION("IFERROR(unique(filter('Генеральный баннер'!$F:$F, 'Генеральный баннер'!$B:$B=$A625,'Генеральный баннер'!$C:$C=$B625,'Генеральный баннер'!$I:$I=$C625)),"""")"),"")</f>
        <v/>
      </c>
      <c r="V625" s="92" t="str">
        <f t="shared" si="3"/>
        <v/>
      </c>
      <c r="W625" s="93">
        <f>IFERROR(__xludf.DUMMYFUNCTION("IFERROR(SWITCH(lower(join("" "",U625:V625)),""а миллионник"", 62.5,""б миллионник"", 75,""а мск"", 50, ""б мск"", 62.5, ""a остальное"", 70, ""б остальное"", 80)/100,0)"),0.0)</f>
        <v>0</v>
      </c>
      <c r="X625" s="91">
        <f t="shared" si="4"/>
        <v>0</v>
      </c>
    </row>
    <row r="626">
      <c r="A626" s="12"/>
      <c r="B626" s="12"/>
      <c r="C626" s="12"/>
      <c r="D626" s="91">
        <f>IFERROR(__xludf.DUMMYFUNCTION("IFERROR(sum(filter('Основной эфир'!$AA:$AA, 'Основной эфир'!$B:$B=$A626,'Основной эфир'!$C:$C=$B626,'Основной эфир'!$I:$I=$C626)), 0) "),0.0)</f>
        <v>0</v>
      </c>
      <c r="E626" s="91">
        <f>IFERROR(__xludf.DUMMYFUNCTION("IFERROR(sum(filter('Основной эфир'!$AC:$AC, 'Основной эфир'!$B:$B=$A626,'Основной эфир'!$C:$C=$B626,'Основной эфир'!$I:$I=$C626)), 0) "),0.0)</f>
        <v>0</v>
      </c>
      <c r="F626" s="91">
        <f>IFERROR(__xludf.DUMMYFUNCTION("IFERROR(sum(filter('Основной эфир'!$O:$O, 'Основной эфир'!$B:$B=$A626,'Основной эфир'!$C:$C=$B626,'Основной эфир'!$I:$I=$C626)), 0) "),0.0)</f>
        <v>0</v>
      </c>
      <c r="G626" s="91">
        <f>IFERROR(__xludf.DUMMYFUNCTION("IFERROR(sum(filter('Основной эфир'!$Q:$Q, 'Основной эфир'!$B:$B=$A626,'Основной эфир'!$C:$C=$B626,'Основной эфир'!$I:$I=$C626)), 0) "),0.0)</f>
        <v>0</v>
      </c>
      <c r="H626" s="91">
        <f>IFERROR(__xludf.DUMMYFUNCTION("IFERROR(AVERAGE(filter('Основной эфир'!$Y:$Y, 'Основной эфир'!$B:$B=$A626,'Основной эфир'!$C:$C=$B626,'Основной эфир'!$I:$I=$C626)), 0) "),0.0)</f>
        <v>0</v>
      </c>
      <c r="I626" s="91">
        <f>IFERROR(__xludf.DUMMYFUNCTION("IFERROR(AVERAGE(filter('Основной эфир'!$AE:$AE, 'Основной эфир'!$B:$B=$A626,'Основной эфир'!$C:$C=$B626,'Основной эфир'!$I:$I=$C626)), 0) "),0.0)</f>
        <v>0</v>
      </c>
      <c r="J626" s="91">
        <f>IFERROR(__xludf.DUMMYFUNCTION("IFERROR(SUM(filter('Основной эфир'!$AL:$AL, 'Основной эфир'!$B:$B=$A626,'Основной эфир'!$C:$C=$B626,'Основной эфир'!$I:$I=$C626)), 0) "),0.0)</f>
        <v>0</v>
      </c>
      <c r="K626" s="91" t="str">
        <f>IFERROR(__xludf.DUMMYFUNCTION("IFERROR(REGEXREPLACE(unique(filter('Основной эфир'!$A:$A, 'Основной эфир'!$B:$B=$A626,'Основной эфир'!$C:$C=$B626,'Основной эфир'!$I:$I=$C626)), ""\d+"", """"),"""")"),"")</f>
        <v/>
      </c>
      <c r="L626" s="91" t="str">
        <f>IFERROR(__xludf.DUMMYFUNCTION("IFERROR(unique(filter('Основной эфир'!$F:$F, 'Основной эфир'!$B:$B=$A626,'Основной эфир'!$C:$C=$B626,'Основной эфир'!$I:$I=$C626)),"""")"),"")</f>
        <v/>
      </c>
      <c r="M626" s="92" t="str">
        <f t="shared" si="1"/>
        <v/>
      </c>
      <c r="N626" s="93">
        <f>IFERROR(__xludf.DUMMYFUNCTION("IFERROR(SWITCH(lower(join("" "",L626:M626)),""а миллионник"", 62.5,""б миллионник"", 75,""а мск"", 50, ""б мск"", 62.5, ""a остальное"", 70, ""б остальное"", 80)/100,0)"),0.0)</f>
        <v>0</v>
      </c>
      <c r="O626" s="91">
        <f t="shared" si="2"/>
        <v>0</v>
      </c>
      <c r="P626" s="91">
        <f>IFERROR(__xludf.DUMMYFUNCTION("IFERROR(sum(filter('Генеральный баннер'!$O:$O, 'Генеральный баннер'!$B:$B=$A626,'Генеральный баннер'!$C:$C=$B626,'Генеральный баннер'!$I:$I=$C626)), 0) "),0.0)</f>
        <v>0</v>
      </c>
      <c r="Q626" s="91">
        <f>IFERROR(__xludf.DUMMYFUNCTION("IFERROR(sum(filter('Генеральный баннер'!$Q:$Q, 'Генеральный баннер'!$B:$B=$A626,'Генеральный баннер'!$C:$C=$B626,'Генеральный баннер'!$I:$I=$C626)), 0) "),0.0)</f>
        <v>0</v>
      </c>
      <c r="R626" s="91">
        <f>IFERROR(__xludf.DUMMYFUNCTION("IFERROR(AVERAGE(filter('Генеральный баннер'!$AA:$AA, 'Генеральный баннер'!$B:$B=$A626,'Генеральный баннер'!$C:$C=$B626,'Генеральный баннер'!$I:$I=$C626)), 0) "),0.0)</f>
        <v>0</v>
      </c>
      <c r="S626" s="91">
        <f>IFERROR(__xludf.DUMMYFUNCTION("IFERROR(SUM(filter('Генеральный баннер'!$AH:$AH, 'Генеральный баннер'!$B:$B=$A626,'Генеральный баннер'!$C:$C=$B626,'Генеральный баннер'!$I:$I=$C626)), 0) "),0.0)</f>
        <v>0</v>
      </c>
      <c r="T626" s="91" t="str">
        <f>IFERROR(__xludf.DUMMYFUNCTION("IFERROR(REGEXREPLACE(unique(filter('Генеральный баннер'!$A:$A, 'Генеральный баннер'!$B:$B=$A626,'Генеральный баннер'!$C:$C=$B626,'Генеральный баннер'!$I:$I=$C626)), ""\d+"", """"),"""")"),"")</f>
        <v/>
      </c>
      <c r="U626" s="91" t="str">
        <f>IFERROR(__xludf.DUMMYFUNCTION("IFERROR(unique(filter('Генеральный баннер'!$F:$F, 'Генеральный баннер'!$B:$B=$A626,'Генеральный баннер'!$C:$C=$B626,'Генеральный баннер'!$I:$I=$C626)),"""")"),"")</f>
        <v/>
      </c>
      <c r="V626" s="92" t="str">
        <f t="shared" si="3"/>
        <v/>
      </c>
      <c r="W626" s="93">
        <f>IFERROR(__xludf.DUMMYFUNCTION("IFERROR(SWITCH(lower(join("" "",U626:V626)),""а миллионник"", 62.5,""б миллионник"", 75,""а мск"", 50, ""б мск"", 62.5, ""a остальное"", 70, ""б остальное"", 80)/100,0)"),0.0)</f>
        <v>0</v>
      </c>
      <c r="X626" s="91">
        <f t="shared" si="4"/>
        <v>0</v>
      </c>
    </row>
    <row r="627">
      <c r="A627" s="12"/>
      <c r="B627" s="12"/>
      <c r="C627" s="12"/>
      <c r="D627" s="91">
        <f>IFERROR(__xludf.DUMMYFUNCTION("IFERROR(sum(filter('Основной эфир'!$AA:$AA, 'Основной эфир'!$B:$B=$A627,'Основной эфир'!$C:$C=$B627,'Основной эфир'!$I:$I=$C627)), 0) "),0.0)</f>
        <v>0</v>
      </c>
      <c r="E627" s="91">
        <f>IFERROR(__xludf.DUMMYFUNCTION("IFERROR(sum(filter('Основной эфир'!$AC:$AC, 'Основной эфир'!$B:$B=$A627,'Основной эфир'!$C:$C=$B627,'Основной эфир'!$I:$I=$C627)), 0) "),0.0)</f>
        <v>0</v>
      </c>
      <c r="F627" s="91">
        <f>IFERROR(__xludf.DUMMYFUNCTION("IFERROR(sum(filter('Основной эфир'!$O:$O, 'Основной эфир'!$B:$B=$A627,'Основной эфир'!$C:$C=$B627,'Основной эфир'!$I:$I=$C627)), 0) "),0.0)</f>
        <v>0</v>
      </c>
      <c r="G627" s="91">
        <f>IFERROR(__xludf.DUMMYFUNCTION("IFERROR(sum(filter('Основной эфир'!$Q:$Q, 'Основной эфир'!$B:$B=$A627,'Основной эфир'!$C:$C=$B627,'Основной эфир'!$I:$I=$C627)), 0) "),0.0)</f>
        <v>0</v>
      </c>
      <c r="H627" s="91">
        <f>IFERROR(__xludf.DUMMYFUNCTION("IFERROR(AVERAGE(filter('Основной эфир'!$Y:$Y, 'Основной эфир'!$B:$B=$A627,'Основной эфир'!$C:$C=$B627,'Основной эфир'!$I:$I=$C627)), 0) "),0.0)</f>
        <v>0</v>
      </c>
      <c r="I627" s="91">
        <f>IFERROR(__xludf.DUMMYFUNCTION("IFERROR(AVERAGE(filter('Основной эфир'!$AE:$AE, 'Основной эфир'!$B:$B=$A627,'Основной эфир'!$C:$C=$B627,'Основной эфир'!$I:$I=$C627)), 0) "),0.0)</f>
        <v>0</v>
      </c>
      <c r="J627" s="91">
        <f>IFERROR(__xludf.DUMMYFUNCTION("IFERROR(SUM(filter('Основной эфир'!$AL:$AL, 'Основной эфир'!$B:$B=$A627,'Основной эфир'!$C:$C=$B627,'Основной эфир'!$I:$I=$C627)), 0) "),0.0)</f>
        <v>0</v>
      </c>
      <c r="K627" s="91" t="str">
        <f>IFERROR(__xludf.DUMMYFUNCTION("IFERROR(REGEXREPLACE(unique(filter('Основной эфир'!$A:$A, 'Основной эфир'!$B:$B=$A627,'Основной эфир'!$C:$C=$B627,'Основной эфир'!$I:$I=$C627)), ""\d+"", """"),"""")"),"")</f>
        <v/>
      </c>
      <c r="L627" s="91" t="str">
        <f>IFERROR(__xludf.DUMMYFUNCTION("IFERROR(unique(filter('Основной эфир'!$F:$F, 'Основной эфир'!$B:$B=$A627,'Основной эфир'!$C:$C=$B627,'Основной эфир'!$I:$I=$C627)),"""")"),"")</f>
        <v/>
      </c>
      <c r="M627" s="92" t="str">
        <f t="shared" si="1"/>
        <v/>
      </c>
      <c r="N627" s="93">
        <f>IFERROR(__xludf.DUMMYFUNCTION("IFERROR(SWITCH(lower(join("" "",L627:M627)),""а миллионник"", 62.5,""б миллионник"", 75,""а мск"", 50, ""б мск"", 62.5, ""a остальное"", 70, ""б остальное"", 80)/100,0)"),0.0)</f>
        <v>0</v>
      </c>
      <c r="O627" s="91">
        <f t="shared" si="2"/>
        <v>0</v>
      </c>
      <c r="P627" s="91">
        <f>IFERROR(__xludf.DUMMYFUNCTION("IFERROR(sum(filter('Генеральный баннер'!$O:$O, 'Генеральный баннер'!$B:$B=$A627,'Генеральный баннер'!$C:$C=$B627,'Генеральный баннер'!$I:$I=$C627)), 0) "),0.0)</f>
        <v>0</v>
      </c>
      <c r="Q627" s="91">
        <f>IFERROR(__xludf.DUMMYFUNCTION("IFERROR(sum(filter('Генеральный баннер'!$Q:$Q, 'Генеральный баннер'!$B:$B=$A627,'Генеральный баннер'!$C:$C=$B627,'Генеральный баннер'!$I:$I=$C627)), 0) "),0.0)</f>
        <v>0</v>
      </c>
      <c r="R627" s="91">
        <f>IFERROR(__xludf.DUMMYFUNCTION("IFERROR(AVERAGE(filter('Генеральный баннер'!$AA:$AA, 'Генеральный баннер'!$B:$B=$A627,'Генеральный баннер'!$C:$C=$B627,'Генеральный баннер'!$I:$I=$C627)), 0) "),0.0)</f>
        <v>0</v>
      </c>
      <c r="S627" s="91">
        <f>IFERROR(__xludf.DUMMYFUNCTION("IFERROR(SUM(filter('Генеральный баннер'!$AH:$AH, 'Генеральный баннер'!$B:$B=$A627,'Генеральный баннер'!$C:$C=$B627,'Генеральный баннер'!$I:$I=$C627)), 0) "),0.0)</f>
        <v>0</v>
      </c>
      <c r="T627" s="91" t="str">
        <f>IFERROR(__xludf.DUMMYFUNCTION("IFERROR(REGEXREPLACE(unique(filter('Генеральный баннер'!$A:$A, 'Генеральный баннер'!$B:$B=$A627,'Генеральный баннер'!$C:$C=$B627,'Генеральный баннер'!$I:$I=$C627)), ""\d+"", """"),"""")"),"")</f>
        <v/>
      </c>
      <c r="U627" s="91" t="str">
        <f>IFERROR(__xludf.DUMMYFUNCTION("IFERROR(unique(filter('Генеральный баннер'!$F:$F, 'Генеральный баннер'!$B:$B=$A627,'Генеральный баннер'!$C:$C=$B627,'Генеральный баннер'!$I:$I=$C627)),"""")"),"")</f>
        <v/>
      </c>
      <c r="V627" s="92" t="str">
        <f t="shared" si="3"/>
        <v/>
      </c>
      <c r="W627" s="93">
        <f>IFERROR(__xludf.DUMMYFUNCTION("IFERROR(SWITCH(lower(join("" "",U627:V627)),""а миллионник"", 62.5,""б миллионник"", 75,""а мск"", 50, ""б мск"", 62.5, ""a остальное"", 70, ""б остальное"", 80)/100,0)"),0.0)</f>
        <v>0</v>
      </c>
      <c r="X627" s="91">
        <f t="shared" si="4"/>
        <v>0</v>
      </c>
    </row>
    <row r="628">
      <c r="A628" s="12"/>
      <c r="B628" s="12"/>
      <c r="C628" s="12"/>
      <c r="D628" s="91">
        <f>IFERROR(__xludf.DUMMYFUNCTION("IFERROR(sum(filter('Основной эфир'!$AA:$AA, 'Основной эфир'!$B:$B=$A628,'Основной эфир'!$C:$C=$B628,'Основной эфир'!$I:$I=$C628)), 0) "),0.0)</f>
        <v>0</v>
      </c>
      <c r="E628" s="91">
        <f>IFERROR(__xludf.DUMMYFUNCTION("IFERROR(sum(filter('Основной эфир'!$AC:$AC, 'Основной эфир'!$B:$B=$A628,'Основной эфир'!$C:$C=$B628,'Основной эфир'!$I:$I=$C628)), 0) "),0.0)</f>
        <v>0</v>
      </c>
      <c r="F628" s="91">
        <f>IFERROR(__xludf.DUMMYFUNCTION("IFERROR(sum(filter('Основной эфир'!$O:$O, 'Основной эфир'!$B:$B=$A628,'Основной эфир'!$C:$C=$B628,'Основной эфир'!$I:$I=$C628)), 0) "),0.0)</f>
        <v>0</v>
      </c>
      <c r="G628" s="91">
        <f>IFERROR(__xludf.DUMMYFUNCTION("IFERROR(sum(filter('Основной эфир'!$Q:$Q, 'Основной эфир'!$B:$B=$A628,'Основной эфир'!$C:$C=$B628,'Основной эфир'!$I:$I=$C628)), 0) "),0.0)</f>
        <v>0</v>
      </c>
      <c r="H628" s="91">
        <f>IFERROR(__xludf.DUMMYFUNCTION("IFERROR(AVERAGE(filter('Основной эфир'!$Y:$Y, 'Основной эфир'!$B:$B=$A628,'Основной эфир'!$C:$C=$B628,'Основной эфир'!$I:$I=$C628)), 0) "),0.0)</f>
        <v>0</v>
      </c>
      <c r="I628" s="91">
        <f>IFERROR(__xludf.DUMMYFUNCTION("IFERROR(AVERAGE(filter('Основной эфир'!$AE:$AE, 'Основной эфир'!$B:$B=$A628,'Основной эфир'!$C:$C=$B628,'Основной эфир'!$I:$I=$C628)), 0) "),0.0)</f>
        <v>0</v>
      </c>
      <c r="J628" s="91">
        <f>IFERROR(__xludf.DUMMYFUNCTION("IFERROR(SUM(filter('Основной эфир'!$AL:$AL, 'Основной эфир'!$B:$B=$A628,'Основной эфир'!$C:$C=$B628,'Основной эфир'!$I:$I=$C628)), 0) "),0.0)</f>
        <v>0</v>
      </c>
      <c r="K628" s="91" t="str">
        <f>IFERROR(__xludf.DUMMYFUNCTION("IFERROR(REGEXREPLACE(unique(filter('Основной эфир'!$A:$A, 'Основной эфир'!$B:$B=$A628,'Основной эфир'!$C:$C=$B628,'Основной эфир'!$I:$I=$C628)), ""\d+"", """"),"""")"),"")</f>
        <v/>
      </c>
      <c r="L628" s="91" t="str">
        <f>IFERROR(__xludf.DUMMYFUNCTION("IFERROR(unique(filter('Основной эфир'!$F:$F, 'Основной эфир'!$B:$B=$A628,'Основной эфир'!$C:$C=$B628,'Основной эфир'!$I:$I=$C628)),"""")"),"")</f>
        <v/>
      </c>
      <c r="M628" s="92" t="str">
        <f t="shared" si="1"/>
        <v/>
      </c>
      <c r="N628" s="93">
        <f>IFERROR(__xludf.DUMMYFUNCTION("IFERROR(SWITCH(lower(join("" "",L628:M628)),""а миллионник"", 62.5,""б миллионник"", 75,""а мск"", 50, ""б мск"", 62.5, ""a остальное"", 70, ""б остальное"", 80)/100,0)"),0.0)</f>
        <v>0</v>
      </c>
      <c r="O628" s="91">
        <f t="shared" si="2"/>
        <v>0</v>
      </c>
      <c r="P628" s="91">
        <f>IFERROR(__xludf.DUMMYFUNCTION("IFERROR(sum(filter('Генеральный баннер'!$O:$O, 'Генеральный баннер'!$B:$B=$A628,'Генеральный баннер'!$C:$C=$B628,'Генеральный баннер'!$I:$I=$C628)), 0) "),0.0)</f>
        <v>0</v>
      </c>
      <c r="Q628" s="91">
        <f>IFERROR(__xludf.DUMMYFUNCTION("IFERROR(sum(filter('Генеральный баннер'!$Q:$Q, 'Генеральный баннер'!$B:$B=$A628,'Генеральный баннер'!$C:$C=$B628,'Генеральный баннер'!$I:$I=$C628)), 0) "),0.0)</f>
        <v>0</v>
      </c>
      <c r="R628" s="91">
        <f>IFERROR(__xludf.DUMMYFUNCTION("IFERROR(AVERAGE(filter('Генеральный баннер'!$AA:$AA, 'Генеральный баннер'!$B:$B=$A628,'Генеральный баннер'!$C:$C=$B628,'Генеральный баннер'!$I:$I=$C628)), 0) "),0.0)</f>
        <v>0</v>
      </c>
      <c r="S628" s="91">
        <f>IFERROR(__xludf.DUMMYFUNCTION("IFERROR(SUM(filter('Генеральный баннер'!$AH:$AH, 'Генеральный баннер'!$B:$B=$A628,'Генеральный баннер'!$C:$C=$B628,'Генеральный баннер'!$I:$I=$C628)), 0) "),0.0)</f>
        <v>0</v>
      </c>
      <c r="T628" s="91" t="str">
        <f>IFERROR(__xludf.DUMMYFUNCTION("IFERROR(REGEXREPLACE(unique(filter('Генеральный баннер'!$A:$A, 'Генеральный баннер'!$B:$B=$A628,'Генеральный баннер'!$C:$C=$B628,'Генеральный баннер'!$I:$I=$C628)), ""\d+"", """"),"""")"),"")</f>
        <v/>
      </c>
      <c r="U628" s="91" t="str">
        <f>IFERROR(__xludf.DUMMYFUNCTION("IFERROR(unique(filter('Генеральный баннер'!$F:$F, 'Генеральный баннер'!$B:$B=$A628,'Генеральный баннер'!$C:$C=$B628,'Генеральный баннер'!$I:$I=$C628)),"""")"),"")</f>
        <v/>
      </c>
      <c r="V628" s="92" t="str">
        <f t="shared" si="3"/>
        <v/>
      </c>
      <c r="W628" s="93">
        <f>IFERROR(__xludf.DUMMYFUNCTION("IFERROR(SWITCH(lower(join("" "",U628:V628)),""а миллионник"", 62.5,""б миллионник"", 75,""а мск"", 50, ""б мск"", 62.5, ""a остальное"", 70, ""б остальное"", 80)/100,0)"),0.0)</f>
        <v>0</v>
      </c>
      <c r="X628" s="91">
        <f t="shared" si="4"/>
        <v>0</v>
      </c>
    </row>
    <row r="629">
      <c r="A629" s="12"/>
      <c r="B629" s="12"/>
      <c r="C629" s="12"/>
      <c r="D629" s="91">
        <f>IFERROR(__xludf.DUMMYFUNCTION("IFERROR(sum(filter('Основной эфир'!$AA:$AA, 'Основной эфир'!$B:$B=$A629,'Основной эфир'!$C:$C=$B629,'Основной эфир'!$I:$I=$C629)), 0) "),0.0)</f>
        <v>0</v>
      </c>
      <c r="E629" s="91">
        <f>IFERROR(__xludf.DUMMYFUNCTION("IFERROR(sum(filter('Основной эфир'!$AC:$AC, 'Основной эфир'!$B:$B=$A629,'Основной эфир'!$C:$C=$B629,'Основной эфир'!$I:$I=$C629)), 0) "),0.0)</f>
        <v>0</v>
      </c>
      <c r="F629" s="91">
        <f>IFERROR(__xludf.DUMMYFUNCTION("IFERROR(sum(filter('Основной эфир'!$O:$O, 'Основной эфир'!$B:$B=$A629,'Основной эфир'!$C:$C=$B629,'Основной эфир'!$I:$I=$C629)), 0) "),0.0)</f>
        <v>0</v>
      </c>
      <c r="G629" s="91">
        <f>IFERROR(__xludf.DUMMYFUNCTION("IFERROR(sum(filter('Основной эфир'!$Q:$Q, 'Основной эфир'!$B:$B=$A629,'Основной эфир'!$C:$C=$B629,'Основной эфир'!$I:$I=$C629)), 0) "),0.0)</f>
        <v>0</v>
      </c>
      <c r="H629" s="91">
        <f>IFERROR(__xludf.DUMMYFUNCTION("IFERROR(AVERAGE(filter('Основной эфир'!$Y:$Y, 'Основной эфир'!$B:$B=$A629,'Основной эфир'!$C:$C=$B629,'Основной эфир'!$I:$I=$C629)), 0) "),0.0)</f>
        <v>0</v>
      </c>
      <c r="I629" s="91">
        <f>IFERROR(__xludf.DUMMYFUNCTION("IFERROR(AVERAGE(filter('Основной эфир'!$AE:$AE, 'Основной эфир'!$B:$B=$A629,'Основной эфир'!$C:$C=$B629,'Основной эфир'!$I:$I=$C629)), 0) "),0.0)</f>
        <v>0</v>
      </c>
      <c r="J629" s="91">
        <f>IFERROR(__xludf.DUMMYFUNCTION("IFERROR(SUM(filter('Основной эфир'!$AL:$AL, 'Основной эфир'!$B:$B=$A629,'Основной эфир'!$C:$C=$B629,'Основной эфир'!$I:$I=$C629)), 0) "),0.0)</f>
        <v>0</v>
      </c>
      <c r="K629" s="91" t="str">
        <f>IFERROR(__xludf.DUMMYFUNCTION("IFERROR(REGEXREPLACE(unique(filter('Основной эфир'!$A:$A, 'Основной эфир'!$B:$B=$A629,'Основной эфир'!$C:$C=$B629,'Основной эфир'!$I:$I=$C629)), ""\d+"", """"),"""")"),"")</f>
        <v/>
      </c>
      <c r="L629" s="91" t="str">
        <f>IFERROR(__xludf.DUMMYFUNCTION("IFERROR(unique(filter('Основной эфир'!$F:$F, 'Основной эфир'!$B:$B=$A629,'Основной эфир'!$C:$C=$B629,'Основной эфир'!$I:$I=$C629)),"""")"),"")</f>
        <v/>
      </c>
      <c r="M629" s="92" t="str">
        <f t="shared" si="1"/>
        <v/>
      </c>
      <c r="N629" s="93">
        <f>IFERROR(__xludf.DUMMYFUNCTION("IFERROR(SWITCH(lower(join("" "",L629:M629)),""а миллионник"", 62.5,""б миллионник"", 75,""а мск"", 50, ""б мск"", 62.5, ""a остальное"", 70, ""б остальное"", 80)/100,0)"),0.0)</f>
        <v>0</v>
      </c>
      <c r="O629" s="91">
        <f t="shared" si="2"/>
        <v>0</v>
      </c>
      <c r="P629" s="91">
        <f>IFERROR(__xludf.DUMMYFUNCTION("IFERROR(sum(filter('Генеральный баннер'!$O:$O, 'Генеральный баннер'!$B:$B=$A629,'Генеральный баннер'!$C:$C=$B629,'Генеральный баннер'!$I:$I=$C629)), 0) "),0.0)</f>
        <v>0</v>
      </c>
      <c r="Q629" s="91">
        <f>IFERROR(__xludf.DUMMYFUNCTION("IFERROR(sum(filter('Генеральный баннер'!$Q:$Q, 'Генеральный баннер'!$B:$B=$A629,'Генеральный баннер'!$C:$C=$B629,'Генеральный баннер'!$I:$I=$C629)), 0) "),0.0)</f>
        <v>0</v>
      </c>
      <c r="R629" s="91">
        <f>IFERROR(__xludf.DUMMYFUNCTION("IFERROR(AVERAGE(filter('Генеральный баннер'!$AA:$AA, 'Генеральный баннер'!$B:$B=$A629,'Генеральный баннер'!$C:$C=$B629,'Генеральный баннер'!$I:$I=$C629)), 0) "),0.0)</f>
        <v>0</v>
      </c>
      <c r="S629" s="91">
        <f>IFERROR(__xludf.DUMMYFUNCTION("IFERROR(SUM(filter('Генеральный баннер'!$AH:$AH, 'Генеральный баннер'!$B:$B=$A629,'Генеральный баннер'!$C:$C=$B629,'Генеральный баннер'!$I:$I=$C629)), 0) "),0.0)</f>
        <v>0</v>
      </c>
      <c r="T629" s="91" t="str">
        <f>IFERROR(__xludf.DUMMYFUNCTION("IFERROR(REGEXREPLACE(unique(filter('Генеральный баннер'!$A:$A, 'Генеральный баннер'!$B:$B=$A629,'Генеральный баннер'!$C:$C=$B629,'Генеральный баннер'!$I:$I=$C629)), ""\d+"", """"),"""")"),"")</f>
        <v/>
      </c>
      <c r="U629" s="91" t="str">
        <f>IFERROR(__xludf.DUMMYFUNCTION("IFERROR(unique(filter('Генеральный баннер'!$F:$F, 'Генеральный баннер'!$B:$B=$A629,'Генеральный баннер'!$C:$C=$B629,'Генеральный баннер'!$I:$I=$C629)),"""")"),"")</f>
        <v/>
      </c>
      <c r="V629" s="92" t="str">
        <f t="shared" si="3"/>
        <v/>
      </c>
      <c r="W629" s="93">
        <f>IFERROR(__xludf.DUMMYFUNCTION("IFERROR(SWITCH(lower(join("" "",U629:V629)),""а миллионник"", 62.5,""б миллионник"", 75,""а мск"", 50, ""б мск"", 62.5, ""a остальное"", 70, ""б остальное"", 80)/100,0)"),0.0)</f>
        <v>0</v>
      </c>
      <c r="X629" s="91">
        <f t="shared" si="4"/>
        <v>0</v>
      </c>
    </row>
    <row r="630">
      <c r="A630" s="12"/>
      <c r="B630" s="12"/>
      <c r="C630" s="12"/>
      <c r="D630" s="91">
        <f>IFERROR(__xludf.DUMMYFUNCTION("IFERROR(sum(filter('Основной эфир'!$AA:$AA, 'Основной эфир'!$B:$B=$A630,'Основной эфир'!$C:$C=$B630,'Основной эфир'!$I:$I=$C630)), 0) "),0.0)</f>
        <v>0</v>
      </c>
      <c r="E630" s="91">
        <f>IFERROR(__xludf.DUMMYFUNCTION("IFERROR(sum(filter('Основной эфир'!$AC:$AC, 'Основной эфир'!$B:$B=$A630,'Основной эфир'!$C:$C=$B630,'Основной эфир'!$I:$I=$C630)), 0) "),0.0)</f>
        <v>0</v>
      </c>
      <c r="F630" s="91">
        <f>IFERROR(__xludf.DUMMYFUNCTION("IFERROR(sum(filter('Основной эфир'!$O:$O, 'Основной эфир'!$B:$B=$A630,'Основной эфир'!$C:$C=$B630,'Основной эфир'!$I:$I=$C630)), 0) "),0.0)</f>
        <v>0</v>
      </c>
      <c r="G630" s="91">
        <f>IFERROR(__xludf.DUMMYFUNCTION("IFERROR(sum(filter('Основной эфир'!$Q:$Q, 'Основной эфир'!$B:$B=$A630,'Основной эфир'!$C:$C=$B630,'Основной эфир'!$I:$I=$C630)), 0) "),0.0)</f>
        <v>0</v>
      </c>
      <c r="H630" s="91">
        <f>IFERROR(__xludf.DUMMYFUNCTION("IFERROR(AVERAGE(filter('Основной эфир'!$Y:$Y, 'Основной эфир'!$B:$B=$A630,'Основной эфир'!$C:$C=$B630,'Основной эфир'!$I:$I=$C630)), 0) "),0.0)</f>
        <v>0</v>
      </c>
      <c r="I630" s="91">
        <f>IFERROR(__xludf.DUMMYFUNCTION("IFERROR(AVERAGE(filter('Основной эфир'!$AE:$AE, 'Основной эфир'!$B:$B=$A630,'Основной эфир'!$C:$C=$B630,'Основной эфир'!$I:$I=$C630)), 0) "),0.0)</f>
        <v>0</v>
      </c>
      <c r="J630" s="91">
        <f>IFERROR(__xludf.DUMMYFUNCTION("IFERROR(SUM(filter('Основной эфир'!$AL:$AL, 'Основной эфир'!$B:$B=$A630,'Основной эфир'!$C:$C=$B630,'Основной эфир'!$I:$I=$C630)), 0) "),0.0)</f>
        <v>0</v>
      </c>
      <c r="K630" s="91" t="str">
        <f>IFERROR(__xludf.DUMMYFUNCTION("IFERROR(REGEXREPLACE(unique(filter('Основной эфир'!$A:$A, 'Основной эфир'!$B:$B=$A630,'Основной эфир'!$C:$C=$B630,'Основной эфир'!$I:$I=$C630)), ""\d+"", """"),"""")"),"")</f>
        <v/>
      </c>
      <c r="L630" s="91" t="str">
        <f>IFERROR(__xludf.DUMMYFUNCTION("IFERROR(unique(filter('Основной эфир'!$F:$F, 'Основной эфир'!$B:$B=$A630,'Основной эфир'!$C:$C=$B630,'Основной эфир'!$I:$I=$C630)),"""")"),"")</f>
        <v/>
      </c>
      <c r="M630" s="92" t="str">
        <f t="shared" si="1"/>
        <v/>
      </c>
      <c r="N630" s="93">
        <f>IFERROR(__xludf.DUMMYFUNCTION("IFERROR(SWITCH(lower(join("" "",L630:M630)),""а миллионник"", 62.5,""б миллионник"", 75,""а мск"", 50, ""б мск"", 62.5, ""a остальное"", 70, ""б остальное"", 80)/100,0)"),0.0)</f>
        <v>0</v>
      </c>
      <c r="O630" s="91">
        <f t="shared" si="2"/>
        <v>0</v>
      </c>
      <c r="P630" s="91">
        <f>IFERROR(__xludf.DUMMYFUNCTION("IFERROR(sum(filter('Генеральный баннер'!$O:$O, 'Генеральный баннер'!$B:$B=$A630,'Генеральный баннер'!$C:$C=$B630,'Генеральный баннер'!$I:$I=$C630)), 0) "),0.0)</f>
        <v>0</v>
      </c>
      <c r="Q630" s="91">
        <f>IFERROR(__xludf.DUMMYFUNCTION("IFERROR(sum(filter('Генеральный баннер'!$Q:$Q, 'Генеральный баннер'!$B:$B=$A630,'Генеральный баннер'!$C:$C=$B630,'Генеральный баннер'!$I:$I=$C630)), 0) "),0.0)</f>
        <v>0</v>
      </c>
      <c r="R630" s="91">
        <f>IFERROR(__xludf.DUMMYFUNCTION("IFERROR(AVERAGE(filter('Генеральный баннер'!$AA:$AA, 'Генеральный баннер'!$B:$B=$A630,'Генеральный баннер'!$C:$C=$B630,'Генеральный баннер'!$I:$I=$C630)), 0) "),0.0)</f>
        <v>0</v>
      </c>
      <c r="S630" s="91">
        <f>IFERROR(__xludf.DUMMYFUNCTION("IFERROR(SUM(filter('Генеральный баннер'!$AH:$AH, 'Генеральный баннер'!$B:$B=$A630,'Генеральный баннер'!$C:$C=$B630,'Генеральный баннер'!$I:$I=$C630)), 0) "),0.0)</f>
        <v>0</v>
      </c>
      <c r="T630" s="91" t="str">
        <f>IFERROR(__xludf.DUMMYFUNCTION("IFERROR(REGEXREPLACE(unique(filter('Генеральный баннер'!$A:$A, 'Генеральный баннер'!$B:$B=$A630,'Генеральный баннер'!$C:$C=$B630,'Генеральный баннер'!$I:$I=$C630)), ""\d+"", """"),"""")"),"")</f>
        <v/>
      </c>
      <c r="U630" s="91" t="str">
        <f>IFERROR(__xludf.DUMMYFUNCTION("IFERROR(unique(filter('Генеральный баннер'!$F:$F, 'Генеральный баннер'!$B:$B=$A630,'Генеральный баннер'!$C:$C=$B630,'Генеральный баннер'!$I:$I=$C630)),"""")"),"")</f>
        <v/>
      </c>
      <c r="V630" s="92" t="str">
        <f t="shared" si="3"/>
        <v/>
      </c>
      <c r="W630" s="93">
        <f>IFERROR(__xludf.DUMMYFUNCTION("IFERROR(SWITCH(lower(join("" "",U630:V630)),""а миллионник"", 62.5,""б миллионник"", 75,""а мск"", 50, ""б мск"", 62.5, ""a остальное"", 70, ""б остальное"", 80)/100,0)"),0.0)</f>
        <v>0</v>
      </c>
      <c r="X630" s="91">
        <f t="shared" si="4"/>
        <v>0</v>
      </c>
    </row>
    <row r="631">
      <c r="A631" s="12"/>
      <c r="B631" s="12"/>
      <c r="C631" s="12"/>
      <c r="D631" s="91">
        <f>IFERROR(__xludf.DUMMYFUNCTION("IFERROR(sum(filter('Основной эфир'!$AA:$AA, 'Основной эфир'!$B:$B=$A631,'Основной эфир'!$C:$C=$B631,'Основной эфир'!$I:$I=$C631)), 0) "),0.0)</f>
        <v>0</v>
      </c>
      <c r="E631" s="91">
        <f>IFERROR(__xludf.DUMMYFUNCTION("IFERROR(sum(filter('Основной эфир'!$AC:$AC, 'Основной эфир'!$B:$B=$A631,'Основной эфир'!$C:$C=$B631,'Основной эфир'!$I:$I=$C631)), 0) "),0.0)</f>
        <v>0</v>
      </c>
      <c r="F631" s="91">
        <f>IFERROR(__xludf.DUMMYFUNCTION("IFERROR(sum(filter('Основной эфир'!$O:$O, 'Основной эфир'!$B:$B=$A631,'Основной эфир'!$C:$C=$B631,'Основной эфир'!$I:$I=$C631)), 0) "),0.0)</f>
        <v>0</v>
      </c>
      <c r="G631" s="91">
        <f>IFERROR(__xludf.DUMMYFUNCTION("IFERROR(sum(filter('Основной эфир'!$Q:$Q, 'Основной эфир'!$B:$B=$A631,'Основной эфир'!$C:$C=$B631,'Основной эфир'!$I:$I=$C631)), 0) "),0.0)</f>
        <v>0</v>
      </c>
      <c r="H631" s="91">
        <f>IFERROR(__xludf.DUMMYFUNCTION("IFERROR(AVERAGE(filter('Основной эфир'!$Y:$Y, 'Основной эфир'!$B:$B=$A631,'Основной эфир'!$C:$C=$B631,'Основной эфир'!$I:$I=$C631)), 0) "),0.0)</f>
        <v>0</v>
      </c>
      <c r="I631" s="91">
        <f>IFERROR(__xludf.DUMMYFUNCTION("IFERROR(AVERAGE(filter('Основной эфир'!$AE:$AE, 'Основной эфир'!$B:$B=$A631,'Основной эфир'!$C:$C=$B631,'Основной эфир'!$I:$I=$C631)), 0) "),0.0)</f>
        <v>0</v>
      </c>
      <c r="J631" s="91">
        <f>IFERROR(__xludf.DUMMYFUNCTION("IFERROR(SUM(filter('Основной эфир'!$AL:$AL, 'Основной эфир'!$B:$B=$A631,'Основной эфир'!$C:$C=$B631,'Основной эфир'!$I:$I=$C631)), 0) "),0.0)</f>
        <v>0</v>
      </c>
      <c r="K631" s="91" t="str">
        <f>IFERROR(__xludf.DUMMYFUNCTION("IFERROR(REGEXREPLACE(unique(filter('Основной эфир'!$A:$A, 'Основной эфир'!$B:$B=$A631,'Основной эфир'!$C:$C=$B631,'Основной эфир'!$I:$I=$C631)), ""\d+"", """"),"""")"),"")</f>
        <v/>
      </c>
      <c r="L631" s="91" t="str">
        <f>IFERROR(__xludf.DUMMYFUNCTION("IFERROR(unique(filter('Основной эфир'!$F:$F, 'Основной эфир'!$B:$B=$A631,'Основной эфир'!$C:$C=$B631,'Основной эфир'!$I:$I=$C631)),"""")"),"")</f>
        <v/>
      </c>
      <c r="M631" s="92" t="str">
        <f t="shared" si="1"/>
        <v/>
      </c>
      <c r="N631" s="93">
        <f>IFERROR(__xludf.DUMMYFUNCTION("IFERROR(SWITCH(lower(join("" "",L631:M631)),""а миллионник"", 62.5,""б миллионник"", 75,""а мск"", 50, ""б мск"", 62.5, ""a остальное"", 70, ""б остальное"", 80)/100,0)"),0.0)</f>
        <v>0</v>
      </c>
      <c r="O631" s="91">
        <f t="shared" si="2"/>
        <v>0</v>
      </c>
      <c r="P631" s="91">
        <f>IFERROR(__xludf.DUMMYFUNCTION("IFERROR(sum(filter('Генеральный баннер'!$O:$O, 'Генеральный баннер'!$B:$B=$A631,'Генеральный баннер'!$C:$C=$B631,'Генеральный баннер'!$I:$I=$C631)), 0) "),0.0)</f>
        <v>0</v>
      </c>
      <c r="Q631" s="91">
        <f>IFERROR(__xludf.DUMMYFUNCTION("IFERROR(sum(filter('Генеральный баннер'!$Q:$Q, 'Генеральный баннер'!$B:$B=$A631,'Генеральный баннер'!$C:$C=$B631,'Генеральный баннер'!$I:$I=$C631)), 0) "),0.0)</f>
        <v>0</v>
      </c>
      <c r="R631" s="91">
        <f>IFERROR(__xludf.DUMMYFUNCTION("IFERROR(AVERAGE(filter('Генеральный баннер'!$AA:$AA, 'Генеральный баннер'!$B:$B=$A631,'Генеральный баннер'!$C:$C=$B631,'Генеральный баннер'!$I:$I=$C631)), 0) "),0.0)</f>
        <v>0</v>
      </c>
      <c r="S631" s="91">
        <f>IFERROR(__xludf.DUMMYFUNCTION("IFERROR(SUM(filter('Генеральный баннер'!$AH:$AH, 'Генеральный баннер'!$B:$B=$A631,'Генеральный баннер'!$C:$C=$B631,'Генеральный баннер'!$I:$I=$C631)), 0) "),0.0)</f>
        <v>0</v>
      </c>
      <c r="T631" s="91" t="str">
        <f>IFERROR(__xludf.DUMMYFUNCTION("IFERROR(REGEXREPLACE(unique(filter('Генеральный баннер'!$A:$A, 'Генеральный баннер'!$B:$B=$A631,'Генеральный баннер'!$C:$C=$B631,'Генеральный баннер'!$I:$I=$C631)), ""\d+"", """"),"""")"),"")</f>
        <v/>
      </c>
      <c r="U631" s="91" t="str">
        <f>IFERROR(__xludf.DUMMYFUNCTION("IFERROR(unique(filter('Генеральный баннер'!$F:$F, 'Генеральный баннер'!$B:$B=$A631,'Генеральный баннер'!$C:$C=$B631,'Генеральный баннер'!$I:$I=$C631)),"""")"),"")</f>
        <v/>
      </c>
      <c r="V631" s="92" t="str">
        <f t="shared" si="3"/>
        <v/>
      </c>
      <c r="W631" s="93">
        <f>IFERROR(__xludf.DUMMYFUNCTION("IFERROR(SWITCH(lower(join("" "",U631:V631)),""а миллионник"", 62.5,""б миллионник"", 75,""а мск"", 50, ""б мск"", 62.5, ""a остальное"", 70, ""б остальное"", 80)/100,0)"),0.0)</f>
        <v>0</v>
      </c>
      <c r="X631" s="91">
        <f t="shared" si="4"/>
        <v>0</v>
      </c>
    </row>
    <row r="632">
      <c r="A632" s="12"/>
      <c r="B632" s="12"/>
      <c r="C632" s="12"/>
      <c r="D632" s="91">
        <f>IFERROR(__xludf.DUMMYFUNCTION("IFERROR(sum(filter('Основной эфир'!$AA:$AA, 'Основной эфир'!$B:$B=$A632,'Основной эфир'!$C:$C=$B632,'Основной эфир'!$I:$I=$C632)), 0) "),0.0)</f>
        <v>0</v>
      </c>
      <c r="E632" s="91">
        <f>IFERROR(__xludf.DUMMYFUNCTION("IFERROR(sum(filter('Основной эфир'!$AC:$AC, 'Основной эфир'!$B:$B=$A632,'Основной эфир'!$C:$C=$B632,'Основной эфир'!$I:$I=$C632)), 0) "),0.0)</f>
        <v>0</v>
      </c>
      <c r="F632" s="91">
        <f>IFERROR(__xludf.DUMMYFUNCTION("IFERROR(sum(filter('Основной эфир'!$O:$O, 'Основной эфир'!$B:$B=$A632,'Основной эфир'!$C:$C=$B632,'Основной эфир'!$I:$I=$C632)), 0) "),0.0)</f>
        <v>0</v>
      </c>
      <c r="G632" s="91">
        <f>IFERROR(__xludf.DUMMYFUNCTION("IFERROR(sum(filter('Основной эфир'!$Q:$Q, 'Основной эфир'!$B:$B=$A632,'Основной эфир'!$C:$C=$B632,'Основной эфир'!$I:$I=$C632)), 0) "),0.0)</f>
        <v>0</v>
      </c>
      <c r="H632" s="91">
        <f>IFERROR(__xludf.DUMMYFUNCTION("IFERROR(AVERAGE(filter('Основной эфир'!$Y:$Y, 'Основной эфир'!$B:$B=$A632,'Основной эфир'!$C:$C=$B632,'Основной эфир'!$I:$I=$C632)), 0) "),0.0)</f>
        <v>0</v>
      </c>
      <c r="I632" s="91">
        <f>IFERROR(__xludf.DUMMYFUNCTION("IFERROR(AVERAGE(filter('Основной эфир'!$AE:$AE, 'Основной эфир'!$B:$B=$A632,'Основной эфир'!$C:$C=$B632,'Основной эфир'!$I:$I=$C632)), 0) "),0.0)</f>
        <v>0</v>
      </c>
      <c r="J632" s="91">
        <f>IFERROR(__xludf.DUMMYFUNCTION("IFERROR(SUM(filter('Основной эфир'!$AL:$AL, 'Основной эфир'!$B:$B=$A632,'Основной эфир'!$C:$C=$B632,'Основной эфир'!$I:$I=$C632)), 0) "),0.0)</f>
        <v>0</v>
      </c>
      <c r="K632" s="91" t="str">
        <f>IFERROR(__xludf.DUMMYFUNCTION("IFERROR(REGEXREPLACE(unique(filter('Основной эфир'!$A:$A, 'Основной эфир'!$B:$B=$A632,'Основной эфир'!$C:$C=$B632,'Основной эфир'!$I:$I=$C632)), ""\d+"", """"),"""")"),"")</f>
        <v/>
      </c>
      <c r="L632" s="91" t="str">
        <f>IFERROR(__xludf.DUMMYFUNCTION("IFERROR(unique(filter('Основной эфир'!$F:$F, 'Основной эфир'!$B:$B=$A632,'Основной эфир'!$C:$C=$B632,'Основной эфир'!$I:$I=$C632)),"""")"),"")</f>
        <v/>
      </c>
      <c r="M632" s="92" t="str">
        <f t="shared" si="1"/>
        <v/>
      </c>
      <c r="N632" s="93">
        <f>IFERROR(__xludf.DUMMYFUNCTION("IFERROR(SWITCH(lower(join("" "",L632:M632)),""а миллионник"", 62.5,""б миллионник"", 75,""а мск"", 50, ""б мск"", 62.5, ""a остальное"", 70, ""б остальное"", 80)/100,0)"),0.0)</f>
        <v>0</v>
      </c>
      <c r="O632" s="91">
        <f t="shared" si="2"/>
        <v>0</v>
      </c>
      <c r="P632" s="91">
        <f>IFERROR(__xludf.DUMMYFUNCTION("IFERROR(sum(filter('Генеральный баннер'!$O:$O, 'Генеральный баннер'!$B:$B=$A632,'Генеральный баннер'!$C:$C=$B632,'Генеральный баннер'!$I:$I=$C632)), 0) "),0.0)</f>
        <v>0</v>
      </c>
      <c r="Q632" s="91">
        <f>IFERROR(__xludf.DUMMYFUNCTION("IFERROR(sum(filter('Генеральный баннер'!$Q:$Q, 'Генеральный баннер'!$B:$B=$A632,'Генеральный баннер'!$C:$C=$B632,'Генеральный баннер'!$I:$I=$C632)), 0) "),0.0)</f>
        <v>0</v>
      </c>
      <c r="R632" s="91">
        <f>IFERROR(__xludf.DUMMYFUNCTION("IFERROR(AVERAGE(filter('Генеральный баннер'!$AA:$AA, 'Генеральный баннер'!$B:$B=$A632,'Генеральный баннер'!$C:$C=$B632,'Генеральный баннер'!$I:$I=$C632)), 0) "),0.0)</f>
        <v>0</v>
      </c>
      <c r="S632" s="91">
        <f>IFERROR(__xludf.DUMMYFUNCTION("IFERROR(SUM(filter('Генеральный баннер'!$AH:$AH, 'Генеральный баннер'!$B:$B=$A632,'Генеральный баннер'!$C:$C=$B632,'Генеральный баннер'!$I:$I=$C632)), 0) "),0.0)</f>
        <v>0</v>
      </c>
      <c r="T632" s="91" t="str">
        <f>IFERROR(__xludf.DUMMYFUNCTION("IFERROR(REGEXREPLACE(unique(filter('Генеральный баннер'!$A:$A, 'Генеральный баннер'!$B:$B=$A632,'Генеральный баннер'!$C:$C=$B632,'Генеральный баннер'!$I:$I=$C632)), ""\d+"", """"),"""")"),"")</f>
        <v/>
      </c>
      <c r="U632" s="91" t="str">
        <f>IFERROR(__xludf.DUMMYFUNCTION("IFERROR(unique(filter('Генеральный баннер'!$F:$F, 'Генеральный баннер'!$B:$B=$A632,'Генеральный баннер'!$C:$C=$B632,'Генеральный баннер'!$I:$I=$C632)),"""")"),"")</f>
        <v/>
      </c>
      <c r="V632" s="92" t="str">
        <f t="shared" si="3"/>
        <v/>
      </c>
      <c r="W632" s="93">
        <f>IFERROR(__xludf.DUMMYFUNCTION("IFERROR(SWITCH(lower(join("" "",U632:V632)),""а миллионник"", 62.5,""б миллионник"", 75,""а мск"", 50, ""б мск"", 62.5, ""a остальное"", 70, ""б остальное"", 80)/100,0)"),0.0)</f>
        <v>0</v>
      </c>
      <c r="X632" s="91">
        <f t="shared" si="4"/>
        <v>0</v>
      </c>
    </row>
    <row r="633">
      <c r="A633" s="12"/>
      <c r="B633" s="12"/>
      <c r="C633" s="12"/>
      <c r="D633" s="91">
        <f>IFERROR(__xludf.DUMMYFUNCTION("IFERROR(sum(filter('Основной эфир'!$AA:$AA, 'Основной эфир'!$B:$B=$A633,'Основной эфир'!$C:$C=$B633,'Основной эфир'!$I:$I=$C633)), 0) "),0.0)</f>
        <v>0</v>
      </c>
      <c r="E633" s="91">
        <f>IFERROR(__xludf.DUMMYFUNCTION("IFERROR(sum(filter('Основной эфир'!$AC:$AC, 'Основной эфир'!$B:$B=$A633,'Основной эфир'!$C:$C=$B633,'Основной эфир'!$I:$I=$C633)), 0) "),0.0)</f>
        <v>0</v>
      </c>
      <c r="F633" s="91">
        <f>IFERROR(__xludf.DUMMYFUNCTION("IFERROR(sum(filter('Основной эфир'!$O:$O, 'Основной эфир'!$B:$B=$A633,'Основной эфир'!$C:$C=$B633,'Основной эфир'!$I:$I=$C633)), 0) "),0.0)</f>
        <v>0</v>
      </c>
      <c r="G633" s="91">
        <f>IFERROR(__xludf.DUMMYFUNCTION("IFERROR(sum(filter('Основной эфир'!$Q:$Q, 'Основной эфир'!$B:$B=$A633,'Основной эфир'!$C:$C=$B633,'Основной эфир'!$I:$I=$C633)), 0) "),0.0)</f>
        <v>0</v>
      </c>
      <c r="H633" s="91">
        <f>IFERROR(__xludf.DUMMYFUNCTION("IFERROR(AVERAGE(filter('Основной эфир'!$Y:$Y, 'Основной эфир'!$B:$B=$A633,'Основной эфир'!$C:$C=$B633,'Основной эфир'!$I:$I=$C633)), 0) "),0.0)</f>
        <v>0</v>
      </c>
      <c r="I633" s="91">
        <f>IFERROR(__xludf.DUMMYFUNCTION("IFERROR(AVERAGE(filter('Основной эфир'!$AE:$AE, 'Основной эфир'!$B:$B=$A633,'Основной эфир'!$C:$C=$B633,'Основной эфир'!$I:$I=$C633)), 0) "),0.0)</f>
        <v>0</v>
      </c>
      <c r="J633" s="91">
        <f>IFERROR(__xludf.DUMMYFUNCTION("IFERROR(SUM(filter('Основной эфир'!$AL:$AL, 'Основной эфир'!$B:$B=$A633,'Основной эфир'!$C:$C=$B633,'Основной эфир'!$I:$I=$C633)), 0) "),0.0)</f>
        <v>0</v>
      </c>
      <c r="K633" s="91" t="str">
        <f>IFERROR(__xludf.DUMMYFUNCTION("IFERROR(REGEXREPLACE(unique(filter('Основной эфир'!$A:$A, 'Основной эфир'!$B:$B=$A633,'Основной эфир'!$C:$C=$B633,'Основной эфир'!$I:$I=$C633)), ""\d+"", """"),"""")"),"")</f>
        <v/>
      </c>
      <c r="L633" s="91" t="str">
        <f>IFERROR(__xludf.DUMMYFUNCTION("IFERROR(unique(filter('Основной эфир'!$F:$F, 'Основной эфир'!$B:$B=$A633,'Основной эфир'!$C:$C=$B633,'Основной эфир'!$I:$I=$C633)),"""")"),"")</f>
        <v/>
      </c>
      <c r="M633" s="92" t="str">
        <f t="shared" si="1"/>
        <v/>
      </c>
      <c r="N633" s="93">
        <f>IFERROR(__xludf.DUMMYFUNCTION("IFERROR(SWITCH(lower(join("" "",L633:M633)),""а миллионник"", 62.5,""б миллионник"", 75,""а мск"", 50, ""б мск"", 62.5, ""a остальное"", 70, ""б остальное"", 80)/100,0)"),0.0)</f>
        <v>0</v>
      </c>
      <c r="O633" s="91">
        <f t="shared" si="2"/>
        <v>0</v>
      </c>
      <c r="P633" s="91">
        <f>IFERROR(__xludf.DUMMYFUNCTION("IFERROR(sum(filter('Генеральный баннер'!$O:$O, 'Генеральный баннер'!$B:$B=$A633,'Генеральный баннер'!$C:$C=$B633,'Генеральный баннер'!$I:$I=$C633)), 0) "),0.0)</f>
        <v>0</v>
      </c>
      <c r="Q633" s="91">
        <f>IFERROR(__xludf.DUMMYFUNCTION("IFERROR(sum(filter('Генеральный баннер'!$Q:$Q, 'Генеральный баннер'!$B:$B=$A633,'Генеральный баннер'!$C:$C=$B633,'Генеральный баннер'!$I:$I=$C633)), 0) "),0.0)</f>
        <v>0</v>
      </c>
      <c r="R633" s="91">
        <f>IFERROR(__xludf.DUMMYFUNCTION("IFERROR(AVERAGE(filter('Генеральный баннер'!$AA:$AA, 'Генеральный баннер'!$B:$B=$A633,'Генеральный баннер'!$C:$C=$B633,'Генеральный баннер'!$I:$I=$C633)), 0) "),0.0)</f>
        <v>0</v>
      </c>
      <c r="S633" s="91">
        <f>IFERROR(__xludf.DUMMYFUNCTION("IFERROR(SUM(filter('Генеральный баннер'!$AH:$AH, 'Генеральный баннер'!$B:$B=$A633,'Генеральный баннер'!$C:$C=$B633,'Генеральный баннер'!$I:$I=$C633)), 0) "),0.0)</f>
        <v>0</v>
      </c>
      <c r="T633" s="91" t="str">
        <f>IFERROR(__xludf.DUMMYFUNCTION("IFERROR(REGEXREPLACE(unique(filter('Генеральный баннер'!$A:$A, 'Генеральный баннер'!$B:$B=$A633,'Генеральный баннер'!$C:$C=$B633,'Генеральный баннер'!$I:$I=$C633)), ""\d+"", """"),"""")"),"")</f>
        <v/>
      </c>
      <c r="U633" s="91" t="str">
        <f>IFERROR(__xludf.DUMMYFUNCTION("IFERROR(unique(filter('Генеральный баннер'!$F:$F, 'Генеральный баннер'!$B:$B=$A633,'Генеральный баннер'!$C:$C=$B633,'Генеральный баннер'!$I:$I=$C633)),"""")"),"")</f>
        <v/>
      </c>
      <c r="V633" s="92" t="str">
        <f t="shared" si="3"/>
        <v/>
      </c>
      <c r="W633" s="93">
        <f>IFERROR(__xludf.DUMMYFUNCTION("IFERROR(SWITCH(lower(join("" "",U633:V633)),""а миллионник"", 62.5,""б миллионник"", 75,""а мск"", 50, ""б мск"", 62.5, ""a остальное"", 70, ""б остальное"", 80)/100,0)"),0.0)</f>
        <v>0</v>
      </c>
      <c r="X633" s="91">
        <f t="shared" si="4"/>
        <v>0</v>
      </c>
    </row>
    <row r="634">
      <c r="A634" s="12"/>
      <c r="B634" s="12"/>
      <c r="C634" s="12"/>
      <c r="D634" s="91">
        <f>IFERROR(__xludf.DUMMYFUNCTION("IFERROR(sum(filter('Основной эфир'!$AA:$AA, 'Основной эфир'!$B:$B=$A634,'Основной эфир'!$C:$C=$B634,'Основной эфир'!$I:$I=$C634)), 0) "),0.0)</f>
        <v>0</v>
      </c>
      <c r="E634" s="91">
        <f>IFERROR(__xludf.DUMMYFUNCTION("IFERROR(sum(filter('Основной эфир'!$AC:$AC, 'Основной эфир'!$B:$B=$A634,'Основной эфир'!$C:$C=$B634,'Основной эфир'!$I:$I=$C634)), 0) "),0.0)</f>
        <v>0</v>
      </c>
      <c r="F634" s="91">
        <f>IFERROR(__xludf.DUMMYFUNCTION("IFERROR(sum(filter('Основной эфир'!$O:$O, 'Основной эфир'!$B:$B=$A634,'Основной эфир'!$C:$C=$B634,'Основной эфир'!$I:$I=$C634)), 0) "),0.0)</f>
        <v>0</v>
      </c>
      <c r="G634" s="91">
        <f>IFERROR(__xludf.DUMMYFUNCTION("IFERROR(sum(filter('Основной эфир'!$Q:$Q, 'Основной эфир'!$B:$B=$A634,'Основной эфир'!$C:$C=$B634,'Основной эфир'!$I:$I=$C634)), 0) "),0.0)</f>
        <v>0</v>
      </c>
      <c r="H634" s="91">
        <f>IFERROR(__xludf.DUMMYFUNCTION("IFERROR(AVERAGE(filter('Основной эфир'!$Y:$Y, 'Основной эфир'!$B:$B=$A634,'Основной эфир'!$C:$C=$B634,'Основной эфир'!$I:$I=$C634)), 0) "),0.0)</f>
        <v>0</v>
      </c>
      <c r="I634" s="91">
        <f>IFERROR(__xludf.DUMMYFUNCTION("IFERROR(AVERAGE(filter('Основной эфир'!$AE:$AE, 'Основной эфир'!$B:$B=$A634,'Основной эфир'!$C:$C=$B634,'Основной эфир'!$I:$I=$C634)), 0) "),0.0)</f>
        <v>0</v>
      </c>
      <c r="J634" s="91">
        <f>IFERROR(__xludf.DUMMYFUNCTION("IFERROR(SUM(filter('Основной эфир'!$AL:$AL, 'Основной эфир'!$B:$B=$A634,'Основной эфир'!$C:$C=$B634,'Основной эфир'!$I:$I=$C634)), 0) "),0.0)</f>
        <v>0</v>
      </c>
      <c r="K634" s="91" t="str">
        <f>IFERROR(__xludf.DUMMYFUNCTION("IFERROR(REGEXREPLACE(unique(filter('Основной эфир'!$A:$A, 'Основной эфир'!$B:$B=$A634,'Основной эфир'!$C:$C=$B634,'Основной эфир'!$I:$I=$C634)), ""\d+"", """"),"""")"),"")</f>
        <v/>
      </c>
      <c r="L634" s="91" t="str">
        <f>IFERROR(__xludf.DUMMYFUNCTION("IFERROR(unique(filter('Основной эфир'!$F:$F, 'Основной эфир'!$B:$B=$A634,'Основной эфир'!$C:$C=$B634,'Основной эфир'!$I:$I=$C634)),"""")"),"")</f>
        <v/>
      </c>
      <c r="M634" s="92" t="str">
        <f t="shared" si="1"/>
        <v/>
      </c>
      <c r="N634" s="93">
        <f>IFERROR(__xludf.DUMMYFUNCTION("IFERROR(SWITCH(lower(join("" "",L634:M634)),""а миллионник"", 62.5,""б миллионник"", 75,""а мск"", 50, ""б мск"", 62.5, ""a остальное"", 70, ""б остальное"", 80)/100,0)"),0.0)</f>
        <v>0</v>
      </c>
      <c r="O634" s="91">
        <f t="shared" si="2"/>
        <v>0</v>
      </c>
      <c r="P634" s="91">
        <f>IFERROR(__xludf.DUMMYFUNCTION("IFERROR(sum(filter('Генеральный баннер'!$O:$O, 'Генеральный баннер'!$B:$B=$A634,'Генеральный баннер'!$C:$C=$B634,'Генеральный баннер'!$I:$I=$C634)), 0) "),0.0)</f>
        <v>0</v>
      </c>
      <c r="Q634" s="91">
        <f>IFERROR(__xludf.DUMMYFUNCTION("IFERROR(sum(filter('Генеральный баннер'!$Q:$Q, 'Генеральный баннер'!$B:$B=$A634,'Генеральный баннер'!$C:$C=$B634,'Генеральный баннер'!$I:$I=$C634)), 0) "),0.0)</f>
        <v>0</v>
      </c>
      <c r="R634" s="91">
        <f>IFERROR(__xludf.DUMMYFUNCTION("IFERROR(AVERAGE(filter('Генеральный баннер'!$AA:$AA, 'Генеральный баннер'!$B:$B=$A634,'Генеральный баннер'!$C:$C=$B634,'Генеральный баннер'!$I:$I=$C634)), 0) "),0.0)</f>
        <v>0</v>
      </c>
      <c r="S634" s="91">
        <f>IFERROR(__xludf.DUMMYFUNCTION("IFERROR(SUM(filter('Генеральный баннер'!$AH:$AH, 'Генеральный баннер'!$B:$B=$A634,'Генеральный баннер'!$C:$C=$B634,'Генеральный баннер'!$I:$I=$C634)), 0) "),0.0)</f>
        <v>0</v>
      </c>
      <c r="T634" s="91" t="str">
        <f>IFERROR(__xludf.DUMMYFUNCTION("IFERROR(REGEXREPLACE(unique(filter('Генеральный баннер'!$A:$A, 'Генеральный баннер'!$B:$B=$A634,'Генеральный баннер'!$C:$C=$B634,'Генеральный баннер'!$I:$I=$C634)), ""\d+"", """"),"""")"),"")</f>
        <v/>
      </c>
      <c r="U634" s="91" t="str">
        <f>IFERROR(__xludf.DUMMYFUNCTION("IFERROR(unique(filter('Генеральный баннер'!$F:$F, 'Генеральный баннер'!$B:$B=$A634,'Генеральный баннер'!$C:$C=$B634,'Генеральный баннер'!$I:$I=$C634)),"""")"),"")</f>
        <v/>
      </c>
      <c r="V634" s="92" t="str">
        <f t="shared" si="3"/>
        <v/>
      </c>
      <c r="W634" s="93">
        <f>IFERROR(__xludf.DUMMYFUNCTION("IFERROR(SWITCH(lower(join("" "",U634:V634)),""а миллионник"", 62.5,""б миллионник"", 75,""а мск"", 50, ""б мск"", 62.5, ""a остальное"", 70, ""б остальное"", 80)/100,0)"),0.0)</f>
        <v>0</v>
      </c>
      <c r="X634" s="91">
        <f t="shared" si="4"/>
        <v>0</v>
      </c>
    </row>
    <row r="635">
      <c r="A635" s="12"/>
      <c r="B635" s="12"/>
      <c r="C635" s="12"/>
      <c r="D635" s="91">
        <f>IFERROR(__xludf.DUMMYFUNCTION("IFERROR(sum(filter('Основной эфир'!$AA:$AA, 'Основной эфир'!$B:$B=$A635,'Основной эфир'!$C:$C=$B635,'Основной эфир'!$I:$I=$C635)), 0) "),0.0)</f>
        <v>0</v>
      </c>
      <c r="E635" s="91">
        <f>IFERROR(__xludf.DUMMYFUNCTION("IFERROR(sum(filter('Основной эфир'!$AC:$AC, 'Основной эфир'!$B:$B=$A635,'Основной эфир'!$C:$C=$B635,'Основной эфир'!$I:$I=$C635)), 0) "),0.0)</f>
        <v>0</v>
      </c>
      <c r="F635" s="91">
        <f>IFERROR(__xludf.DUMMYFUNCTION("IFERROR(sum(filter('Основной эфир'!$O:$O, 'Основной эфир'!$B:$B=$A635,'Основной эфир'!$C:$C=$B635,'Основной эфир'!$I:$I=$C635)), 0) "),0.0)</f>
        <v>0</v>
      </c>
      <c r="G635" s="91">
        <f>IFERROR(__xludf.DUMMYFUNCTION("IFERROR(sum(filter('Основной эфир'!$Q:$Q, 'Основной эфир'!$B:$B=$A635,'Основной эфир'!$C:$C=$B635,'Основной эфир'!$I:$I=$C635)), 0) "),0.0)</f>
        <v>0</v>
      </c>
      <c r="H635" s="91">
        <f>IFERROR(__xludf.DUMMYFUNCTION("IFERROR(AVERAGE(filter('Основной эфир'!$Y:$Y, 'Основной эфир'!$B:$B=$A635,'Основной эфир'!$C:$C=$B635,'Основной эфир'!$I:$I=$C635)), 0) "),0.0)</f>
        <v>0</v>
      </c>
      <c r="I635" s="91">
        <f>IFERROR(__xludf.DUMMYFUNCTION("IFERROR(AVERAGE(filter('Основной эфир'!$AE:$AE, 'Основной эфир'!$B:$B=$A635,'Основной эфир'!$C:$C=$B635,'Основной эфир'!$I:$I=$C635)), 0) "),0.0)</f>
        <v>0</v>
      </c>
      <c r="J635" s="91">
        <f>IFERROR(__xludf.DUMMYFUNCTION("IFERROR(SUM(filter('Основной эфир'!$AL:$AL, 'Основной эфир'!$B:$B=$A635,'Основной эфир'!$C:$C=$B635,'Основной эфир'!$I:$I=$C635)), 0) "),0.0)</f>
        <v>0</v>
      </c>
      <c r="K635" s="91" t="str">
        <f>IFERROR(__xludf.DUMMYFUNCTION("IFERROR(REGEXREPLACE(unique(filter('Основной эфир'!$A:$A, 'Основной эфир'!$B:$B=$A635,'Основной эфир'!$C:$C=$B635,'Основной эфир'!$I:$I=$C635)), ""\d+"", """"),"""")"),"")</f>
        <v/>
      </c>
      <c r="L635" s="91" t="str">
        <f>IFERROR(__xludf.DUMMYFUNCTION("IFERROR(unique(filter('Основной эфир'!$F:$F, 'Основной эфир'!$B:$B=$A635,'Основной эфир'!$C:$C=$B635,'Основной эфир'!$I:$I=$C635)),"""")"),"")</f>
        <v/>
      </c>
      <c r="M635" s="92" t="str">
        <f t="shared" si="1"/>
        <v/>
      </c>
      <c r="N635" s="93">
        <f>IFERROR(__xludf.DUMMYFUNCTION("IFERROR(SWITCH(lower(join("" "",L635:M635)),""а миллионник"", 62.5,""б миллионник"", 75,""а мск"", 50, ""б мск"", 62.5, ""a остальное"", 70, ""б остальное"", 80)/100,0)"),0.0)</f>
        <v>0</v>
      </c>
      <c r="O635" s="91">
        <f t="shared" si="2"/>
        <v>0</v>
      </c>
      <c r="P635" s="91">
        <f>IFERROR(__xludf.DUMMYFUNCTION("IFERROR(sum(filter('Генеральный баннер'!$O:$O, 'Генеральный баннер'!$B:$B=$A635,'Генеральный баннер'!$C:$C=$B635,'Генеральный баннер'!$I:$I=$C635)), 0) "),0.0)</f>
        <v>0</v>
      </c>
      <c r="Q635" s="91">
        <f>IFERROR(__xludf.DUMMYFUNCTION("IFERROR(sum(filter('Генеральный баннер'!$Q:$Q, 'Генеральный баннер'!$B:$B=$A635,'Генеральный баннер'!$C:$C=$B635,'Генеральный баннер'!$I:$I=$C635)), 0) "),0.0)</f>
        <v>0</v>
      </c>
      <c r="R635" s="91">
        <f>IFERROR(__xludf.DUMMYFUNCTION("IFERROR(AVERAGE(filter('Генеральный баннер'!$AA:$AA, 'Генеральный баннер'!$B:$B=$A635,'Генеральный баннер'!$C:$C=$B635,'Генеральный баннер'!$I:$I=$C635)), 0) "),0.0)</f>
        <v>0</v>
      </c>
      <c r="S635" s="91">
        <f>IFERROR(__xludf.DUMMYFUNCTION("IFERROR(SUM(filter('Генеральный баннер'!$AH:$AH, 'Генеральный баннер'!$B:$B=$A635,'Генеральный баннер'!$C:$C=$B635,'Генеральный баннер'!$I:$I=$C635)), 0) "),0.0)</f>
        <v>0</v>
      </c>
      <c r="T635" s="91" t="str">
        <f>IFERROR(__xludf.DUMMYFUNCTION("IFERROR(REGEXREPLACE(unique(filter('Генеральный баннер'!$A:$A, 'Генеральный баннер'!$B:$B=$A635,'Генеральный баннер'!$C:$C=$B635,'Генеральный баннер'!$I:$I=$C635)), ""\d+"", """"),"""")"),"")</f>
        <v/>
      </c>
      <c r="U635" s="91" t="str">
        <f>IFERROR(__xludf.DUMMYFUNCTION("IFERROR(unique(filter('Генеральный баннер'!$F:$F, 'Генеральный баннер'!$B:$B=$A635,'Генеральный баннер'!$C:$C=$B635,'Генеральный баннер'!$I:$I=$C635)),"""")"),"")</f>
        <v/>
      </c>
      <c r="V635" s="92" t="str">
        <f t="shared" si="3"/>
        <v/>
      </c>
      <c r="W635" s="93">
        <f>IFERROR(__xludf.DUMMYFUNCTION("IFERROR(SWITCH(lower(join("" "",U635:V635)),""а миллионник"", 62.5,""б миллионник"", 75,""а мск"", 50, ""б мск"", 62.5, ""a остальное"", 70, ""б остальное"", 80)/100,0)"),0.0)</f>
        <v>0</v>
      </c>
      <c r="X635" s="91">
        <f t="shared" si="4"/>
        <v>0</v>
      </c>
    </row>
    <row r="636">
      <c r="A636" s="12"/>
      <c r="B636" s="12"/>
      <c r="C636" s="12"/>
      <c r="D636" s="91">
        <f>IFERROR(__xludf.DUMMYFUNCTION("IFERROR(sum(filter('Основной эфир'!$AA:$AA, 'Основной эфир'!$B:$B=$A636,'Основной эфир'!$C:$C=$B636,'Основной эфир'!$I:$I=$C636)), 0) "),0.0)</f>
        <v>0</v>
      </c>
      <c r="E636" s="91">
        <f>IFERROR(__xludf.DUMMYFUNCTION("IFERROR(sum(filter('Основной эфир'!$AC:$AC, 'Основной эфир'!$B:$B=$A636,'Основной эфир'!$C:$C=$B636,'Основной эфир'!$I:$I=$C636)), 0) "),0.0)</f>
        <v>0</v>
      </c>
      <c r="F636" s="91">
        <f>IFERROR(__xludf.DUMMYFUNCTION("IFERROR(sum(filter('Основной эфир'!$O:$O, 'Основной эфир'!$B:$B=$A636,'Основной эфир'!$C:$C=$B636,'Основной эфир'!$I:$I=$C636)), 0) "),0.0)</f>
        <v>0</v>
      </c>
      <c r="G636" s="91">
        <f>IFERROR(__xludf.DUMMYFUNCTION("IFERROR(sum(filter('Основной эфир'!$Q:$Q, 'Основной эфир'!$B:$B=$A636,'Основной эфир'!$C:$C=$B636,'Основной эфир'!$I:$I=$C636)), 0) "),0.0)</f>
        <v>0</v>
      </c>
      <c r="H636" s="91">
        <f>IFERROR(__xludf.DUMMYFUNCTION("IFERROR(AVERAGE(filter('Основной эфир'!$Y:$Y, 'Основной эфир'!$B:$B=$A636,'Основной эфир'!$C:$C=$B636,'Основной эфир'!$I:$I=$C636)), 0) "),0.0)</f>
        <v>0</v>
      </c>
      <c r="I636" s="91">
        <f>IFERROR(__xludf.DUMMYFUNCTION("IFERROR(AVERAGE(filter('Основной эфир'!$AE:$AE, 'Основной эфир'!$B:$B=$A636,'Основной эфир'!$C:$C=$B636,'Основной эфир'!$I:$I=$C636)), 0) "),0.0)</f>
        <v>0</v>
      </c>
      <c r="J636" s="91">
        <f>IFERROR(__xludf.DUMMYFUNCTION("IFERROR(SUM(filter('Основной эфир'!$AL:$AL, 'Основной эфир'!$B:$B=$A636,'Основной эфир'!$C:$C=$B636,'Основной эфир'!$I:$I=$C636)), 0) "),0.0)</f>
        <v>0</v>
      </c>
      <c r="K636" s="91" t="str">
        <f>IFERROR(__xludf.DUMMYFUNCTION("IFERROR(REGEXREPLACE(unique(filter('Основной эфир'!$A:$A, 'Основной эфир'!$B:$B=$A636,'Основной эфир'!$C:$C=$B636,'Основной эфир'!$I:$I=$C636)), ""\d+"", """"),"""")"),"")</f>
        <v/>
      </c>
      <c r="L636" s="91" t="str">
        <f>IFERROR(__xludf.DUMMYFUNCTION("IFERROR(unique(filter('Основной эфир'!$F:$F, 'Основной эфир'!$B:$B=$A636,'Основной эфир'!$C:$C=$B636,'Основной эфир'!$I:$I=$C636)),"""")"),"")</f>
        <v/>
      </c>
      <c r="M636" s="92" t="str">
        <f t="shared" si="1"/>
        <v/>
      </c>
      <c r="N636" s="93">
        <f>IFERROR(__xludf.DUMMYFUNCTION("IFERROR(SWITCH(lower(join("" "",L636:M636)),""а миллионник"", 62.5,""б миллионник"", 75,""а мск"", 50, ""б мск"", 62.5, ""a остальное"", 70, ""б остальное"", 80)/100,0)"),0.0)</f>
        <v>0</v>
      </c>
      <c r="O636" s="91">
        <f t="shared" si="2"/>
        <v>0</v>
      </c>
      <c r="P636" s="91">
        <f>IFERROR(__xludf.DUMMYFUNCTION("IFERROR(sum(filter('Генеральный баннер'!$O:$O, 'Генеральный баннер'!$B:$B=$A636,'Генеральный баннер'!$C:$C=$B636,'Генеральный баннер'!$I:$I=$C636)), 0) "),0.0)</f>
        <v>0</v>
      </c>
      <c r="Q636" s="91">
        <f>IFERROR(__xludf.DUMMYFUNCTION("IFERROR(sum(filter('Генеральный баннер'!$Q:$Q, 'Генеральный баннер'!$B:$B=$A636,'Генеральный баннер'!$C:$C=$B636,'Генеральный баннер'!$I:$I=$C636)), 0) "),0.0)</f>
        <v>0</v>
      </c>
      <c r="R636" s="91">
        <f>IFERROR(__xludf.DUMMYFUNCTION("IFERROR(AVERAGE(filter('Генеральный баннер'!$AA:$AA, 'Генеральный баннер'!$B:$B=$A636,'Генеральный баннер'!$C:$C=$B636,'Генеральный баннер'!$I:$I=$C636)), 0) "),0.0)</f>
        <v>0</v>
      </c>
      <c r="S636" s="91">
        <f>IFERROR(__xludf.DUMMYFUNCTION("IFERROR(SUM(filter('Генеральный баннер'!$AH:$AH, 'Генеральный баннер'!$B:$B=$A636,'Генеральный баннер'!$C:$C=$B636,'Генеральный баннер'!$I:$I=$C636)), 0) "),0.0)</f>
        <v>0</v>
      </c>
      <c r="T636" s="91" t="str">
        <f>IFERROR(__xludf.DUMMYFUNCTION("IFERROR(REGEXREPLACE(unique(filter('Генеральный баннер'!$A:$A, 'Генеральный баннер'!$B:$B=$A636,'Генеральный баннер'!$C:$C=$B636,'Генеральный баннер'!$I:$I=$C636)), ""\d+"", """"),"""")"),"")</f>
        <v/>
      </c>
      <c r="U636" s="91" t="str">
        <f>IFERROR(__xludf.DUMMYFUNCTION("IFERROR(unique(filter('Генеральный баннер'!$F:$F, 'Генеральный баннер'!$B:$B=$A636,'Генеральный баннер'!$C:$C=$B636,'Генеральный баннер'!$I:$I=$C636)),"""")"),"")</f>
        <v/>
      </c>
      <c r="V636" s="92" t="str">
        <f t="shared" si="3"/>
        <v/>
      </c>
      <c r="W636" s="93">
        <f>IFERROR(__xludf.DUMMYFUNCTION("IFERROR(SWITCH(lower(join("" "",U636:V636)),""а миллионник"", 62.5,""б миллионник"", 75,""а мск"", 50, ""б мск"", 62.5, ""a остальное"", 70, ""б остальное"", 80)/100,0)"),0.0)</f>
        <v>0</v>
      </c>
      <c r="X636" s="91">
        <f t="shared" si="4"/>
        <v>0</v>
      </c>
    </row>
    <row r="637">
      <c r="A637" s="12"/>
      <c r="B637" s="12"/>
      <c r="C637" s="12"/>
      <c r="D637" s="91">
        <f>IFERROR(__xludf.DUMMYFUNCTION("IFERROR(sum(filter('Основной эфир'!$AA:$AA, 'Основной эфир'!$B:$B=$A637,'Основной эфир'!$C:$C=$B637,'Основной эфир'!$I:$I=$C637)), 0) "),0.0)</f>
        <v>0</v>
      </c>
      <c r="E637" s="91">
        <f>IFERROR(__xludf.DUMMYFUNCTION("IFERROR(sum(filter('Основной эфир'!$AC:$AC, 'Основной эфир'!$B:$B=$A637,'Основной эфир'!$C:$C=$B637,'Основной эфир'!$I:$I=$C637)), 0) "),0.0)</f>
        <v>0</v>
      </c>
      <c r="F637" s="91">
        <f>IFERROR(__xludf.DUMMYFUNCTION("IFERROR(sum(filter('Основной эфир'!$O:$O, 'Основной эфир'!$B:$B=$A637,'Основной эфир'!$C:$C=$B637,'Основной эфир'!$I:$I=$C637)), 0) "),0.0)</f>
        <v>0</v>
      </c>
      <c r="G637" s="91">
        <f>IFERROR(__xludf.DUMMYFUNCTION("IFERROR(sum(filter('Основной эфир'!$Q:$Q, 'Основной эфир'!$B:$B=$A637,'Основной эфир'!$C:$C=$B637,'Основной эфир'!$I:$I=$C637)), 0) "),0.0)</f>
        <v>0</v>
      </c>
      <c r="H637" s="91">
        <f>IFERROR(__xludf.DUMMYFUNCTION("IFERROR(AVERAGE(filter('Основной эфир'!$Y:$Y, 'Основной эфир'!$B:$B=$A637,'Основной эфир'!$C:$C=$B637,'Основной эфир'!$I:$I=$C637)), 0) "),0.0)</f>
        <v>0</v>
      </c>
      <c r="I637" s="91">
        <f>IFERROR(__xludf.DUMMYFUNCTION("IFERROR(AVERAGE(filter('Основной эфир'!$AE:$AE, 'Основной эфир'!$B:$B=$A637,'Основной эфир'!$C:$C=$B637,'Основной эфир'!$I:$I=$C637)), 0) "),0.0)</f>
        <v>0</v>
      </c>
      <c r="J637" s="91">
        <f>IFERROR(__xludf.DUMMYFUNCTION("IFERROR(SUM(filter('Основной эфир'!$AL:$AL, 'Основной эфир'!$B:$B=$A637,'Основной эфир'!$C:$C=$B637,'Основной эфир'!$I:$I=$C637)), 0) "),0.0)</f>
        <v>0</v>
      </c>
      <c r="K637" s="91" t="str">
        <f>IFERROR(__xludf.DUMMYFUNCTION("IFERROR(REGEXREPLACE(unique(filter('Основной эфир'!$A:$A, 'Основной эфир'!$B:$B=$A637,'Основной эфир'!$C:$C=$B637,'Основной эфир'!$I:$I=$C637)), ""\d+"", """"),"""")"),"")</f>
        <v/>
      </c>
      <c r="L637" s="91" t="str">
        <f>IFERROR(__xludf.DUMMYFUNCTION("IFERROR(unique(filter('Основной эфир'!$F:$F, 'Основной эфир'!$B:$B=$A637,'Основной эфир'!$C:$C=$B637,'Основной эфир'!$I:$I=$C637)),"""")"),"")</f>
        <v/>
      </c>
      <c r="M637" s="92" t="str">
        <f t="shared" si="1"/>
        <v/>
      </c>
      <c r="N637" s="93">
        <f>IFERROR(__xludf.DUMMYFUNCTION("IFERROR(SWITCH(lower(join("" "",L637:M637)),""а миллионник"", 62.5,""б миллионник"", 75,""а мск"", 50, ""б мск"", 62.5, ""a остальное"", 70, ""б остальное"", 80)/100,0)"),0.0)</f>
        <v>0</v>
      </c>
      <c r="O637" s="91">
        <f t="shared" si="2"/>
        <v>0</v>
      </c>
      <c r="P637" s="91">
        <f>IFERROR(__xludf.DUMMYFUNCTION("IFERROR(sum(filter('Генеральный баннер'!$O:$O, 'Генеральный баннер'!$B:$B=$A637,'Генеральный баннер'!$C:$C=$B637,'Генеральный баннер'!$I:$I=$C637)), 0) "),0.0)</f>
        <v>0</v>
      </c>
      <c r="Q637" s="91">
        <f>IFERROR(__xludf.DUMMYFUNCTION("IFERROR(sum(filter('Генеральный баннер'!$Q:$Q, 'Генеральный баннер'!$B:$B=$A637,'Генеральный баннер'!$C:$C=$B637,'Генеральный баннер'!$I:$I=$C637)), 0) "),0.0)</f>
        <v>0</v>
      </c>
      <c r="R637" s="91">
        <f>IFERROR(__xludf.DUMMYFUNCTION("IFERROR(AVERAGE(filter('Генеральный баннер'!$AA:$AA, 'Генеральный баннер'!$B:$B=$A637,'Генеральный баннер'!$C:$C=$B637,'Генеральный баннер'!$I:$I=$C637)), 0) "),0.0)</f>
        <v>0</v>
      </c>
      <c r="S637" s="91">
        <f>IFERROR(__xludf.DUMMYFUNCTION("IFERROR(SUM(filter('Генеральный баннер'!$AH:$AH, 'Генеральный баннер'!$B:$B=$A637,'Генеральный баннер'!$C:$C=$B637,'Генеральный баннер'!$I:$I=$C637)), 0) "),0.0)</f>
        <v>0</v>
      </c>
      <c r="T637" s="91" t="str">
        <f>IFERROR(__xludf.DUMMYFUNCTION("IFERROR(REGEXREPLACE(unique(filter('Генеральный баннер'!$A:$A, 'Генеральный баннер'!$B:$B=$A637,'Генеральный баннер'!$C:$C=$B637,'Генеральный баннер'!$I:$I=$C637)), ""\d+"", """"),"""")"),"")</f>
        <v/>
      </c>
      <c r="U637" s="91" t="str">
        <f>IFERROR(__xludf.DUMMYFUNCTION("IFERROR(unique(filter('Генеральный баннер'!$F:$F, 'Генеральный баннер'!$B:$B=$A637,'Генеральный баннер'!$C:$C=$B637,'Генеральный баннер'!$I:$I=$C637)),"""")"),"")</f>
        <v/>
      </c>
      <c r="V637" s="92" t="str">
        <f t="shared" si="3"/>
        <v/>
      </c>
      <c r="W637" s="93">
        <f>IFERROR(__xludf.DUMMYFUNCTION("IFERROR(SWITCH(lower(join("" "",U637:V637)),""а миллионник"", 62.5,""б миллионник"", 75,""а мск"", 50, ""б мск"", 62.5, ""a остальное"", 70, ""б остальное"", 80)/100,0)"),0.0)</f>
        <v>0</v>
      </c>
      <c r="X637" s="91">
        <f t="shared" si="4"/>
        <v>0</v>
      </c>
    </row>
    <row r="638">
      <c r="A638" s="12"/>
      <c r="B638" s="12"/>
      <c r="C638" s="12"/>
      <c r="D638" s="91">
        <f>IFERROR(__xludf.DUMMYFUNCTION("IFERROR(sum(filter('Основной эфир'!$AA:$AA, 'Основной эфир'!$B:$B=$A638,'Основной эфир'!$C:$C=$B638,'Основной эфир'!$I:$I=$C638)), 0) "),0.0)</f>
        <v>0</v>
      </c>
      <c r="E638" s="91">
        <f>IFERROR(__xludf.DUMMYFUNCTION("IFERROR(sum(filter('Основной эфир'!$AC:$AC, 'Основной эфир'!$B:$B=$A638,'Основной эфир'!$C:$C=$B638,'Основной эфир'!$I:$I=$C638)), 0) "),0.0)</f>
        <v>0</v>
      </c>
      <c r="F638" s="91">
        <f>IFERROR(__xludf.DUMMYFUNCTION("IFERROR(sum(filter('Основной эфир'!$O:$O, 'Основной эфир'!$B:$B=$A638,'Основной эфир'!$C:$C=$B638,'Основной эфир'!$I:$I=$C638)), 0) "),0.0)</f>
        <v>0</v>
      </c>
      <c r="G638" s="91">
        <f>IFERROR(__xludf.DUMMYFUNCTION("IFERROR(sum(filter('Основной эфир'!$Q:$Q, 'Основной эфир'!$B:$B=$A638,'Основной эфир'!$C:$C=$B638,'Основной эфир'!$I:$I=$C638)), 0) "),0.0)</f>
        <v>0</v>
      </c>
      <c r="H638" s="91">
        <f>IFERROR(__xludf.DUMMYFUNCTION("IFERROR(AVERAGE(filter('Основной эфир'!$Y:$Y, 'Основной эфир'!$B:$B=$A638,'Основной эфир'!$C:$C=$B638,'Основной эфир'!$I:$I=$C638)), 0) "),0.0)</f>
        <v>0</v>
      </c>
      <c r="I638" s="91">
        <f>IFERROR(__xludf.DUMMYFUNCTION("IFERROR(AVERAGE(filter('Основной эфир'!$AE:$AE, 'Основной эфир'!$B:$B=$A638,'Основной эфир'!$C:$C=$B638,'Основной эфир'!$I:$I=$C638)), 0) "),0.0)</f>
        <v>0</v>
      </c>
      <c r="J638" s="91">
        <f>IFERROR(__xludf.DUMMYFUNCTION("IFERROR(SUM(filter('Основной эфир'!$AL:$AL, 'Основной эфир'!$B:$B=$A638,'Основной эфир'!$C:$C=$B638,'Основной эфир'!$I:$I=$C638)), 0) "),0.0)</f>
        <v>0</v>
      </c>
      <c r="K638" s="91" t="str">
        <f>IFERROR(__xludf.DUMMYFUNCTION("IFERROR(REGEXREPLACE(unique(filter('Основной эфир'!$A:$A, 'Основной эфир'!$B:$B=$A638,'Основной эфир'!$C:$C=$B638,'Основной эфир'!$I:$I=$C638)), ""\d+"", """"),"""")"),"")</f>
        <v/>
      </c>
      <c r="L638" s="91" t="str">
        <f>IFERROR(__xludf.DUMMYFUNCTION("IFERROR(unique(filter('Основной эфир'!$F:$F, 'Основной эфир'!$B:$B=$A638,'Основной эфир'!$C:$C=$B638,'Основной эфир'!$I:$I=$C638)),"""")"),"")</f>
        <v/>
      </c>
      <c r="M638" s="92" t="str">
        <f t="shared" si="1"/>
        <v/>
      </c>
      <c r="N638" s="93">
        <f>IFERROR(__xludf.DUMMYFUNCTION("IFERROR(SWITCH(lower(join("" "",L638:M638)),""а миллионник"", 62.5,""б миллионник"", 75,""а мск"", 50, ""б мск"", 62.5, ""a остальное"", 70, ""б остальное"", 80)/100,0)"),0.0)</f>
        <v>0</v>
      </c>
      <c r="O638" s="91">
        <f t="shared" si="2"/>
        <v>0</v>
      </c>
      <c r="P638" s="91">
        <f>IFERROR(__xludf.DUMMYFUNCTION("IFERROR(sum(filter('Генеральный баннер'!$O:$O, 'Генеральный баннер'!$B:$B=$A638,'Генеральный баннер'!$C:$C=$B638,'Генеральный баннер'!$I:$I=$C638)), 0) "),0.0)</f>
        <v>0</v>
      </c>
      <c r="Q638" s="91">
        <f>IFERROR(__xludf.DUMMYFUNCTION("IFERROR(sum(filter('Генеральный баннер'!$Q:$Q, 'Генеральный баннер'!$B:$B=$A638,'Генеральный баннер'!$C:$C=$B638,'Генеральный баннер'!$I:$I=$C638)), 0) "),0.0)</f>
        <v>0</v>
      </c>
      <c r="R638" s="91">
        <f>IFERROR(__xludf.DUMMYFUNCTION("IFERROR(AVERAGE(filter('Генеральный баннер'!$AA:$AA, 'Генеральный баннер'!$B:$B=$A638,'Генеральный баннер'!$C:$C=$B638,'Генеральный баннер'!$I:$I=$C638)), 0) "),0.0)</f>
        <v>0</v>
      </c>
      <c r="S638" s="91">
        <f>IFERROR(__xludf.DUMMYFUNCTION("IFERROR(SUM(filter('Генеральный баннер'!$AH:$AH, 'Генеральный баннер'!$B:$B=$A638,'Генеральный баннер'!$C:$C=$B638,'Генеральный баннер'!$I:$I=$C638)), 0) "),0.0)</f>
        <v>0</v>
      </c>
      <c r="T638" s="91" t="str">
        <f>IFERROR(__xludf.DUMMYFUNCTION("IFERROR(REGEXREPLACE(unique(filter('Генеральный баннер'!$A:$A, 'Генеральный баннер'!$B:$B=$A638,'Генеральный баннер'!$C:$C=$B638,'Генеральный баннер'!$I:$I=$C638)), ""\d+"", """"),"""")"),"")</f>
        <v/>
      </c>
      <c r="U638" s="91" t="str">
        <f>IFERROR(__xludf.DUMMYFUNCTION("IFERROR(unique(filter('Генеральный баннер'!$F:$F, 'Генеральный баннер'!$B:$B=$A638,'Генеральный баннер'!$C:$C=$B638,'Генеральный баннер'!$I:$I=$C638)),"""")"),"")</f>
        <v/>
      </c>
      <c r="V638" s="92" t="str">
        <f t="shared" si="3"/>
        <v/>
      </c>
      <c r="W638" s="93">
        <f>IFERROR(__xludf.DUMMYFUNCTION("IFERROR(SWITCH(lower(join("" "",U638:V638)),""а миллионник"", 62.5,""б миллионник"", 75,""а мск"", 50, ""б мск"", 62.5, ""a остальное"", 70, ""б остальное"", 80)/100,0)"),0.0)</f>
        <v>0</v>
      </c>
      <c r="X638" s="91">
        <f t="shared" si="4"/>
        <v>0</v>
      </c>
    </row>
    <row r="639">
      <c r="A639" s="12"/>
      <c r="B639" s="12"/>
      <c r="C639" s="12"/>
      <c r="D639" s="91">
        <f>IFERROR(__xludf.DUMMYFUNCTION("IFERROR(sum(filter('Основной эфир'!$AA:$AA, 'Основной эфир'!$B:$B=$A639,'Основной эфир'!$C:$C=$B639,'Основной эфир'!$I:$I=$C639)), 0) "),0.0)</f>
        <v>0</v>
      </c>
      <c r="E639" s="91">
        <f>IFERROR(__xludf.DUMMYFUNCTION("IFERROR(sum(filter('Основной эфир'!$AC:$AC, 'Основной эфир'!$B:$B=$A639,'Основной эфир'!$C:$C=$B639,'Основной эфир'!$I:$I=$C639)), 0) "),0.0)</f>
        <v>0</v>
      </c>
      <c r="F639" s="91">
        <f>IFERROR(__xludf.DUMMYFUNCTION("IFERROR(sum(filter('Основной эфир'!$O:$O, 'Основной эфир'!$B:$B=$A639,'Основной эфир'!$C:$C=$B639,'Основной эфир'!$I:$I=$C639)), 0) "),0.0)</f>
        <v>0</v>
      </c>
      <c r="G639" s="91">
        <f>IFERROR(__xludf.DUMMYFUNCTION("IFERROR(sum(filter('Основной эфир'!$Q:$Q, 'Основной эфир'!$B:$B=$A639,'Основной эфир'!$C:$C=$B639,'Основной эфир'!$I:$I=$C639)), 0) "),0.0)</f>
        <v>0</v>
      </c>
      <c r="H639" s="91">
        <f>IFERROR(__xludf.DUMMYFUNCTION("IFERROR(AVERAGE(filter('Основной эфир'!$Y:$Y, 'Основной эфир'!$B:$B=$A639,'Основной эфир'!$C:$C=$B639,'Основной эфир'!$I:$I=$C639)), 0) "),0.0)</f>
        <v>0</v>
      </c>
      <c r="I639" s="91">
        <f>IFERROR(__xludf.DUMMYFUNCTION("IFERROR(AVERAGE(filter('Основной эфир'!$AE:$AE, 'Основной эфир'!$B:$B=$A639,'Основной эфир'!$C:$C=$B639,'Основной эфир'!$I:$I=$C639)), 0) "),0.0)</f>
        <v>0</v>
      </c>
      <c r="J639" s="91">
        <f>IFERROR(__xludf.DUMMYFUNCTION("IFERROR(SUM(filter('Основной эфир'!$AL:$AL, 'Основной эфир'!$B:$B=$A639,'Основной эфир'!$C:$C=$B639,'Основной эфир'!$I:$I=$C639)), 0) "),0.0)</f>
        <v>0</v>
      </c>
      <c r="K639" s="91" t="str">
        <f>IFERROR(__xludf.DUMMYFUNCTION("IFERROR(REGEXREPLACE(unique(filter('Основной эфир'!$A:$A, 'Основной эфир'!$B:$B=$A639,'Основной эфир'!$C:$C=$B639,'Основной эфир'!$I:$I=$C639)), ""\d+"", """"),"""")"),"")</f>
        <v/>
      </c>
      <c r="L639" s="91" t="str">
        <f>IFERROR(__xludf.DUMMYFUNCTION("IFERROR(unique(filter('Основной эфир'!$F:$F, 'Основной эфир'!$B:$B=$A639,'Основной эфир'!$C:$C=$B639,'Основной эфир'!$I:$I=$C639)),"""")"),"")</f>
        <v/>
      </c>
      <c r="M639" s="92" t="str">
        <f t="shared" si="1"/>
        <v/>
      </c>
      <c r="N639" s="93">
        <f>IFERROR(__xludf.DUMMYFUNCTION("IFERROR(SWITCH(lower(join("" "",L639:M639)),""а миллионник"", 62.5,""б миллионник"", 75,""а мск"", 50, ""б мск"", 62.5, ""a остальное"", 70, ""б остальное"", 80)/100,0)"),0.0)</f>
        <v>0</v>
      </c>
      <c r="O639" s="91">
        <f t="shared" si="2"/>
        <v>0</v>
      </c>
      <c r="P639" s="91">
        <f>IFERROR(__xludf.DUMMYFUNCTION("IFERROR(sum(filter('Генеральный баннер'!$O:$O, 'Генеральный баннер'!$B:$B=$A639,'Генеральный баннер'!$C:$C=$B639,'Генеральный баннер'!$I:$I=$C639)), 0) "),0.0)</f>
        <v>0</v>
      </c>
      <c r="Q639" s="91">
        <f>IFERROR(__xludf.DUMMYFUNCTION("IFERROR(sum(filter('Генеральный баннер'!$Q:$Q, 'Генеральный баннер'!$B:$B=$A639,'Генеральный баннер'!$C:$C=$B639,'Генеральный баннер'!$I:$I=$C639)), 0) "),0.0)</f>
        <v>0</v>
      </c>
      <c r="R639" s="91">
        <f>IFERROR(__xludf.DUMMYFUNCTION("IFERROR(AVERAGE(filter('Генеральный баннер'!$AA:$AA, 'Генеральный баннер'!$B:$B=$A639,'Генеральный баннер'!$C:$C=$B639,'Генеральный баннер'!$I:$I=$C639)), 0) "),0.0)</f>
        <v>0</v>
      </c>
      <c r="S639" s="91">
        <f>IFERROR(__xludf.DUMMYFUNCTION("IFERROR(SUM(filter('Генеральный баннер'!$AH:$AH, 'Генеральный баннер'!$B:$B=$A639,'Генеральный баннер'!$C:$C=$B639,'Генеральный баннер'!$I:$I=$C639)), 0) "),0.0)</f>
        <v>0</v>
      </c>
      <c r="T639" s="91" t="str">
        <f>IFERROR(__xludf.DUMMYFUNCTION("IFERROR(REGEXREPLACE(unique(filter('Генеральный баннер'!$A:$A, 'Генеральный баннер'!$B:$B=$A639,'Генеральный баннер'!$C:$C=$B639,'Генеральный баннер'!$I:$I=$C639)), ""\d+"", """"),"""")"),"")</f>
        <v/>
      </c>
      <c r="U639" s="91" t="str">
        <f>IFERROR(__xludf.DUMMYFUNCTION("IFERROR(unique(filter('Генеральный баннер'!$F:$F, 'Генеральный баннер'!$B:$B=$A639,'Генеральный баннер'!$C:$C=$B639,'Генеральный баннер'!$I:$I=$C639)),"""")"),"")</f>
        <v/>
      </c>
      <c r="V639" s="92" t="str">
        <f t="shared" si="3"/>
        <v/>
      </c>
      <c r="W639" s="93">
        <f>IFERROR(__xludf.DUMMYFUNCTION("IFERROR(SWITCH(lower(join("" "",U639:V639)),""а миллионник"", 62.5,""б миллионник"", 75,""а мск"", 50, ""б мск"", 62.5, ""a остальное"", 70, ""б остальное"", 80)/100,0)"),0.0)</f>
        <v>0</v>
      </c>
      <c r="X639" s="91">
        <f t="shared" si="4"/>
        <v>0</v>
      </c>
    </row>
    <row r="640">
      <c r="A640" s="12"/>
      <c r="B640" s="12"/>
      <c r="C640" s="12"/>
      <c r="D640" s="91">
        <f>IFERROR(__xludf.DUMMYFUNCTION("IFERROR(sum(filter('Основной эфир'!$AA:$AA, 'Основной эфир'!$B:$B=$A640,'Основной эфир'!$C:$C=$B640,'Основной эфир'!$I:$I=$C640)), 0) "),0.0)</f>
        <v>0</v>
      </c>
      <c r="E640" s="91">
        <f>IFERROR(__xludf.DUMMYFUNCTION("IFERROR(sum(filter('Основной эфир'!$AC:$AC, 'Основной эфир'!$B:$B=$A640,'Основной эфир'!$C:$C=$B640,'Основной эфир'!$I:$I=$C640)), 0) "),0.0)</f>
        <v>0</v>
      </c>
      <c r="F640" s="91">
        <f>IFERROR(__xludf.DUMMYFUNCTION("IFERROR(sum(filter('Основной эфир'!$O:$O, 'Основной эфир'!$B:$B=$A640,'Основной эфир'!$C:$C=$B640,'Основной эфир'!$I:$I=$C640)), 0) "),0.0)</f>
        <v>0</v>
      </c>
      <c r="G640" s="91">
        <f>IFERROR(__xludf.DUMMYFUNCTION("IFERROR(sum(filter('Основной эфир'!$Q:$Q, 'Основной эфир'!$B:$B=$A640,'Основной эфир'!$C:$C=$B640,'Основной эфир'!$I:$I=$C640)), 0) "),0.0)</f>
        <v>0</v>
      </c>
      <c r="H640" s="91">
        <f>IFERROR(__xludf.DUMMYFUNCTION("IFERROR(AVERAGE(filter('Основной эфир'!$Y:$Y, 'Основной эфир'!$B:$B=$A640,'Основной эфир'!$C:$C=$B640,'Основной эфир'!$I:$I=$C640)), 0) "),0.0)</f>
        <v>0</v>
      </c>
      <c r="I640" s="91">
        <f>IFERROR(__xludf.DUMMYFUNCTION("IFERROR(AVERAGE(filter('Основной эфир'!$AE:$AE, 'Основной эфир'!$B:$B=$A640,'Основной эфир'!$C:$C=$B640,'Основной эфир'!$I:$I=$C640)), 0) "),0.0)</f>
        <v>0</v>
      </c>
      <c r="J640" s="91">
        <f>IFERROR(__xludf.DUMMYFUNCTION("IFERROR(SUM(filter('Основной эфир'!$AL:$AL, 'Основной эфир'!$B:$B=$A640,'Основной эфир'!$C:$C=$B640,'Основной эфир'!$I:$I=$C640)), 0) "),0.0)</f>
        <v>0</v>
      </c>
      <c r="K640" s="91" t="str">
        <f>IFERROR(__xludf.DUMMYFUNCTION("IFERROR(REGEXREPLACE(unique(filter('Основной эфир'!$A:$A, 'Основной эфир'!$B:$B=$A640,'Основной эфир'!$C:$C=$B640,'Основной эфир'!$I:$I=$C640)), ""\d+"", """"),"""")"),"")</f>
        <v/>
      </c>
      <c r="L640" s="91" t="str">
        <f>IFERROR(__xludf.DUMMYFUNCTION("IFERROR(unique(filter('Основной эфир'!$F:$F, 'Основной эфир'!$B:$B=$A640,'Основной эфир'!$C:$C=$B640,'Основной эфир'!$I:$I=$C640)),"""")"),"")</f>
        <v/>
      </c>
      <c r="M640" s="92" t="str">
        <f t="shared" si="1"/>
        <v/>
      </c>
      <c r="N640" s="93">
        <f>IFERROR(__xludf.DUMMYFUNCTION("IFERROR(SWITCH(lower(join("" "",L640:M640)),""а миллионник"", 62.5,""б миллионник"", 75,""а мск"", 50, ""б мск"", 62.5, ""a остальное"", 70, ""б остальное"", 80)/100,0)"),0.0)</f>
        <v>0</v>
      </c>
      <c r="O640" s="91">
        <f t="shared" si="2"/>
        <v>0</v>
      </c>
      <c r="P640" s="91">
        <f>IFERROR(__xludf.DUMMYFUNCTION("IFERROR(sum(filter('Генеральный баннер'!$O:$O, 'Генеральный баннер'!$B:$B=$A640,'Генеральный баннер'!$C:$C=$B640,'Генеральный баннер'!$I:$I=$C640)), 0) "),0.0)</f>
        <v>0</v>
      </c>
      <c r="Q640" s="91">
        <f>IFERROR(__xludf.DUMMYFUNCTION("IFERROR(sum(filter('Генеральный баннер'!$Q:$Q, 'Генеральный баннер'!$B:$B=$A640,'Генеральный баннер'!$C:$C=$B640,'Генеральный баннер'!$I:$I=$C640)), 0) "),0.0)</f>
        <v>0</v>
      </c>
      <c r="R640" s="91">
        <f>IFERROR(__xludf.DUMMYFUNCTION("IFERROR(AVERAGE(filter('Генеральный баннер'!$AA:$AA, 'Генеральный баннер'!$B:$B=$A640,'Генеральный баннер'!$C:$C=$B640,'Генеральный баннер'!$I:$I=$C640)), 0) "),0.0)</f>
        <v>0</v>
      </c>
      <c r="S640" s="91">
        <f>IFERROR(__xludf.DUMMYFUNCTION("IFERROR(SUM(filter('Генеральный баннер'!$AH:$AH, 'Генеральный баннер'!$B:$B=$A640,'Генеральный баннер'!$C:$C=$B640,'Генеральный баннер'!$I:$I=$C640)), 0) "),0.0)</f>
        <v>0</v>
      </c>
      <c r="T640" s="91" t="str">
        <f>IFERROR(__xludf.DUMMYFUNCTION("IFERROR(REGEXREPLACE(unique(filter('Генеральный баннер'!$A:$A, 'Генеральный баннер'!$B:$B=$A640,'Генеральный баннер'!$C:$C=$B640,'Генеральный баннер'!$I:$I=$C640)), ""\d+"", """"),"""")"),"")</f>
        <v/>
      </c>
      <c r="U640" s="91" t="str">
        <f>IFERROR(__xludf.DUMMYFUNCTION("IFERROR(unique(filter('Генеральный баннер'!$F:$F, 'Генеральный баннер'!$B:$B=$A640,'Генеральный баннер'!$C:$C=$B640,'Генеральный баннер'!$I:$I=$C640)),"""")"),"")</f>
        <v/>
      </c>
      <c r="V640" s="92" t="str">
        <f t="shared" si="3"/>
        <v/>
      </c>
      <c r="W640" s="93">
        <f>IFERROR(__xludf.DUMMYFUNCTION("IFERROR(SWITCH(lower(join("" "",U640:V640)),""а миллионник"", 62.5,""б миллионник"", 75,""а мск"", 50, ""б мск"", 62.5, ""a остальное"", 70, ""б остальное"", 80)/100,0)"),0.0)</f>
        <v>0</v>
      </c>
      <c r="X640" s="91">
        <f t="shared" si="4"/>
        <v>0</v>
      </c>
    </row>
    <row r="641">
      <c r="A641" s="12"/>
      <c r="B641" s="12"/>
      <c r="C641" s="12"/>
      <c r="D641" s="91">
        <f>IFERROR(__xludf.DUMMYFUNCTION("IFERROR(sum(filter('Основной эфир'!$AA:$AA, 'Основной эфир'!$B:$B=$A641,'Основной эфир'!$C:$C=$B641,'Основной эфир'!$I:$I=$C641)), 0) "),0.0)</f>
        <v>0</v>
      </c>
      <c r="E641" s="91">
        <f>IFERROR(__xludf.DUMMYFUNCTION("IFERROR(sum(filter('Основной эфир'!$AC:$AC, 'Основной эфир'!$B:$B=$A641,'Основной эфир'!$C:$C=$B641,'Основной эфир'!$I:$I=$C641)), 0) "),0.0)</f>
        <v>0</v>
      </c>
      <c r="F641" s="91">
        <f>IFERROR(__xludf.DUMMYFUNCTION("IFERROR(sum(filter('Основной эфир'!$O:$O, 'Основной эфир'!$B:$B=$A641,'Основной эфир'!$C:$C=$B641,'Основной эфир'!$I:$I=$C641)), 0) "),0.0)</f>
        <v>0</v>
      </c>
      <c r="G641" s="91">
        <f>IFERROR(__xludf.DUMMYFUNCTION("IFERROR(sum(filter('Основной эфир'!$Q:$Q, 'Основной эфир'!$B:$B=$A641,'Основной эфир'!$C:$C=$B641,'Основной эфир'!$I:$I=$C641)), 0) "),0.0)</f>
        <v>0</v>
      </c>
      <c r="H641" s="91">
        <f>IFERROR(__xludf.DUMMYFUNCTION("IFERROR(AVERAGE(filter('Основной эфир'!$Y:$Y, 'Основной эфир'!$B:$B=$A641,'Основной эфир'!$C:$C=$B641,'Основной эфир'!$I:$I=$C641)), 0) "),0.0)</f>
        <v>0</v>
      </c>
      <c r="I641" s="91">
        <f>IFERROR(__xludf.DUMMYFUNCTION("IFERROR(AVERAGE(filter('Основной эфир'!$AE:$AE, 'Основной эфир'!$B:$B=$A641,'Основной эфир'!$C:$C=$B641,'Основной эфир'!$I:$I=$C641)), 0) "),0.0)</f>
        <v>0</v>
      </c>
      <c r="J641" s="91">
        <f>IFERROR(__xludf.DUMMYFUNCTION("IFERROR(SUM(filter('Основной эфир'!$AL:$AL, 'Основной эфир'!$B:$B=$A641,'Основной эфир'!$C:$C=$B641,'Основной эфир'!$I:$I=$C641)), 0) "),0.0)</f>
        <v>0</v>
      </c>
      <c r="K641" s="91" t="str">
        <f>IFERROR(__xludf.DUMMYFUNCTION("IFERROR(REGEXREPLACE(unique(filter('Основной эфир'!$A:$A, 'Основной эфир'!$B:$B=$A641,'Основной эфир'!$C:$C=$B641,'Основной эфир'!$I:$I=$C641)), ""\d+"", """"),"""")"),"")</f>
        <v/>
      </c>
      <c r="L641" s="91" t="str">
        <f>IFERROR(__xludf.DUMMYFUNCTION("IFERROR(unique(filter('Основной эфир'!$F:$F, 'Основной эфир'!$B:$B=$A641,'Основной эфир'!$C:$C=$B641,'Основной эфир'!$I:$I=$C641)),"""")"),"")</f>
        <v/>
      </c>
      <c r="M641" s="92" t="str">
        <f t="shared" si="1"/>
        <v/>
      </c>
      <c r="N641" s="93">
        <f>IFERROR(__xludf.DUMMYFUNCTION("IFERROR(SWITCH(lower(join("" "",L641:M641)),""а миллионник"", 62.5,""б миллионник"", 75,""а мск"", 50, ""б мск"", 62.5, ""a остальное"", 70, ""б остальное"", 80)/100,0)"),0.0)</f>
        <v>0</v>
      </c>
      <c r="O641" s="91">
        <f t="shared" si="2"/>
        <v>0</v>
      </c>
      <c r="P641" s="91">
        <f>IFERROR(__xludf.DUMMYFUNCTION("IFERROR(sum(filter('Генеральный баннер'!$O:$O, 'Генеральный баннер'!$B:$B=$A641,'Генеральный баннер'!$C:$C=$B641,'Генеральный баннер'!$I:$I=$C641)), 0) "),0.0)</f>
        <v>0</v>
      </c>
      <c r="Q641" s="91">
        <f>IFERROR(__xludf.DUMMYFUNCTION("IFERROR(sum(filter('Генеральный баннер'!$Q:$Q, 'Генеральный баннер'!$B:$B=$A641,'Генеральный баннер'!$C:$C=$B641,'Генеральный баннер'!$I:$I=$C641)), 0) "),0.0)</f>
        <v>0</v>
      </c>
      <c r="R641" s="91">
        <f>IFERROR(__xludf.DUMMYFUNCTION("IFERROR(AVERAGE(filter('Генеральный баннер'!$AA:$AA, 'Генеральный баннер'!$B:$B=$A641,'Генеральный баннер'!$C:$C=$B641,'Генеральный баннер'!$I:$I=$C641)), 0) "),0.0)</f>
        <v>0</v>
      </c>
      <c r="S641" s="91">
        <f>IFERROR(__xludf.DUMMYFUNCTION("IFERROR(SUM(filter('Генеральный баннер'!$AH:$AH, 'Генеральный баннер'!$B:$B=$A641,'Генеральный баннер'!$C:$C=$B641,'Генеральный баннер'!$I:$I=$C641)), 0) "),0.0)</f>
        <v>0</v>
      </c>
      <c r="T641" s="91" t="str">
        <f>IFERROR(__xludf.DUMMYFUNCTION("IFERROR(REGEXREPLACE(unique(filter('Генеральный баннер'!$A:$A, 'Генеральный баннер'!$B:$B=$A641,'Генеральный баннер'!$C:$C=$B641,'Генеральный баннер'!$I:$I=$C641)), ""\d+"", """"),"""")"),"")</f>
        <v/>
      </c>
      <c r="U641" s="91" t="str">
        <f>IFERROR(__xludf.DUMMYFUNCTION("IFERROR(unique(filter('Генеральный баннер'!$F:$F, 'Генеральный баннер'!$B:$B=$A641,'Генеральный баннер'!$C:$C=$B641,'Генеральный баннер'!$I:$I=$C641)),"""")"),"")</f>
        <v/>
      </c>
      <c r="V641" s="92" t="str">
        <f t="shared" si="3"/>
        <v/>
      </c>
      <c r="W641" s="93">
        <f>IFERROR(__xludf.DUMMYFUNCTION("IFERROR(SWITCH(lower(join("" "",U641:V641)),""а миллионник"", 62.5,""б миллионник"", 75,""а мск"", 50, ""б мск"", 62.5, ""a остальное"", 70, ""б остальное"", 80)/100,0)"),0.0)</f>
        <v>0</v>
      </c>
      <c r="X641" s="91">
        <f t="shared" si="4"/>
        <v>0</v>
      </c>
    </row>
    <row r="642">
      <c r="A642" s="12"/>
      <c r="B642" s="12"/>
      <c r="C642" s="12"/>
      <c r="D642" s="91">
        <f>IFERROR(__xludf.DUMMYFUNCTION("IFERROR(sum(filter('Основной эфир'!$AA:$AA, 'Основной эфир'!$B:$B=$A642,'Основной эфир'!$C:$C=$B642,'Основной эфир'!$I:$I=$C642)), 0) "),0.0)</f>
        <v>0</v>
      </c>
      <c r="E642" s="91">
        <f>IFERROR(__xludf.DUMMYFUNCTION("IFERROR(sum(filter('Основной эфир'!$AC:$AC, 'Основной эфир'!$B:$B=$A642,'Основной эфир'!$C:$C=$B642,'Основной эфир'!$I:$I=$C642)), 0) "),0.0)</f>
        <v>0</v>
      </c>
      <c r="F642" s="91">
        <f>IFERROR(__xludf.DUMMYFUNCTION("IFERROR(sum(filter('Основной эфир'!$O:$O, 'Основной эфир'!$B:$B=$A642,'Основной эфир'!$C:$C=$B642,'Основной эфир'!$I:$I=$C642)), 0) "),0.0)</f>
        <v>0</v>
      </c>
      <c r="G642" s="91">
        <f>IFERROR(__xludf.DUMMYFUNCTION("IFERROR(sum(filter('Основной эфир'!$Q:$Q, 'Основной эфир'!$B:$B=$A642,'Основной эфир'!$C:$C=$B642,'Основной эфир'!$I:$I=$C642)), 0) "),0.0)</f>
        <v>0</v>
      </c>
      <c r="H642" s="91">
        <f>IFERROR(__xludf.DUMMYFUNCTION("IFERROR(AVERAGE(filter('Основной эфир'!$Y:$Y, 'Основной эфир'!$B:$B=$A642,'Основной эфир'!$C:$C=$B642,'Основной эфир'!$I:$I=$C642)), 0) "),0.0)</f>
        <v>0</v>
      </c>
      <c r="I642" s="91">
        <f>IFERROR(__xludf.DUMMYFUNCTION("IFERROR(AVERAGE(filter('Основной эфир'!$AE:$AE, 'Основной эфир'!$B:$B=$A642,'Основной эфир'!$C:$C=$B642,'Основной эфир'!$I:$I=$C642)), 0) "),0.0)</f>
        <v>0</v>
      </c>
      <c r="J642" s="91">
        <f>IFERROR(__xludf.DUMMYFUNCTION("IFERROR(SUM(filter('Основной эфир'!$AL:$AL, 'Основной эфир'!$B:$B=$A642,'Основной эфир'!$C:$C=$B642,'Основной эфир'!$I:$I=$C642)), 0) "),0.0)</f>
        <v>0</v>
      </c>
      <c r="K642" s="91" t="str">
        <f>IFERROR(__xludf.DUMMYFUNCTION("IFERROR(REGEXREPLACE(unique(filter('Основной эфир'!$A:$A, 'Основной эфир'!$B:$B=$A642,'Основной эфир'!$C:$C=$B642,'Основной эфир'!$I:$I=$C642)), ""\d+"", """"),"""")"),"")</f>
        <v/>
      </c>
      <c r="L642" s="91" t="str">
        <f>IFERROR(__xludf.DUMMYFUNCTION("IFERROR(unique(filter('Основной эфир'!$F:$F, 'Основной эфир'!$B:$B=$A642,'Основной эфир'!$C:$C=$B642,'Основной эфир'!$I:$I=$C642)),"""")"),"")</f>
        <v/>
      </c>
      <c r="M642" s="92" t="str">
        <f t="shared" si="1"/>
        <v/>
      </c>
      <c r="N642" s="93">
        <f>IFERROR(__xludf.DUMMYFUNCTION("IFERROR(SWITCH(lower(join("" "",L642:M642)),""а миллионник"", 62.5,""б миллионник"", 75,""а мск"", 50, ""б мск"", 62.5, ""a остальное"", 70, ""б остальное"", 80)/100,0)"),0.0)</f>
        <v>0</v>
      </c>
      <c r="O642" s="91">
        <f t="shared" si="2"/>
        <v>0</v>
      </c>
      <c r="P642" s="91">
        <f>IFERROR(__xludf.DUMMYFUNCTION("IFERROR(sum(filter('Генеральный баннер'!$O:$O, 'Генеральный баннер'!$B:$B=$A642,'Генеральный баннер'!$C:$C=$B642,'Генеральный баннер'!$I:$I=$C642)), 0) "),0.0)</f>
        <v>0</v>
      </c>
      <c r="Q642" s="91">
        <f>IFERROR(__xludf.DUMMYFUNCTION("IFERROR(sum(filter('Генеральный баннер'!$Q:$Q, 'Генеральный баннер'!$B:$B=$A642,'Генеральный баннер'!$C:$C=$B642,'Генеральный баннер'!$I:$I=$C642)), 0) "),0.0)</f>
        <v>0</v>
      </c>
      <c r="R642" s="91">
        <f>IFERROR(__xludf.DUMMYFUNCTION("IFERROR(AVERAGE(filter('Генеральный баннер'!$AA:$AA, 'Генеральный баннер'!$B:$B=$A642,'Генеральный баннер'!$C:$C=$B642,'Генеральный баннер'!$I:$I=$C642)), 0) "),0.0)</f>
        <v>0</v>
      </c>
      <c r="S642" s="91">
        <f>IFERROR(__xludf.DUMMYFUNCTION("IFERROR(SUM(filter('Генеральный баннер'!$AH:$AH, 'Генеральный баннер'!$B:$B=$A642,'Генеральный баннер'!$C:$C=$B642,'Генеральный баннер'!$I:$I=$C642)), 0) "),0.0)</f>
        <v>0</v>
      </c>
      <c r="T642" s="91" t="str">
        <f>IFERROR(__xludf.DUMMYFUNCTION("IFERROR(REGEXREPLACE(unique(filter('Генеральный баннер'!$A:$A, 'Генеральный баннер'!$B:$B=$A642,'Генеральный баннер'!$C:$C=$B642,'Генеральный баннер'!$I:$I=$C642)), ""\d+"", """"),"""")"),"")</f>
        <v/>
      </c>
      <c r="U642" s="91" t="str">
        <f>IFERROR(__xludf.DUMMYFUNCTION("IFERROR(unique(filter('Генеральный баннер'!$F:$F, 'Генеральный баннер'!$B:$B=$A642,'Генеральный баннер'!$C:$C=$B642,'Генеральный баннер'!$I:$I=$C642)),"""")"),"")</f>
        <v/>
      </c>
      <c r="V642" s="92" t="str">
        <f t="shared" si="3"/>
        <v/>
      </c>
      <c r="W642" s="93">
        <f>IFERROR(__xludf.DUMMYFUNCTION("IFERROR(SWITCH(lower(join("" "",U642:V642)),""а миллионник"", 62.5,""б миллионник"", 75,""а мск"", 50, ""б мск"", 62.5, ""a остальное"", 70, ""б остальное"", 80)/100,0)"),0.0)</f>
        <v>0</v>
      </c>
      <c r="X642" s="91">
        <f t="shared" si="4"/>
        <v>0</v>
      </c>
    </row>
    <row r="643">
      <c r="A643" s="12"/>
      <c r="B643" s="12"/>
      <c r="C643" s="12"/>
      <c r="D643" s="91">
        <f>IFERROR(__xludf.DUMMYFUNCTION("IFERROR(sum(filter('Основной эфир'!$AA:$AA, 'Основной эфир'!$B:$B=$A643,'Основной эфир'!$C:$C=$B643,'Основной эфир'!$I:$I=$C643)), 0) "),0.0)</f>
        <v>0</v>
      </c>
      <c r="E643" s="91">
        <f>IFERROR(__xludf.DUMMYFUNCTION("IFERROR(sum(filter('Основной эфир'!$AC:$AC, 'Основной эфир'!$B:$B=$A643,'Основной эфир'!$C:$C=$B643,'Основной эфир'!$I:$I=$C643)), 0) "),0.0)</f>
        <v>0</v>
      </c>
      <c r="F643" s="91">
        <f>IFERROR(__xludf.DUMMYFUNCTION("IFERROR(sum(filter('Основной эфир'!$O:$O, 'Основной эфир'!$B:$B=$A643,'Основной эфир'!$C:$C=$B643,'Основной эфир'!$I:$I=$C643)), 0) "),0.0)</f>
        <v>0</v>
      </c>
      <c r="G643" s="91">
        <f>IFERROR(__xludf.DUMMYFUNCTION("IFERROR(sum(filter('Основной эфир'!$Q:$Q, 'Основной эфир'!$B:$B=$A643,'Основной эфир'!$C:$C=$B643,'Основной эфир'!$I:$I=$C643)), 0) "),0.0)</f>
        <v>0</v>
      </c>
      <c r="H643" s="91">
        <f>IFERROR(__xludf.DUMMYFUNCTION("IFERROR(AVERAGE(filter('Основной эфир'!$Y:$Y, 'Основной эфир'!$B:$B=$A643,'Основной эфир'!$C:$C=$B643,'Основной эфир'!$I:$I=$C643)), 0) "),0.0)</f>
        <v>0</v>
      </c>
      <c r="I643" s="91">
        <f>IFERROR(__xludf.DUMMYFUNCTION("IFERROR(AVERAGE(filter('Основной эфир'!$AE:$AE, 'Основной эфир'!$B:$B=$A643,'Основной эфир'!$C:$C=$B643,'Основной эфир'!$I:$I=$C643)), 0) "),0.0)</f>
        <v>0</v>
      </c>
      <c r="J643" s="91">
        <f>IFERROR(__xludf.DUMMYFUNCTION("IFERROR(SUM(filter('Основной эфир'!$AL:$AL, 'Основной эфир'!$B:$B=$A643,'Основной эфир'!$C:$C=$B643,'Основной эфир'!$I:$I=$C643)), 0) "),0.0)</f>
        <v>0</v>
      </c>
      <c r="K643" s="91" t="str">
        <f>IFERROR(__xludf.DUMMYFUNCTION("IFERROR(REGEXREPLACE(unique(filter('Основной эфир'!$A:$A, 'Основной эфир'!$B:$B=$A643,'Основной эфир'!$C:$C=$B643,'Основной эфир'!$I:$I=$C643)), ""\d+"", """"),"""")"),"")</f>
        <v/>
      </c>
      <c r="L643" s="91" t="str">
        <f>IFERROR(__xludf.DUMMYFUNCTION("IFERROR(unique(filter('Основной эфир'!$F:$F, 'Основной эфир'!$B:$B=$A643,'Основной эфир'!$C:$C=$B643,'Основной эфир'!$I:$I=$C643)),"""")"),"")</f>
        <v/>
      </c>
      <c r="M643" s="92" t="str">
        <f t="shared" si="1"/>
        <v/>
      </c>
      <c r="N643" s="93">
        <f>IFERROR(__xludf.DUMMYFUNCTION("IFERROR(SWITCH(lower(join("" "",L643:M643)),""а миллионник"", 62.5,""б миллионник"", 75,""а мск"", 50, ""б мск"", 62.5, ""a остальное"", 70, ""б остальное"", 80)/100,0)"),0.0)</f>
        <v>0</v>
      </c>
      <c r="O643" s="91">
        <f t="shared" si="2"/>
        <v>0</v>
      </c>
      <c r="P643" s="91">
        <f>IFERROR(__xludf.DUMMYFUNCTION("IFERROR(sum(filter('Генеральный баннер'!$O:$O, 'Генеральный баннер'!$B:$B=$A643,'Генеральный баннер'!$C:$C=$B643,'Генеральный баннер'!$I:$I=$C643)), 0) "),0.0)</f>
        <v>0</v>
      </c>
      <c r="Q643" s="91">
        <f>IFERROR(__xludf.DUMMYFUNCTION("IFERROR(sum(filter('Генеральный баннер'!$Q:$Q, 'Генеральный баннер'!$B:$B=$A643,'Генеральный баннер'!$C:$C=$B643,'Генеральный баннер'!$I:$I=$C643)), 0) "),0.0)</f>
        <v>0</v>
      </c>
      <c r="R643" s="91">
        <f>IFERROR(__xludf.DUMMYFUNCTION("IFERROR(AVERAGE(filter('Генеральный баннер'!$AA:$AA, 'Генеральный баннер'!$B:$B=$A643,'Генеральный баннер'!$C:$C=$B643,'Генеральный баннер'!$I:$I=$C643)), 0) "),0.0)</f>
        <v>0</v>
      </c>
      <c r="S643" s="91">
        <f>IFERROR(__xludf.DUMMYFUNCTION("IFERROR(SUM(filter('Генеральный баннер'!$AH:$AH, 'Генеральный баннер'!$B:$B=$A643,'Генеральный баннер'!$C:$C=$B643,'Генеральный баннер'!$I:$I=$C643)), 0) "),0.0)</f>
        <v>0</v>
      </c>
      <c r="T643" s="91" t="str">
        <f>IFERROR(__xludf.DUMMYFUNCTION("IFERROR(REGEXREPLACE(unique(filter('Генеральный баннер'!$A:$A, 'Генеральный баннер'!$B:$B=$A643,'Генеральный баннер'!$C:$C=$B643,'Генеральный баннер'!$I:$I=$C643)), ""\d+"", """"),"""")"),"")</f>
        <v/>
      </c>
      <c r="U643" s="91" t="str">
        <f>IFERROR(__xludf.DUMMYFUNCTION("IFERROR(unique(filter('Генеральный баннер'!$F:$F, 'Генеральный баннер'!$B:$B=$A643,'Генеральный баннер'!$C:$C=$B643,'Генеральный баннер'!$I:$I=$C643)),"""")"),"")</f>
        <v/>
      </c>
      <c r="V643" s="92" t="str">
        <f t="shared" si="3"/>
        <v/>
      </c>
      <c r="W643" s="93">
        <f>IFERROR(__xludf.DUMMYFUNCTION("IFERROR(SWITCH(lower(join("" "",U643:V643)),""а миллионник"", 62.5,""б миллионник"", 75,""а мск"", 50, ""б мск"", 62.5, ""a остальное"", 70, ""б остальное"", 80)/100,0)"),0.0)</f>
        <v>0</v>
      </c>
      <c r="X643" s="91">
        <f t="shared" si="4"/>
        <v>0</v>
      </c>
    </row>
    <row r="644">
      <c r="A644" s="12"/>
      <c r="B644" s="12"/>
      <c r="C644" s="12"/>
      <c r="D644" s="91">
        <f>IFERROR(__xludf.DUMMYFUNCTION("IFERROR(sum(filter('Основной эфир'!$AA:$AA, 'Основной эфир'!$B:$B=$A644,'Основной эфир'!$C:$C=$B644,'Основной эфир'!$I:$I=$C644)), 0) "),0.0)</f>
        <v>0</v>
      </c>
      <c r="E644" s="91">
        <f>IFERROR(__xludf.DUMMYFUNCTION("IFERROR(sum(filter('Основной эфир'!$AC:$AC, 'Основной эфир'!$B:$B=$A644,'Основной эфир'!$C:$C=$B644,'Основной эфир'!$I:$I=$C644)), 0) "),0.0)</f>
        <v>0</v>
      </c>
      <c r="F644" s="91">
        <f>IFERROR(__xludf.DUMMYFUNCTION("IFERROR(sum(filter('Основной эфир'!$O:$O, 'Основной эфир'!$B:$B=$A644,'Основной эфир'!$C:$C=$B644,'Основной эфир'!$I:$I=$C644)), 0) "),0.0)</f>
        <v>0</v>
      </c>
      <c r="G644" s="91">
        <f>IFERROR(__xludf.DUMMYFUNCTION("IFERROR(sum(filter('Основной эфир'!$Q:$Q, 'Основной эфир'!$B:$B=$A644,'Основной эфир'!$C:$C=$B644,'Основной эфир'!$I:$I=$C644)), 0) "),0.0)</f>
        <v>0</v>
      </c>
      <c r="H644" s="91">
        <f>IFERROR(__xludf.DUMMYFUNCTION("IFERROR(AVERAGE(filter('Основной эфир'!$Y:$Y, 'Основной эфир'!$B:$B=$A644,'Основной эфир'!$C:$C=$B644,'Основной эфир'!$I:$I=$C644)), 0) "),0.0)</f>
        <v>0</v>
      </c>
      <c r="I644" s="91">
        <f>IFERROR(__xludf.DUMMYFUNCTION("IFERROR(AVERAGE(filter('Основной эфир'!$AE:$AE, 'Основной эфир'!$B:$B=$A644,'Основной эфир'!$C:$C=$B644,'Основной эфир'!$I:$I=$C644)), 0) "),0.0)</f>
        <v>0</v>
      </c>
      <c r="J644" s="91">
        <f>IFERROR(__xludf.DUMMYFUNCTION("IFERROR(SUM(filter('Основной эфир'!$AL:$AL, 'Основной эфир'!$B:$B=$A644,'Основной эфир'!$C:$C=$B644,'Основной эфир'!$I:$I=$C644)), 0) "),0.0)</f>
        <v>0</v>
      </c>
      <c r="K644" s="91" t="str">
        <f>IFERROR(__xludf.DUMMYFUNCTION("IFERROR(REGEXREPLACE(unique(filter('Основной эфир'!$A:$A, 'Основной эфир'!$B:$B=$A644,'Основной эфир'!$C:$C=$B644,'Основной эфир'!$I:$I=$C644)), ""\d+"", """"),"""")"),"")</f>
        <v/>
      </c>
      <c r="L644" s="91" t="str">
        <f>IFERROR(__xludf.DUMMYFUNCTION("IFERROR(unique(filter('Основной эфир'!$F:$F, 'Основной эфир'!$B:$B=$A644,'Основной эфир'!$C:$C=$B644,'Основной эфир'!$I:$I=$C644)),"""")"),"")</f>
        <v/>
      </c>
      <c r="M644" s="92" t="str">
        <f t="shared" si="1"/>
        <v/>
      </c>
      <c r="N644" s="93">
        <f>IFERROR(__xludf.DUMMYFUNCTION("IFERROR(SWITCH(lower(join("" "",L644:M644)),""а миллионник"", 62.5,""б миллионник"", 75,""а мск"", 50, ""б мск"", 62.5, ""a остальное"", 70, ""б остальное"", 80)/100,0)"),0.0)</f>
        <v>0</v>
      </c>
      <c r="O644" s="91">
        <f t="shared" si="2"/>
        <v>0</v>
      </c>
      <c r="P644" s="91">
        <f>IFERROR(__xludf.DUMMYFUNCTION("IFERROR(sum(filter('Генеральный баннер'!$O:$O, 'Генеральный баннер'!$B:$B=$A644,'Генеральный баннер'!$C:$C=$B644,'Генеральный баннер'!$I:$I=$C644)), 0) "),0.0)</f>
        <v>0</v>
      </c>
      <c r="Q644" s="91">
        <f>IFERROR(__xludf.DUMMYFUNCTION("IFERROR(sum(filter('Генеральный баннер'!$Q:$Q, 'Генеральный баннер'!$B:$B=$A644,'Генеральный баннер'!$C:$C=$B644,'Генеральный баннер'!$I:$I=$C644)), 0) "),0.0)</f>
        <v>0</v>
      </c>
      <c r="R644" s="91">
        <f>IFERROR(__xludf.DUMMYFUNCTION("IFERROR(AVERAGE(filter('Генеральный баннер'!$AA:$AA, 'Генеральный баннер'!$B:$B=$A644,'Генеральный баннер'!$C:$C=$B644,'Генеральный баннер'!$I:$I=$C644)), 0) "),0.0)</f>
        <v>0</v>
      </c>
      <c r="S644" s="91">
        <f>IFERROR(__xludf.DUMMYFUNCTION("IFERROR(SUM(filter('Генеральный баннер'!$AH:$AH, 'Генеральный баннер'!$B:$B=$A644,'Генеральный баннер'!$C:$C=$B644,'Генеральный баннер'!$I:$I=$C644)), 0) "),0.0)</f>
        <v>0</v>
      </c>
      <c r="T644" s="91" t="str">
        <f>IFERROR(__xludf.DUMMYFUNCTION("IFERROR(REGEXREPLACE(unique(filter('Генеральный баннер'!$A:$A, 'Генеральный баннер'!$B:$B=$A644,'Генеральный баннер'!$C:$C=$B644,'Генеральный баннер'!$I:$I=$C644)), ""\d+"", """"),"""")"),"")</f>
        <v/>
      </c>
      <c r="U644" s="91" t="str">
        <f>IFERROR(__xludf.DUMMYFUNCTION("IFERROR(unique(filter('Генеральный баннер'!$F:$F, 'Генеральный баннер'!$B:$B=$A644,'Генеральный баннер'!$C:$C=$B644,'Генеральный баннер'!$I:$I=$C644)),"""")"),"")</f>
        <v/>
      </c>
      <c r="V644" s="92" t="str">
        <f t="shared" si="3"/>
        <v/>
      </c>
      <c r="W644" s="93">
        <f>IFERROR(__xludf.DUMMYFUNCTION("IFERROR(SWITCH(lower(join("" "",U644:V644)),""а миллионник"", 62.5,""б миллионник"", 75,""а мск"", 50, ""б мск"", 62.5, ""a остальное"", 70, ""б остальное"", 80)/100,0)"),0.0)</f>
        <v>0</v>
      </c>
      <c r="X644" s="91">
        <f t="shared" si="4"/>
        <v>0</v>
      </c>
    </row>
    <row r="645">
      <c r="A645" s="12"/>
      <c r="B645" s="12"/>
      <c r="C645" s="12"/>
      <c r="D645" s="91">
        <f>IFERROR(__xludf.DUMMYFUNCTION("IFERROR(sum(filter('Основной эфир'!$AA:$AA, 'Основной эфир'!$B:$B=$A645,'Основной эфир'!$C:$C=$B645,'Основной эфир'!$I:$I=$C645)), 0) "),0.0)</f>
        <v>0</v>
      </c>
      <c r="E645" s="91">
        <f>IFERROR(__xludf.DUMMYFUNCTION("IFERROR(sum(filter('Основной эфир'!$AC:$AC, 'Основной эфир'!$B:$B=$A645,'Основной эфир'!$C:$C=$B645,'Основной эфир'!$I:$I=$C645)), 0) "),0.0)</f>
        <v>0</v>
      </c>
      <c r="F645" s="91">
        <f>IFERROR(__xludf.DUMMYFUNCTION("IFERROR(sum(filter('Основной эфир'!$O:$O, 'Основной эфир'!$B:$B=$A645,'Основной эфир'!$C:$C=$B645,'Основной эфир'!$I:$I=$C645)), 0) "),0.0)</f>
        <v>0</v>
      </c>
      <c r="G645" s="91">
        <f>IFERROR(__xludf.DUMMYFUNCTION("IFERROR(sum(filter('Основной эфир'!$Q:$Q, 'Основной эфир'!$B:$B=$A645,'Основной эфир'!$C:$C=$B645,'Основной эфир'!$I:$I=$C645)), 0) "),0.0)</f>
        <v>0</v>
      </c>
      <c r="H645" s="91">
        <f>IFERROR(__xludf.DUMMYFUNCTION("IFERROR(AVERAGE(filter('Основной эфир'!$Y:$Y, 'Основной эфир'!$B:$B=$A645,'Основной эфир'!$C:$C=$B645,'Основной эфир'!$I:$I=$C645)), 0) "),0.0)</f>
        <v>0</v>
      </c>
      <c r="I645" s="91">
        <f>IFERROR(__xludf.DUMMYFUNCTION("IFERROR(AVERAGE(filter('Основной эфир'!$AE:$AE, 'Основной эфир'!$B:$B=$A645,'Основной эфир'!$C:$C=$B645,'Основной эфир'!$I:$I=$C645)), 0) "),0.0)</f>
        <v>0</v>
      </c>
      <c r="J645" s="91">
        <f>IFERROR(__xludf.DUMMYFUNCTION("IFERROR(SUM(filter('Основной эфир'!$AL:$AL, 'Основной эфир'!$B:$B=$A645,'Основной эфир'!$C:$C=$B645,'Основной эфир'!$I:$I=$C645)), 0) "),0.0)</f>
        <v>0</v>
      </c>
      <c r="K645" s="91" t="str">
        <f>IFERROR(__xludf.DUMMYFUNCTION("IFERROR(REGEXREPLACE(unique(filter('Основной эфир'!$A:$A, 'Основной эфир'!$B:$B=$A645,'Основной эфир'!$C:$C=$B645,'Основной эфир'!$I:$I=$C645)), ""\d+"", """"),"""")"),"")</f>
        <v/>
      </c>
      <c r="L645" s="91" t="str">
        <f>IFERROR(__xludf.DUMMYFUNCTION("IFERROR(unique(filter('Основной эфир'!$F:$F, 'Основной эфир'!$B:$B=$A645,'Основной эфир'!$C:$C=$B645,'Основной эфир'!$I:$I=$C645)),"""")"),"")</f>
        <v/>
      </c>
      <c r="M645" s="92" t="str">
        <f t="shared" si="1"/>
        <v/>
      </c>
      <c r="N645" s="93">
        <f>IFERROR(__xludf.DUMMYFUNCTION("IFERROR(SWITCH(lower(join("" "",L645:M645)),""а миллионник"", 62.5,""б миллионник"", 75,""а мск"", 50, ""б мск"", 62.5, ""a остальное"", 70, ""б остальное"", 80)/100,0)"),0.0)</f>
        <v>0</v>
      </c>
      <c r="O645" s="91">
        <f t="shared" si="2"/>
        <v>0</v>
      </c>
      <c r="P645" s="91">
        <f>IFERROR(__xludf.DUMMYFUNCTION("IFERROR(sum(filter('Генеральный баннер'!$O:$O, 'Генеральный баннер'!$B:$B=$A645,'Генеральный баннер'!$C:$C=$B645,'Генеральный баннер'!$I:$I=$C645)), 0) "),0.0)</f>
        <v>0</v>
      </c>
      <c r="Q645" s="91">
        <f>IFERROR(__xludf.DUMMYFUNCTION("IFERROR(sum(filter('Генеральный баннер'!$Q:$Q, 'Генеральный баннер'!$B:$B=$A645,'Генеральный баннер'!$C:$C=$B645,'Генеральный баннер'!$I:$I=$C645)), 0) "),0.0)</f>
        <v>0</v>
      </c>
      <c r="R645" s="91">
        <f>IFERROR(__xludf.DUMMYFUNCTION("IFERROR(AVERAGE(filter('Генеральный баннер'!$AA:$AA, 'Генеральный баннер'!$B:$B=$A645,'Генеральный баннер'!$C:$C=$B645,'Генеральный баннер'!$I:$I=$C645)), 0) "),0.0)</f>
        <v>0</v>
      </c>
      <c r="S645" s="91">
        <f>IFERROR(__xludf.DUMMYFUNCTION("IFERROR(SUM(filter('Генеральный баннер'!$AH:$AH, 'Генеральный баннер'!$B:$B=$A645,'Генеральный баннер'!$C:$C=$B645,'Генеральный баннер'!$I:$I=$C645)), 0) "),0.0)</f>
        <v>0</v>
      </c>
      <c r="T645" s="91" t="str">
        <f>IFERROR(__xludf.DUMMYFUNCTION("IFERROR(REGEXREPLACE(unique(filter('Генеральный баннер'!$A:$A, 'Генеральный баннер'!$B:$B=$A645,'Генеральный баннер'!$C:$C=$B645,'Генеральный баннер'!$I:$I=$C645)), ""\d+"", """"),"""")"),"")</f>
        <v/>
      </c>
      <c r="U645" s="91" t="str">
        <f>IFERROR(__xludf.DUMMYFUNCTION("IFERROR(unique(filter('Генеральный баннер'!$F:$F, 'Генеральный баннер'!$B:$B=$A645,'Генеральный баннер'!$C:$C=$B645,'Генеральный баннер'!$I:$I=$C645)),"""")"),"")</f>
        <v/>
      </c>
      <c r="V645" s="92" t="str">
        <f t="shared" si="3"/>
        <v/>
      </c>
      <c r="W645" s="93">
        <f>IFERROR(__xludf.DUMMYFUNCTION("IFERROR(SWITCH(lower(join("" "",U645:V645)),""а миллионник"", 62.5,""б миллионник"", 75,""а мск"", 50, ""б мск"", 62.5, ""a остальное"", 70, ""б остальное"", 80)/100,0)"),0.0)</f>
        <v>0</v>
      </c>
      <c r="X645" s="91">
        <f t="shared" si="4"/>
        <v>0</v>
      </c>
    </row>
    <row r="646">
      <c r="A646" s="12"/>
      <c r="B646" s="12"/>
      <c r="C646" s="12"/>
      <c r="D646" s="91">
        <f>IFERROR(__xludf.DUMMYFUNCTION("IFERROR(sum(filter('Основной эфир'!$AA:$AA, 'Основной эфир'!$B:$B=$A646,'Основной эфир'!$C:$C=$B646,'Основной эфир'!$I:$I=$C646)), 0) "),0.0)</f>
        <v>0</v>
      </c>
      <c r="E646" s="91">
        <f>IFERROR(__xludf.DUMMYFUNCTION("IFERROR(sum(filter('Основной эфир'!$AC:$AC, 'Основной эфир'!$B:$B=$A646,'Основной эфир'!$C:$C=$B646,'Основной эфир'!$I:$I=$C646)), 0) "),0.0)</f>
        <v>0</v>
      </c>
      <c r="F646" s="91">
        <f>IFERROR(__xludf.DUMMYFUNCTION("IFERROR(sum(filter('Основной эфир'!$O:$O, 'Основной эфир'!$B:$B=$A646,'Основной эфир'!$C:$C=$B646,'Основной эфир'!$I:$I=$C646)), 0) "),0.0)</f>
        <v>0</v>
      </c>
      <c r="G646" s="91">
        <f>IFERROR(__xludf.DUMMYFUNCTION("IFERROR(sum(filter('Основной эфир'!$Q:$Q, 'Основной эфир'!$B:$B=$A646,'Основной эфир'!$C:$C=$B646,'Основной эфир'!$I:$I=$C646)), 0) "),0.0)</f>
        <v>0</v>
      </c>
      <c r="H646" s="91">
        <f>IFERROR(__xludf.DUMMYFUNCTION("IFERROR(AVERAGE(filter('Основной эфир'!$Y:$Y, 'Основной эфир'!$B:$B=$A646,'Основной эфир'!$C:$C=$B646,'Основной эфир'!$I:$I=$C646)), 0) "),0.0)</f>
        <v>0</v>
      </c>
      <c r="I646" s="91">
        <f>IFERROR(__xludf.DUMMYFUNCTION("IFERROR(AVERAGE(filter('Основной эфир'!$AE:$AE, 'Основной эфир'!$B:$B=$A646,'Основной эфир'!$C:$C=$B646,'Основной эфир'!$I:$I=$C646)), 0) "),0.0)</f>
        <v>0</v>
      </c>
      <c r="J646" s="91">
        <f>IFERROR(__xludf.DUMMYFUNCTION("IFERROR(SUM(filter('Основной эфир'!$AL:$AL, 'Основной эфир'!$B:$B=$A646,'Основной эфир'!$C:$C=$B646,'Основной эфир'!$I:$I=$C646)), 0) "),0.0)</f>
        <v>0</v>
      </c>
      <c r="K646" s="91" t="str">
        <f>IFERROR(__xludf.DUMMYFUNCTION("IFERROR(REGEXREPLACE(unique(filter('Основной эфир'!$A:$A, 'Основной эфир'!$B:$B=$A646,'Основной эфир'!$C:$C=$B646,'Основной эфир'!$I:$I=$C646)), ""\d+"", """"),"""")"),"")</f>
        <v/>
      </c>
      <c r="L646" s="91" t="str">
        <f>IFERROR(__xludf.DUMMYFUNCTION("IFERROR(unique(filter('Основной эфир'!$F:$F, 'Основной эфир'!$B:$B=$A646,'Основной эфир'!$C:$C=$B646,'Основной эфир'!$I:$I=$C646)),"""")"),"")</f>
        <v/>
      </c>
      <c r="M646" s="92" t="str">
        <f t="shared" si="1"/>
        <v/>
      </c>
      <c r="N646" s="93">
        <f>IFERROR(__xludf.DUMMYFUNCTION("IFERROR(SWITCH(lower(join("" "",L646:M646)),""а миллионник"", 62.5,""б миллионник"", 75,""а мск"", 50, ""б мск"", 62.5, ""a остальное"", 70, ""б остальное"", 80)/100,0)"),0.0)</f>
        <v>0</v>
      </c>
      <c r="O646" s="91">
        <f t="shared" si="2"/>
        <v>0</v>
      </c>
      <c r="P646" s="91">
        <f>IFERROR(__xludf.DUMMYFUNCTION("IFERROR(sum(filter('Генеральный баннер'!$O:$O, 'Генеральный баннер'!$B:$B=$A646,'Генеральный баннер'!$C:$C=$B646,'Генеральный баннер'!$I:$I=$C646)), 0) "),0.0)</f>
        <v>0</v>
      </c>
      <c r="Q646" s="91">
        <f>IFERROR(__xludf.DUMMYFUNCTION("IFERROR(sum(filter('Генеральный баннер'!$Q:$Q, 'Генеральный баннер'!$B:$B=$A646,'Генеральный баннер'!$C:$C=$B646,'Генеральный баннер'!$I:$I=$C646)), 0) "),0.0)</f>
        <v>0</v>
      </c>
      <c r="R646" s="91">
        <f>IFERROR(__xludf.DUMMYFUNCTION("IFERROR(AVERAGE(filter('Генеральный баннер'!$AA:$AA, 'Генеральный баннер'!$B:$B=$A646,'Генеральный баннер'!$C:$C=$B646,'Генеральный баннер'!$I:$I=$C646)), 0) "),0.0)</f>
        <v>0</v>
      </c>
      <c r="S646" s="91">
        <f>IFERROR(__xludf.DUMMYFUNCTION("IFERROR(SUM(filter('Генеральный баннер'!$AH:$AH, 'Генеральный баннер'!$B:$B=$A646,'Генеральный баннер'!$C:$C=$B646,'Генеральный баннер'!$I:$I=$C646)), 0) "),0.0)</f>
        <v>0</v>
      </c>
      <c r="T646" s="91" t="str">
        <f>IFERROR(__xludf.DUMMYFUNCTION("IFERROR(REGEXREPLACE(unique(filter('Генеральный баннер'!$A:$A, 'Генеральный баннер'!$B:$B=$A646,'Генеральный баннер'!$C:$C=$B646,'Генеральный баннер'!$I:$I=$C646)), ""\d+"", """"),"""")"),"")</f>
        <v/>
      </c>
      <c r="U646" s="91" t="str">
        <f>IFERROR(__xludf.DUMMYFUNCTION("IFERROR(unique(filter('Генеральный баннер'!$F:$F, 'Генеральный баннер'!$B:$B=$A646,'Генеральный баннер'!$C:$C=$B646,'Генеральный баннер'!$I:$I=$C646)),"""")"),"")</f>
        <v/>
      </c>
      <c r="V646" s="92" t="str">
        <f t="shared" si="3"/>
        <v/>
      </c>
      <c r="W646" s="93">
        <f>IFERROR(__xludf.DUMMYFUNCTION("IFERROR(SWITCH(lower(join("" "",U646:V646)),""а миллионник"", 62.5,""б миллионник"", 75,""а мск"", 50, ""б мск"", 62.5, ""a остальное"", 70, ""б остальное"", 80)/100,0)"),0.0)</f>
        <v>0</v>
      </c>
      <c r="X646" s="91">
        <f t="shared" si="4"/>
        <v>0</v>
      </c>
    </row>
    <row r="647">
      <c r="A647" s="12"/>
      <c r="B647" s="12"/>
      <c r="C647" s="12"/>
      <c r="D647" s="91">
        <f>IFERROR(__xludf.DUMMYFUNCTION("IFERROR(sum(filter('Основной эфир'!$AA:$AA, 'Основной эфир'!$B:$B=$A647,'Основной эфир'!$C:$C=$B647,'Основной эфир'!$I:$I=$C647)), 0) "),0.0)</f>
        <v>0</v>
      </c>
      <c r="E647" s="91">
        <f>IFERROR(__xludf.DUMMYFUNCTION("IFERROR(sum(filter('Основной эфир'!$AC:$AC, 'Основной эфир'!$B:$B=$A647,'Основной эфир'!$C:$C=$B647,'Основной эфир'!$I:$I=$C647)), 0) "),0.0)</f>
        <v>0</v>
      </c>
      <c r="F647" s="91">
        <f>IFERROR(__xludf.DUMMYFUNCTION("IFERROR(sum(filter('Основной эфир'!$O:$O, 'Основной эфир'!$B:$B=$A647,'Основной эфир'!$C:$C=$B647,'Основной эфир'!$I:$I=$C647)), 0) "),0.0)</f>
        <v>0</v>
      </c>
      <c r="G647" s="91">
        <f>IFERROR(__xludf.DUMMYFUNCTION("IFERROR(sum(filter('Основной эфир'!$Q:$Q, 'Основной эфир'!$B:$B=$A647,'Основной эфир'!$C:$C=$B647,'Основной эфир'!$I:$I=$C647)), 0) "),0.0)</f>
        <v>0</v>
      </c>
      <c r="H647" s="91">
        <f>IFERROR(__xludf.DUMMYFUNCTION("IFERROR(AVERAGE(filter('Основной эфир'!$Y:$Y, 'Основной эфир'!$B:$B=$A647,'Основной эфир'!$C:$C=$B647,'Основной эфир'!$I:$I=$C647)), 0) "),0.0)</f>
        <v>0</v>
      </c>
      <c r="I647" s="91">
        <f>IFERROR(__xludf.DUMMYFUNCTION("IFERROR(AVERAGE(filter('Основной эфир'!$AE:$AE, 'Основной эфир'!$B:$B=$A647,'Основной эфир'!$C:$C=$B647,'Основной эфир'!$I:$I=$C647)), 0) "),0.0)</f>
        <v>0</v>
      </c>
      <c r="J647" s="91">
        <f>IFERROR(__xludf.DUMMYFUNCTION("IFERROR(SUM(filter('Основной эфир'!$AL:$AL, 'Основной эфир'!$B:$B=$A647,'Основной эфир'!$C:$C=$B647,'Основной эфир'!$I:$I=$C647)), 0) "),0.0)</f>
        <v>0</v>
      </c>
      <c r="K647" s="91" t="str">
        <f>IFERROR(__xludf.DUMMYFUNCTION("IFERROR(REGEXREPLACE(unique(filter('Основной эфир'!$A:$A, 'Основной эфир'!$B:$B=$A647,'Основной эфир'!$C:$C=$B647,'Основной эфир'!$I:$I=$C647)), ""\d+"", """"),"""")"),"")</f>
        <v/>
      </c>
      <c r="L647" s="91" t="str">
        <f>IFERROR(__xludf.DUMMYFUNCTION("IFERROR(unique(filter('Основной эфир'!$F:$F, 'Основной эфир'!$B:$B=$A647,'Основной эфир'!$C:$C=$B647,'Основной эфир'!$I:$I=$C647)),"""")"),"")</f>
        <v/>
      </c>
      <c r="M647" s="92" t="str">
        <f t="shared" si="1"/>
        <v/>
      </c>
      <c r="N647" s="93">
        <f>IFERROR(__xludf.DUMMYFUNCTION("IFERROR(SWITCH(lower(join("" "",L647:M647)),""а миллионник"", 62.5,""б миллионник"", 75,""а мск"", 50, ""б мск"", 62.5, ""a остальное"", 70, ""б остальное"", 80)/100,0)"),0.0)</f>
        <v>0</v>
      </c>
      <c r="O647" s="91">
        <f t="shared" si="2"/>
        <v>0</v>
      </c>
      <c r="P647" s="91">
        <f>IFERROR(__xludf.DUMMYFUNCTION("IFERROR(sum(filter('Генеральный баннер'!$O:$O, 'Генеральный баннер'!$B:$B=$A647,'Генеральный баннер'!$C:$C=$B647,'Генеральный баннер'!$I:$I=$C647)), 0) "),0.0)</f>
        <v>0</v>
      </c>
      <c r="Q647" s="91">
        <f>IFERROR(__xludf.DUMMYFUNCTION("IFERROR(sum(filter('Генеральный баннер'!$Q:$Q, 'Генеральный баннер'!$B:$B=$A647,'Генеральный баннер'!$C:$C=$B647,'Генеральный баннер'!$I:$I=$C647)), 0) "),0.0)</f>
        <v>0</v>
      </c>
      <c r="R647" s="91">
        <f>IFERROR(__xludf.DUMMYFUNCTION("IFERROR(AVERAGE(filter('Генеральный баннер'!$AA:$AA, 'Генеральный баннер'!$B:$B=$A647,'Генеральный баннер'!$C:$C=$B647,'Генеральный баннер'!$I:$I=$C647)), 0) "),0.0)</f>
        <v>0</v>
      </c>
      <c r="S647" s="91">
        <f>IFERROR(__xludf.DUMMYFUNCTION("IFERROR(SUM(filter('Генеральный баннер'!$AH:$AH, 'Генеральный баннер'!$B:$B=$A647,'Генеральный баннер'!$C:$C=$B647,'Генеральный баннер'!$I:$I=$C647)), 0) "),0.0)</f>
        <v>0</v>
      </c>
      <c r="T647" s="91" t="str">
        <f>IFERROR(__xludf.DUMMYFUNCTION("IFERROR(REGEXREPLACE(unique(filter('Генеральный баннер'!$A:$A, 'Генеральный баннер'!$B:$B=$A647,'Генеральный баннер'!$C:$C=$B647,'Генеральный баннер'!$I:$I=$C647)), ""\d+"", """"),"""")"),"")</f>
        <v/>
      </c>
      <c r="U647" s="91" t="str">
        <f>IFERROR(__xludf.DUMMYFUNCTION("IFERROR(unique(filter('Генеральный баннер'!$F:$F, 'Генеральный баннер'!$B:$B=$A647,'Генеральный баннер'!$C:$C=$B647,'Генеральный баннер'!$I:$I=$C647)),"""")"),"")</f>
        <v/>
      </c>
      <c r="V647" s="92" t="str">
        <f t="shared" si="3"/>
        <v/>
      </c>
      <c r="W647" s="93">
        <f>IFERROR(__xludf.DUMMYFUNCTION("IFERROR(SWITCH(lower(join("" "",U647:V647)),""а миллионник"", 62.5,""б миллионник"", 75,""а мск"", 50, ""б мск"", 62.5, ""a остальное"", 70, ""б остальное"", 80)/100,0)"),0.0)</f>
        <v>0</v>
      </c>
      <c r="X647" s="91">
        <f t="shared" si="4"/>
        <v>0</v>
      </c>
    </row>
    <row r="648">
      <c r="A648" s="12"/>
      <c r="B648" s="12"/>
      <c r="C648" s="12"/>
      <c r="D648" s="91">
        <f>IFERROR(__xludf.DUMMYFUNCTION("IFERROR(sum(filter('Основной эфир'!$AA:$AA, 'Основной эфир'!$B:$B=$A648,'Основной эфир'!$C:$C=$B648,'Основной эфир'!$I:$I=$C648)), 0) "),0.0)</f>
        <v>0</v>
      </c>
      <c r="E648" s="91">
        <f>IFERROR(__xludf.DUMMYFUNCTION("IFERROR(sum(filter('Основной эфир'!$AC:$AC, 'Основной эфир'!$B:$B=$A648,'Основной эфир'!$C:$C=$B648,'Основной эфир'!$I:$I=$C648)), 0) "),0.0)</f>
        <v>0</v>
      </c>
      <c r="F648" s="91">
        <f>IFERROR(__xludf.DUMMYFUNCTION("IFERROR(sum(filter('Основной эфир'!$O:$O, 'Основной эфир'!$B:$B=$A648,'Основной эфир'!$C:$C=$B648,'Основной эфир'!$I:$I=$C648)), 0) "),0.0)</f>
        <v>0</v>
      </c>
      <c r="G648" s="91">
        <f>IFERROR(__xludf.DUMMYFUNCTION("IFERROR(sum(filter('Основной эфир'!$Q:$Q, 'Основной эфир'!$B:$B=$A648,'Основной эфир'!$C:$C=$B648,'Основной эфир'!$I:$I=$C648)), 0) "),0.0)</f>
        <v>0</v>
      </c>
      <c r="H648" s="91">
        <f>IFERROR(__xludf.DUMMYFUNCTION("IFERROR(AVERAGE(filter('Основной эфир'!$Y:$Y, 'Основной эфир'!$B:$B=$A648,'Основной эфир'!$C:$C=$B648,'Основной эфир'!$I:$I=$C648)), 0) "),0.0)</f>
        <v>0</v>
      </c>
      <c r="I648" s="91">
        <f>IFERROR(__xludf.DUMMYFUNCTION("IFERROR(AVERAGE(filter('Основной эфир'!$AE:$AE, 'Основной эфир'!$B:$B=$A648,'Основной эфир'!$C:$C=$B648,'Основной эфир'!$I:$I=$C648)), 0) "),0.0)</f>
        <v>0</v>
      </c>
      <c r="J648" s="91">
        <f>IFERROR(__xludf.DUMMYFUNCTION("IFERROR(SUM(filter('Основной эфир'!$AL:$AL, 'Основной эфир'!$B:$B=$A648,'Основной эфир'!$C:$C=$B648,'Основной эфир'!$I:$I=$C648)), 0) "),0.0)</f>
        <v>0</v>
      </c>
      <c r="K648" s="91" t="str">
        <f>IFERROR(__xludf.DUMMYFUNCTION("IFERROR(REGEXREPLACE(unique(filter('Основной эфир'!$A:$A, 'Основной эфир'!$B:$B=$A648,'Основной эфир'!$C:$C=$B648,'Основной эфир'!$I:$I=$C648)), ""\d+"", """"),"""")"),"")</f>
        <v/>
      </c>
      <c r="L648" s="91" t="str">
        <f>IFERROR(__xludf.DUMMYFUNCTION("IFERROR(unique(filter('Основной эфир'!$F:$F, 'Основной эфир'!$B:$B=$A648,'Основной эфир'!$C:$C=$B648,'Основной эфир'!$I:$I=$C648)),"""")"),"")</f>
        <v/>
      </c>
      <c r="M648" s="92" t="str">
        <f t="shared" si="1"/>
        <v/>
      </c>
      <c r="N648" s="93">
        <f>IFERROR(__xludf.DUMMYFUNCTION("IFERROR(SWITCH(lower(join("" "",L648:M648)),""а миллионник"", 62.5,""б миллионник"", 75,""а мск"", 50, ""б мск"", 62.5, ""a остальное"", 70, ""б остальное"", 80)/100,0)"),0.0)</f>
        <v>0</v>
      </c>
      <c r="O648" s="91">
        <f t="shared" si="2"/>
        <v>0</v>
      </c>
      <c r="P648" s="91">
        <f>IFERROR(__xludf.DUMMYFUNCTION("IFERROR(sum(filter('Генеральный баннер'!$O:$O, 'Генеральный баннер'!$B:$B=$A648,'Генеральный баннер'!$C:$C=$B648,'Генеральный баннер'!$I:$I=$C648)), 0) "),0.0)</f>
        <v>0</v>
      </c>
      <c r="Q648" s="91">
        <f>IFERROR(__xludf.DUMMYFUNCTION("IFERROR(sum(filter('Генеральный баннер'!$Q:$Q, 'Генеральный баннер'!$B:$B=$A648,'Генеральный баннер'!$C:$C=$B648,'Генеральный баннер'!$I:$I=$C648)), 0) "),0.0)</f>
        <v>0</v>
      </c>
      <c r="R648" s="91">
        <f>IFERROR(__xludf.DUMMYFUNCTION("IFERROR(AVERAGE(filter('Генеральный баннер'!$AA:$AA, 'Генеральный баннер'!$B:$B=$A648,'Генеральный баннер'!$C:$C=$B648,'Генеральный баннер'!$I:$I=$C648)), 0) "),0.0)</f>
        <v>0</v>
      </c>
      <c r="S648" s="91">
        <f>IFERROR(__xludf.DUMMYFUNCTION("IFERROR(SUM(filter('Генеральный баннер'!$AH:$AH, 'Генеральный баннер'!$B:$B=$A648,'Генеральный баннер'!$C:$C=$B648,'Генеральный баннер'!$I:$I=$C648)), 0) "),0.0)</f>
        <v>0</v>
      </c>
      <c r="T648" s="91" t="str">
        <f>IFERROR(__xludf.DUMMYFUNCTION("IFERROR(REGEXREPLACE(unique(filter('Генеральный баннер'!$A:$A, 'Генеральный баннер'!$B:$B=$A648,'Генеральный баннер'!$C:$C=$B648,'Генеральный баннер'!$I:$I=$C648)), ""\d+"", """"),"""")"),"")</f>
        <v/>
      </c>
      <c r="U648" s="91" t="str">
        <f>IFERROR(__xludf.DUMMYFUNCTION("IFERROR(unique(filter('Генеральный баннер'!$F:$F, 'Генеральный баннер'!$B:$B=$A648,'Генеральный баннер'!$C:$C=$B648,'Генеральный баннер'!$I:$I=$C648)),"""")"),"")</f>
        <v/>
      </c>
      <c r="V648" s="92" t="str">
        <f t="shared" si="3"/>
        <v/>
      </c>
      <c r="W648" s="93">
        <f>IFERROR(__xludf.DUMMYFUNCTION("IFERROR(SWITCH(lower(join("" "",U648:V648)),""а миллионник"", 62.5,""б миллионник"", 75,""а мск"", 50, ""б мск"", 62.5, ""a остальное"", 70, ""б остальное"", 80)/100,0)"),0.0)</f>
        <v>0</v>
      </c>
      <c r="X648" s="91">
        <f t="shared" si="4"/>
        <v>0</v>
      </c>
    </row>
    <row r="649">
      <c r="A649" s="12"/>
      <c r="B649" s="12"/>
      <c r="C649" s="12"/>
      <c r="D649" s="91">
        <f>IFERROR(__xludf.DUMMYFUNCTION("IFERROR(sum(filter('Основной эфир'!$AA:$AA, 'Основной эфир'!$B:$B=$A649,'Основной эфир'!$C:$C=$B649,'Основной эфир'!$I:$I=$C649)), 0) "),0.0)</f>
        <v>0</v>
      </c>
      <c r="E649" s="91">
        <f>IFERROR(__xludf.DUMMYFUNCTION("IFERROR(sum(filter('Основной эфир'!$AC:$AC, 'Основной эфир'!$B:$B=$A649,'Основной эфир'!$C:$C=$B649,'Основной эфир'!$I:$I=$C649)), 0) "),0.0)</f>
        <v>0</v>
      </c>
      <c r="F649" s="91">
        <f>IFERROR(__xludf.DUMMYFUNCTION("IFERROR(sum(filter('Основной эфир'!$O:$O, 'Основной эфир'!$B:$B=$A649,'Основной эфир'!$C:$C=$B649,'Основной эфир'!$I:$I=$C649)), 0) "),0.0)</f>
        <v>0</v>
      </c>
      <c r="G649" s="91">
        <f>IFERROR(__xludf.DUMMYFUNCTION("IFERROR(sum(filter('Основной эфир'!$Q:$Q, 'Основной эфир'!$B:$B=$A649,'Основной эфир'!$C:$C=$B649,'Основной эфир'!$I:$I=$C649)), 0) "),0.0)</f>
        <v>0</v>
      </c>
      <c r="H649" s="91">
        <f>IFERROR(__xludf.DUMMYFUNCTION("IFERROR(AVERAGE(filter('Основной эфир'!$Y:$Y, 'Основной эфир'!$B:$B=$A649,'Основной эфир'!$C:$C=$B649,'Основной эфир'!$I:$I=$C649)), 0) "),0.0)</f>
        <v>0</v>
      </c>
      <c r="I649" s="91">
        <f>IFERROR(__xludf.DUMMYFUNCTION("IFERROR(AVERAGE(filter('Основной эфир'!$AE:$AE, 'Основной эфир'!$B:$B=$A649,'Основной эфир'!$C:$C=$B649,'Основной эфир'!$I:$I=$C649)), 0) "),0.0)</f>
        <v>0</v>
      </c>
      <c r="J649" s="91">
        <f>IFERROR(__xludf.DUMMYFUNCTION("IFERROR(SUM(filter('Основной эфир'!$AL:$AL, 'Основной эфир'!$B:$B=$A649,'Основной эфир'!$C:$C=$B649,'Основной эфир'!$I:$I=$C649)), 0) "),0.0)</f>
        <v>0</v>
      </c>
      <c r="K649" s="91" t="str">
        <f>IFERROR(__xludf.DUMMYFUNCTION("IFERROR(REGEXREPLACE(unique(filter('Основной эфир'!$A:$A, 'Основной эфир'!$B:$B=$A649,'Основной эфир'!$C:$C=$B649,'Основной эфир'!$I:$I=$C649)), ""\d+"", """"),"""")"),"")</f>
        <v/>
      </c>
      <c r="L649" s="91" t="str">
        <f>IFERROR(__xludf.DUMMYFUNCTION("IFERROR(unique(filter('Основной эфир'!$F:$F, 'Основной эфир'!$B:$B=$A649,'Основной эфир'!$C:$C=$B649,'Основной эфир'!$I:$I=$C649)),"""")"),"")</f>
        <v/>
      </c>
      <c r="M649" s="92" t="str">
        <f t="shared" si="1"/>
        <v/>
      </c>
      <c r="N649" s="93">
        <f>IFERROR(__xludf.DUMMYFUNCTION("IFERROR(SWITCH(lower(join("" "",L649:M649)),""а миллионник"", 62.5,""б миллионник"", 75,""а мск"", 50, ""б мск"", 62.5, ""a остальное"", 70, ""б остальное"", 80)/100,0)"),0.0)</f>
        <v>0</v>
      </c>
      <c r="O649" s="91">
        <f t="shared" si="2"/>
        <v>0</v>
      </c>
      <c r="P649" s="91">
        <f>IFERROR(__xludf.DUMMYFUNCTION("IFERROR(sum(filter('Генеральный баннер'!$O:$O, 'Генеральный баннер'!$B:$B=$A649,'Генеральный баннер'!$C:$C=$B649,'Генеральный баннер'!$I:$I=$C649)), 0) "),0.0)</f>
        <v>0</v>
      </c>
      <c r="Q649" s="91">
        <f>IFERROR(__xludf.DUMMYFUNCTION("IFERROR(sum(filter('Генеральный баннер'!$Q:$Q, 'Генеральный баннер'!$B:$B=$A649,'Генеральный баннер'!$C:$C=$B649,'Генеральный баннер'!$I:$I=$C649)), 0) "),0.0)</f>
        <v>0</v>
      </c>
      <c r="R649" s="91">
        <f>IFERROR(__xludf.DUMMYFUNCTION("IFERROR(AVERAGE(filter('Генеральный баннер'!$AA:$AA, 'Генеральный баннер'!$B:$B=$A649,'Генеральный баннер'!$C:$C=$B649,'Генеральный баннер'!$I:$I=$C649)), 0) "),0.0)</f>
        <v>0</v>
      </c>
      <c r="S649" s="91">
        <f>IFERROR(__xludf.DUMMYFUNCTION("IFERROR(SUM(filter('Генеральный баннер'!$AH:$AH, 'Генеральный баннер'!$B:$B=$A649,'Генеральный баннер'!$C:$C=$B649,'Генеральный баннер'!$I:$I=$C649)), 0) "),0.0)</f>
        <v>0</v>
      </c>
      <c r="T649" s="91" t="str">
        <f>IFERROR(__xludf.DUMMYFUNCTION("IFERROR(REGEXREPLACE(unique(filter('Генеральный баннер'!$A:$A, 'Генеральный баннер'!$B:$B=$A649,'Генеральный баннер'!$C:$C=$B649,'Генеральный баннер'!$I:$I=$C649)), ""\d+"", """"),"""")"),"")</f>
        <v/>
      </c>
      <c r="U649" s="91" t="str">
        <f>IFERROR(__xludf.DUMMYFUNCTION("IFERROR(unique(filter('Генеральный баннер'!$F:$F, 'Генеральный баннер'!$B:$B=$A649,'Генеральный баннер'!$C:$C=$B649,'Генеральный баннер'!$I:$I=$C649)),"""")"),"")</f>
        <v/>
      </c>
      <c r="V649" s="92" t="str">
        <f t="shared" si="3"/>
        <v/>
      </c>
      <c r="W649" s="93">
        <f>IFERROR(__xludf.DUMMYFUNCTION("IFERROR(SWITCH(lower(join("" "",U649:V649)),""а миллионник"", 62.5,""б миллионник"", 75,""а мск"", 50, ""б мск"", 62.5, ""a остальное"", 70, ""б остальное"", 80)/100,0)"),0.0)</f>
        <v>0</v>
      </c>
      <c r="X649" s="91">
        <f t="shared" si="4"/>
        <v>0</v>
      </c>
    </row>
    <row r="650">
      <c r="A650" s="12"/>
      <c r="B650" s="12"/>
      <c r="C650" s="12"/>
      <c r="D650" s="91">
        <f>IFERROR(__xludf.DUMMYFUNCTION("IFERROR(sum(filter('Основной эфир'!$AA:$AA, 'Основной эфир'!$B:$B=$A650,'Основной эфир'!$C:$C=$B650,'Основной эфир'!$I:$I=$C650)), 0) "),0.0)</f>
        <v>0</v>
      </c>
      <c r="E650" s="91">
        <f>IFERROR(__xludf.DUMMYFUNCTION("IFERROR(sum(filter('Основной эфир'!$AC:$AC, 'Основной эфир'!$B:$B=$A650,'Основной эфир'!$C:$C=$B650,'Основной эфир'!$I:$I=$C650)), 0) "),0.0)</f>
        <v>0</v>
      </c>
      <c r="F650" s="91">
        <f>IFERROR(__xludf.DUMMYFUNCTION("IFERROR(sum(filter('Основной эфир'!$O:$O, 'Основной эфир'!$B:$B=$A650,'Основной эфир'!$C:$C=$B650,'Основной эфир'!$I:$I=$C650)), 0) "),0.0)</f>
        <v>0</v>
      </c>
      <c r="G650" s="91">
        <f>IFERROR(__xludf.DUMMYFUNCTION("IFERROR(sum(filter('Основной эфир'!$Q:$Q, 'Основной эфир'!$B:$B=$A650,'Основной эфир'!$C:$C=$B650,'Основной эфир'!$I:$I=$C650)), 0) "),0.0)</f>
        <v>0</v>
      </c>
      <c r="H650" s="91">
        <f>IFERROR(__xludf.DUMMYFUNCTION("IFERROR(AVERAGE(filter('Основной эфир'!$Y:$Y, 'Основной эфир'!$B:$B=$A650,'Основной эфир'!$C:$C=$B650,'Основной эфир'!$I:$I=$C650)), 0) "),0.0)</f>
        <v>0</v>
      </c>
      <c r="I650" s="91">
        <f>IFERROR(__xludf.DUMMYFUNCTION("IFERROR(AVERAGE(filter('Основной эфир'!$AE:$AE, 'Основной эфир'!$B:$B=$A650,'Основной эфир'!$C:$C=$B650,'Основной эфир'!$I:$I=$C650)), 0) "),0.0)</f>
        <v>0</v>
      </c>
      <c r="J650" s="91">
        <f>IFERROR(__xludf.DUMMYFUNCTION("IFERROR(SUM(filter('Основной эфир'!$AL:$AL, 'Основной эфир'!$B:$B=$A650,'Основной эфир'!$C:$C=$B650,'Основной эфир'!$I:$I=$C650)), 0) "),0.0)</f>
        <v>0</v>
      </c>
      <c r="K650" s="91" t="str">
        <f>IFERROR(__xludf.DUMMYFUNCTION("IFERROR(REGEXREPLACE(unique(filter('Основной эфир'!$A:$A, 'Основной эфир'!$B:$B=$A650,'Основной эфир'!$C:$C=$B650,'Основной эфир'!$I:$I=$C650)), ""\d+"", """"),"""")"),"")</f>
        <v/>
      </c>
      <c r="L650" s="91" t="str">
        <f>IFERROR(__xludf.DUMMYFUNCTION("IFERROR(unique(filter('Основной эфир'!$F:$F, 'Основной эфир'!$B:$B=$A650,'Основной эфир'!$C:$C=$B650,'Основной эфир'!$I:$I=$C650)),"""")"),"")</f>
        <v/>
      </c>
      <c r="M650" s="92" t="str">
        <f t="shared" si="1"/>
        <v/>
      </c>
      <c r="N650" s="93">
        <f>IFERROR(__xludf.DUMMYFUNCTION("IFERROR(SWITCH(lower(join("" "",L650:M650)),""а миллионник"", 62.5,""б миллионник"", 75,""а мск"", 50, ""б мск"", 62.5, ""a остальное"", 70, ""б остальное"", 80)/100,0)"),0.0)</f>
        <v>0</v>
      </c>
      <c r="O650" s="91">
        <f t="shared" si="2"/>
        <v>0</v>
      </c>
      <c r="P650" s="91">
        <f>IFERROR(__xludf.DUMMYFUNCTION("IFERROR(sum(filter('Генеральный баннер'!$O:$O, 'Генеральный баннер'!$B:$B=$A650,'Генеральный баннер'!$C:$C=$B650,'Генеральный баннер'!$I:$I=$C650)), 0) "),0.0)</f>
        <v>0</v>
      </c>
      <c r="Q650" s="91">
        <f>IFERROR(__xludf.DUMMYFUNCTION("IFERROR(sum(filter('Генеральный баннер'!$Q:$Q, 'Генеральный баннер'!$B:$B=$A650,'Генеральный баннер'!$C:$C=$B650,'Генеральный баннер'!$I:$I=$C650)), 0) "),0.0)</f>
        <v>0</v>
      </c>
      <c r="R650" s="91">
        <f>IFERROR(__xludf.DUMMYFUNCTION("IFERROR(AVERAGE(filter('Генеральный баннер'!$AA:$AA, 'Генеральный баннер'!$B:$B=$A650,'Генеральный баннер'!$C:$C=$B650,'Генеральный баннер'!$I:$I=$C650)), 0) "),0.0)</f>
        <v>0</v>
      </c>
      <c r="S650" s="91">
        <f>IFERROR(__xludf.DUMMYFUNCTION("IFERROR(SUM(filter('Генеральный баннер'!$AH:$AH, 'Генеральный баннер'!$B:$B=$A650,'Генеральный баннер'!$C:$C=$B650,'Генеральный баннер'!$I:$I=$C650)), 0) "),0.0)</f>
        <v>0</v>
      </c>
      <c r="T650" s="91" t="str">
        <f>IFERROR(__xludf.DUMMYFUNCTION("IFERROR(REGEXREPLACE(unique(filter('Генеральный баннер'!$A:$A, 'Генеральный баннер'!$B:$B=$A650,'Генеральный баннер'!$C:$C=$B650,'Генеральный баннер'!$I:$I=$C650)), ""\d+"", """"),"""")"),"")</f>
        <v/>
      </c>
      <c r="U650" s="91" t="str">
        <f>IFERROR(__xludf.DUMMYFUNCTION("IFERROR(unique(filter('Генеральный баннер'!$F:$F, 'Генеральный баннер'!$B:$B=$A650,'Генеральный баннер'!$C:$C=$B650,'Генеральный баннер'!$I:$I=$C650)),"""")"),"")</f>
        <v/>
      </c>
      <c r="V650" s="92" t="str">
        <f t="shared" si="3"/>
        <v/>
      </c>
      <c r="W650" s="93">
        <f>IFERROR(__xludf.DUMMYFUNCTION("IFERROR(SWITCH(lower(join("" "",U650:V650)),""а миллионник"", 62.5,""б миллионник"", 75,""а мск"", 50, ""б мск"", 62.5, ""a остальное"", 70, ""б остальное"", 80)/100,0)"),0.0)</f>
        <v>0</v>
      </c>
      <c r="X650" s="91">
        <f t="shared" si="4"/>
        <v>0</v>
      </c>
    </row>
    <row r="651">
      <c r="A651" s="12"/>
      <c r="B651" s="12"/>
      <c r="C651" s="12"/>
      <c r="D651" s="91">
        <f>IFERROR(__xludf.DUMMYFUNCTION("IFERROR(sum(filter('Основной эфир'!$AA:$AA, 'Основной эфир'!$B:$B=$A651,'Основной эфир'!$C:$C=$B651,'Основной эфир'!$I:$I=$C651)), 0) "),0.0)</f>
        <v>0</v>
      </c>
      <c r="E651" s="91">
        <f>IFERROR(__xludf.DUMMYFUNCTION("IFERROR(sum(filter('Основной эфир'!$AC:$AC, 'Основной эфир'!$B:$B=$A651,'Основной эфир'!$C:$C=$B651,'Основной эфир'!$I:$I=$C651)), 0) "),0.0)</f>
        <v>0</v>
      </c>
      <c r="F651" s="91">
        <f>IFERROR(__xludf.DUMMYFUNCTION("IFERROR(sum(filter('Основной эфир'!$O:$O, 'Основной эфир'!$B:$B=$A651,'Основной эфир'!$C:$C=$B651,'Основной эфир'!$I:$I=$C651)), 0) "),0.0)</f>
        <v>0</v>
      </c>
      <c r="G651" s="91">
        <f>IFERROR(__xludf.DUMMYFUNCTION("IFERROR(sum(filter('Основной эфир'!$Q:$Q, 'Основной эфир'!$B:$B=$A651,'Основной эфир'!$C:$C=$B651,'Основной эфир'!$I:$I=$C651)), 0) "),0.0)</f>
        <v>0</v>
      </c>
      <c r="H651" s="91">
        <f>IFERROR(__xludf.DUMMYFUNCTION("IFERROR(AVERAGE(filter('Основной эфир'!$Y:$Y, 'Основной эфир'!$B:$B=$A651,'Основной эфир'!$C:$C=$B651,'Основной эфир'!$I:$I=$C651)), 0) "),0.0)</f>
        <v>0</v>
      </c>
      <c r="I651" s="91">
        <f>IFERROR(__xludf.DUMMYFUNCTION("IFERROR(AVERAGE(filter('Основной эфир'!$AE:$AE, 'Основной эфир'!$B:$B=$A651,'Основной эфир'!$C:$C=$B651,'Основной эфир'!$I:$I=$C651)), 0) "),0.0)</f>
        <v>0</v>
      </c>
      <c r="J651" s="91">
        <f>IFERROR(__xludf.DUMMYFUNCTION("IFERROR(SUM(filter('Основной эфир'!$AL:$AL, 'Основной эфир'!$B:$B=$A651,'Основной эфир'!$C:$C=$B651,'Основной эфир'!$I:$I=$C651)), 0) "),0.0)</f>
        <v>0</v>
      </c>
      <c r="K651" s="91" t="str">
        <f>IFERROR(__xludf.DUMMYFUNCTION("IFERROR(REGEXREPLACE(unique(filter('Основной эфир'!$A:$A, 'Основной эфир'!$B:$B=$A651,'Основной эфир'!$C:$C=$B651,'Основной эфир'!$I:$I=$C651)), ""\d+"", """"),"""")"),"")</f>
        <v/>
      </c>
      <c r="L651" s="91" t="str">
        <f>IFERROR(__xludf.DUMMYFUNCTION("IFERROR(unique(filter('Основной эфир'!$F:$F, 'Основной эфир'!$B:$B=$A651,'Основной эфир'!$C:$C=$B651,'Основной эфир'!$I:$I=$C651)),"""")"),"")</f>
        <v/>
      </c>
      <c r="M651" s="92" t="str">
        <f t="shared" si="1"/>
        <v/>
      </c>
      <c r="N651" s="93">
        <f>IFERROR(__xludf.DUMMYFUNCTION("IFERROR(SWITCH(lower(join("" "",L651:M651)),""а миллионник"", 62.5,""б миллионник"", 75,""а мск"", 50, ""б мск"", 62.5, ""a остальное"", 70, ""б остальное"", 80)/100,0)"),0.0)</f>
        <v>0</v>
      </c>
      <c r="O651" s="91">
        <f t="shared" si="2"/>
        <v>0</v>
      </c>
      <c r="P651" s="91">
        <f>IFERROR(__xludf.DUMMYFUNCTION("IFERROR(sum(filter('Генеральный баннер'!$O:$O, 'Генеральный баннер'!$B:$B=$A651,'Генеральный баннер'!$C:$C=$B651,'Генеральный баннер'!$I:$I=$C651)), 0) "),0.0)</f>
        <v>0</v>
      </c>
      <c r="Q651" s="91">
        <f>IFERROR(__xludf.DUMMYFUNCTION("IFERROR(sum(filter('Генеральный баннер'!$Q:$Q, 'Генеральный баннер'!$B:$B=$A651,'Генеральный баннер'!$C:$C=$B651,'Генеральный баннер'!$I:$I=$C651)), 0) "),0.0)</f>
        <v>0</v>
      </c>
      <c r="R651" s="91">
        <f>IFERROR(__xludf.DUMMYFUNCTION("IFERROR(AVERAGE(filter('Генеральный баннер'!$AA:$AA, 'Генеральный баннер'!$B:$B=$A651,'Генеральный баннер'!$C:$C=$B651,'Генеральный баннер'!$I:$I=$C651)), 0) "),0.0)</f>
        <v>0</v>
      </c>
      <c r="S651" s="91">
        <f>IFERROR(__xludf.DUMMYFUNCTION("IFERROR(SUM(filter('Генеральный баннер'!$AH:$AH, 'Генеральный баннер'!$B:$B=$A651,'Генеральный баннер'!$C:$C=$B651,'Генеральный баннер'!$I:$I=$C651)), 0) "),0.0)</f>
        <v>0</v>
      </c>
      <c r="T651" s="91" t="str">
        <f>IFERROR(__xludf.DUMMYFUNCTION("IFERROR(REGEXREPLACE(unique(filter('Генеральный баннер'!$A:$A, 'Генеральный баннер'!$B:$B=$A651,'Генеральный баннер'!$C:$C=$B651,'Генеральный баннер'!$I:$I=$C651)), ""\d+"", """"),"""")"),"")</f>
        <v/>
      </c>
      <c r="U651" s="91" t="str">
        <f>IFERROR(__xludf.DUMMYFUNCTION("IFERROR(unique(filter('Генеральный баннер'!$F:$F, 'Генеральный баннер'!$B:$B=$A651,'Генеральный баннер'!$C:$C=$B651,'Генеральный баннер'!$I:$I=$C651)),"""")"),"")</f>
        <v/>
      </c>
      <c r="V651" s="92" t="str">
        <f t="shared" si="3"/>
        <v/>
      </c>
      <c r="W651" s="93">
        <f>IFERROR(__xludf.DUMMYFUNCTION("IFERROR(SWITCH(lower(join("" "",U651:V651)),""а миллионник"", 62.5,""б миллионник"", 75,""а мск"", 50, ""б мск"", 62.5, ""a остальное"", 70, ""б остальное"", 80)/100,0)"),0.0)</f>
        <v>0</v>
      </c>
      <c r="X651" s="91">
        <f t="shared" si="4"/>
        <v>0</v>
      </c>
    </row>
    <row r="652">
      <c r="A652" s="12"/>
      <c r="B652" s="12"/>
      <c r="C652" s="12"/>
      <c r="D652" s="91">
        <f>IFERROR(__xludf.DUMMYFUNCTION("IFERROR(sum(filter('Основной эфир'!$AA:$AA, 'Основной эфир'!$B:$B=$A652,'Основной эфир'!$C:$C=$B652,'Основной эфир'!$I:$I=$C652)), 0) "),0.0)</f>
        <v>0</v>
      </c>
      <c r="E652" s="91">
        <f>IFERROR(__xludf.DUMMYFUNCTION("IFERROR(sum(filter('Основной эфир'!$AC:$AC, 'Основной эфир'!$B:$B=$A652,'Основной эфир'!$C:$C=$B652,'Основной эфир'!$I:$I=$C652)), 0) "),0.0)</f>
        <v>0</v>
      </c>
      <c r="F652" s="91">
        <f>IFERROR(__xludf.DUMMYFUNCTION("IFERROR(sum(filter('Основной эфир'!$O:$O, 'Основной эфир'!$B:$B=$A652,'Основной эфир'!$C:$C=$B652,'Основной эфир'!$I:$I=$C652)), 0) "),0.0)</f>
        <v>0</v>
      </c>
      <c r="G652" s="91">
        <f>IFERROR(__xludf.DUMMYFUNCTION("IFERROR(sum(filter('Основной эфир'!$Q:$Q, 'Основной эфир'!$B:$B=$A652,'Основной эфир'!$C:$C=$B652,'Основной эфир'!$I:$I=$C652)), 0) "),0.0)</f>
        <v>0</v>
      </c>
      <c r="H652" s="91">
        <f>IFERROR(__xludf.DUMMYFUNCTION("IFERROR(AVERAGE(filter('Основной эфир'!$Y:$Y, 'Основной эфир'!$B:$B=$A652,'Основной эфир'!$C:$C=$B652,'Основной эфир'!$I:$I=$C652)), 0) "),0.0)</f>
        <v>0</v>
      </c>
      <c r="I652" s="91">
        <f>IFERROR(__xludf.DUMMYFUNCTION("IFERROR(AVERAGE(filter('Основной эфир'!$AE:$AE, 'Основной эфир'!$B:$B=$A652,'Основной эфир'!$C:$C=$B652,'Основной эфир'!$I:$I=$C652)), 0) "),0.0)</f>
        <v>0</v>
      </c>
      <c r="J652" s="91">
        <f>IFERROR(__xludf.DUMMYFUNCTION("IFERROR(SUM(filter('Основной эфир'!$AL:$AL, 'Основной эфир'!$B:$B=$A652,'Основной эфир'!$C:$C=$B652,'Основной эфир'!$I:$I=$C652)), 0) "),0.0)</f>
        <v>0</v>
      </c>
      <c r="K652" s="91" t="str">
        <f>IFERROR(__xludf.DUMMYFUNCTION("IFERROR(REGEXREPLACE(unique(filter('Основной эфир'!$A:$A, 'Основной эфир'!$B:$B=$A652,'Основной эфир'!$C:$C=$B652,'Основной эфир'!$I:$I=$C652)), ""\d+"", """"),"""")"),"")</f>
        <v/>
      </c>
      <c r="L652" s="91" t="str">
        <f>IFERROR(__xludf.DUMMYFUNCTION("IFERROR(unique(filter('Основной эфир'!$F:$F, 'Основной эфир'!$B:$B=$A652,'Основной эфир'!$C:$C=$B652,'Основной эфир'!$I:$I=$C652)),"""")"),"")</f>
        <v/>
      </c>
      <c r="M652" s="92" t="str">
        <f t="shared" si="1"/>
        <v/>
      </c>
      <c r="N652" s="93">
        <f>IFERROR(__xludf.DUMMYFUNCTION("IFERROR(SWITCH(lower(join("" "",L652:M652)),""а миллионник"", 62.5,""б миллионник"", 75,""а мск"", 50, ""б мск"", 62.5, ""a остальное"", 70, ""б остальное"", 80)/100,0)"),0.0)</f>
        <v>0</v>
      </c>
      <c r="O652" s="91">
        <f t="shared" si="2"/>
        <v>0</v>
      </c>
      <c r="P652" s="91">
        <f>IFERROR(__xludf.DUMMYFUNCTION("IFERROR(sum(filter('Генеральный баннер'!$O:$O, 'Генеральный баннер'!$B:$B=$A652,'Генеральный баннер'!$C:$C=$B652,'Генеральный баннер'!$I:$I=$C652)), 0) "),0.0)</f>
        <v>0</v>
      </c>
      <c r="Q652" s="91">
        <f>IFERROR(__xludf.DUMMYFUNCTION("IFERROR(sum(filter('Генеральный баннер'!$Q:$Q, 'Генеральный баннер'!$B:$B=$A652,'Генеральный баннер'!$C:$C=$B652,'Генеральный баннер'!$I:$I=$C652)), 0) "),0.0)</f>
        <v>0</v>
      </c>
      <c r="R652" s="91">
        <f>IFERROR(__xludf.DUMMYFUNCTION("IFERROR(AVERAGE(filter('Генеральный баннер'!$AA:$AA, 'Генеральный баннер'!$B:$B=$A652,'Генеральный баннер'!$C:$C=$B652,'Генеральный баннер'!$I:$I=$C652)), 0) "),0.0)</f>
        <v>0</v>
      </c>
      <c r="S652" s="91">
        <f>IFERROR(__xludf.DUMMYFUNCTION("IFERROR(SUM(filter('Генеральный баннер'!$AH:$AH, 'Генеральный баннер'!$B:$B=$A652,'Генеральный баннер'!$C:$C=$B652,'Генеральный баннер'!$I:$I=$C652)), 0) "),0.0)</f>
        <v>0</v>
      </c>
      <c r="T652" s="91" t="str">
        <f>IFERROR(__xludf.DUMMYFUNCTION("IFERROR(REGEXREPLACE(unique(filter('Генеральный баннер'!$A:$A, 'Генеральный баннер'!$B:$B=$A652,'Генеральный баннер'!$C:$C=$B652,'Генеральный баннер'!$I:$I=$C652)), ""\d+"", """"),"""")"),"")</f>
        <v/>
      </c>
      <c r="U652" s="91" t="str">
        <f>IFERROR(__xludf.DUMMYFUNCTION("IFERROR(unique(filter('Генеральный баннер'!$F:$F, 'Генеральный баннер'!$B:$B=$A652,'Генеральный баннер'!$C:$C=$B652,'Генеральный баннер'!$I:$I=$C652)),"""")"),"")</f>
        <v/>
      </c>
      <c r="V652" s="92" t="str">
        <f t="shared" si="3"/>
        <v/>
      </c>
      <c r="W652" s="93">
        <f>IFERROR(__xludf.DUMMYFUNCTION("IFERROR(SWITCH(lower(join("" "",U652:V652)),""а миллионник"", 62.5,""б миллионник"", 75,""а мск"", 50, ""б мск"", 62.5, ""a остальное"", 70, ""б остальное"", 80)/100,0)"),0.0)</f>
        <v>0</v>
      </c>
      <c r="X652" s="91">
        <f t="shared" si="4"/>
        <v>0</v>
      </c>
    </row>
    <row r="653">
      <c r="A653" s="12"/>
      <c r="B653" s="12"/>
      <c r="C653" s="12"/>
      <c r="D653" s="91">
        <f>IFERROR(__xludf.DUMMYFUNCTION("IFERROR(sum(filter('Основной эфир'!$AA:$AA, 'Основной эфир'!$B:$B=$A653,'Основной эфир'!$C:$C=$B653,'Основной эфир'!$I:$I=$C653)), 0) "),0.0)</f>
        <v>0</v>
      </c>
      <c r="E653" s="91">
        <f>IFERROR(__xludf.DUMMYFUNCTION("IFERROR(sum(filter('Основной эфир'!$AC:$AC, 'Основной эфир'!$B:$B=$A653,'Основной эфир'!$C:$C=$B653,'Основной эфир'!$I:$I=$C653)), 0) "),0.0)</f>
        <v>0</v>
      </c>
      <c r="F653" s="91">
        <f>IFERROR(__xludf.DUMMYFUNCTION("IFERROR(sum(filter('Основной эфир'!$O:$O, 'Основной эфир'!$B:$B=$A653,'Основной эфир'!$C:$C=$B653,'Основной эфир'!$I:$I=$C653)), 0) "),0.0)</f>
        <v>0</v>
      </c>
      <c r="G653" s="91">
        <f>IFERROR(__xludf.DUMMYFUNCTION("IFERROR(sum(filter('Основной эфир'!$Q:$Q, 'Основной эфир'!$B:$B=$A653,'Основной эфир'!$C:$C=$B653,'Основной эфир'!$I:$I=$C653)), 0) "),0.0)</f>
        <v>0</v>
      </c>
      <c r="H653" s="91">
        <f>IFERROR(__xludf.DUMMYFUNCTION("IFERROR(AVERAGE(filter('Основной эфир'!$Y:$Y, 'Основной эфир'!$B:$B=$A653,'Основной эфир'!$C:$C=$B653,'Основной эфир'!$I:$I=$C653)), 0) "),0.0)</f>
        <v>0</v>
      </c>
      <c r="I653" s="91">
        <f>IFERROR(__xludf.DUMMYFUNCTION("IFERROR(AVERAGE(filter('Основной эфир'!$AE:$AE, 'Основной эфир'!$B:$B=$A653,'Основной эфир'!$C:$C=$B653,'Основной эфир'!$I:$I=$C653)), 0) "),0.0)</f>
        <v>0</v>
      </c>
      <c r="J653" s="91">
        <f>IFERROR(__xludf.DUMMYFUNCTION("IFERROR(SUM(filter('Основной эфир'!$AL:$AL, 'Основной эфир'!$B:$B=$A653,'Основной эфир'!$C:$C=$B653,'Основной эфир'!$I:$I=$C653)), 0) "),0.0)</f>
        <v>0</v>
      </c>
      <c r="K653" s="91" t="str">
        <f>IFERROR(__xludf.DUMMYFUNCTION("IFERROR(REGEXREPLACE(unique(filter('Основной эфир'!$A:$A, 'Основной эфир'!$B:$B=$A653,'Основной эфир'!$C:$C=$B653,'Основной эфир'!$I:$I=$C653)), ""\d+"", """"),"""")"),"")</f>
        <v/>
      </c>
      <c r="L653" s="91" t="str">
        <f>IFERROR(__xludf.DUMMYFUNCTION("IFERROR(unique(filter('Основной эфир'!$F:$F, 'Основной эфир'!$B:$B=$A653,'Основной эфир'!$C:$C=$B653,'Основной эфир'!$I:$I=$C653)),"""")"),"")</f>
        <v/>
      </c>
      <c r="M653" s="92" t="str">
        <f t="shared" si="1"/>
        <v/>
      </c>
      <c r="N653" s="93">
        <f>IFERROR(__xludf.DUMMYFUNCTION("IFERROR(SWITCH(lower(join("" "",L653:M653)),""а миллионник"", 62.5,""б миллионник"", 75,""а мск"", 50, ""б мск"", 62.5, ""a остальное"", 70, ""б остальное"", 80)/100,0)"),0.0)</f>
        <v>0</v>
      </c>
      <c r="O653" s="91">
        <f t="shared" si="2"/>
        <v>0</v>
      </c>
      <c r="P653" s="91">
        <f>IFERROR(__xludf.DUMMYFUNCTION("IFERROR(sum(filter('Генеральный баннер'!$O:$O, 'Генеральный баннер'!$B:$B=$A653,'Генеральный баннер'!$C:$C=$B653,'Генеральный баннер'!$I:$I=$C653)), 0) "),0.0)</f>
        <v>0</v>
      </c>
      <c r="Q653" s="91">
        <f>IFERROR(__xludf.DUMMYFUNCTION("IFERROR(sum(filter('Генеральный баннер'!$Q:$Q, 'Генеральный баннер'!$B:$B=$A653,'Генеральный баннер'!$C:$C=$B653,'Генеральный баннер'!$I:$I=$C653)), 0) "),0.0)</f>
        <v>0</v>
      </c>
      <c r="R653" s="91">
        <f>IFERROR(__xludf.DUMMYFUNCTION("IFERROR(AVERAGE(filter('Генеральный баннер'!$AA:$AA, 'Генеральный баннер'!$B:$B=$A653,'Генеральный баннер'!$C:$C=$B653,'Генеральный баннер'!$I:$I=$C653)), 0) "),0.0)</f>
        <v>0</v>
      </c>
      <c r="S653" s="91">
        <f>IFERROR(__xludf.DUMMYFUNCTION("IFERROR(SUM(filter('Генеральный баннер'!$AH:$AH, 'Генеральный баннер'!$B:$B=$A653,'Генеральный баннер'!$C:$C=$B653,'Генеральный баннер'!$I:$I=$C653)), 0) "),0.0)</f>
        <v>0</v>
      </c>
      <c r="T653" s="91" t="str">
        <f>IFERROR(__xludf.DUMMYFUNCTION("IFERROR(REGEXREPLACE(unique(filter('Генеральный баннер'!$A:$A, 'Генеральный баннер'!$B:$B=$A653,'Генеральный баннер'!$C:$C=$B653,'Генеральный баннер'!$I:$I=$C653)), ""\d+"", """"),"""")"),"")</f>
        <v/>
      </c>
      <c r="U653" s="91" t="str">
        <f>IFERROR(__xludf.DUMMYFUNCTION("IFERROR(unique(filter('Генеральный баннер'!$F:$F, 'Генеральный баннер'!$B:$B=$A653,'Генеральный баннер'!$C:$C=$B653,'Генеральный баннер'!$I:$I=$C653)),"""")"),"")</f>
        <v/>
      </c>
      <c r="V653" s="92" t="str">
        <f t="shared" si="3"/>
        <v/>
      </c>
      <c r="W653" s="93">
        <f>IFERROR(__xludf.DUMMYFUNCTION("IFERROR(SWITCH(lower(join("" "",U653:V653)),""а миллионник"", 62.5,""б миллионник"", 75,""а мск"", 50, ""б мск"", 62.5, ""a остальное"", 70, ""б остальное"", 80)/100,0)"),0.0)</f>
        <v>0</v>
      </c>
      <c r="X653" s="91">
        <f t="shared" si="4"/>
        <v>0</v>
      </c>
    </row>
    <row r="654">
      <c r="A654" s="12"/>
      <c r="B654" s="12"/>
      <c r="C654" s="12"/>
      <c r="D654" s="91">
        <f>IFERROR(__xludf.DUMMYFUNCTION("IFERROR(sum(filter('Основной эфир'!$AA:$AA, 'Основной эфир'!$B:$B=$A654,'Основной эфир'!$C:$C=$B654,'Основной эфир'!$I:$I=$C654)), 0) "),0.0)</f>
        <v>0</v>
      </c>
      <c r="E654" s="91">
        <f>IFERROR(__xludf.DUMMYFUNCTION("IFERROR(sum(filter('Основной эфир'!$AC:$AC, 'Основной эфир'!$B:$B=$A654,'Основной эфир'!$C:$C=$B654,'Основной эфир'!$I:$I=$C654)), 0) "),0.0)</f>
        <v>0</v>
      </c>
      <c r="F654" s="91">
        <f>IFERROR(__xludf.DUMMYFUNCTION("IFERROR(sum(filter('Основной эфир'!$O:$O, 'Основной эфир'!$B:$B=$A654,'Основной эфир'!$C:$C=$B654,'Основной эфир'!$I:$I=$C654)), 0) "),0.0)</f>
        <v>0</v>
      </c>
      <c r="G654" s="91">
        <f>IFERROR(__xludf.DUMMYFUNCTION("IFERROR(sum(filter('Основной эфир'!$Q:$Q, 'Основной эфир'!$B:$B=$A654,'Основной эфир'!$C:$C=$B654,'Основной эфир'!$I:$I=$C654)), 0) "),0.0)</f>
        <v>0</v>
      </c>
      <c r="H654" s="91">
        <f>IFERROR(__xludf.DUMMYFUNCTION("IFERROR(AVERAGE(filter('Основной эфир'!$Y:$Y, 'Основной эфир'!$B:$B=$A654,'Основной эфир'!$C:$C=$B654,'Основной эфир'!$I:$I=$C654)), 0) "),0.0)</f>
        <v>0</v>
      </c>
      <c r="I654" s="91">
        <f>IFERROR(__xludf.DUMMYFUNCTION("IFERROR(AVERAGE(filter('Основной эфир'!$AE:$AE, 'Основной эфир'!$B:$B=$A654,'Основной эфир'!$C:$C=$B654,'Основной эфир'!$I:$I=$C654)), 0) "),0.0)</f>
        <v>0</v>
      </c>
      <c r="J654" s="91">
        <f>IFERROR(__xludf.DUMMYFUNCTION("IFERROR(SUM(filter('Основной эфир'!$AL:$AL, 'Основной эфир'!$B:$B=$A654,'Основной эфир'!$C:$C=$B654,'Основной эфир'!$I:$I=$C654)), 0) "),0.0)</f>
        <v>0</v>
      </c>
      <c r="K654" s="91" t="str">
        <f>IFERROR(__xludf.DUMMYFUNCTION("IFERROR(REGEXREPLACE(unique(filter('Основной эфир'!$A:$A, 'Основной эфир'!$B:$B=$A654,'Основной эфир'!$C:$C=$B654,'Основной эфир'!$I:$I=$C654)), ""\d+"", """"),"""")"),"")</f>
        <v/>
      </c>
      <c r="L654" s="91" t="str">
        <f>IFERROR(__xludf.DUMMYFUNCTION("IFERROR(unique(filter('Основной эфир'!$F:$F, 'Основной эфир'!$B:$B=$A654,'Основной эфир'!$C:$C=$B654,'Основной эфир'!$I:$I=$C654)),"""")"),"")</f>
        <v/>
      </c>
      <c r="M654" s="92" t="str">
        <f t="shared" si="1"/>
        <v/>
      </c>
      <c r="N654" s="93">
        <f>IFERROR(__xludf.DUMMYFUNCTION("IFERROR(SWITCH(lower(join("" "",L654:M654)),""а миллионник"", 62.5,""б миллионник"", 75,""а мск"", 50, ""б мск"", 62.5, ""a остальное"", 70, ""б остальное"", 80)/100,0)"),0.0)</f>
        <v>0</v>
      </c>
      <c r="O654" s="91">
        <f t="shared" si="2"/>
        <v>0</v>
      </c>
      <c r="P654" s="91">
        <f>IFERROR(__xludf.DUMMYFUNCTION("IFERROR(sum(filter('Генеральный баннер'!$O:$O, 'Генеральный баннер'!$B:$B=$A654,'Генеральный баннер'!$C:$C=$B654,'Генеральный баннер'!$I:$I=$C654)), 0) "),0.0)</f>
        <v>0</v>
      </c>
      <c r="Q654" s="91">
        <f>IFERROR(__xludf.DUMMYFUNCTION("IFERROR(sum(filter('Генеральный баннер'!$Q:$Q, 'Генеральный баннер'!$B:$B=$A654,'Генеральный баннер'!$C:$C=$B654,'Генеральный баннер'!$I:$I=$C654)), 0) "),0.0)</f>
        <v>0</v>
      </c>
      <c r="R654" s="91">
        <f>IFERROR(__xludf.DUMMYFUNCTION("IFERROR(AVERAGE(filter('Генеральный баннер'!$AA:$AA, 'Генеральный баннер'!$B:$B=$A654,'Генеральный баннер'!$C:$C=$B654,'Генеральный баннер'!$I:$I=$C654)), 0) "),0.0)</f>
        <v>0</v>
      </c>
      <c r="S654" s="91">
        <f>IFERROR(__xludf.DUMMYFUNCTION("IFERROR(SUM(filter('Генеральный баннер'!$AH:$AH, 'Генеральный баннер'!$B:$B=$A654,'Генеральный баннер'!$C:$C=$B654,'Генеральный баннер'!$I:$I=$C654)), 0) "),0.0)</f>
        <v>0</v>
      </c>
      <c r="T654" s="91" t="str">
        <f>IFERROR(__xludf.DUMMYFUNCTION("IFERROR(REGEXREPLACE(unique(filter('Генеральный баннер'!$A:$A, 'Генеральный баннер'!$B:$B=$A654,'Генеральный баннер'!$C:$C=$B654,'Генеральный баннер'!$I:$I=$C654)), ""\d+"", """"),"""")"),"")</f>
        <v/>
      </c>
      <c r="U654" s="91" t="str">
        <f>IFERROR(__xludf.DUMMYFUNCTION("IFERROR(unique(filter('Генеральный баннер'!$F:$F, 'Генеральный баннер'!$B:$B=$A654,'Генеральный баннер'!$C:$C=$B654,'Генеральный баннер'!$I:$I=$C654)),"""")"),"")</f>
        <v/>
      </c>
      <c r="V654" s="92" t="str">
        <f t="shared" si="3"/>
        <v/>
      </c>
      <c r="W654" s="93">
        <f>IFERROR(__xludf.DUMMYFUNCTION("IFERROR(SWITCH(lower(join("" "",U654:V654)),""а миллионник"", 62.5,""б миллионник"", 75,""а мск"", 50, ""б мск"", 62.5, ""a остальное"", 70, ""б остальное"", 80)/100,0)"),0.0)</f>
        <v>0</v>
      </c>
      <c r="X654" s="91">
        <f t="shared" si="4"/>
        <v>0</v>
      </c>
    </row>
    <row r="655">
      <c r="A655" s="12"/>
      <c r="B655" s="12"/>
      <c r="C655" s="12"/>
      <c r="D655" s="91">
        <f>IFERROR(__xludf.DUMMYFUNCTION("IFERROR(sum(filter('Основной эфир'!$AA:$AA, 'Основной эфир'!$B:$B=$A655,'Основной эфир'!$C:$C=$B655,'Основной эфир'!$I:$I=$C655)), 0) "),0.0)</f>
        <v>0</v>
      </c>
      <c r="E655" s="91">
        <f>IFERROR(__xludf.DUMMYFUNCTION("IFERROR(sum(filter('Основной эфир'!$AC:$AC, 'Основной эфир'!$B:$B=$A655,'Основной эфир'!$C:$C=$B655,'Основной эфир'!$I:$I=$C655)), 0) "),0.0)</f>
        <v>0</v>
      </c>
      <c r="F655" s="91">
        <f>IFERROR(__xludf.DUMMYFUNCTION("IFERROR(sum(filter('Основной эфир'!$O:$O, 'Основной эфир'!$B:$B=$A655,'Основной эфир'!$C:$C=$B655,'Основной эфир'!$I:$I=$C655)), 0) "),0.0)</f>
        <v>0</v>
      </c>
      <c r="G655" s="91">
        <f>IFERROR(__xludf.DUMMYFUNCTION("IFERROR(sum(filter('Основной эфир'!$Q:$Q, 'Основной эфир'!$B:$B=$A655,'Основной эфир'!$C:$C=$B655,'Основной эфир'!$I:$I=$C655)), 0) "),0.0)</f>
        <v>0</v>
      </c>
      <c r="H655" s="91">
        <f>IFERROR(__xludf.DUMMYFUNCTION("IFERROR(AVERAGE(filter('Основной эфир'!$Y:$Y, 'Основной эфир'!$B:$B=$A655,'Основной эфир'!$C:$C=$B655,'Основной эфир'!$I:$I=$C655)), 0) "),0.0)</f>
        <v>0</v>
      </c>
      <c r="I655" s="91">
        <f>IFERROR(__xludf.DUMMYFUNCTION("IFERROR(AVERAGE(filter('Основной эфир'!$AE:$AE, 'Основной эфир'!$B:$B=$A655,'Основной эфир'!$C:$C=$B655,'Основной эфир'!$I:$I=$C655)), 0) "),0.0)</f>
        <v>0</v>
      </c>
      <c r="J655" s="91">
        <f>IFERROR(__xludf.DUMMYFUNCTION("IFERROR(SUM(filter('Основной эфир'!$AL:$AL, 'Основной эфир'!$B:$B=$A655,'Основной эфир'!$C:$C=$B655,'Основной эфир'!$I:$I=$C655)), 0) "),0.0)</f>
        <v>0</v>
      </c>
      <c r="K655" s="91" t="str">
        <f>IFERROR(__xludf.DUMMYFUNCTION("IFERROR(REGEXREPLACE(unique(filter('Основной эфир'!$A:$A, 'Основной эфир'!$B:$B=$A655,'Основной эфир'!$C:$C=$B655,'Основной эфир'!$I:$I=$C655)), ""\d+"", """"),"""")"),"")</f>
        <v/>
      </c>
      <c r="L655" s="91" t="str">
        <f>IFERROR(__xludf.DUMMYFUNCTION("IFERROR(unique(filter('Основной эфир'!$F:$F, 'Основной эфир'!$B:$B=$A655,'Основной эфир'!$C:$C=$B655,'Основной эфир'!$I:$I=$C655)),"""")"),"")</f>
        <v/>
      </c>
      <c r="M655" s="92" t="str">
        <f t="shared" si="1"/>
        <v/>
      </c>
      <c r="N655" s="93">
        <f>IFERROR(__xludf.DUMMYFUNCTION("IFERROR(SWITCH(lower(join("" "",L655:M655)),""а миллионник"", 62.5,""б миллионник"", 75,""а мск"", 50, ""б мск"", 62.5, ""a остальное"", 70, ""б остальное"", 80)/100,0)"),0.0)</f>
        <v>0</v>
      </c>
      <c r="O655" s="91">
        <f t="shared" si="2"/>
        <v>0</v>
      </c>
      <c r="P655" s="91">
        <f>IFERROR(__xludf.DUMMYFUNCTION("IFERROR(sum(filter('Генеральный баннер'!$O:$O, 'Генеральный баннер'!$B:$B=$A655,'Генеральный баннер'!$C:$C=$B655,'Генеральный баннер'!$I:$I=$C655)), 0) "),0.0)</f>
        <v>0</v>
      </c>
      <c r="Q655" s="91">
        <f>IFERROR(__xludf.DUMMYFUNCTION("IFERROR(sum(filter('Генеральный баннер'!$Q:$Q, 'Генеральный баннер'!$B:$B=$A655,'Генеральный баннер'!$C:$C=$B655,'Генеральный баннер'!$I:$I=$C655)), 0) "),0.0)</f>
        <v>0</v>
      </c>
      <c r="R655" s="91">
        <f>IFERROR(__xludf.DUMMYFUNCTION("IFERROR(AVERAGE(filter('Генеральный баннер'!$AA:$AA, 'Генеральный баннер'!$B:$B=$A655,'Генеральный баннер'!$C:$C=$B655,'Генеральный баннер'!$I:$I=$C655)), 0) "),0.0)</f>
        <v>0</v>
      </c>
      <c r="S655" s="91">
        <f>IFERROR(__xludf.DUMMYFUNCTION("IFERROR(SUM(filter('Генеральный баннер'!$AH:$AH, 'Генеральный баннер'!$B:$B=$A655,'Генеральный баннер'!$C:$C=$B655,'Генеральный баннер'!$I:$I=$C655)), 0) "),0.0)</f>
        <v>0</v>
      </c>
      <c r="T655" s="91" t="str">
        <f>IFERROR(__xludf.DUMMYFUNCTION("IFERROR(REGEXREPLACE(unique(filter('Генеральный баннер'!$A:$A, 'Генеральный баннер'!$B:$B=$A655,'Генеральный баннер'!$C:$C=$B655,'Генеральный баннер'!$I:$I=$C655)), ""\d+"", """"),"""")"),"")</f>
        <v/>
      </c>
      <c r="U655" s="91" t="str">
        <f>IFERROR(__xludf.DUMMYFUNCTION("IFERROR(unique(filter('Генеральный баннер'!$F:$F, 'Генеральный баннер'!$B:$B=$A655,'Генеральный баннер'!$C:$C=$B655,'Генеральный баннер'!$I:$I=$C655)),"""")"),"")</f>
        <v/>
      </c>
      <c r="V655" s="92" t="str">
        <f t="shared" si="3"/>
        <v/>
      </c>
      <c r="W655" s="93">
        <f>IFERROR(__xludf.DUMMYFUNCTION("IFERROR(SWITCH(lower(join("" "",U655:V655)),""а миллионник"", 62.5,""б миллионник"", 75,""а мск"", 50, ""б мск"", 62.5, ""a остальное"", 70, ""б остальное"", 80)/100,0)"),0.0)</f>
        <v>0</v>
      </c>
      <c r="X655" s="91">
        <f t="shared" si="4"/>
        <v>0</v>
      </c>
    </row>
    <row r="656">
      <c r="A656" s="12"/>
      <c r="B656" s="12"/>
      <c r="C656" s="12"/>
      <c r="D656" s="91">
        <f>IFERROR(__xludf.DUMMYFUNCTION("IFERROR(sum(filter('Основной эфир'!$AA:$AA, 'Основной эфир'!$B:$B=$A656,'Основной эфир'!$C:$C=$B656,'Основной эфир'!$I:$I=$C656)), 0) "),0.0)</f>
        <v>0</v>
      </c>
      <c r="E656" s="91">
        <f>IFERROR(__xludf.DUMMYFUNCTION("IFERROR(sum(filter('Основной эфир'!$AC:$AC, 'Основной эфир'!$B:$B=$A656,'Основной эфир'!$C:$C=$B656,'Основной эфир'!$I:$I=$C656)), 0) "),0.0)</f>
        <v>0</v>
      </c>
      <c r="F656" s="91">
        <f>IFERROR(__xludf.DUMMYFUNCTION("IFERROR(sum(filter('Основной эфир'!$O:$O, 'Основной эфир'!$B:$B=$A656,'Основной эфир'!$C:$C=$B656,'Основной эфир'!$I:$I=$C656)), 0) "),0.0)</f>
        <v>0</v>
      </c>
      <c r="G656" s="91">
        <f>IFERROR(__xludf.DUMMYFUNCTION("IFERROR(sum(filter('Основной эфир'!$Q:$Q, 'Основной эфир'!$B:$B=$A656,'Основной эфир'!$C:$C=$B656,'Основной эфир'!$I:$I=$C656)), 0) "),0.0)</f>
        <v>0</v>
      </c>
      <c r="H656" s="91">
        <f>IFERROR(__xludf.DUMMYFUNCTION("IFERROR(AVERAGE(filter('Основной эфир'!$Y:$Y, 'Основной эфир'!$B:$B=$A656,'Основной эфир'!$C:$C=$B656,'Основной эфир'!$I:$I=$C656)), 0) "),0.0)</f>
        <v>0</v>
      </c>
      <c r="I656" s="91">
        <f>IFERROR(__xludf.DUMMYFUNCTION("IFERROR(AVERAGE(filter('Основной эфир'!$AE:$AE, 'Основной эфир'!$B:$B=$A656,'Основной эфир'!$C:$C=$B656,'Основной эфир'!$I:$I=$C656)), 0) "),0.0)</f>
        <v>0</v>
      </c>
      <c r="J656" s="91">
        <f>IFERROR(__xludf.DUMMYFUNCTION("IFERROR(SUM(filter('Основной эфир'!$AL:$AL, 'Основной эфир'!$B:$B=$A656,'Основной эфир'!$C:$C=$B656,'Основной эфир'!$I:$I=$C656)), 0) "),0.0)</f>
        <v>0</v>
      </c>
      <c r="K656" s="91" t="str">
        <f>IFERROR(__xludf.DUMMYFUNCTION("IFERROR(REGEXREPLACE(unique(filter('Основной эфир'!$A:$A, 'Основной эфир'!$B:$B=$A656,'Основной эфир'!$C:$C=$B656,'Основной эфир'!$I:$I=$C656)), ""\d+"", """"),"""")"),"")</f>
        <v/>
      </c>
      <c r="L656" s="91" t="str">
        <f>IFERROR(__xludf.DUMMYFUNCTION("IFERROR(unique(filter('Основной эфир'!$F:$F, 'Основной эфир'!$B:$B=$A656,'Основной эфир'!$C:$C=$B656,'Основной эфир'!$I:$I=$C656)),"""")"),"")</f>
        <v/>
      </c>
      <c r="M656" s="92" t="str">
        <f t="shared" si="1"/>
        <v/>
      </c>
      <c r="N656" s="93">
        <f>IFERROR(__xludf.DUMMYFUNCTION("IFERROR(SWITCH(lower(join("" "",L656:M656)),""а миллионник"", 62.5,""б миллионник"", 75,""а мск"", 50, ""б мск"", 62.5, ""a остальное"", 70, ""б остальное"", 80)/100,0)"),0.0)</f>
        <v>0</v>
      </c>
      <c r="O656" s="91">
        <f t="shared" si="2"/>
        <v>0</v>
      </c>
      <c r="P656" s="91">
        <f>IFERROR(__xludf.DUMMYFUNCTION("IFERROR(sum(filter('Генеральный баннер'!$O:$O, 'Генеральный баннер'!$B:$B=$A656,'Генеральный баннер'!$C:$C=$B656,'Генеральный баннер'!$I:$I=$C656)), 0) "),0.0)</f>
        <v>0</v>
      </c>
      <c r="Q656" s="91">
        <f>IFERROR(__xludf.DUMMYFUNCTION("IFERROR(sum(filter('Генеральный баннер'!$Q:$Q, 'Генеральный баннер'!$B:$B=$A656,'Генеральный баннер'!$C:$C=$B656,'Генеральный баннер'!$I:$I=$C656)), 0) "),0.0)</f>
        <v>0</v>
      </c>
      <c r="R656" s="91">
        <f>IFERROR(__xludf.DUMMYFUNCTION("IFERROR(AVERAGE(filter('Генеральный баннер'!$AA:$AA, 'Генеральный баннер'!$B:$B=$A656,'Генеральный баннер'!$C:$C=$B656,'Генеральный баннер'!$I:$I=$C656)), 0) "),0.0)</f>
        <v>0</v>
      </c>
      <c r="S656" s="91">
        <f>IFERROR(__xludf.DUMMYFUNCTION("IFERROR(SUM(filter('Генеральный баннер'!$AH:$AH, 'Генеральный баннер'!$B:$B=$A656,'Генеральный баннер'!$C:$C=$B656,'Генеральный баннер'!$I:$I=$C656)), 0) "),0.0)</f>
        <v>0</v>
      </c>
      <c r="T656" s="91" t="str">
        <f>IFERROR(__xludf.DUMMYFUNCTION("IFERROR(REGEXREPLACE(unique(filter('Генеральный баннер'!$A:$A, 'Генеральный баннер'!$B:$B=$A656,'Генеральный баннер'!$C:$C=$B656,'Генеральный баннер'!$I:$I=$C656)), ""\d+"", """"),"""")"),"")</f>
        <v/>
      </c>
      <c r="U656" s="91" t="str">
        <f>IFERROR(__xludf.DUMMYFUNCTION("IFERROR(unique(filter('Генеральный баннер'!$F:$F, 'Генеральный баннер'!$B:$B=$A656,'Генеральный баннер'!$C:$C=$B656,'Генеральный баннер'!$I:$I=$C656)),"""")"),"")</f>
        <v/>
      </c>
      <c r="V656" s="92" t="str">
        <f t="shared" si="3"/>
        <v/>
      </c>
      <c r="W656" s="93">
        <f>IFERROR(__xludf.DUMMYFUNCTION("IFERROR(SWITCH(lower(join("" "",U656:V656)),""а миллионник"", 62.5,""б миллионник"", 75,""а мск"", 50, ""б мск"", 62.5, ""a остальное"", 70, ""б остальное"", 80)/100,0)"),0.0)</f>
        <v>0</v>
      </c>
      <c r="X656" s="91">
        <f t="shared" si="4"/>
        <v>0</v>
      </c>
    </row>
    <row r="657">
      <c r="A657" s="12"/>
      <c r="B657" s="12"/>
      <c r="C657" s="12"/>
      <c r="D657" s="91">
        <f>IFERROR(__xludf.DUMMYFUNCTION("IFERROR(sum(filter('Основной эфир'!$AA:$AA, 'Основной эфир'!$B:$B=$A657,'Основной эфир'!$C:$C=$B657,'Основной эфир'!$I:$I=$C657)), 0) "),0.0)</f>
        <v>0</v>
      </c>
      <c r="E657" s="91">
        <f>IFERROR(__xludf.DUMMYFUNCTION("IFERROR(sum(filter('Основной эфир'!$AC:$AC, 'Основной эфир'!$B:$B=$A657,'Основной эфир'!$C:$C=$B657,'Основной эфир'!$I:$I=$C657)), 0) "),0.0)</f>
        <v>0</v>
      </c>
      <c r="F657" s="91">
        <f>IFERROR(__xludf.DUMMYFUNCTION("IFERROR(sum(filter('Основной эфир'!$O:$O, 'Основной эфир'!$B:$B=$A657,'Основной эфир'!$C:$C=$B657,'Основной эфир'!$I:$I=$C657)), 0) "),0.0)</f>
        <v>0</v>
      </c>
      <c r="G657" s="91">
        <f>IFERROR(__xludf.DUMMYFUNCTION("IFERROR(sum(filter('Основной эфир'!$Q:$Q, 'Основной эфир'!$B:$B=$A657,'Основной эфир'!$C:$C=$B657,'Основной эфир'!$I:$I=$C657)), 0) "),0.0)</f>
        <v>0</v>
      </c>
      <c r="H657" s="91">
        <f>IFERROR(__xludf.DUMMYFUNCTION("IFERROR(AVERAGE(filter('Основной эфир'!$Y:$Y, 'Основной эфир'!$B:$B=$A657,'Основной эфир'!$C:$C=$B657,'Основной эфир'!$I:$I=$C657)), 0) "),0.0)</f>
        <v>0</v>
      </c>
      <c r="I657" s="91">
        <f>IFERROR(__xludf.DUMMYFUNCTION("IFERROR(AVERAGE(filter('Основной эфир'!$AE:$AE, 'Основной эфир'!$B:$B=$A657,'Основной эфир'!$C:$C=$B657,'Основной эфир'!$I:$I=$C657)), 0) "),0.0)</f>
        <v>0</v>
      </c>
      <c r="J657" s="91">
        <f>IFERROR(__xludf.DUMMYFUNCTION("IFERROR(SUM(filter('Основной эфир'!$AL:$AL, 'Основной эфир'!$B:$B=$A657,'Основной эфир'!$C:$C=$B657,'Основной эфир'!$I:$I=$C657)), 0) "),0.0)</f>
        <v>0</v>
      </c>
      <c r="K657" s="91" t="str">
        <f>IFERROR(__xludf.DUMMYFUNCTION("IFERROR(REGEXREPLACE(unique(filter('Основной эфир'!$A:$A, 'Основной эфир'!$B:$B=$A657,'Основной эфир'!$C:$C=$B657,'Основной эфир'!$I:$I=$C657)), ""\d+"", """"),"""")"),"")</f>
        <v/>
      </c>
      <c r="L657" s="91" t="str">
        <f>IFERROR(__xludf.DUMMYFUNCTION("IFERROR(unique(filter('Основной эфир'!$F:$F, 'Основной эфир'!$B:$B=$A657,'Основной эфир'!$C:$C=$B657,'Основной эфир'!$I:$I=$C657)),"""")"),"")</f>
        <v/>
      </c>
      <c r="M657" s="92" t="str">
        <f t="shared" si="1"/>
        <v/>
      </c>
      <c r="N657" s="93">
        <f>IFERROR(__xludf.DUMMYFUNCTION("IFERROR(SWITCH(lower(join("" "",L657:M657)),""а миллионник"", 62.5,""б миллионник"", 75,""а мск"", 50, ""б мск"", 62.5, ""a остальное"", 70, ""б остальное"", 80)/100,0)"),0.0)</f>
        <v>0</v>
      </c>
      <c r="O657" s="91">
        <f t="shared" si="2"/>
        <v>0</v>
      </c>
      <c r="P657" s="91">
        <f>IFERROR(__xludf.DUMMYFUNCTION("IFERROR(sum(filter('Генеральный баннер'!$O:$O, 'Генеральный баннер'!$B:$B=$A657,'Генеральный баннер'!$C:$C=$B657,'Генеральный баннер'!$I:$I=$C657)), 0) "),0.0)</f>
        <v>0</v>
      </c>
      <c r="Q657" s="91">
        <f>IFERROR(__xludf.DUMMYFUNCTION("IFERROR(sum(filter('Генеральный баннер'!$Q:$Q, 'Генеральный баннер'!$B:$B=$A657,'Генеральный баннер'!$C:$C=$B657,'Генеральный баннер'!$I:$I=$C657)), 0) "),0.0)</f>
        <v>0</v>
      </c>
      <c r="R657" s="91">
        <f>IFERROR(__xludf.DUMMYFUNCTION("IFERROR(AVERAGE(filter('Генеральный баннер'!$AA:$AA, 'Генеральный баннер'!$B:$B=$A657,'Генеральный баннер'!$C:$C=$B657,'Генеральный баннер'!$I:$I=$C657)), 0) "),0.0)</f>
        <v>0</v>
      </c>
      <c r="S657" s="91">
        <f>IFERROR(__xludf.DUMMYFUNCTION("IFERROR(SUM(filter('Генеральный баннер'!$AH:$AH, 'Генеральный баннер'!$B:$B=$A657,'Генеральный баннер'!$C:$C=$B657,'Генеральный баннер'!$I:$I=$C657)), 0) "),0.0)</f>
        <v>0</v>
      </c>
      <c r="T657" s="91" t="str">
        <f>IFERROR(__xludf.DUMMYFUNCTION("IFERROR(REGEXREPLACE(unique(filter('Генеральный баннер'!$A:$A, 'Генеральный баннер'!$B:$B=$A657,'Генеральный баннер'!$C:$C=$B657,'Генеральный баннер'!$I:$I=$C657)), ""\d+"", """"),"""")"),"")</f>
        <v/>
      </c>
      <c r="U657" s="91" t="str">
        <f>IFERROR(__xludf.DUMMYFUNCTION("IFERROR(unique(filter('Генеральный баннер'!$F:$F, 'Генеральный баннер'!$B:$B=$A657,'Генеральный баннер'!$C:$C=$B657,'Генеральный баннер'!$I:$I=$C657)),"""")"),"")</f>
        <v/>
      </c>
      <c r="V657" s="92" t="str">
        <f t="shared" si="3"/>
        <v/>
      </c>
      <c r="W657" s="93">
        <f>IFERROR(__xludf.DUMMYFUNCTION("IFERROR(SWITCH(lower(join("" "",U657:V657)),""а миллионник"", 62.5,""б миллионник"", 75,""а мск"", 50, ""б мск"", 62.5, ""a остальное"", 70, ""б остальное"", 80)/100,0)"),0.0)</f>
        <v>0</v>
      </c>
      <c r="X657" s="91">
        <f t="shared" si="4"/>
        <v>0</v>
      </c>
    </row>
    <row r="658">
      <c r="A658" s="12"/>
      <c r="B658" s="12"/>
      <c r="C658" s="12"/>
      <c r="D658" s="91">
        <f>IFERROR(__xludf.DUMMYFUNCTION("IFERROR(sum(filter('Основной эфир'!$AA:$AA, 'Основной эфир'!$B:$B=$A658,'Основной эфир'!$C:$C=$B658,'Основной эфир'!$I:$I=$C658)), 0) "),0.0)</f>
        <v>0</v>
      </c>
      <c r="E658" s="91">
        <f>IFERROR(__xludf.DUMMYFUNCTION("IFERROR(sum(filter('Основной эфир'!$AC:$AC, 'Основной эфир'!$B:$B=$A658,'Основной эфир'!$C:$C=$B658,'Основной эфир'!$I:$I=$C658)), 0) "),0.0)</f>
        <v>0</v>
      </c>
      <c r="F658" s="91">
        <f>IFERROR(__xludf.DUMMYFUNCTION("IFERROR(sum(filter('Основной эфир'!$O:$O, 'Основной эфир'!$B:$B=$A658,'Основной эфир'!$C:$C=$B658,'Основной эфир'!$I:$I=$C658)), 0) "),0.0)</f>
        <v>0</v>
      </c>
      <c r="G658" s="91">
        <f>IFERROR(__xludf.DUMMYFUNCTION("IFERROR(sum(filter('Основной эфир'!$Q:$Q, 'Основной эфир'!$B:$B=$A658,'Основной эфир'!$C:$C=$B658,'Основной эфир'!$I:$I=$C658)), 0) "),0.0)</f>
        <v>0</v>
      </c>
      <c r="H658" s="91">
        <f>IFERROR(__xludf.DUMMYFUNCTION("IFERROR(AVERAGE(filter('Основной эфир'!$Y:$Y, 'Основной эфир'!$B:$B=$A658,'Основной эфир'!$C:$C=$B658,'Основной эфир'!$I:$I=$C658)), 0) "),0.0)</f>
        <v>0</v>
      </c>
      <c r="I658" s="91">
        <f>IFERROR(__xludf.DUMMYFUNCTION("IFERROR(AVERAGE(filter('Основной эфир'!$AE:$AE, 'Основной эфир'!$B:$B=$A658,'Основной эфир'!$C:$C=$B658,'Основной эфир'!$I:$I=$C658)), 0) "),0.0)</f>
        <v>0</v>
      </c>
      <c r="J658" s="91">
        <f>IFERROR(__xludf.DUMMYFUNCTION("IFERROR(SUM(filter('Основной эфир'!$AL:$AL, 'Основной эфир'!$B:$B=$A658,'Основной эфир'!$C:$C=$B658,'Основной эфир'!$I:$I=$C658)), 0) "),0.0)</f>
        <v>0</v>
      </c>
      <c r="K658" s="91" t="str">
        <f>IFERROR(__xludf.DUMMYFUNCTION("IFERROR(REGEXREPLACE(unique(filter('Основной эфир'!$A:$A, 'Основной эфир'!$B:$B=$A658,'Основной эфир'!$C:$C=$B658,'Основной эфир'!$I:$I=$C658)), ""\d+"", """"),"""")"),"")</f>
        <v/>
      </c>
      <c r="L658" s="91" t="str">
        <f>IFERROR(__xludf.DUMMYFUNCTION("IFERROR(unique(filter('Основной эфир'!$F:$F, 'Основной эфир'!$B:$B=$A658,'Основной эфир'!$C:$C=$B658,'Основной эфир'!$I:$I=$C658)),"""")"),"")</f>
        <v/>
      </c>
      <c r="M658" s="92" t="str">
        <f t="shared" si="1"/>
        <v/>
      </c>
      <c r="N658" s="93">
        <f>IFERROR(__xludf.DUMMYFUNCTION("IFERROR(SWITCH(lower(join("" "",L658:M658)),""а миллионник"", 62.5,""б миллионник"", 75,""а мск"", 50, ""б мск"", 62.5, ""a остальное"", 70, ""б остальное"", 80)/100,0)"),0.0)</f>
        <v>0</v>
      </c>
      <c r="O658" s="91">
        <f t="shared" si="2"/>
        <v>0</v>
      </c>
      <c r="P658" s="91">
        <f>IFERROR(__xludf.DUMMYFUNCTION("IFERROR(sum(filter('Генеральный баннер'!$O:$O, 'Генеральный баннер'!$B:$B=$A658,'Генеральный баннер'!$C:$C=$B658,'Генеральный баннер'!$I:$I=$C658)), 0) "),0.0)</f>
        <v>0</v>
      </c>
      <c r="Q658" s="91">
        <f>IFERROR(__xludf.DUMMYFUNCTION("IFERROR(sum(filter('Генеральный баннер'!$Q:$Q, 'Генеральный баннер'!$B:$B=$A658,'Генеральный баннер'!$C:$C=$B658,'Генеральный баннер'!$I:$I=$C658)), 0) "),0.0)</f>
        <v>0</v>
      </c>
      <c r="R658" s="91">
        <f>IFERROR(__xludf.DUMMYFUNCTION("IFERROR(AVERAGE(filter('Генеральный баннер'!$AA:$AA, 'Генеральный баннер'!$B:$B=$A658,'Генеральный баннер'!$C:$C=$B658,'Генеральный баннер'!$I:$I=$C658)), 0) "),0.0)</f>
        <v>0</v>
      </c>
      <c r="S658" s="91">
        <f>IFERROR(__xludf.DUMMYFUNCTION("IFERROR(SUM(filter('Генеральный баннер'!$AH:$AH, 'Генеральный баннер'!$B:$B=$A658,'Генеральный баннер'!$C:$C=$B658,'Генеральный баннер'!$I:$I=$C658)), 0) "),0.0)</f>
        <v>0</v>
      </c>
      <c r="T658" s="91" t="str">
        <f>IFERROR(__xludf.DUMMYFUNCTION("IFERROR(REGEXREPLACE(unique(filter('Генеральный баннер'!$A:$A, 'Генеральный баннер'!$B:$B=$A658,'Генеральный баннер'!$C:$C=$B658,'Генеральный баннер'!$I:$I=$C658)), ""\d+"", """"),"""")"),"")</f>
        <v/>
      </c>
      <c r="U658" s="91" t="str">
        <f>IFERROR(__xludf.DUMMYFUNCTION("IFERROR(unique(filter('Генеральный баннер'!$F:$F, 'Генеральный баннер'!$B:$B=$A658,'Генеральный баннер'!$C:$C=$B658,'Генеральный баннер'!$I:$I=$C658)),"""")"),"")</f>
        <v/>
      </c>
      <c r="V658" s="92" t="str">
        <f t="shared" si="3"/>
        <v/>
      </c>
      <c r="W658" s="93">
        <f>IFERROR(__xludf.DUMMYFUNCTION("IFERROR(SWITCH(lower(join("" "",U658:V658)),""а миллионник"", 62.5,""б миллионник"", 75,""а мск"", 50, ""б мск"", 62.5, ""a остальное"", 70, ""б остальное"", 80)/100,0)"),0.0)</f>
        <v>0</v>
      </c>
      <c r="X658" s="91">
        <f t="shared" si="4"/>
        <v>0</v>
      </c>
    </row>
    <row r="659">
      <c r="A659" s="12"/>
      <c r="B659" s="12"/>
      <c r="C659" s="12"/>
      <c r="D659" s="91">
        <f>IFERROR(__xludf.DUMMYFUNCTION("IFERROR(sum(filter('Основной эфир'!$AA:$AA, 'Основной эфир'!$B:$B=$A659,'Основной эфир'!$C:$C=$B659,'Основной эфир'!$I:$I=$C659)), 0) "),0.0)</f>
        <v>0</v>
      </c>
      <c r="E659" s="91">
        <f>IFERROR(__xludf.DUMMYFUNCTION("IFERROR(sum(filter('Основной эфир'!$AC:$AC, 'Основной эфир'!$B:$B=$A659,'Основной эфир'!$C:$C=$B659,'Основной эфир'!$I:$I=$C659)), 0) "),0.0)</f>
        <v>0</v>
      </c>
      <c r="F659" s="91">
        <f>IFERROR(__xludf.DUMMYFUNCTION("IFERROR(sum(filter('Основной эфир'!$O:$O, 'Основной эфир'!$B:$B=$A659,'Основной эфир'!$C:$C=$B659,'Основной эфир'!$I:$I=$C659)), 0) "),0.0)</f>
        <v>0</v>
      </c>
      <c r="G659" s="91">
        <f>IFERROR(__xludf.DUMMYFUNCTION("IFERROR(sum(filter('Основной эфир'!$Q:$Q, 'Основной эфир'!$B:$B=$A659,'Основной эфир'!$C:$C=$B659,'Основной эфир'!$I:$I=$C659)), 0) "),0.0)</f>
        <v>0</v>
      </c>
      <c r="H659" s="91">
        <f>IFERROR(__xludf.DUMMYFUNCTION("IFERROR(AVERAGE(filter('Основной эфир'!$Y:$Y, 'Основной эфир'!$B:$B=$A659,'Основной эфир'!$C:$C=$B659,'Основной эфир'!$I:$I=$C659)), 0) "),0.0)</f>
        <v>0</v>
      </c>
      <c r="I659" s="91">
        <f>IFERROR(__xludf.DUMMYFUNCTION("IFERROR(AVERAGE(filter('Основной эфир'!$AE:$AE, 'Основной эфир'!$B:$B=$A659,'Основной эфир'!$C:$C=$B659,'Основной эфир'!$I:$I=$C659)), 0) "),0.0)</f>
        <v>0</v>
      </c>
      <c r="J659" s="91">
        <f>IFERROR(__xludf.DUMMYFUNCTION("IFERROR(SUM(filter('Основной эфир'!$AL:$AL, 'Основной эфир'!$B:$B=$A659,'Основной эфир'!$C:$C=$B659,'Основной эфир'!$I:$I=$C659)), 0) "),0.0)</f>
        <v>0</v>
      </c>
      <c r="K659" s="91" t="str">
        <f>IFERROR(__xludf.DUMMYFUNCTION("IFERROR(REGEXREPLACE(unique(filter('Основной эфир'!$A:$A, 'Основной эфир'!$B:$B=$A659,'Основной эфир'!$C:$C=$B659,'Основной эфир'!$I:$I=$C659)), ""\d+"", """"),"""")"),"")</f>
        <v/>
      </c>
      <c r="L659" s="91" t="str">
        <f>IFERROR(__xludf.DUMMYFUNCTION("IFERROR(unique(filter('Основной эфир'!$F:$F, 'Основной эфир'!$B:$B=$A659,'Основной эфир'!$C:$C=$B659,'Основной эфир'!$I:$I=$C659)),"""")"),"")</f>
        <v/>
      </c>
      <c r="M659" s="92" t="str">
        <f t="shared" si="1"/>
        <v/>
      </c>
      <c r="N659" s="93">
        <f>IFERROR(__xludf.DUMMYFUNCTION("IFERROR(SWITCH(lower(join("" "",L659:M659)),""а миллионник"", 62.5,""б миллионник"", 75,""а мск"", 50, ""б мск"", 62.5, ""a остальное"", 70, ""б остальное"", 80)/100,0)"),0.0)</f>
        <v>0</v>
      </c>
      <c r="O659" s="91">
        <f t="shared" si="2"/>
        <v>0</v>
      </c>
      <c r="P659" s="91">
        <f>IFERROR(__xludf.DUMMYFUNCTION("IFERROR(sum(filter('Генеральный баннер'!$O:$O, 'Генеральный баннер'!$B:$B=$A659,'Генеральный баннер'!$C:$C=$B659,'Генеральный баннер'!$I:$I=$C659)), 0) "),0.0)</f>
        <v>0</v>
      </c>
      <c r="Q659" s="91">
        <f>IFERROR(__xludf.DUMMYFUNCTION("IFERROR(sum(filter('Генеральный баннер'!$Q:$Q, 'Генеральный баннер'!$B:$B=$A659,'Генеральный баннер'!$C:$C=$B659,'Генеральный баннер'!$I:$I=$C659)), 0) "),0.0)</f>
        <v>0</v>
      </c>
      <c r="R659" s="91">
        <f>IFERROR(__xludf.DUMMYFUNCTION("IFERROR(AVERAGE(filter('Генеральный баннер'!$AA:$AA, 'Генеральный баннер'!$B:$B=$A659,'Генеральный баннер'!$C:$C=$B659,'Генеральный баннер'!$I:$I=$C659)), 0) "),0.0)</f>
        <v>0</v>
      </c>
      <c r="S659" s="91">
        <f>IFERROR(__xludf.DUMMYFUNCTION("IFERROR(SUM(filter('Генеральный баннер'!$AH:$AH, 'Генеральный баннер'!$B:$B=$A659,'Генеральный баннер'!$C:$C=$B659,'Генеральный баннер'!$I:$I=$C659)), 0) "),0.0)</f>
        <v>0</v>
      </c>
      <c r="T659" s="91" t="str">
        <f>IFERROR(__xludf.DUMMYFUNCTION("IFERROR(REGEXREPLACE(unique(filter('Генеральный баннер'!$A:$A, 'Генеральный баннер'!$B:$B=$A659,'Генеральный баннер'!$C:$C=$B659,'Генеральный баннер'!$I:$I=$C659)), ""\d+"", """"),"""")"),"")</f>
        <v/>
      </c>
      <c r="U659" s="91" t="str">
        <f>IFERROR(__xludf.DUMMYFUNCTION("IFERROR(unique(filter('Генеральный баннер'!$F:$F, 'Генеральный баннер'!$B:$B=$A659,'Генеральный баннер'!$C:$C=$B659,'Генеральный баннер'!$I:$I=$C659)),"""")"),"")</f>
        <v/>
      </c>
      <c r="V659" s="92" t="str">
        <f t="shared" si="3"/>
        <v/>
      </c>
      <c r="W659" s="93">
        <f>IFERROR(__xludf.DUMMYFUNCTION("IFERROR(SWITCH(lower(join("" "",U659:V659)),""а миллионник"", 62.5,""б миллионник"", 75,""а мск"", 50, ""б мск"", 62.5, ""a остальное"", 70, ""б остальное"", 80)/100,0)"),0.0)</f>
        <v>0</v>
      </c>
      <c r="X659" s="91">
        <f t="shared" si="4"/>
        <v>0</v>
      </c>
    </row>
    <row r="660">
      <c r="A660" s="12"/>
      <c r="B660" s="12"/>
      <c r="C660" s="12"/>
      <c r="D660" s="91">
        <f>IFERROR(__xludf.DUMMYFUNCTION("IFERROR(sum(filter('Основной эфир'!$AA:$AA, 'Основной эфир'!$B:$B=$A660,'Основной эфир'!$C:$C=$B660,'Основной эфир'!$I:$I=$C660)), 0) "),0.0)</f>
        <v>0</v>
      </c>
      <c r="E660" s="91">
        <f>IFERROR(__xludf.DUMMYFUNCTION("IFERROR(sum(filter('Основной эфир'!$AC:$AC, 'Основной эфир'!$B:$B=$A660,'Основной эфир'!$C:$C=$B660,'Основной эфир'!$I:$I=$C660)), 0) "),0.0)</f>
        <v>0</v>
      </c>
      <c r="F660" s="91">
        <f>IFERROR(__xludf.DUMMYFUNCTION("IFERROR(sum(filter('Основной эфир'!$O:$O, 'Основной эфир'!$B:$B=$A660,'Основной эфир'!$C:$C=$B660,'Основной эфир'!$I:$I=$C660)), 0) "),0.0)</f>
        <v>0</v>
      </c>
      <c r="G660" s="91">
        <f>IFERROR(__xludf.DUMMYFUNCTION("IFERROR(sum(filter('Основной эфир'!$Q:$Q, 'Основной эфир'!$B:$B=$A660,'Основной эфир'!$C:$C=$B660,'Основной эфир'!$I:$I=$C660)), 0) "),0.0)</f>
        <v>0</v>
      </c>
      <c r="H660" s="91">
        <f>IFERROR(__xludf.DUMMYFUNCTION("IFERROR(AVERAGE(filter('Основной эфир'!$Y:$Y, 'Основной эфир'!$B:$B=$A660,'Основной эфир'!$C:$C=$B660,'Основной эфир'!$I:$I=$C660)), 0) "),0.0)</f>
        <v>0</v>
      </c>
      <c r="I660" s="91">
        <f>IFERROR(__xludf.DUMMYFUNCTION("IFERROR(AVERAGE(filter('Основной эфир'!$AE:$AE, 'Основной эфир'!$B:$B=$A660,'Основной эфир'!$C:$C=$B660,'Основной эфир'!$I:$I=$C660)), 0) "),0.0)</f>
        <v>0</v>
      </c>
      <c r="J660" s="91">
        <f>IFERROR(__xludf.DUMMYFUNCTION("IFERROR(SUM(filter('Основной эфир'!$AL:$AL, 'Основной эфир'!$B:$B=$A660,'Основной эфир'!$C:$C=$B660,'Основной эфир'!$I:$I=$C660)), 0) "),0.0)</f>
        <v>0</v>
      </c>
      <c r="K660" s="91" t="str">
        <f>IFERROR(__xludf.DUMMYFUNCTION("IFERROR(REGEXREPLACE(unique(filter('Основной эфир'!$A:$A, 'Основной эфир'!$B:$B=$A660,'Основной эфир'!$C:$C=$B660,'Основной эфир'!$I:$I=$C660)), ""\d+"", """"),"""")"),"")</f>
        <v/>
      </c>
      <c r="L660" s="91" t="str">
        <f>IFERROR(__xludf.DUMMYFUNCTION("IFERROR(unique(filter('Основной эфир'!$F:$F, 'Основной эфир'!$B:$B=$A660,'Основной эфир'!$C:$C=$B660,'Основной эфир'!$I:$I=$C660)),"""")"),"")</f>
        <v/>
      </c>
      <c r="M660" s="92" t="str">
        <f t="shared" si="1"/>
        <v/>
      </c>
      <c r="N660" s="93">
        <f>IFERROR(__xludf.DUMMYFUNCTION("IFERROR(SWITCH(lower(join("" "",L660:M660)),""а миллионник"", 62.5,""б миллионник"", 75,""а мск"", 50, ""б мск"", 62.5, ""a остальное"", 70, ""б остальное"", 80)/100,0)"),0.0)</f>
        <v>0</v>
      </c>
      <c r="O660" s="91">
        <f t="shared" si="2"/>
        <v>0</v>
      </c>
      <c r="P660" s="91">
        <f>IFERROR(__xludf.DUMMYFUNCTION("IFERROR(sum(filter('Генеральный баннер'!$O:$O, 'Генеральный баннер'!$B:$B=$A660,'Генеральный баннер'!$C:$C=$B660,'Генеральный баннер'!$I:$I=$C660)), 0) "),0.0)</f>
        <v>0</v>
      </c>
      <c r="Q660" s="91">
        <f>IFERROR(__xludf.DUMMYFUNCTION("IFERROR(sum(filter('Генеральный баннер'!$Q:$Q, 'Генеральный баннер'!$B:$B=$A660,'Генеральный баннер'!$C:$C=$B660,'Генеральный баннер'!$I:$I=$C660)), 0) "),0.0)</f>
        <v>0</v>
      </c>
      <c r="R660" s="91">
        <f>IFERROR(__xludf.DUMMYFUNCTION("IFERROR(AVERAGE(filter('Генеральный баннер'!$AA:$AA, 'Генеральный баннер'!$B:$B=$A660,'Генеральный баннер'!$C:$C=$B660,'Генеральный баннер'!$I:$I=$C660)), 0) "),0.0)</f>
        <v>0</v>
      </c>
      <c r="S660" s="91">
        <f>IFERROR(__xludf.DUMMYFUNCTION("IFERROR(SUM(filter('Генеральный баннер'!$AH:$AH, 'Генеральный баннер'!$B:$B=$A660,'Генеральный баннер'!$C:$C=$B660,'Генеральный баннер'!$I:$I=$C660)), 0) "),0.0)</f>
        <v>0</v>
      </c>
      <c r="T660" s="91" t="str">
        <f>IFERROR(__xludf.DUMMYFUNCTION("IFERROR(REGEXREPLACE(unique(filter('Генеральный баннер'!$A:$A, 'Генеральный баннер'!$B:$B=$A660,'Генеральный баннер'!$C:$C=$B660,'Генеральный баннер'!$I:$I=$C660)), ""\d+"", """"),"""")"),"")</f>
        <v/>
      </c>
      <c r="U660" s="91" t="str">
        <f>IFERROR(__xludf.DUMMYFUNCTION("IFERROR(unique(filter('Генеральный баннер'!$F:$F, 'Генеральный баннер'!$B:$B=$A660,'Генеральный баннер'!$C:$C=$B660,'Генеральный баннер'!$I:$I=$C660)),"""")"),"")</f>
        <v/>
      </c>
      <c r="V660" s="92" t="str">
        <f t="shared" si="3"/>
        <v/>
      </c>
      <c r="W660" s="93">
        <f>IFERROR(__xludf.DUMMYFUNCTION("IFERROR(SWITCH(lower(join("" "",U660:V660)),""а миллионник"", 62.5,""б миллионник"", 75,""а мск"", 50, ""б мск"", 62.5, ""a остальное"", 70, ""б остальное"", 80)/100,0)"),0.0)</f>
        <v>0</v>
      </c>
      <c r="X660" s="91">
        <f t="shared" si="4"/>
        <v>0</v>
      </c>
    </row>
    <row r="661">
      <c r="A661" s="12"/>
      <c r="B661" s="12"/>
      <c r="C661" s="12"/>
      <c r="D661" s="91">
        <f>IFERROR(__xludf.DUMMYFUNCTION("IFERROR(sum(filter('Основной эфир'!$AA:$AA, 'Основной эфир'!$B:$B=$A661,'Основной эфир'!$C:$C=$B661,'Основной эфир'!$I:$I=$C661)), 0) "),0.0)</f>
        <v>0</v>
      </c>
      <c r="E661" s="91">
        <f>IFERROR(__xludf.DUMMYFUNCTION("IFERROR(sum(filter('Основной эфир'!$AC:$AC, 'Основной эфир'!$B:$B=$A661,'Основной эфир'!$C:$C=$B661,'Основной эфир'!$I:$I=$C661)), 0) "),0.0)</f>
        <v>0</v>
      </c>
      <c r="F661" s="91">
        <f>IFERROR(__xludf.DUMMYFUNCTION("IFERROR(sum(filter('Основной эфир'!$O:$O, 'Основной эфир'!$B:$B=$A661,'Основной эфир'!$C:$C=$B661,'Основной эфир'!$I:$I=$C661)), 0) "),0.0)</f>
        <v>0</v>
      </c>
      <c r="G661" s="91">
        <f>IFERROR(__xludf.DUMMYFUNCTION("IFERROR(sum(filter('Основной эфир'!$Q:$Q, 'Основной эфир'!$B:$B=$A661,'Основной эфир'!$C:$C=$B661,'Основной эфир'!$I:$I=$C661)), 0) "),0.0)</f>
        <v>0</v>
      </c>
      <c r="H661" s="91">
        <f>IFERROR(__xludf.DUMMYFUNCTION("IFERROR(AVERAGE(filter('Основной эфир'!$Y:$Y, 'Основной эфир'!$B:$B=$A661,'Основной эфир'!$C:$C=$B661,'Основной эфир'!$I:$I=$C661)), 0) "),0.0)</f>
        <v>0</v>
      </c>
      <c r="I661" s="91">
        <f>IFERROR(__xludf.DUMMYFUNCTION("IFERROR(AVERAGE(filter('Основной эфир'!$AE:$AE, 'Основной эфир'!$B:$B=$A661,'Основной эфир'!$C:$C=$B661,'Основной эфир'!$I:$I=$C661)), 0) "),0.0)</f>
        <v>0</v>
      </c>
      <c r="J661" s="91">
        <f>IFERROR(__xludf.DUMMYFUNCTION("IFERROR(SUM(filter('Основной эфир'!$AL:$AL, 'Основной эфир'!$B:$B=$A661,'Основной эфир'!$C:$C=$B661,'Основной эфир'!$I:$I=$C661)), 0) "),0.0)</f>
        <v>0</v>
      </c>
      <c r="K661" s="91" t="str">
        <f>IFERROR(__xludf.DUMMYFUNCTION("IFERROR(REGEXREPLACE(unique(filter('Основной эфир'!$A:$A, 'Основной эфир'!$B:$B=$A661,'Основной эфир'!$C:$C=$B661,'Основной эфир'!$I:$I=$C661)), ""\d+"", """"),"""")"),"")</f>
        <v/>
      </c>
      <c r="L661" s="91" t="str">
        <f>IFERROR(__xludf.DUMMYFUNCTION("IFERROR(unique(filter('Основной эфир'!$F:$F, 'Основной эфир'!$B:$B=$A661,'Основной эфир'!$C:$C=$B661,'Основной эфир'!$I:$I=$C661)),"""")"),"")</f>
        <v/>
      </c>
      <c r="M661" s="92" t="str">
        <f t="shared" si="1"/>
        <v/>
      </c>
      <c r="N661" s="93">
        <f>IFERROR(__xludf.DUMMYFUNCTION("IFERROR(SWITCH(lower(join("" "",L661:M661)),""а миллионник"", 62.5,""б миллионник"", 75,""а мск"", 50, ""б мск"", 62.5, ""a остальное"", 70, ""б остальное"", 80)/100,0)"),0.0)</f>
        <v>0</v>
      </c>
      <c r="O661" s="91">
        <f t="shared" si="2"/>
        <v>0</v>
      </c>
      <c r="P661" s="91">
        <f>IFERROR(__xludf.DUMMYFUNCTION("IFERROR(sum(filter('Генеральный баннер'!$O:$O, 'Генеральный баннер'!$B:$B=$A661,'Генеральный баннер'!$C:$C=$B661,'Генеральный баннер'!$I:$I=$C661)), 0) "),0.0)</f>
        <v>0</v>
      </c>
      <c r="Q661" s="91">
        <f>IFERROR(__xludf.DUMMYFUNCTION("IFERROR(sum(filter('Генеральный баннер'!$Q:$Q, 'Генеральный баннер'!$B:$B=$A661,'Генеральный баннер'!$C:$C=$B661,'Генеральный баннер'!$I:$I=$C661)), 0) "),0.0)</f>
        <v>0</v>
      </c>
      <c r="R661" s="91">
        <f>IFERROR(__xludf.DUMMYFUNCTION("IFERROR(AVERAGE(filter('Генеральный баннер'!$AA:$AA, 'Генеральный баннер'!$B:$B=$A661,'Генеральный баннер'!$C:$C=$B661,'Генеральный баннер'!$I:$I=$C661)), 0) "),0.0)</f>
        <v>0</v>
      </c>
      <c r="S661" s="91">
        <f>IFERROR(__xludf.DUMMYFUNCTION("IFERROR(SUM(filter('Генеральный баннер'!$AH:$AH, 'Генеральный баннер'!$B:$B=$A661,'Генеральный баннер'!$C:$C=$B661,'Генеральный баннер'!$I:$I=$C661)), 0) "),0.0)</f>
        <v>0</v>
      </c>
      <c r="T661" s="91" t="str">
        <f>IFERROR(__xludf.DUMMYFUNCTION("IFERROR(REGEXREPLACE(unique(filter('Генеральный баннер'!$A:$A, 'Генеральный баннер'!$B:$B=$A661,'Генеральный баннер'!$C:$C=$B661,'Генеральный баннер'!$I:$I=$C661)), ""\d+"", """"),"""")"),"")</f>
        <v/>
      </c>
      <c r="U661" s="91" t="str">
        <f>IFERROR(__xludf.DUMMYFUNCTION("IFERROR(unique(filter('Генеральный баннер'!$F:$F, 'Генеральный баннер'!$B:$B=$A661,'Генеральный баннер'!$C:$C=$B661,'Генеральный баннер'!$I:$I=$C661)),"""")"),"")</f>
        <v/>
      </c>
      <c r="V661" s="92" t="str">
        <f t="shared" si="3"/>
        <v/>
      </c>
      <c r="W661" s="93">
        <f>IFERROR(__xludf.DUMMYFUNCTION("IFERROR(SWITCH(lower(join("" "",U661:V661)),""а миллионник"", 62.5,""б миллионник"", 75,""а мск"", 50, ""б мск"", 62.5, ""a остальное"", 70, ""б остальное"", 80)/100,0)"),0.0)</f>
        <v>0</v>
      </c>
      <c r="X661" s="91">
        <f t="shared" si="4"/>
        <v>0</v>
      </c>
    </row>
    <row r="662">
      <c r="A662" s="12"/>
      <c r="B662" s="12"/>
      <c r="C662" s="12"/>
      <c r="D662" s="91">
        <f>IFERROR(__xludf.DUMMYFUNCTION("IFERROR(sum(filter('Основной эфир'!$AA:$AA, 'Основной эфир'!$B:$B=$A662,'Основной эфир'!$C:$C=$B662,'Основной эфир'!$I:$I=$C662)), 0) "),0.0)</f>
        <v>0</v>
      </c>
      <c r="E662" s="91">
        <f>IFERROR(__xludf.DUMMYFUNCTION("IFERROR(sum(filter('Основной эфир'!$AC:$AC, 'Основной эфир'!$B:$B=$A662,'Основной эфир'!$C:$C=$B662,'Основной эфир'!$I:$I=$C662)), 0) "),0.0)</f>
        <v>0</v>
      </c>
      <c r="F662" s="91">
        <f>IFERROR(__xludf.DUMMYFUNCTION("IFERROR(sum(filter('Основной эфир'!$O:$O, 'Основной эфир'!$B:$B=$A662,'Основной эфир'!$C:$C=$B662,'Основной эфир'!$I:$I=$C662)), 0) "),0.0)</f>
        <v>0</v>
      </c>
      <c r="G662" s="91">
        <f>IFERROR(__xludf.DUMMYFUNCTION("IFERROR(sum(filter('Основной эфир'!$Q:$Q, 'Основной эфир'!$B:$B=$A662,'Основной эфир'!$C:$C=$B662,'Основной эфир'!$I:$I=$C662)), 0) "),0.0)</f>
        <v>0</v>
      </c>
      <c r="H662" s="91">
        <f>IFERROR(__xludf.DUMMYFUNCTION("IFERROR(AVERAGE(filter('Основной эфир'!$Y:$Y, 'Основной эфир'!$B:$B=$A662,'Основной эфир'!$C:$C=$B662,'Основной эфир'!$I:$I=$C662)), 0) "),0.0)</f>
        <v>0</v>
      </c>
      <c r="I662" s="91">
        <f>IFERROR(__xludf.DUMMYFUNCTION("IFERROR(AVERAGE(filter('Основной эфир'!$AE:$AE, 'Основной эфир'!$B:$B=$A662,'Основной эфир'!$C:$C=$B662,'Основной эфир'!$I:$I=$C662)), 0) "),0.0)</f>
        <v>0</v>
      </c>
      <c r="J662" s="91">
        <f>IFERROR(__xludf.DUMMYFUNCTION("IFERROR(SUM(filter('Основной эфир'!$AL:$AL, 'Основной эфир'!$B:$B=$A662,'Основной эфир'!$C:$C=$B662,'Основной эфир'!$I:$I=$C662)), 0) "),0.0)</f>
        <v>0</v>
      </c>
      <c r="K662" s="91" t="str">
        <f>IFERROR(__xludf.DUMMYFUNCTION("IFERROR(REGEXREPLACE(unique(filter('Основной эфир'!$A:$A, 'Основной эфир'!$B:$B=$A662,'Основной эфир'!$C:$C=$B662,'Основной эфир'!$I:$I=$C662)), ""\d+"", """"),"""")"),"")</f>
        <v/>
      </c>
      <c r="L662" s="91" t="str">
        <f>IFERROR(__xludf.DUMMYFUNCTION("IFERROR(unique(filter('Основной эфир'!$F:$F, 'Основной эфир'!$B:$B=$A662,'Основной эфир'!$C:$C=$B662,'Основной эфир'!$I:$I=$C662)),"""")"),"")</f>
        <v/>
      </c>
      <c r="M662" s="92" t="str">
        <f t="shared" si="1"/>
        <v/>
      </c>
      <c r="N662" s="93">
        <f>IFERROR(__xludf.DUMMYFUNCTION("IFERROR(SWITCH(lower(join("" "",L662:M662)),""а миллионник"", 62.5,""б миллионник"", 75,""а мск"", 50, ""б мск"", 62.5, ""a остальное"", 70, ""б остальное"", 80)/100,0)"),0.0)</f>
        <v>0</v>
      </c>
      <c r="O662" s="91">
        <f t="shared" si="2"/>
        <v>0</v>
      </c>
      <c r="P662" s="91">
        <f>IFERROR(__xludf.DUMMYFUNCTION("IFERROR(sum(filter('Генеральный баннер'!$O:$O, 'Генеральный баннер'!$B:$B=$A662,'Генеральный баннер'!$C:$C=$B662,'Генеральный баннер'!$I:$I=$C662)), 0) "),0.0)</f>
        <v>0</v>
      </c>
      <c r="Q662" s="91">
        <f>IFERROR(__xludf.DUMMYFUNCTION("IFERROR(sum(filter('Генеральный баннер'!$Q:$Q, 'Генеральный баннер'!$B:$B=$A662,'Генеральный баннер'!$C:$C=$B662,'Генеральный баннер'!$I:$I=$C662)), 0) "),0.0)</f>
        <v>0</v>
      </c>
      <c r="R662" s="91">
        <f>IFERROR(__xludf.DUMMYFUNCTION("IFERROR(AVERAGE(filter('Генеральный баннер'!$AA:$AA, 'Генеральный баннер'!$B:$B=$A662,'Генеральный баннер'!$C:$C=$B662,'Генеральный баннер'!$I:$I=$C662)), 0) "),0.0)</f>
        <v>0</v>
      </c>
      <c r="S662" s="91">
        <f>IFERROR(__xludf.DUMMYFUNCTION("IFERROR(SUM(filter('Генеральный баннер'!$AH:$AH, 'Генеральный баннер'!$B:$B=$A662,'Генеральный баннер'!$C:$C=$B662,'Генеральный баннер'!$I:$I=$C662)), 0) "),0.0)</f>
        <v>0</v>
      </c>
      <c r="T662" s="91" t="str">
        <f>IFERROR(__xludf.DUMMYFUNCTION("IFERROR(REGEXREPLACE(unique(filter('Генеральный баннер'!$A:$A, 'Генеральный баннер'!$B:$B=$A662,'Генеральный баннер'!$C:$C=$B662,'Генеральный баннер'!$I:$I=$C662)), ""\d+"", """"),"""")"),"")</f>
        <v/>
      </c>
      <c r="U662" s="91" t="str">
        <f>IFERROR(__xludf.DUMMYFUNCTION("IFERROR(unique(filter('Генеральный баннер'!$F:$F, 'Генеральный баннер'!$B:$B=$A662,'Генеральный баннер'!$C:$C=$B662,'Генеральный баннер'!$I:$I=$C662)),"""")"),"")</f>
        <v/>
      </c>
      <c r="V662" s="92" t="str">
        <f t="shared" si="3"/>
        <v/>
      </c>
      <c r="W662" s="93">
        <f>IFERROR(__xludf.DUMMYFUNCTION("IFERROR(SWITCH(lower(join("" "",U662:V662)),""а миллионник"", 62.5,""б миллионник"", 75,""а мск"", 50, ""б мск"", 62.5, ""a остальное"", 70, ""б остальное"", 80)/100,0)"),0.0)</f>
        <v>0</v>
      </c>
      <c r="X662" s="91">
        <f t="shared" si="4"/>
        <v>0</v>
      </c>
    </row>
    <row r="663">
      <c r="A663" s="12"/>
      <c r="B663" s="12"/>
      <c r="C663" s="12"/>
      <c r="D663" s="91">
        <f>IFERROR(__xludf.DUMMYFUNCTION("IFERROR(sum(filter('Основной эфир'!$AA:$AA, 'Основной эфир'!$B:$B=$A663,'Основной эфир'!$C:$C=$B663,'Основной эфир'!$I:$I=$C663)), 0) "),0.0)</f>
        <v>0</v>
      </c>
      <c r="E663" s="91">
        <f>IFERROR(__xludf.DUMMYFUNCTION("IFERROR(sum(filter('Основной эфир'!$AC:$AC, 'Основной эфир'!$B:$B=$A663,'Основной эфир'!$C:$C=$B663,'Основной эфир'!$I:$I=$C663)), 0) "),0.0)</f>
        <v>0</v>
      </c>
      <c r="F663" s="91">
        <f>IFERROR(__xludf.DUMMYFUNCTION("IFERROR(sum(filter('Основной эфир'!$O:$O, 'Основной эфир'!$B:$B=$A663,'Основной эфир'!$C:$C=$B663,'Основной эфир'!$I:$I=$C663)), 0) "),0.0)</f>
        <v>0</v>
      </c>
      <c r="G663" s="91">
        <f>IFERROR(__xludf.DUMMYFUNCTION("IFERROR(sum(filter('Основной эфир'!$Q:$Q, 'Основной эфир'!$B:$B=$A663,'Основной эфир'!$C:$C=$B663,'Основной эфир'!$I:$I=$C663)), 0) "),0.0)</f>
        <v>0</v>
      </c>
      <c r="H663" s="91">
        <f>IFERROR(__xludf.DUMMYFUNCTION("IFERROR(AVERAGE(filter('Основной эфир'!$Y:$Y, 'Основной эфир'!$B:$B=$A663,'Основной эфир'!$C:$C=$B663,'Основной эфир'!$I:$I=$C663)), 0) "),0.0)</f>
        <v>0</v>
      </c>
      <c r="I663" s="91">
        <f>IFERROR(__xludf.DUMMYFUNCTION("IFERROR(AVERAGE(filter('Основной эфир'!$AE:$AE, 'Основной эфир'!$B:$B=$A663,'Основной эфир'!$C:$C=$B663,'Основной эфир'!$I:$I=$C663)), 0) "),0.0)</f>
        <v>0</v>
      </c>
      <c r="J663" s="91">
        <f>IFERROR(__xludf.DUMMYFUNCTION("IFERROR(SUM(filter('Основной эфир'!$AL:$AL, 'Основной эфир'!$B:$B=$A663,'Основной эфир'!$C:$C=$B663,'Основной эфир'!$I:$I=$C663)), 0) "),0.0)</f>
        <v>0</v>
      </c>
      <c r="K663" s="91" t="str">
        <f>IFERROR(__xludf.DUMMYFUNCTION("IFERROR(REGEXREPLACE(unique(filter('Основной эфир'!$A:$A, 'Основной эфир'!$B:$B=$A663,'Основной эфир'!$C:$C=$B663,'Основной эфир'!$I:$I=$C663)), ""\d+"", """"),"""")"),"")</f>
        <v/>
      </c>
      <c r="L663" s="91" t="str">
        <f>IFERROR(__xludf.DUMMYFUNCTION("IFERROR(unique(filter('Основной эфир'!$F:$F, 'Основной эфир'!$B:$B=$A663,'Основной эфир'!$C:$C=$B663,'Основной эфир'!$I:$I=$C663)),"""")"),"")</f>
        <v/>
      </c>
      <c r="M663" s="92" t="str">
        <f t="shared" si="1"/>
        <v/>
      </c>
      <c r="N663" s="93">
        <f>IFERROR(__xludf.DUMMYFUNCTION("IFERROR(SWITCH(lower(join("" "",L663:M663)),""а миллионник"", 62.5,""б миллионник"", 75,""а мск"", 50, ""б мск"", 62.5, ""a остальное"", 70, ""б остальное"", 80)/100,0)"),0.0)</f>
        <v>0</v>
      </c>
      <c r="O663" s="91">
        <f t="shared" si="2"/>
        <v>0</v>
      </c>
      <c r="P663" s="91">
        <f>IFERROR(__xludf.DUMMYFUNCTION("IFERROR(sum(filter('Генеральный баннер'!$O:$O, 'Генеральный баннер'!$B:$B=$A663,'Генеральный баннер'!$C:$C=$B663,'Генеральный баннер'!$I:$I=$C663)), 0) "),0.0)</f>
        <v>0</v>
      </c>
      <c r="Q663" s="91">
        <f>IFERROR(__xludf.DUMMYFUNCTION("IFERROR(sum(filter('Генеральный баннер'!$Q:$Q, 'Генеральный баннер'!$B:$B=$A663,'Генеральный баннер'!$C:$C=$B663,'Генеральный баннер'!$I:$I=$C663)), 0) "),0.0)</f>
        <v>0</v>
      </c>
      <c r="R663" s="91">
        <f>IFERROR(__xludf.DUMMYFUNCTION("IFERROR(AVERAGE(filter('Генеральный баннер'!$AA:$AA, 'Генеральный баннер'!$B:$B=$A663,'Генеральный баннер'!$C:$C=$B663,'Генеральный баннер'!$I:$I=$C663)), 0) "),0.0)</f>
        <v>0</v>
      </c>
      <c r="S663" s="91">
        <f>IFERROR(__xludf.DUMMYFUNCTION("IFERROR(SUM(filter('Генеральный баннер'!$AH:$AH, 'Генеральный баннер'!$B:$B=$A663,'Генеральный баннер'!$C:$C=$B663,'Генеральный баннер'!$I:$I=$C663)), 0) "),0.0)</f>
        <v>0</v>
      </c>
      <c r="T663" s="91" t="str">
        <f>IFERROR(__xludf.DUMMYFUNCTION("IFERROR(REGEXREPLACE(unique(filter('Генеральный баннер'!$A:$A, 'Генеральный баннер'!$B:$B=$A663,'Генеральный баннер'!$C:$C=$B663,'Генеральный баннер'!$I:$I=$C663)), ""\d+"", """"),"""")"),"")</f>
        <v/>
      </c>
      <c r="U663" s="91" t="str">
        <f>IFERROR(__xludf.DUMMYFUNCTION("IFERROR(unique(filter('Генеральный баннер'!$F:$F, 'Генеральный баннер'!$B:$B=$A663,'Генеральный баннер'!$C:$C=$B663,'Генеральный баннер'!$I:$I=$C663)),"""")"),"")</f>
        <v/>
      </c>
      <c r="V663" s="92" t="str">
        <f t="shared" si="3"/>
        <v/>
      </c>
      <c r="W663" s="93">
        <f>IFERROR(__xludf.DUMMYFUNCTION("IFERROR(SWITCH(lower(join("" "",U663:V663)),""а миллионник"", 62.5,""б миллионник"", 75,""а мск"", 50, ""б мск"", 62.5, ""a остальное"", 70, ""б остальное"", 80)/100,0)"),0.0)</f>
        <v>0</v>
      </c>
      <c r="X663" s="91">
        <f t="shared" si="4"/>
        <v>0</v>
      </c>
    </row>
    <row r="664">
      <c r="A664" s="12"/>
      <c r="B664" s="12"/>
      <c r="C664" s="12"/>
      <c r="D664" s="91">
        <f>IFERROR(__xludf.DUMMYFUNCTION("IFERROR(sum(filter('Основной эфир'!$AA:$AA, 'Основной эфир'!$B:$B=$A664,'Основной эфир'!$C:$C=$B664,'Основной эфир'!$I:$I=$C664)), 0) "),0.0)</f>
        <v>0</v>
      </c>
      <c r="E664" s="91">
        <f>IFERROR(__xludf.DUMMYFUNCTION("IFERROR(sum(filter('Основной эфир'!$AC:$AC, 'Основной эфир'!$B:$B=$A664,'Основной эфир'!$C:$C=$B664,'Основной эфир'!$I:$I=$C664)), 0) "),0.0)</f>
        <v>0</v>
      </c>
      <c r="F664" s="91">
        <f>IFERROR(__xludf.DUMMYFUNCTION("IFERROR(sum(filter('Основной эфир'!$O:$O, 'Основной эфир'!$B:$B=$A664,'Основной эфир'!$C:$C=$B664,'Основной эфир'!$I:$I=$C664)), 0) "),0.0)</f>
        <v>0</v>
      </c>
      <c r="G664" s="91">
        <f>IFERROR(__xludf.DUMMYFUNCTION("IFERROR(sum(filter('Основной эфир'!$Q:$Q, 'Основной эфир'!$B:$B=$A664,'Основной эфир'!$C:$C=$B664,'Основной эфир'!$I:$I=$C664)), 0) "),0.0)</f>
        <v>0</v>
      </c>
      <c r="H664" s="91">
        <f>IFERROR(__xludf.DUMMYFUNCTION("IFERROR(AVERAGE(filter('Основной эфир'!$Y:$Y, 'Основной эфир'!$B:$B=$A664,'Основной эфир'!$C:$C=$B664,'Основной эфир'!$I:$I=$C664)), 0) "),0.0)</f>
        <v>0</v>
      </c>
      <c r="I664" s="91">
        <f>IFERROR(__xludf.DUMMYFUNCTION("IFERROR(AVERAGE(filter('Основной эфир'!$AE:$AE, 'Основной эфир'!$B:$B=$A664,'Основной эфир'!$C:$C=$B664,'Основной эфир'!$I:$I=$C664)), 0) "),0.0)</f>
        <v>0</v>
      </c>
      <c r="J664" s="91">
        <f>IFERROR(__xludf.DUMMYFUNCTION("IFERROR(SUM(filter('Основной эфир'!$AL:$AL, 'Основной эфир'!$B:$B=$A664,'Основной эфир'!$C:$C=$B664,'Основной эфир'!$I:$I=$C664)), 0) "),0.0)</f>
        <v>0</v>
      </c>
      <c r="K664" s="91" t="str">
        <f>IFERROR(__xludf.DUMMYFUNCTION("IFERROR(REGEXREPLACE(unique(filter('Основной эфир'!$A:$A, 'Основной эфир'!$B:$B=$A664,'Основной эфир'!$C:$C=$B664,'Основной эфир'!$I:$I=$C664)), ""\d+"", """"),"""")"),"")</f>
        <v/>
      </c>
      <c r="L664" s="91" t="str">
        <f>IFERROR(__xludf.DUMMYFUNCTION("IFERROR(unique(filter('Основной эфир'!$F:$F, 'Основной эфир'!$B:$B=$A664,'Основной эфир'!$C:$C=$B664,'Основной эфир'!$I:$I=$C664)),"""")"),"")</f>
        <v/>
      </c>
      <c r="M664" s="92" t="str">
        <f t="shared" si="1"/>
        <v/>
      </c>
      <c r="N664" s="93">
        <f>IFERROR(__xludf.DUMMYFUNCTION("IFERROR(SWITCH(lower(join("" "",L664:M664)),""а миллионник"", 62.5,""б миллионник"", 75,""а мск"", 50, ""б мск"", 62.5, ""a остальное"", 70, ""б остальное"", 80)/100,0)"),0.0)</f>
        <v>0</v>
      </c>
      <c r="O664" s="91">
        <f t="shared" si="2"/>
        <v>0</v>
      </c>
      <c r="P664" s="91">
        <f>IFERROR(__xludf.DUMMYFUNCTION("IFERROR(sum(filter('Генеральный баннер'!$O:$O, 'Генеральный баннер'!$B:$B=$A664,'Генеральный баннер'!$C:$C=$B664,'Генеральный баннер'!$I:$I=$C664)), 0) "),0.0)</f>
        <v>0</v>
      </c>
      <c r="Q664" s="91">
        <f>IFERROR(__xludf.DUMMYFUNCTION("IFERROR(sum(filter('Генеральный баннер'!$Q:$Q, 'Генеральный баннер'!$B:$B=$A664,'Генеральный баннер'!$C:$C=$B664,'Генеральный баннер'!$I:$I=$C664)), 0) "),0.0)</f>
        <v>0</v>
      </c>
      <c r="R664" s="91">
        <f>IFERROR(__xludf.DUMMYFUNCTION("IFERROR(AVERAGE(filter('Генеральный баннер'!$AA:$AA, 'Генеральный баннер'!$B:$B=$A664,'Генеральный баннер'!$C:$C=$B664,'Генеральный баннер'!$I:$I=$C664)), 0) "),0.0)</f>
        <v>0</v>
      </c>
      <c r="S664" s="91">
        <f>IFERROR(__xludf.DUMMYFUNCTION("IFERROR(SUM(filter('Генеральный баннер'!$AH:$AH, 'Генеральный баннер'!$B:$B=$A664,'Генеральный баннер'!$C:$C=$B664,'Генеральный баннер'!$I:$I=$C664)), 0) "),0.0)</f>
        <v>0</v>
      </c>
      <c r="T664" s="91" t="str">
        <f>IFERROR(__xludf.DUMMYFUNCTION("IFERROR(REGEXREPLACE(unique(filter('Генеральный баннер'!$A:$A, 'Генеральный баннер'!$B:$B=$A664,'Генеральный баннер'!$C:$C=$B664,'Генеральный баннер'!$I:$I=$C664)), ""\d+"", """"),"""")"),"")</f>
        <v/>
      </c>
      <c r="U664" s="91" t="str">
        <f>IFERROR(__xludf.DUMMYFUNCTION("IFERROR(unique(filter('Генеральный баннер'!$F:$F, 'Генеральный баннер'!$B:$B=$A664,'Генеральный баннер'!$C:$C=$B664,'Генеральный баннер'!$I:$I=$C664)),"""")"),"")</f>
        <v/>
      </c>
      <c r="V664" s="92" t="str">
        <f t="shared" si="3"/>
        <v/>
      </c>
      <c r="W664" s="93">
        <f>IFERROR(__xludf.DUMMYFUNCTION("IFERROR(SWITCH(lower(join("" "",U664:V664)),""а миллионник"", 62.5,""б миллионник"", 75,""а мск"", 50, ""б мск"", 62.5, ""a остальное"", 70, ""б остальное"", 80)/100,0)"),0.0)</f>
        <v>0</v>
      </c>
      <c r="X664" s="91">
        <f t="shared" si="4"/>
        <v>0</v>
      </c>
    </row>
    <row r="665">
      <c r="A665" s="12"/>
      <c r="B665" s="12"/>
      <c r="C665" s="12"/>
      <c r="D665" s="91">
        <f>IFERROR(__xludf.DUMMYFUNCTION("IFERROR(sum(filter('Основной эфир'!$AA:$AA, 'Основной эфир'!$B:$B=$A665,'Основной эфир'!$C:$C=$B665,'Основной эфир'!$I:$I=$C665)), 0) "),0.0)</f>
        <v>0</v>
      </c>
      <c r="E665" s="91">
        <f>IFERROR(__xludf.DUMMYFUNCTION("IFERROR(sum(filter('Основной эфир'!$AC:$AC, 'Основной эфир'!$B:$B=$A665,'Основной эфир'!$C:$C=$B665,'Основной эфир'!$I:$I=$C665)), 0) "),0.0)</f>
        <v>0</v>
      </c>
      <c r="F665" s="91">
        <f>IFERROR(__xludf.DUMMYFUNCTION("IFERROR(sum(filter('Основной эфир'!$O:$O, 'Основной эфир'!$B:$B=$A665,'Основной эфир'!$C:$C=$B665,'Основной эфир'!$I:$I=$C665)), 0) "),0.0)</f>
        <v>0</v>
      </c>
      <c r="G665" s="91">
        <f>IFERROR(__xludf.DUMMYFUNCTION("IFERROR(sum(filter('Основной эфир'!$Q:$Q, 'Основной эфир'!$B:$B=$A665,'Основной эфир'!$C:$C=$B665,'Основной эфир'!$I:$I=$C665)), 0) "),0.0)</f>
        <v>0</v>
      </c>
      <c r="H665" s="91">
        <f>IFERROR(__xludf.DUMMYFUNCTION("IFERROR(AVERAGE(filter('Основной эфир'!$Y:$Y, 'Основной эфир'!$B:$B=$A665,'Основной эфир'!$C:$C=$B665,'Основной эфир'!$I:$I=$C665)), 0) "),0.0)</f>
        <v>0</v>
      </c>
      <c r="I665" s="91">
        <f>IFERROR(__xludf.DUMMYFUNCTION("IFERROR(AVERAGE(filter('Основной эфир'!$AE:$AE, 'Основной эфир'!$B:$B=$A665,'Основной эфир'!$C:$C=$B665,'Основной эфир'!$I:$I=$C665)), 0) "),0.0)</f>
        <v>0</v>
      </c>
      <c r="J665" s="91">
        <f>IFERROR(__xludf.DUMMYFUNCTION("IFERROR(SUM(filter('Основной эфир'!$AL:$AL, 'Основной эфир'!$B:$B=$A665,'Основной эфир'!$C:$C=$B665,'Основной эфир'!$I:$I=$C665)), 0) "),0.0)</f>
        <v>0</v>
      </c>
      <c r="K665" s="91" t="str">
        <f>IFERROR(__xludf.DUMMYFUNCTION("IFERROR(REGEXREPLACE(unique(filter('Основной эфир'!$A:$A, 'Основной эфир'!$B:$B=$A665,'Основной эфир'!$C:$C=$B665,'Основной эфир'!$I:$I=$C665)), ""\d+"", """"),"""")"),"")</f>
        <v/>
      </c>
      <c r="L665" s="91" t="str">
        <f>IFERROR(__xludf.DUMMYFUNCTION("IFERROR(unique(filter('Основной эфир'!$F:$F, 'Основной эфир'!$B:$B=$A665,'Основной эфир'!$C:$C=$B665,'Основной эфир'!$I:$I=$C665)),"""")"),"")</f>
        <v/>
      </c>
      <c r="M665" s="92" t="str">
        <f t="shared" si="1"/>
        <v/>
      </c>
      <c r="N665" s="93">
        <f>IFERROR(__xludf.DUMMYFUNCTION("IFERROR(SWITCH(lower(join("" "",L665:M665)),""а миллионник"", 62.5,""б миллионник"", 75,""а мск"", 50, ""б мск"", 62.5, ""a остальное"", 70, ""б остальное"", 80)/100,0)"),0.0)</f>
        <v>0</v>
      </c>
      <c r="O665" s="91">
        <f t="shared" si="2"/>
        <v>0</v>
      </c>
      <c r="P665" s="91">
        <f>IFERROR(__xludf.DUMMYFUNCTION("IFERROR(sum(filter('Генеральный баннер'!$O:$O, 'Генеральный баннер'!$B:$B=$A665,'Генеральный баннер'!$C:$C=$B665,'Генеральный баннер'!$I:$I=$C665)), 0) "),0.0)</f>
        <v>0</v>
      </c>
      <c r="Q665" s="91">
        <f>IFERROR(__xludf.DUMMYFUNCTION("IFERROR(sum(filter('Генеральный баннер'!$Q:$Q, 'Генеральный баннер'!$B:$B=$A665,'Генеральный баннер'!$C:$C=$B665,'Генеральный баннер'!$I:$I=$C665)), 0) "),0.0)</f>
        <v>0</v>
      </c>
      <c r="R665" s="91">
        <f>IFERROR(__xludf.DUMMYFUNCTION("IFERROR(AVERAGE(filter('Генеральный баннер'!$AA:$AA, 'Генеральный баннер'!$B:$B=$A665,'Генеральный баннер'!$C:$C=$B665,'Генеральный баннер'!$I:$I=$C665)), 0) "),0.0)</f>
        <v>0</v>
      </c>
      <c r="S665" s="91">
        <f>IFERROR(__xludf.DUMMYFUNCTION("IFERROR(SUM(filter('Генеральный баннер'!$AH:$AH, 'Генеральный баннер'!$B:$B=$A665,'Генеральный баннер'!$C:$C=$B665,'Генеральный баннер'!$I:$I=$C665)), 0) "),0.0)</f>
        <v>0</v>
      </c>
      <c r="T665" s="91" t="str">
        <f>IFERROR(__xludf.DUMMYFUNCTION("IFERROR(REGEXREPLACE(unique(filter('Генеральный баннер'!$A:$A, 'Генеральный баннер'!$B:$B=$A665,'Генеральный баннер'!$C:$C=$B665,'Генеральный баннер'!$I:$I=$C665)), ""\d+"", """"),"""")"),"")</f>
        <v/>
      </c>
      <c r="U665" s="91" t="str">
        <f>IFERROR(__xludf.DUMMYFUNCTION("IFERROR(unique(filter('Генеральный баннер'!$F:$F, 'Генеральный баннер'!$B:$B=$A665,'Генеральный баннер'!$C:$C=$B665,'Генеральный баннер'!$I:$I=$C665)),"""")"),"")</f>
        <v/>
      </c>
      <c r="V665" s="92" t="str">
        <f t="shared" si="3"/>
        <v/>
      </c>
      <c r="W665" s="93">
        <f>IFERROR(__xludf.DUMMYFUNCTION("IFERROR(SWITCH(lower(join("" "",U665:V665)),""а миллионник"", 62.5,""б миллионник"", 75,""а мск"", 50, ""б мск"", 62.5, ""a остальное"", 70, ""б остальное"", 80)/100,0)"),0.0)</f>
        <v>0</v>
      </c>
      <c r="X665" s="91">
        <f t="shared" si="4"/>
        <v>0</v>
      </c>
    </row>
    <row r="666">
      <c r="A666" s="12"/>
      <c r="B666" s="12"/>
      <c r="C666" s="12"/>
      <c r="D666" s="91">
        <f>IFERROR(__xludf.DUMMYFUNCTION("IFERROR(sum(filter('Основной эфир'!$AA:$AA, 'Основной эфир'!$B:$B=$A666,'Основной эфир'!$C:$C=$B666,'Основной эфир'!$I:$I=$C666)), 0) "),0.0)</f>
        <v>0</v>
      </c>
      <c r="E666" s="91">
        <f>IFERROR(__xludf.DUMMYFUNCTION("IFERROR(sum(filter('Основной эфир'!$AC:$AC, 'Основной эфир'!$B:$B=$A666,'Основной эфир'!$C:$C=$B666,'Основной эфир'!$I:$I=$C666)), 0) "),0.0)</f>
        <v>0</v>
      </c>
      <c r="F666" s="91">
        <f>IFERROR(__xludf.DUMMYFUNCTION("IFERROR(sum(filter('Основной эфир'!$O:$O, 'Основной эфир'!$B:$B=$A666,'Основной эфир'!$C:$C=$B666,'Основной эфир'!$I:$I=$C666)), 0) "),0.0)</f>
        <v>0</v>
      </c>
      <c r="G666" s="91">
        <f>IFERROR(__xludf.DUMMYFUNCTION("IFERROR(sum(filter('Основной эфир'!$Q:$Q, 'Основной эфир'!$B:$B=$A666,'Основной эфир'!$C:$C=$B666,'Основной эфир'!$I:$I=$C666)), 0) "),0.0)</f>
        <v>0</v>
      </c>
      <c r="H666" s="91">
        <f>IFERROR(__xludf.DUMMYFUNCTION("IFERROR(AVERAGE(filter('Основной эфир'!$Y:$Y, 'Основной эфир'!$B:$B=$A666,'Основной эфир'!$C:$C=$B666,'Основной эфир'!$I:$I=$C666)), 0) "),0.0)</f>
        <v>0</v>
      </c>
      <c r="I666" s="91">
        <f>IFERROR(__xludf.DUMMYFUNCTION("IFERROR(AVERAGE(filter('Основной эфир'!$AE:$AE, 'Основной эфир'!$B:$B=$A666,'Основной эфир'!$C:$C=$B666,'Основной эфир'!$I:$I=$C666)), 0) "),0.0)</f>
        <v>0</v>
      </c>
      <c r="J666" s="91">
        <f>IFERROR(__xludf.DUMMYFUNCTION("IFERROR(SUM(filter('Основной эфир'!$AL:$AL, 'Основной эфир'!$B:$B=$A666,'Основной эфир'!$C:$C=$B666,'Основной эфир'!$I:$I=$C666)), 0) "),0.0)</f>
        <v>0</v>
      </c>
      <c r="K666" s="91" t="str">
        <f>IFERROR(__xludf.DUMMYFUNCTION("IFERROR(REGEXREPLACE(unique(filter('Основной эфир'!$A:$A, 'Основной эфир'!$B:$B=$A666,'Основной эфир'!$C:$C=$B666,'Основной эфир'!$I:$I=$C666)), ""\d+"", """"),"""")"),"")</f>
        <v/>
      </c>
      <c r="L666" s="91" t="str">
        <f>IFERROR(__xludf.DUMMYFUNCTION("IFERROR(unique(filter('Основной эфир'!$F:$F, 'Основной эфир'!$B:$B=$A666,'Основной эфир'!$C:$C=$B666,'Основной эфир'!$I:$I=$C666)),"""")"),"")</f>
        <v/>
      </c>
      <c r="M666" s="92" t="str">
        <f t="shared" si="1"/>
        <v/>
      </c>
      <c r="N666" s="93">
        <f>IFERROR(__xludf.DUMMYFUNCTION("IFERROR(SWITCH(lower(join("" "",L666:M666)),""а миллионник"", 62.5,""б миллионник"", 75,""а мск"", 50, ""б мск"", 62.5, ""a остальное"", 70, ""б остальное"", 80)/100,0)"),0.0)</f>
        <v>0</v>
      </c>
      <c r="O666" s="91">
        <f t="shared" si="2"/>
        <v>0</v>
      </c>
      <c r="P666" s="91">
        <f>IFERROR(__xludf.DUMMYFUNCTION("IFERROR(sum(filter('Генеральный баннер'!$O:$O, 'Генеральный баннер'!$B:$B=$A666,'Генеральный баннер'!$C:$C=$B666,'Генеральный баннер'!$I:$I=$C666)), 0) "),0.0)</f>
        <v>0</v>
      </c>
      <c r="Q666" s="91">
        <f>IFERROR(__xludf.DUMMYFUNCTION("IFERROR(sum(filter('Генеральный баннер'!$Q:$Q, 'Генеральный баннер'!$B:$B=$A666,'Генеральный баннер'!$C:$C=$B666,'Генеральный баннер'!$I:$I=$C666)), 0) "),0.0)</f>
        <v>0</v>
      </c>
      <c r="R666" s="91">
        <f>IFERROR(__xludf.DUMMYFUNCTION("IFERROR(AVERAGE(filter('Генеральный баннер'!$AA:$AA, 'Генеральный баннер'!$B:$B=$A666,'Генеральный баннер'!$C:$C=$B666,'Генеральный баннер'!$I:$I=$C666)), 0) "),0.0)</f>
        <v>0</v>
      </c>
      <c r="S666" s="91">
        <f>IFERROR(__xludf.DUMMYFUNCTION("IFERROR(SUM(filter('Генеральный баннер'!$AH:$AH, 'Генеральный баннер'!$B:$B=$A666,'Генеральный баннер'!$C:$C=$B666,'Генеральный баннер'!$I:$I=$C666)), 0) "),0.0)</f>
        <v>0</v>
      </c>
      <c r="T666" s="91" t="str">
        <f>IFERROR(__xludf.DUMMYFUNCTION("IFERROR(REGEXREPLACE(unique(filter('Генеральный баннер'!$A:$A, 'Генеральный баннер'!$B:$B=$A666,'Генеральный баннер'!$C:$C=$B666,'Генеральный баннер'!$I:$I=$C666)), ""\d+"", """"),"""")"),"")</f>
        <v/>
      </c>
      <c r="U666" s="91" t="str">
        <f>IFERROR(__xludf.DUMMYFUNCTION("IFERROR(unique(filter('Генеральный баннер'!$F:$F, 'Генеральный баннер'!$B:$B=$A666,'Генеральный баннер'!$C:$C=$B666,'Генеральный баннер'!$I:$I=$C666)),"""")"),"")</f>
        <v/>
      </c>
      <c r="V666" s="92" t="str">
        <f t="shared" si="3"/>
        <v/>
      </c>
      <c r="W666" s="93">
        <f>IFERROR(__xludf.DUMMYFUNCTION("IFERROR(SWITCH(lower(join("" "",U666:V666)),""а миллионник"", 62.5,""б миллионник"", 75,""а мск"", 50, ""б мск"", 62.5, ""a остальное"", 70, ""б остальное"", 80)/100,0)"),0.0)</f>
        <v>0</v>
      </c>
      <c r="X666" s="91">
        <f t="shared" si="4"/>
        <v>0</v>
      </c>
    </row>
    <row r="667">
      <c r="A667" s="12"/>
      <c r="B667" s="12"/>
      <c r="C667" s="12"/>
      <c r="D667" s="91">
        <f>IFERROR(__xludf.DUMMYFUNCTION("IFERROR(sum(filter('Основной эфир'!$AA:$AA, 'Основной эфир'!$B:$B=$A667,'Основной эфир'!$C:$C=$B667,'Основной эфир'!$I:$I=$C667)), 0) "),0.0)</f>
        <v>0</v>
      </c>
      <c r="E667" s="91">
        <f>IFERROR(__xludf.DUMMYFUNCTION("IFERROR(sum(filter('Основной эфир'!$AC:$AC, 'Основной эфир'!$B:$B=$A667,'Основной эфир'!$C:$C=$B667,'Основной эфир'!$I:$I=$C667)), 0) "),0.0)</f>
        <v>0</v>
      </c>
      <c r="F667" s="91">
        <f>IFERROR(__xludf.DUMMYFUNCTION("IFERROR(sum(filter('Основной эфир'!$O:$O, 'Основной эфир'!$B:$B=$A667,'Основной эфир'!$C:$C=$B667,'Основной эфир'!$I:$I=$C667)), 0) "),0.0)</f>
        <v>0</v>
      </c>
      <c r="G667" s="91">
        <f>IFERROR(__xludf.DUMMYFUNCTION("IFERROR(sum(filter('Основной эфир'!$Q:$Q, 'Основной эфир'!$B:$B=$A667,'Основной эфир'!$C:$C=$B667,'Основной эфир'!$I:$I=$C667)), 0) "),0.0)</f>
        <v>0</v>
      </c>
      <c r="H667" s="91">
        <f>IFERROR(__xludf.DUMMYFUNCTION("IFERROR(AVERAGE(filter('Основной эфир'!$Y:$Y, 'Основной эфир'!$B:$B=$A667,'Основной эфир'!$C:$C=$B667,'Основной эфир'!$I:$I=$C667)), 0) "),0.0)</f>
        <v>0</v>
      </c>
      <c r="I667" s="91">
        <f>IFERROR(__xludf.DUMMYFUNCTION("IFERROR(AVERAGE(filter('Основной эфир'!$AE:$AE, 'Основной эфир'!$B:$B=$A667,'Основной эфир'!$C:$C=$B667,'Основной эфир'!$I:$I=$C667)), 0) "),0.0)</f>
        <v>0</v>
      </c>
      <c r="J667" s="91">
        <f>IFERROR(__xludf.DUMMYFUNCTION("IFERROR(SUM(filter('Основной эфир'!$AL:$AL, 'Основной эфир'!$B:$B=$A667,'Основной эфир'!$C:$C=$B667,'Основной эфир'!$I:$I=$C667)), 0) "),0.0)</f>
        <v>0</v>
      </c>
      <c r="K667" s="91" t="str">
        <f>IFERROR(__xludf.DUMMYFUNCTION("IFERROR(REGEXREPLACE(unique(filter('Основной эфир'!$A:$A, 'Основной эфир'!$B:$B=$A667,'Основной эфир'!$C:$C=$B667,'Основной эфир'!$I:$I=$C667)), ""\d+"", """"),"""")"),"")</f>
        <v/>
      </c>
      <c r="L667" s="91" t="str">
        <f>IFERROR(__xludf.DUMMYFUNCTION("IFERROR(unique(filter('Основной эфир'!$F:$F, 'Основной эфир'!$B:$B=$A667,'Основной эфир'!$C:$C=$B667,'Основной эфир'!$I:$I=$C667)),"""")"),"")</f>
        <v/>
      </c>
      <c r="M667" s="92" t="str">
        <f t="shared" si="1"/>
        <v/>
      </c>
      <c r="N667" s="93">
        <f>IFERROR(__xludf.DUMMYFUNCTION("IFERROR(SWITCH(lower(join("" "",L667:M667)),""а миллионник"", 62.5,""б миллионник"", 75,""а мск"", 50, ""б мск"", 62.5, ""a остальное"", 70, ""б остальное"", 80)/100,0)"),0.0)</f>
        <v>0</v>
      </c>
      <c r="O667" s="91">
        <f t="shared" si="2"/>
        <v>0</v>
      </c>
      <c r="P667" s="91">
        <f>IFERROR(__xludf.DUMMYFUNCTION("IFERROR(sum(filter('Генеральный баннер'!$O:$O, 'Генеральный баннер'!$B:$B=$A667,'Генеральный баннер'!$C:$C=$B667,'Генеральный баннер'!$I:$I=$C667)), 0) "),0.0)</f>
        <v>0</v>
      </c>
      <c r="Q667" s="91">
        <f>IFERROR(__xludf.DUMMYFUNCTION("IFERROR(sum(filter('Генеральный баннер'!$Q:$Q, 'Генеральный баннер'!$B:$B=$A667,'Генеральный баннер'!$C:$C=$B667,'Генеральный баннер'!$I:$I=$C667)), 0) "),0.0)</f>
        <v>0</v>
      </c>
      <c r="R667" s="91">
        <f>IFERROR(__xludf.DUMMYFUNCTION("IFERROR(AVERAGE(filter('Генеральный баннер'!$AA:$AA, 'Генеральный баннер'!$B:$B=$A667,'Генеральный баннер'!$C:$C=$B667,'Генеральный баннер'!$I:$I=$C667)), 0) "),0.0)</f>
        <v>0</v>
      </c>
      <c r="S667" s="91">
        <f>IFERROR(__xludf.DUMMYFUNCTION("IFERROR(SUM(filter('Генеральный баннер'!$AH:$AH, 'Генеральный баннер'!$B:$B=$A667,'Генеральный баннер'!$C:$C=$B667,'Генеральный баннер'!$I:$I=$C667)), 0) "),0.0)</f>
        <v>0</v>
      </c>
      <c r="T667" s="91" t="str">
        <f>IFERROR(__xludf.DUMMYFUNCTION("IFERROR(REGEXREPLACE(unique(filter('Генеральный баннер'!$A:$A, 'Генеральный баннер'!$B:$B=$A667,'Генеральный баннер'!$C:$C=$B667,'Генеральный баннер'!$I:$I=$C667)), ""\d+"", """"),"""")"),"")</f>
        <v/>
      </c>
      <c r="U667" s="91" t="str">
        <f>IFERROR(__xludf.DUMMYFUNCTION("IFERROR(unique(filter('Генеральный баннер'!$F:$F, 'Генеральный баннер'!$B:$B=$A667,'Генеральный баннер'!$C:$C=$B667,'Генеральный баннер'!$I:$I=$C667)),"""")"),"")</f>
        <v/>
      </c>
      <c r="V667" s="92" t="str">
        <f t="shared" si="3"/>
        <v/>
      </c>
      <c r="W667" s="93">
        <f>IFERROR(__xludf.DUMMYFUNCTION("IFERROR(SWITCH(lower(join("" "",U667:V667)),""а миллионник"", 62.5,""б миллионник"", 75,""а мск"", 50, ""б мск"", 62.5, ""a остальное"", 70, ""б остальное"", 80)/100,0)"),0.0)</f>
        <v>0</v>
      </c>
      <c r="X667" s="91">
        <f t="shared" si="4"/>
        <v>0</v>
      </c>
    </row>
    <row r="668">
      <c r="A668" s="12"/>
      <c r="B668" s="12"/>
      <c r="C668" s="12"/>
      <c r="D668" s="91">
        <f>IFERROR(__xludf.DUMMYFUNCTION("IFERROR(sum(filter('Основной эфир'!$AA:$AA, 'Основной эфир'!$B:$B=$A668,'Основной эфир'!$C:$C=$B668,'Основной эфир'!$I:$I=$C668)), 0) "),0.0)</f>
        <v>0</v>
      </c>
      <c r="E668" s="91">
        <f>IFERROR(__xludf.DUMMYFUNCTION("IFERROR(sum(filter('Основной эфир'!$AC:$AC, 'Основной эфир'!$B:$B=$A668,'Основной эфир'!$C:$C=$B668,'Основной эфир'!$I:$I=$C668)), 0) "),0.0)</f>
        <v>0</v>
      </c>
      <c r="F668" s="91">
        <f>IFERROR(__xludf.DUMMYFUNCTION("IFERROR(sum(filter('Основной эфир'!$O:$O, 'Основной эфир'!$B:$B=$A668,'Основной эфир'!$C:$C=$B668,'Основной эфир'!$I:$I=$C668)), 0) "),0.0)</f>
        <v>0</v>
      </c>
      <c r="G668" s="91">
        <f>IFERROR(__xludf.DUMMYFUNCTION("IFERROR(sum(filter('Основной эфир'!$Q:$Q, 'Основной эфир'!$B:$B=$A668,'Основной эфир'!$C:$C=$B668,'Основной эфир'!$I:$I=$C668)), 0) "),0.0)</f>
        <v>0</v>
      </c>
      <c r="H668" s="91">
        <f>IFERROR(__xludf.DUMMYFUNCTION("IFERROR(AVERAGE(filter('Основной эфир'!$Y:$Y, 'Основной эфир'!$B:$B=$A668,'Основной эфир'!$C:$C=$B668,'Основной эфир'!$I:$I=$C668)), 0) "),0.0)</f>
        <v>0</v>
      </c>
      <c r="I668" s="91">
        <f>IFERROR(__xludf.DUMMYFUNCTION("IFERROR(AVERAGE(filter('Основной эфир'!$AE:$AE, 'Основной эфир'!$B:$B=$A668,'Основной эфир'!$C:$C=$B668,'Основной эфир'!$I:$I=$C668)), 0) "),0.0)</f>
        <v>0</v>
      </c>
      <c r="J668" s="91">
        <f>IFERROR(__xludf.DUMMYFUNCTION("IFERROR(SUM(filter('Основной эфир'!$AL:$AL, 'Основной эфир'!$B:$B=$A668,'Основной эфир'!$C:$C=$B668,'Основной эфир'!$I:$I=$C668)), 0) "),0.0)</f>
        <v>0</v>
      </c>
      <c r="K668" s="91" t="str">
        <f>IFERROR(__xludf.DUMMYFUNCTION("IFERROR(REGEXREPLACE(unique(filter('Основной эфир'!$A:$A, 'Основной эфир'!$B:$B=$A668,'Основной эфир'!$C:$C=$B668,'Основной эфир'!$I:$I=$C668)), ""\d+"", """"),"""")"),"")</f>
        <v/>
      </c>
      <c r="L668" s="91" t="str">
        <f>IFERROR(__xludf.DUMMYFUNCTION("IFERROR(unique(filter('Основной эфир'!$F:$F, 'Основной эфир'!$B:$B=$A668,'Основной эфир'!$C:$C=$B668,'Основной эфир'!$I:$I=$C668)),"""")"),"")</f>
        <v/>
      </c>
      <c r="M668" s="92" t="str">
        <f t="shared" si="1"/>
        <v/>
      </c>
      <c r="N668" s="93">
        <f>IFERROR(__xludf.DUMMYFUNCTION("IFERROR(SWITCH(lower(join("" "",L668:M668)),""а миллионник"", 62.5,""б миллионник"", 75,""а мск"", 50, ""б мск"", 62.5, ""a остальное"", 70, ""б остальное"", 80)/100,0)"),0.0)</f>
        <v>0</v>
      </c>
      <c r="O668" s="91">
        <f t="shared" si="2"/>
        <v>0</v>
      </c>
      <c r="P668" s="91">
        <f>IFERROR(__xludf.DUMMYFUNCTION("IFERROR(sum(filter('Генеральный баннер'!$O:$O, 'Генеральный баннер'!$B:$B=$A668,'Генеральный баннер'!$C:$C=$B668,'Генеральный баннер'!$I:$I=$C668)), 0) "),0.0)</f>
        <v>0</v>
      </c>
      <c r="Q668" s="91">
        <f>IFERROR(__xludf.DUMMYFUNCTION("IFERROR(sum(filter('Генеральный баннер'!$Q:$Q, 'Генеральный баннер'!$B:$B=$A668,'Генеральный баннер'!$C:$C=$B668,'Генеральный баннер'!$I:$I=$C668)), 0) "),0.0)</f>
        <v>0</v>
      </c>
      <c r="R668" s="91">
        <f>IFERROR(__xludf.DUMMYFUNCTION("IFERROR(AVERAGE(filter('Генеральный баннер'!$AA:$AA, 'Генеральный баннер'!$B:$B=$A668,'Генеральный баннер'!$C:$C=$B668,'Генеральный баннер'!$I:$I=$C668)), 0) "),0.0)</f>
        <v>0</v>
      </c>
      <c r="S668" s="91">
        <f>IFERROR(__xludf.DUMMYFUNCTION("IFERROR(SUM(filter('Генеральный баннер'!$AH:$AH, 'Генеральный баннер'!$B:$B=$A668,'Генеральный баннер'!$C:$C=$B668,'Генеральный баннер'!$I:$I=$C668)), 0) "),0.0)</f>
        <v>0</v>
      </c>
      <c r="T668" s="91" t="str">
        <f>IFERROR(__xludf.DUMMYFUNCTION("IFERROR(REGEXREPLACE(unique(filter('Генеральный баннер'!$A:$A, 'Генеральный баннер'!$B:$B=$A668,'Генеральный баннер'!$C:$C=$B668,'Генеральный баннер'!$I:$I=$C668)), ""\d+"", """"),"""")"),"")</f>
        <v/>
      </c>
      <c r="U668" s="91" t="str">
        <f>IFERROR(__xludf.DUMMYFUNCTION("IFERROR(unique(filter('Генеральный баннер'!$F:$F, 'Генеральный баннер'!$B:$B=$A668,'Генеральный баннер'!$C:$C=$B668,'Генеральный баннер'!$I:$I=$C668)),"""")"),"")</f>
        <v/>
      </c>
      <c r="V668" s="92" t="str">
        <f t="shared" si="3"/>
        <v/>
      </c>
      <c r="W668" s="93">
        <f>IFERROR(__xludf.DUMMYFUNCTION("IFERROR(SWITCH(lower(join("" "",U668:V668)),""а миллионник"", 62.5,""б миллионник"", 75,""а мск"", 50, ""б мск"", 62.5, ""a остальное"", 70, ""б остальное"", 80)/100,0)"),0.0)</f>
        <v>0</v>
      </c>
      <c r="X668" s="91">
        <f t="shared" si="4"/>
        <v>0</v>
      </c>
    </row>
    <row r="669">
      <c r="A669" s="12"/>
      <c r="B669" s="12"/>
      <c r="C669" s="12"/>
      <c r="D669" s="91">
        <f>IFERROR(__xludf.DUMMYFUNCTION("IFERROR(sum(filter('Основной эфир'!$AA:$AA, 'Основной эфир'!$B:$B=$A669,'Основной эфир'!$C:$C=$B669,'Основной эфир'!$I:$I=$C669)), 0) "),0.0)</f>
        <v>0</v>
      </c>
      <c r="E669" s="91">
        <f>IFERROR(__xludf.DUMMYFUNCTION("IFERROR(sum(filter('Основной эфир'!$AC:$AC, 'Основной эфир'!$B:$B=$A669,'Основной эфир'!$C:$C=$B669,'Основной эфир'!$I:$I=$C669)), 0) "),0.0)</f>
        <v>0</v>
      </c>
      <c r="F669" s="91">
        <f>IFERROR(__xludf.DUMMYFUNCTION("IFERROR(sum(filter('Основной эфир'!$O:$O, 'Основной эфир'!$B:$B=$A669,'Основной эфир'!$C:$C=$B669,'Основной эфир'!$I:$I=$C669)), 0) "),0.0)</f>
        <v>0</v>
      </c>
      <c r="G669" s="91">
        <f>IFERROR(__xludf.DUMMYFUNCTION("IFERROR(sum(filter('Основной эфир'!$Q:$Q, 'Основной эфир'!$B:$B=$A669,'Основной эфир'!$C:$C=$B669,'Основной эфир'!$I:$I=$C669)), 0) "),0.0)</f>
        <v>0</v>
      </c>
      <c r="H669" s="91">
        <f>IFERROR(__xludf.DUMMYFUNCTION("IFERROR(AVERAGE(filter('Основной эфир'!$Y:$Y, 'Основной эфир'!$B:$B=$A669,'Основной эфир'!$C:$C=$B669,'Основной эфир'!$I:$I=$C669)), 0) "),0.0)</f>
        <v>0</v>
      </c>
      <c r="I669" s="91">
        <f>IFERROR(__xludf.DUMMYFUNCTION("IFERROR(AVERAGE(filter('Основной эфир'!$AE:$AE, 'Основной эфир'!$B:$B=$A669,'Основной эфир'!$C:$C=$B669,'Основной эфир'!$I:$I=$C669)), 0) "),0.0)</f>
        <v>0</v>
      </c>
      <c r="J669" s="91">
        <f>IFERROR(__xludf.DUMMYFUNCTION("IFERROR(SUM(filter('Основной эфир'!$AL:$AL, 'Основной эфир'!$B:$B=$A669,'Основной эфир'!$C:$C=$B669,'Основной эфир'!$I:$I=$C669)), 0) "),0.0)</f>
        <v>0</v>
      </c>
      <c r="K669" s="91" t="str">
        <f>IFERROR(__xludf.DUMMYFUNCTION("IFERROR(REGEXREPLACE(unique(filter('Основной эфир'!$A:$A, 'Основной эфир'!$B:$B=$A669,'Основной эфир'!$C:$C=$B669,'Основной эфир'!$I:$I=$C669)), ""\d+"", """"),"""")"),"")</f>
        <v/>
      </c>
      <c r="L669" s="91" t="str">
        <f>IFERROR(__xludf.DUMMYFUNCTION("IFERROR(unique(filter('Основной эфир'!$F:$F, 'Основной эфир'!$B:$B=$A669,'Основной эфир'!$C:$C=$B669,'Основной эфир'!$I:$I=$C669)),"""")"),"")</f>
        <v/>
      </c>
      <c r="M669" s="92" t="str">
        <f t="shared" si="1"/>
        <v/>
      </c>
      <c r="N669" s="93">
        <f>IFERROR(__xludf.DUMMYFUNCTION("IFERROR(SWITCH(lower(join("" "",L669:M669)),""а миллионник"", 62.5,""б миллионник"", 75,""а мск"", 50, ""б мск"", 62.5, ""a остальное"", 70, ""б остальное"", 80)/100,0)"),0.0)</f>
        <v>0</v>
      </c>
      <c r="O669" s="91">
        <f t="shared" si="2"/>
        <v>0</v>
      </c>
      <c r="P669" s="91">
        <f>IFERROR(__xludf.DUMMYFUNCTION("IFERROR(sum(filter('Генеральный баннер'!$O:$O, 'Генеральный баннер'!$B:$B=$A669,'Генеральный баннер'!$C:$C=$B669,'Генеральный баннер'!$I:$I=$C669)), 0) "),0.0)</f>
        <v>0</v>
      </c>
      <c r="Q669" s="91">
        <f>IFERROR(__xludf.DUMMYFUNCTION("IFERROR(sum(filter('Генеральный баннер'!$Q:$Q, 'Генеральный баннер'!$B:$B=$A669,'Генеральный баннер'!$C:$C=$B669,'Генеральный баннер'!$I:$I=$C669)), 0) "),0.0)</f>
        <v>0</v>
      </c>
      <c r="R669" s="91">
        <f>IFERROR(__xludf.DUMMYFUNCTION("IFERROR(AVERAGE(filter('Генеральный баннер'!$AA:$AA, 'Генеральный баннер'!$B:$B=$A669,'Генеральный баннер'!$C:$C=$B669,'Генеральный баннер'!$I:$I=$C669)), 0) "),0.0)</f>
        <v>0</v>
      </c>
      <c r="S669" s="91">
        <f>IFERROR(__xludf.DUMMYFUNCTION("IFERROR(SUM(filter('Генеральный баннер'!$AH:$AH, 'Генеральный баннер'!$B:$B=$A669,'Генеральный баннер'!$C:$C=$B669,'Генеральный баннер'!$I:$I=$C669)), 0) "),0.0)</f>
        <v>0</v>
      </c>
      <c r="T669" s="91" t="str">
        <f>IFERROR(__xludf.DUMMYFUNCTION("IFERROR(REGEXREPLACE(unique(filter('Генеральный баннер'!$A:$A, 'Генеральный баннер'!$B:$B=$A669,'Генеральный баннер'!$C:$C=$B669,'Генеральный баннер'!$I:$I=$C669)), ""\d+"", """"),"""")"),"")</f>
        <v/>
      </c>
      <c r="U669" s="91" t="str">
        <f>IFERROR(__xludf.DUMMYFUNCTION("IFERROR(unique(filter('Генеральный баннер'!$F:$F, 'Генеральный баннер'!$B:$B=$A669,'Генеральный баннер'!$C:$C=$B669,'Генеральный баннер'!$I:$I=$C669)),"""")"),"")</f>
        <v/>
      </c>
      <c r="V669" s="92" t="str">
        <f t="shared" si="3"/>
        <v/>
      </c>
      <c r="W669" s="93">
        <f>IFERROR(__xludf.DUMMYFUNCTION("IFERROR(SWITCH(lower(join("" "",U669:V669)),""а миллионник"", 62.5,""б миллионник"", 75,""а мск"", 50, ""б мск"", 62.5, ""a остальное"", 70, ""б остальное"", 80)/100,0)"),0.0)</f>
        <v>0</v>
      </c>
      <c r="X669" s="91">
        <f t="shared" si="4"/>
        <v>0</v>
      </c>
    </row>
    <row r="670">
      <c r="A670" s="12"/>
      <c r="B670" s="12"/>
      <c r="C670" s="12"/>
      <c r="D670" s="91">
        <f>IFERROR(__xludf.DUMMYFUNCTION("IFERROR(sum(filter('Основной эфир'!$AA:$AA, 'Основной эфир'!$B:$B=$A670,'Основной эфир'!$C:$C=$B670,'Основной эфир'!$I:$I=$C670)), 0) "),0.0)</f>
        <v>0</v>
      </c>
      <c r="E670" s="91">
        <f>IFERROR(__xludf.DUMMYFUNCTION("IFERROR(sum(filter('Основной эфир'!$AC:$AC, 'Основной эфир'!$B:$B=$A670,'Основной эфир'!$C:$C=$B670,'Основной эфир'!$I:$I=$C670)), 0) "),0.0)</f>
        <v>0</v>
      </c>
      <c r="F670" s="91">
        <f>IFERROR(__xludf.DUMMYFUNCTION("IFERROR(sum(filter('Основной эфир'!$O:$O, 'Основной эфир'!$B:$B=$A670,'Основной эфир'!$C:$C=$B670,'Основной эфир'!$I:$I=$C670)), 0) "),0.0)</f>
        <v>0</v>
      </c>
      <c r="G670" s="91">
        <f>IFERROR(__xludf.DUMMYFUNCTION("IFERROR(sum(filter('Основной эфир'!$Q:$Q, 'Основной эфир'!$B:$B=$A670,'Основной эфир'!$C:$C=$B670,'Основной эфир'!$I:$I=$C670)), 0) "),0.0)</f>
        <v>0</v>
      </c>
      <c r="H670" s="91">
        <f>IFERROR(__xludf.DUMMYFUNCTION("IFERROR(AVERAGE(filter('Основной эфир'!$Y:$Y, 'Основной эфир'!$B:$B=$A670,'Основной эфир'!$C:$C=$B670,'Основной эфир'!$I:$I=$C670)), 0) "),0.0)</f>
        <v>0</v>
      </c>
      <c r="I670" s="91">
        <f>IFERROR(__xludf.DUMMYFUNCTION("IFERROR(AVERAGE(filter('Основной эфир'!$AE:$AE, 'Основной эфир'!$B:$B=$A670,'Основной эфир'!$C:$C=$B670,'Основной эфир'!$I:$I=$C670)), 0) "),0.0)</f>
        <v>0</v>
      </c>
      <c r="J670" s="91">
        <f>IFERROR(__xludf.DUMMYFUNCTION("IFERROR(SUM(filter('Основной эфир'!$AL:$AL, 'Основной эфир'!$B:$B=$A670,'Основной эфир'!$C:$C=$B670,'Основной эфир'!$I:$I=$C670)), 0) "),0.0)</f>
        <v>0</v>
      </c>
      <c r="K670" s="91" t="str">
        <f>IFERROR(__xludf.DUMMYFUNCTION("IFERROR(REGEXREPLACE(unique(filter('Основной эфир'!$A:$A, 'Основной эфир'!$B:$B=$A670,'Основной эфир'!$C:$C=$B670,'Основной эфир'!$I:$I=$C670)), ""\d+"", """"),"""")"),"")</f>
        <v/>
      </c>
      <c r="L670" s="91" t="str">
        <f>IFERROR(__xludf.DUMMYFUNCTION("IFERROR(unique(filter('Основной эфир'!$F:$F, 'Основной эфир'!$B:$B=$A670,'Основной эфир'!$C:$C=$B670,'Основной эфир'!$I:$I=$C670)),"""")"),"")</f>
        <v/>
      </c>
      <c r="M670" s="92" t="str">
        <f t="shared" si="1"/>
        <v/>
      </c>
      <c r="N670" s="93">
        <f>IFERROR(__xludf.DUMMYFUNCTION("IFERROR(SWITCH(lower(join("" "",L670:M670)),""а миллионник"", 62.5,""б миллионник"", 75,""а мск"", 50, ""б мск"", 62.5, ""a остальное"", 70, ""б остальное"", 80)/100,0)"),0.0)</f>
        <v>0</v>
      </c>
      <c r="O670" s="91">
        <f t="shared" si="2"/>
        <v>0</v>
      </c>
      <c r="P670" s="91">
        <f>IFERROR(__xludf.DUMMYFUNCTION("IFERROR(sum(filter('Генеральный баннер'!$O:$O, 'Генеральный баннер'!$B:$B=$A670,'Генеральный баннер'!$C:$C=$B670,'Генеральный баннер'!$I:$I=$C670)), 0) "),0.0)</f>
        <v>0</v>
      </c>
      <c r="Q670" s="91">
        <f>IFERROR(__xludf.DUMMYFUNCTION("IFERROR(sum(filter('Генеральный баннер'!$Q:$Q, 'Генеральный баннер'!$B:$B=$A670,'Генеральный баннер'!$C:$C=$B670,'Генеральный баннер'!$I:$I=$C670)), 0) "),0.0)</f>
        <v>0</v>
      </c>
      <c r="R670" s="91">
        <f>IFERROR(__xludf.DUMMYFUNCTION("IFERROR(AVERAGE(filter('Генеральный баннер'!$AA:$AA, 'Генеральный баннер'!$B:$B=$A670,'Генеральный баннер'!$C:$C=$B670,'Генеральный баннер'!$I:$I=$C670)), 0) "),0.0)</f>
        <v>0</v>
      </c>
      <c r="S670" s="91">
        <f>IFERROR(__xludf.DUMMYFUNCTION("IFERROR(SUM(filter('Генеральный баннер'!$AH:$AH, 'Генеральный баннер'!$B:$B=$A670,'Генеральный баннер'!$C:$C=$B670,'Генеральный баннер'!$I:$I=$C670)), 0) "),0.0)</f>
        <v>0</v>
      </c>
      <c r="T670" s="91" t="str">
        <f>IFERROR(__xludf.DUMMYFUNCTION("IFERROR(REGEXREPLACE(unique(filter('Генеральный баннер'!$A:$A, 'Генеральный баннер'!$B:$B=$A670,'Генеральный баннер'!$C:$C=$B670,'Генеральный баннер'!$I:$I=$C670)), ""\d+"", """"),"""")"),"")</f>
        <v/>
      </c>
      <c r="U670" s="91" t="str">
        <f>IFERROR(__xludf.DUMMYFUNCTION("IFERROR(unique(filter('Генеральный баннер'!$F:$F, 'Генеральный баннер'!$B:$B=$A670,'Генеральный баннер'!$C:$C=$B670,'Генеральный баннер'!$I:$I=$C670)),"""")"),"")</f>
        <v/>
      </c>
      <c r="V670" s="92" t="str">
        <f t="shared" si="3"/>
        <v/>
      </c>
      <c r="W670" s="93">
        <f>IFERROR(__xludf.DUMMYFUNCTION("IFERROR(SWITCH(lower(join("" "",U670:V670)),""а миллионник"", 62.5,""б миллионник"", 75,""а мск"", 50, ""б мск"", 62.5, ""a остальное"", 70, ""б остальное"", 80)/100,0)"),0.0)</f>
        <v>0</v>
      </c>
      <c r="X670" s="91">
        <f t="shared" si="4"/>
        <v>0</v>
      </c>
    </row>
    <row r="671">
      <c r="A671" s="12"/>
      <c r="B671" s="12"/>
      <c r="C671" s="12"/>
      <c r="D671" s="91">
        <f>IFERROR(__xludf.DUMMYFUNCTION("IFERROR(sum(filter('Основной эфир'!$AA:$AA, 'Основной эфир'!$B:$B=$A671,'Основной эфир'!$C:$C=$B671,'Основной эфир'!$I:$I=$C671)), 0) "),0.0)</f>
        <v>0</v>
      </c>
      <c r="E671" s="91">
        <f>IFERROR(__xludf.DUMMYFUNCTION("IFERROR(sum(filter('Основной эфир'!$AC:$AC, 'Основной эфир'!$B:$B=$A671,'Основной эфир'!$C:$C=$B671,'Основной эфир'!$I:$I=$C671)), 0) "),0.0)</f>
        <v>0</v>
      </c>
      <c r="F671" s="91">
        <f>IFERROR(__xludf.DUMMYFUNCTION("IFERROR(sum(filter('Основной эфир'!$O:$O, 'Основной эфир'!$B:$B=$A671,'Основной эфир'!$C:$C=$B671,'Основной эфир'!$I:$I=$C671)), 0) "),0.0)</f>
        <v>0</v>
      </c>
      <c r="G671" s="91">
        <f>IFERROR(__xludf.DUMMYFUNCTION("IFERROR(sum(filter('Основной эфир'!$Q:$Q, 'Основной эфир'!$B:$B=$A671,'Основной эфир'!$C:$C=$B671,'Основной эфир'!$I:$I=$C671)), 0) "),0.0)</f>
        <v>0</v>
      </c>
      <c r="H671" s="91">
        <f>IFERROR(__xludf.DUMMYFUNCTION("IFERROR(AVERAGE(filter('Основной эфир'!$Y:$Y, 'Основной эфир'!$B:$B=$A671,'Основной эфир'!$C:$C=$B671,'Основной эфир'!$I:$I=$C671)), 0) "),0.0)</f>
        <v>0</v>
      </c>
      <c r="I671" s="91">
        <f>IFERROR(__xludf.DUMMYFUNCTION("IFERROR(AVERAGE(filter('Основной эфир'!$AE:$AE, 'Основной эфир'!$B:$B=$A671,'Основной эфир'!$C:$C=$B671,'Основной эфир'!$I:$I=$C671)), 0) "),0.0)</f>
        <v>0</v>
      </c>
      <c r="J671" s="91">
        <f>IFERROR(__xludf.DUMMYFUNCTION("IFERROR(SUM(filter('Основной эфир'!$AL:$AL, 'Основной эфир'!$B:$B=$A671,'Основной эфир'!$C:$C=$B671,'Основной эфир'!$I:$I=$C671)), 0) "),0.0)</f>
        <v>0</v>
      </c>
      <c r="K671" s="91" t="str">
        <f>IFERROR(__xludf.DUMMYFUNCTION("IFERROR(REGEXREPLACE(unique(filter('Основной эфир'!$A:$A, 'Основной эфир'!$B:$B=$A671,'Основной эфир'!$C:$C=$B671,'Основной эфир'!$I:$I=$C671)), ""\d+"", """"),"""")"),"")</f>
        <v/>
      </c>
      <c r="L671" s="91" t="str">
        <f>IFERROR(__xludf.DUMMYFUNCTION("IFERROR(unique(filter('Основной эфир'!$F:$F, 'Основной эфир'!$B:$B=$A671,'Основной эфир'!$C:$C=$B671,'Основной эфир'!$I:$I=$C671)),"""")"),"")</f>
        <v/>
      </c>
      <c r="M671" s="92" t="str">
        <f t="shared" si="1"/>
        <v/>
      </c>
      <c r="N671" s="93">
        <f>IFERROR(__xludf.DUMMYFUNCTION("IFERROR(SWITCH(lower(join("" "",L671:M671)),""а миллионник"", 62.5,""б миллионник"", 75,""а мск"", 50, ""б мск"", 62.5, ""a остальное"", 70, ""б остальное"", 80)/100,0)"),0.0)</f>
        <v>0</v>
      </c>
      <c r="O671" s="91">
        <f t="shared" si="2"/>
        <v>0</v>
      </c>
      <c r="P671" s="91">
        <f>IFERROR(__xludf.DUMMYFUNCTION("IFERROR(sum(filter('Генеральный баннер'!$O:$O, 'Генеральный баннер'!$B:$B=$A671,'Генеральный баннер'!$C:$C=$B671,'Генеральный баннер'!$I:$I=$C671)), 0) "),0.0)</f>
        <v>0</v>
      </c>
      <c r="Q671" s="91">
        <f>IFERROR(__xludf.DUMMYFUNCTION("IFERROR(sum(filter('Генеральный баннер'!$Q:$Q, 'Генеральный баннер'!$B:$B=$A671,'Генеральный баннер'!$C:$C=$B671,'Генеральный баннер'!$I:$I=$C671)), 0) "),0.0)</f>
        <v>0</v>
      </c>
      <c r="R671" s="91">
        <f>IFERROR(__xludf.DUMMYFUNCTION("IFERROR(AVERAGE(filter('Генеральный баннер'!$AA:$AA, 'Генеральный баннер'!$B:$B=$A671,'Генеральный баннер'!$C:$C=$B671,'Генеральный баннер'!$I:$I=$C671)), 0) "),0.0)</f>
        <v>0</v>
      </c>
      <c r="S671" s="91">
        <f>IFERROR(__xludf.DUMMYFUNCTION("IFERROR(SUM(filter('Генеральный баннер'!$AH:$AH, 'Генеральный баннер'!$B:$B=$A671,'Генеральный баннер'!$C:$C=$B671,'Генеральный баннер'!$I:$I=$C671)), 0) "),0.0)</f>
        <v>0</v>
      </c>
      <c r="T671" s="91" t="str">
        <f>IFERROR(__xludf.DUMMYFUNCTION("IFERROR(REGEXREPLACE(unique(filter('Генеральный баннер'!$A:$A, 'Генеральный баннер'!$B:$B=$A671,'Генеральный баннер'!$C:$C=$B671,'Генеральный баннер'!$I:$I=$C671)), ""\d+"", """"),"""")"),"")</f>
        <v/>
      </c>
      <c r="U671" s="91" t="str">
        <f>IFERROR(__xludf.DUMMYFUNCTION("IFERROR(unique(filter('Генеральный баннер'!$F:$F, 'Генеральный баннер'!$B:$B=$A671,'Генеральный баннер'!$C:$C=$B671,'Генеральный баннер'!$I:$I=$C671)),"""")"),"")</f>
        <v/>
      </c>
      <c r="V671" s="92" t="str">
        <f t="shared" si="3"/>
        <v/>
      </c>
      <c r="W671" s="93">
        <f>IFERROR(__xludf.DUMMYFUNCTION("IFERROR(SWITCH(lower(join("" "",U671:V671)),""а миллионник"", 62.5,""б миллионник"", 75,""а мск"", 50, ""б мск"", 62.5, ""a остальное"", 70, ""б остальное"", 80)/100,0)"),0.0)</f>
        <v>0</v>
      </c>
      <c r="X671" s="91">
        <f t="shared" si="4"/>
        <v>0</v>
      </c>
    </row>
    <row r="672">
      <c r="A672" s="12"/>
      <c r="B672" s="12"/>
      <c r="C672" s="12"/>
      <c r="D672" s="91">
        <f>IFERROR(__xludf.DUMMYFUNCTION("IFERROR(sum(filter('Основной эфир'!$AA:$AA, 'Основной эфир'!$B:$B=$A672,'Основной эфир'!$C:$C=$B672,'Основной эфир'!$I:$I=$C672)), 0) "),0.0)</f>
        <v>0</v>
      </c>
      <c r="E672" s="91">
        <f>IFERROR(__xludf.DUMMYFUNCTION("IFERROR(sum(filter('Основной эфир'!$AC:$AC, 'Основной эфир'!$B:$B=$A672,'Основной эфир'!$C:$C=$B672,'Основной эфир'!$I:$I=$C672)), 0) "),0.0)</f>
        <v>0</v>
      </c>
      <c r="F672" s="91">
        <f>IFERROR(__xludf.DUMMYFUNCTION("IFERROR(sum(filter('Основной эфир'!$O:$O, 'Основной эфир'!$B:$B=$A672,'Основной эфир'!$C:$C=$B672,'Основной эфир'!$I:$I=$C672)), 0) "),0.0)</f>
        <v>0</v>
      </c>
      <c r="G672" s="91">
        <f>IFERROR(__xludf.DUMMYFUNCTION("IFERROR(sum(filter('Основной эфир'!$Q:$Q, 'Основной эфир'!$B:$B=$A672,'Основной эфир'!$C:$C=$B672,'Основной эфир'!$I:$I=$C672)), 0) "),0.0)</f>
        <v>0</v>
      </c>
      <c r="H672" s="91">
        <f>IFERROR(__xludf.DUMMYFUNCTION("IFERROR(AVERAGE(filter('Основной эфир'!$Y:$Y, 'Основной эфир'!$B:$B=$A672,'Основной эфир'!$C:$C=$B672,'Основной эфир'!$I:$I=$C672)), 0) "),0.0)</f>
        <v>0</v>
      </c>
      <c r="I672" s="91">
        <f>IFERROR(__xludf.DUMMYFUNCTION("IFERROR(AVERAGE(filter('Основной эфир'!$AE:$AE, 'Основной эфир'!$B:$B=$A672,'Основной эфир'!$C:$C=$B672,'Основной эфир'!$I:$I=$C672)), 0) "),0.0)</f>
        <v>0</v>
      </c>
      <c r="J672" s="91">
        <f>IFERROR(__xludf.DUMMYFUNCTION("IFERROR(SUM(filter('Основной эфир'!$AL:$AL, 'Основной эфир'!$B:$B=$A672,'Основной эфир'!$C:$C=$B672,'Основной эфир'!$I:$I=$C672)), 0) "),0.0)</f>
        <v>0</v>
      </c>
      <c r="K672" s="91" t="str">
        <f>IFERROR(__xludf.DUMMYFUNCTION("IFERROR(REGEXREPLACE(unique(filter('Основной эфир'!$A:$A, 'Основной эфир'!$B:$B=$A672,'Основной эфир'!$C:$C=$B672,'Основной эфир'!$I:$I=$C672)), ""\d+"", """"),"""")"),"")</f>
        <v/>
      </c>
      <c r="L672" s="91" t="str">
        <f>IFERROR(__xludf.DUMMYFUNCTION("IFERROR(unique(filter('Основной эфир'!$F:$F, 'Основной эфир'!$B:$B=$A672,'Основной эфир'!$C:$C=$B672,'Основной эфир'!$I:$I=$C672)),"""")"),"")</f>
        <v/>
      </c>
      <c r="M672" s="92" t="str">
        <f t="shared" si="1"/>
        <v/>
      </c>
      <c r="N672" s="93">
        <f>IFERROR(__xludf.DUMMYFUNCTION("IFERROR(SWITCH(lower(join("" "",L672:M672)),""а миллионник"", 62.5,""б миллионник"", 75,""а мск"", 50, ""б мск"", 62.5, ""a остальное"", 70, ""б остальное"", 80)/100,0)"),0.0)</f>
        <v>0</v>
      </c>
      <c r="O672" s="91">
        <f t="shared" si="2"/>
        <v>0</v>
      </c>
      <c r="P672" s="91">
        <f>IFERROR(__xludf.DUMMYFUNCTION("IFERROR(sum(filter('Генеральный баннер'!$O:$O, 'Генеральный баннер'!$B:$B=$A672,'Генеральный баннер'!$C:$C=$B672,'Генеральный баннер'!$I:$I=$C672)), 0) "),0.0)</f>
        <v>0</v>
      </c>
      <c r="Q672" s="91">
        <f>IFERROR(__xludf.DUMMYFUNCTION("IFERROR(sum(filter('Генеральный баннер'!$Q:$Q, 'Генеральный баннер'!$B:$B=$A672,'Генеральный баннер'!$C:$C=$B672,'Генеральный баннер'!$I:$I=$C672)), 0) "),0.0)</f>
        <v>0</v>
      </c>
      <c r="R672" s="91">
        <f>IFERROR(__xludf.DUMMYFUNCTION("IFERROR(AVERAGE(filter('Генеральный баннер'!$AA:$AA, 'Генеральный баннер'!$B:$B=$A672,'Генеральный баннер'!$C:$C=$B672,'Генеральный баннер'!$I:$I=$C672)), 0) "),0.0)</f>
        <v>0</v>
      </c>
      <c r="S672" s="91">
        <f>IFERROR(__xludf.DUMMYFUNCTION("IFERROR(SUM(filter('Генеральный баннер'!$AH:$AH, 'Генеральный баннер'!$B:$B=$A672,'Генеральный баннер'!$C:$C=$B672,'Генеральный баннер'!$I:$I=$C672)), 0) "),0.0)</f>
        <v>0</v>
      </c>
      <c r="T672" s="91" t="str">
        <f>IFERROR(__xludf.DUMMYFUNCTION("IFERROR(REGEXREPLACE(unique(filter('Генеральный баннер'!$A:$A, 'Генеральный баннер'!$B:$B=$A672,'Генеральный баннер'!$C:$C=$B672,'Генеральный баннер'!$I:$I=$C672)), ""\d+"", """"),"""")"),"")</f>
        <v/>
      </c>
      <c r="U672" s="91" t="str">
        <f>IFERROR(__xludf.DUMMYFUNCTION("IFERROR(unique(filter('Генеральный баннер'!$F:$F, 'Генеральный баннер'!$B:$B=$A672,'Генеральный баннер'!$C:$C=$B672,'Генеральный баннер'!$I:$I=$C672)),"""")"),"")</f>
        <v/>
      </c>
      <c r="V672" s="92" t="str">
        <f t="shared" si="3"/>
        <v/>
      </c>
      <c r="W672" s="93">
        <f>IFERROR(__xludf.DUMMYFUNCTION("IFERROR(SWITCH(lower(join("" "",U672:V672)),""а миллионник"", 62.5,""б миллионник"", 75,""а мск"", 50, ""б мск"", 62.5, ""a остальное"", 70, ""б остальное"", 80)/100,0)"),0.0)</f>
        <v>0</v>
      </c>
      <c r="X672" s="91">
        <f t="shared" si="4"/>
        <v>0</v>
      </c>
    </row>
    <row r="673">
      <c r="A673" s="12"/>
      <c r="B673" s="12"/>
      <c r="C673" s="12"/>
      <c r="D673" s="91">
        <f>IFERROR(__xludf.DUMMYFUNCTION("IFERROR(sum(filter('Основной эфир'!$AA:$AA, 'Основной эфир'!$B:$B=$A673,'Основной эфир'!$C:$C=$B673,'Основной эфир'!$I:$I=$C673)), 0) "),0.0)</f>
        <v>0</v>
      </c>
      <c r="E673" s="91">
        <f>IFERROR(__xludf.DUMMYFUNCTION("IFERROR(sum(filter('Основной эфир'!$AC:$AC, 'Основной эфир'!$B:$B=$A673,'Основной эфир'!$C:$C=$B673,'Основной эфир'!$I:$I=$C673)), 0) "),0.0)</f>
        <v>0</v>
      </c>
      <c r="F673" s="91">
        <f>IFERROR(__xludf.DUMMYFUNCTION("IFERROR(sum(filter('Основной эфир'!$O:$O, 'Основной эфир'!$B:$B=$A673,'Основной эфир'!$C:$C=$B673,'Основной эфир'!$I:$I=$C673)), 0) "),0.0)</f>
        <v>0</v>
      </c>
      <c r="G673" s="91">
        <f>IFERROR(__xludf.DUMMYFUNCTION("IFERROR(sum(filter('Основной эфир'!$Q:$Q, 'Основной эфир'!$B:$B=$A673,'Основной эфир'!$C:$C=$B673,'Основной эфир'!$I:$I=$C673)), 0) "),0.0)</f>
        <v>0</v>
      </c>
      <c r="H673" s="91">
        <f>IFERROR(__xludf.DUMMYFUNCTION("IFERROR(AVERAGE(filter('Основной эфир'!$Y:$Y, 'Основной эфир'!$B:$B=$A673,'Основной эфир'!$C:$C=$B673,'Основной эфир'!$I:$I=$C673)), 0) "),0.0)</f>
        <v>0</v>
      </c>
      <c r="I673" s="91">
        <f>IFERROR(__xludf.DUMMYFUNCTION("IFERROR(AVERAGE(filter('Основной эфир'!$AE:$AE, 'Основной эфир'!$B:$B=$A673,'Основной эфир'!$C:$C=$B673,'Основной эфир'!$I:$I=$C673)), 0) "),0.0)</f>
        <v>0</v>
      </c>
      <c r="J673" s="91">
        <f>IFERROR(__xludf.DUMMYFUNCTION("IFERROR(SUM(filter('Основной эфир'!$AL:$AL, 'Основной эфир'!$B:$B=$A673,'Основной эфир'!$C:$C=$B673,'Основной эфир'!$I:$I=$C673)), 0) "),0.0)</f>
        <v>0</v>
      </c>
      <c r="K673" s="91" t="str">
        <f>IFERROR(__xludf.DUMMYFUNCTION("IFERROR(REGEXREPLACE(unique(filter('Основной эфир'!$A:$A, 'Основной эфир'!$B:$B=$A673,'Основной эфир'!$C:$C=$B673,'Основной эфир'!$I:$I=$C673)), ""\d+"", """"),"""")"),"")</f>
        <v/>
      </c>
      <c r="L673" s="91" t="str">
        <f>IFERROR(__xludf.DUMMYFUNCTION("IFERROR(unique(filter('Основной эфир'!$F:$F, 'Основной эфир'!$B:$B=$A673,'Основной эфир'!$C:$C=$B673,'Основной эфир'!$I:$I=$C673)),"""")"),"")</f>
        <v/>
      </c>
      <c r="M673" s="92" t="str">
        <f t="shared" si="1"/>
        <v/>
      </c>
      <c r="N673" s="93">
        <f>IFERROR(__xludf.DUMMYFUNCTION("IFERROR(SWITCH(lower(join("" "",L673:M673)),""а миллионник"", 62.5,""б миллионник"", 75,""а мск"", 50, ""б мск"", 62.5, ""a остальное"", 70, ""б остальное"", 80)/100,0)"),0.0)</f>
        <v>0</v>
      </c>
      <c r="O673" s="91">
        <f t="shared" si="2"/>
        <v>0</v>
      </c>
      <c r="P673" s="91">
        <f>IFERROR(__xludf.DUMMYFUNCTION("IFERROR(sum(filter('Генеральный баннер'!$O:$O, 'Генеральный баннер'!$B:$B=$A673,'Генеральный баннер'!$C:$C=$B673,'Генеральный баннер'!$I:$I=$C673)), 0) "),0.0)</f>
        <v>0</v>
      </c>
      <c r="Q673" s="91">
        <f>IFERROR(__xludf.DUMMYFUNCTION("IFERROR(sum(filter('Генеральный баннер'!$Q:$Q, 'Генеральный баннер'!$B:$B=$A673,'Генеральный баннер'!$C:$C=$B673,'Генеральный баннер'!$I:$I=$C673)), 0) "),0.0)</f>
        <v>0</v>
      </c>
      <c r="R673" s="91">
        <f>IFERROR(__xludf.DUMMYFUNCTION("IFERROR(AVERAGE(filter('Генеральный баннер'!$AA:$AA, 'Генеральный баннер'!$B:$B=$A673,'Генеральный баннер'!$C:$C=$B673,'Генеральный баннер'!$I:$I=$C673)), 0) "),0.0)</f>
        <v>0</v>
      </c>
      <c r="S673" s="91">
        <f>IFERROR(__xludf.DUMMYFUNCTION("IFERROR(SUM(filter('Генеральный баннер'!$AH:$AH, 'Генеральный баннер'!$B:$B=$A673,'Генеральный баннер'!$C:$C=$B673,'Генеральный баннер'!$I:$I=$C673)), 0) "),0.0)</f>
        <v>0</v>
      </c>
      <c r="T673" s="91" t="str">
        <f>IFERROR(__xludf.DUMMYFUNCTION("IFERROR(REGEXREPLACE(unique(filter('Генеральный баннер'!$A:$A, 'Генеральный баннер'!$B:$B=$A673,'Генеральный баннер'!$C:$C=$B673,'Генеральный баннер'!$I:$I=$C673)), ""\d+"", """"),"""")"),"")</f>
        <v/>
      </c>
      <c r="U673" s="91" t="str">
        <f>IFERROR(__xludf.DUMMYFUNCTION("IFERROR(unique(filter('Генеральный баннер'!$F:$F, 'Генеральный баннер'!$B:$B=$A673,'Генеральный баннер'!$C:$C=$B673,'Генеральный баннер'!$I:$I=$C673)),"""")"),"")</f>
        <v/>
      </c>
      <c r="V673" s="92" t="str">
        <f t="shared" si="3"/>
        <v/>
      </c>
      <c r="W673" s="93">
        <f>IFERROR(__xludf.DUMMYFUNCTION("IFERROR(SWITCH(lower(join("" "",U673:V673)),""а миллионник"", 62.5,""б миллионник"", 75,""а мск"", 50, ""б мск"", 62.5, ""a остальное"", 70, ""б остальное"", 80)/100,0)"),0.0)</f>
        <v>0</v>
      </c>
      <c r="X673" s="91">
        <f t="shared" si="4"/>
        <v>0</v>
      </c>
    </row>
    <row r="674">
      <c r="A674" s="12"/>
      <c r="B674" s="12"/>
      <c r="C674" s="12"/>
      <c r="D674" s="91">
        <f>IFERROR(__xludf.DUMMYFUNCTION("IFERROR(sum(filter('Основной эфир'!$AA:$AA, 'Основной эфир'!$B:$B=$A674,'Основной эфир'!$C:$C=$B674,'Основной эфир'!$I:$I=$C674)), 0) "),0.0)</f>
        <v>0</v>
      </c>
      <c r="E674" s="91">
        <f>IFERROR(__xludf.DUMMYFUNCTION("IFERROR(sum(filter('Основной эфир'!$AC:$AC, 'Основной эфир'!$B:$B=$A674,'Основной эфир'!$C:$C=$B674,'Основной эфир'!$I:$I=$C674)), 0) "),0.0)</f>
        <v>0</v>
      </c>
      <c r="F674" s="91">
        <f>IFERROR(__xludf.DUMMYFUNCTION("IFERROR(sum(filter('Основной эфир'!$O:$O, 'Основной эфир'!$B:$B=$A674,'Основной эфир'!$C:$C=$B674,'Основной эфир'!$I:$I=$C674)), 0) "),0.0)</f>
        <v>0</v>
      </c>
      <c r="G674" s="91">
        <f>IFERROR(__xludf.DUMMYFUNCTION("IFERROR(sum(filter('Основной эфир'!$Q:$Q, 'Основной эфир'!$B:$B=$A674,'Основной эфир'!$C:$C=$B674,'Основной эфир'!$I:$I=$C674)), 0) "),0.0)</f>
        <v>0</v>
      </c>
      <c r="H674" s="91">
        <f>IFERROR(__xludf.DUMMYFUNCTION("IFERROR(AVERAGE(filter('Основной эфир'!$Y:$Y, 'Основной эфир'!$B:$B=$A674,'Основной эфир'!$C:$C=$B674,'Основной эфир'!$I:$I=$C674)), 0) "),0.0)</f>
        <v>0</v>
      </c>
      <c r="I674" s="91">
        <f>IFERROR(__xludf.DUMMYFUNCTION("IFERROR(AVERAGE(filter('Основной эфир'!$AE:$AE, 'Основной эфир'!$B:$B=$A674,'Основной эфир'!$C:$C=$B674,'Основной эфир'!$I:$I=$C674)), 0) "),0.0)</f>
        <v>0</v>
      </c>
      <c r="J674" s="91">
        <f>IFERROR(__xludf.DUMMYFUNCTION("IFERROR(SUM(filter('Основной эфир'!$AL:$AL, 'Основной эфир'!$B:$B=$A674,'Основной эфир'!$C:$C=$B674,'Основной эфир'!$I:$I=$C674)), 0) "),0.0)</f>
        <v>0</v>
      </c>
      <c r="K674" s="91" t="str">
        <f>IFERROR(__xludf.DUMMYFUNCTION("IFERROR(REGEXREPLACE(unique(filter('Основной эфир'!$A:$A, 'Основной эфир'!$B:$B=$A674,'Основной эфир'!$C:$C=$B674,'Основной эфир'!$I:$I=$C674)), ""\d+"", """"),"""")"),"")</f>
        <v/>
      </c>
      <c r="L674" s="91" t="str">
        <f>IFERROR(__xludf.DUMMYFUNCTION("IFERROR(unique(filter('Основной эфир'!$F:$F, 'Основной эфир'!$B:$B=$A674,'Основной эфир'!$C:$C=$B674,'Основной эфир'!$I:$I=$C674)),"""")"),"")</f>
        <v/>
      </c>
      <c r="M674" s="92" t="str">
        <f t="shared" si="1"/>
        <v/>
      </c>
      <c r="N674" s="93">
        <f>IFERROR(__xludf.DUMMYFUNCTION("IFERROR(SWITCH(lower(join("" "",L674:M674)),""а миллионник"", 62.5,""б миллионник"", 75,""а мск"", 50, ""б мск"", 62.5, ""a остальное"", 70, ""б остальное"", 80)/100,0)"),0.0)</f>
        <v>0</v>
      </c>
      <c r="O674" s="91">
        <f t="shared" si="2"/>
        <v>0</v>
      </c>
      <c r="P674" s="91">
        <f>IFERROR(__xludf.DUMMYFUNCTION("IFERROR(sum(filter('Генеральный баннер'!$O:$O, 'Генеральный баннер'!$B:$B=$A674,'Генеральный баннер'!$C:$C=$B674,'Генеральный баннер'!$I:$I=$C674)), 0) "),0.0)</f>
        <v>0</v>
      </c>
      <c r="Q674" s="91">
        <f>IFERROR(__xludf.DUMMYFUNCTION("IFERROR(sum(filter('Генеральный баннер'!$Q:$Q, 'Генеральный баннер'!$B:$B=$A674,'Генеральный баннер'!$C:$C=$B674,'Генеральный баннер'!$I:$I=$C674)), 0) "),0.0)</f>
        <v>0</v>
      </c>
      <c r="R674" s="91">
        <f>IFERROR(__xludf.DUMMYFUNCTION("IFERROR(AVERAGE(filter('Генеральный баннер'!$AA:$AA, 'Генеральный баннер'!$B:$B=$A674,'Генеральный баннер'!$C:$C=$B674,'Генеральный баннер'!$I:$I=$C674)), 0) "),0.0)</f>
        <v>0</v>
      </c>
      <c r="S674" s="91">
        <f>IFERROR(__xludf.DUMMYFUNCTION("IFERROR(SUM(filter('Генеральный баннер'!$AH:$AH, 'Генеральный баннер'!$B:$B=$A674,'Генеральный баннер'!$C:$C=$B674,'Генеральный баннер'!$I:$I=$C674)), 0) "),0.0)</f>
        <v>0</v>
      </c>
      <c r="T674" s="91" t="str">
        <f>IFERROR(__xludf.DUMMYFUNCTION("IFERROR(REGEXREPLACE(unique(filter('Генеральный баннер'!$A:$A, 'Генеральный баннер'!$B:$B=$A674,'Генеральный баннер'!$C:$C=$B674,'Генеральный баннер'!$I:$I=$C674)), ""\d+"", """"),"""")"),"")</f>
        <v/>
      </c>
      <c r="U674" s="91" t="str">
        <f>IFERROR(__xludf.DUMMYFUNCTION("IFERROR(unique(filter('Генеральный баннер'!$F:$F, 'Генеральный баннер'!$B:$B=$A674,'Генеральный баннер'!$C:$C=$B674,'Генеральный баннер'!$I:$I=$C674)),"""")"),"")</f>
        <v/>
      </c>
      <c r="V674" s="92" t="str">
        <f t="shared" si="3"/>
        <v/>
      </c>
      <c r="W674" s="93">
        <f>IFERROR(__xludf.DUMMYFUNCTION("IFERROR(SWITCH(lower(join("" "",U674:V674)),""а миллионник"", 62.5,""б миллионник"", 75,""а мск"", 50, ""б мск"", 62.5, ""a остальное"", 70, ""б остальное"", 80)/100,0)"),0.0)</f>
        <v>0</v>
      </c>
      <c r="X674" s="91">
        <f t="shared" si="4"/>
        <v>0</v>
      </c>
    </row>
    <row r="675">
      <c r="A675" s="12"/>
      <c r="B675" s="12"/>
      <c r="C675" s="12"/>
      <c r="D675" s="91">
        <f>IFERROR(__xludf.DUMMYFUNCTION("IFERROR(sum(filter('Основной эфир'!$AA:$AA, 'Основной эфир'!$B:$B=$A675,'Основной эфир'!$C:$C=$B675,'Основной эфир'!$I:$I=$C675)), 0) "),0.0)</f>
        <v>0</v>
      </c>
      <c r="E675" s="91">
        <f>IFERROR(__xludf.DUMMYFUNCTION("IFERROR(sum(filter('Основной эфир'!$AC:$AC, 'Основной эфир'!$B:$B=$A675,'Основной эфир'!$C:$C=$B675,'Основной эфир'!$I:$I=$C675)), 0) "),0.0)</f>
        <v>0</v>
      </c>
      <c r="F675" s="91">
        <f>IFERROR(__xludf.DUMMYFUNCTION("IFERROR(sum(filter('Основной эфир'!$O:$O, 'Основной эфир'!$B:$B=$A675,'Основной эфир'!$C:$C=$B675,'Основной эфир'!$I:$I=$C675)), 0) "),0.0)</f>
        <v>0</v>
      </c>
      <c r="G675" s="91">
        <f>IFERROR(__xludf.DUMMYFUNCTION("IFERROR(sum(filter('Основной эфир'!$Q:$Q, 'Основной эфир'!$B:$B=$A675,'Основной эфир'!$C:$C=$B675,'Основной эфир'!$I:$I=$C675)), 0) "),0.0)</f>
        <v>0</v>
      </c>
      <c r="H675" s="91">
        <f>IFERROR(__xludf.DUMMYFUNCTION("IFERROR(AVERAGE(filter('Основной эфир'!$Y:$Y, 'Основной эфир'!$B:$B=$A675,'Основной эфир'!$C:$C=$B675,'Основной эфир'!$I:$I=$C675)), 0) "),0.0)</f>
        <v>0</v>
      </c>
      <c r="I675" s="91">
        <f>IFERROR(__xludf.DUMMYFUNCTION("IFERROR(AVERAGE(filter('Основной эфир'!$AE:$AE, 'Основной эфир'!$B:$B=$A675,'Основной эфир'!$C:$C=$B675,'Основной эфир'!$I:$I=$C675)), 0) "),0.0)</f>
        <v>0</v>
      </c>
      <c r="J675" s="91">
        <f>IFERROR(__xludf.DUMMYFUNCTION("IFERROR(SUM(filter('Основной эфир'!$AL:$AL, 'Основной эфир'!$B:$B=$A675,'Основной эфир'!$C:$C=$B675,'Основной эфир'!$I:$I=$C675)), 0) "),0.0)</f>
        <v>0</v>
      </c>
      <c r="K675" s="91" t="str">
        <f>IFERROR(__xludf.DUMMYFUNCTION("IFERROR(REGEXREPLACE(unique(filter('Основной эфир'!$A:$A, 'Основной эфир'!$B:$B=$A675,'Основной эфир'!$C:$C=$B675,'Основной эфир'!$I:$I=$C675)), ""\d+"", """"),"""")"),"")</f>
        <v/>
      </c>
      <c r="L675" s="91" t="str">
        <f>IFERROR(__xludf.DUMMYFUNCTION("IFERROR(unique(filter('Основной эфир'!$F:$F, 'Основной эфир'!$B:$B=$A675,'Основной эфир'!$C:$C=$B675,'Основной эфир'!$I:$I=$C675)),"""")"),"")</f>
        <v/>
      </c>
      <c r="M675" s="92" t="str">
        <f t="shared" si="1"/>
        <v/>
      </c>
      <c r="N675" s="93">
        <f>IFERROR(__xludf.DUMMYFUNCTION("IFERROR(SWITCH(lower(join("" "",L675:M675)),""а миллионник"", 62.5,""б миллионник"", 75,""а мск"", 50, ""б мск"", 62.5, ""a остальное"", 70, ""б остальное"", 80)/100,0)"),0.0)</f>
        <v>0</v>
      </c>
      <c r="O675" s="91">
        <f t="shared" si="2"/>
        <v>0</v>
      </c>
      <c r="P675" s="91">
        <f>IFERROR(__xludf.DUMMYFUNCTION("IFERROR(sum(filter('Генеральный баннер'!$O:$O, 'Генеральный баннер'!$B:$B=$A675,'Генеральный баннер'!$C:$C=$B675,'Генеральный баннер'!$I:$I=$C675)), 0) "),0.0)</f>
        <v>0</v>
      </c>
      <c r="Q675" s="91">
        <f>IFERROR(__xludf.DUMMYFUNCTION("IFERROR(sum(filter('Генеральный баннер'!$Q:$Q, 'Генеральный баннер'!$B:$B=$A675,'Генеральный баннер'!$C:$C=$B675,'Генеральный баннер'!$I:$I=$C675)), 0) "),0.0)</f>
        <v>0</v>
      </c>
      <c r="R675" s="91">
        <f>IFERROR(__xludf.DUMMYFUNCTION("IFERROR(AVERAGE(filter('Генеральный баннер'!$AA:$AA, 'Генеральный баннер'!$B:$B=$A675,'Генеральный баннер'!$C:$C=$B675,'Генеральный баннер'!$I:$I=$C675)), 0) "),0.0)</f>
        <v>0</v>
      </c>
      <c r="S675" s="91">
        <f>IFERROR(__xludf.DUMMYFUNCTION("IFERROR(SUM(filter('Генеральный баннер'!$AH:$AH, 'Генеральный баннер'!$B:$B=$A675,'Генеральный баннер'!$C:$C=$B675,'Генеральный баннер'!$I:$I=$C675)), 0) "),0.0)</f>
        <v>0</v>
      </c>
      <c r="T675" s="91" t="str">
        <f>IFERROR(__xludf.DUMMYFUNCTION("IFERROR(REGEXREPLACE(unique(filter('Генеральный баннер'!$A:$A, 'Генеральный баннер'!$B:$B=$A675,'Генеральный баннер'!$C:$C=$B675,'Генеральный баннер'!$I:$I=$C675)), ""\d+"", """"),"""")"),"")</f>
        <v/>
      </c>
      <c r="U675" s="91" t="str">
        <f>IFERROR(__xludf.DUMMYFUNCTION("IFERROR(unique(filter('Генеральный баннер'!$F:$F, 'Генеральный баннер'!$B:$B=$A675,'Генеральный баннер'!$C:$C=$B675,'Генеральный баннер'!$I:$I=$C675)),"""")"),"")</f>
        <v/>
      </c>
      <c r="V675" s="92" t="str">
        <f t="shared" si="3"/>
        <v/>
      </c>
      <c r="W675" s="93">
        <f>IFERROR(__xludf.DUMMYFUNCTION("IFERROR(SWITCH(lower(join("" "",U675:V675)),""а миллионник"", 62.5,""б миллионник"", 75,""а мск"", 50, ""б мск"", 62.5, ""a остальное"", 70, ""б остальное"", 80)/100,0)"),0.0)</f>
        <v>0</v>
      </c>
      <c r="X675" s="91">
        <f t="shared" si="4"/>
        <v>0</v>
      </c>
    </row>
    <row r="676">
      <c r="A676" s="12"/>
      <c r="B676" s="12"/>
      <c r="C676" s="12"/>
      <c r="D676" s="91">
        <f>IFERROR(__xludf.DUMMYFUNCTION("IFERROR(sum(filter('Основной эфир'!$AA:$AA, 'Основной эфир'!$B:$B=$A676,'Основной эфир'!$C:$C=$B676,'Основной эфир'!$I:$I=$C676)), 0) "),0.0)</f>
        <v>0</v>
      </c>
      <c r="E676" s="91">
        <f>IFERROR(__xludf.DUMMYFUNCTION("IFERROR(sum(filter('Основной эфир'!$AC:$AC, 'Основной эфир'!$B:$B=$A676,'Основной эфир'!$C:$C=$B676,'Основной эфир'!$I:$I=$C676)), 0) "),0.0)</f>
        <v>0</v>
      </c>
      <c r="F676" s="91">
        <f>IFERROR(__xludf.DUMMYFUNCTION("IFERROR(sum(filter('Основной эфир'!$O:$O, 'Основной эфир'!$B:$B=$A676,'Основной эфир'!$C:$C=$B676,'Основной эфир'!$I:$I=$C676)), 0) "),0.0)</f>
        <v>0</v>
      </c>
      <c r="G676" s="91">
        <f>IFERROR(__xludf.DUMMYFUNCTION("IFERROR(sum(filter('Основной эфир'!$Q:$Q, 'Основной эфир'!$B:$B=$A676,'Основной эфир'!$C:$C=$B676,'Основной эфир'!$I:$I=$C676)), 0) "),0.0)</f>
        <v>0</v>
      </c>
      <c r="H676" s="91">
        <f>IFERROR(__xludf.DUMMYFUNCTION("IFERROR(AVERAGE(filter('Основной эфир'!$Y:$Y, 'Основной эфир'!$B:$B=$A676,'Основной эфир'!$C:$C=$B676,'Основной эфир'!$I:$I=$C676)), 0) "),0.0)</f>
        <v>0</v>
      </c>
      <c r="I676" s="91">
        <f>IFERROR(__xludf.DUMMYFUNCTION("IFERROR(AVERAGE(filter('Основной эфир'!$AE:$AE, 'Основной эфир'!$B:$B=$A676,'Основной эфир'!$C:$C=$B676,'Основной эфир'!$I:$I=$C676)), 0) "),0.0)</f>
        <v>0</v>
      </c>
      <c r="J676" s="91">
        <f>IFERROR(__xludf.DUMMYFUNCTION("IFERROR(SUM(filter('Основной эфир'!$AL:$AL, 'Основной эфир'!$B:$B=$A676,'Основной эфир'!$C:$C=$B676,'Основной эфир'!$I:$I=$C676)), 0) "),0.0)</f>
        <v>0</v>
      </c>
      <c r="K676" s="91" t="str">
        <f>IFERROR(__xludf.DUMMYFUNCTION("IFERROR(REGEXREPLACE(unique(filter('Основной эфир'!$A:$A, 'Основной эфир'!$B:$B=$A676,'Основной эфир'!$C:$C=$B676,'Основной эфир'!$I:$I=$C676)), ""\d+"", """"),"""")"),"")</f>
        <v/>
      </c>
      <c r="L676" s="91" t="str">
        <f>IFERROR(__xludf.DUMMYFUNCTION("IFERROR(unique(filter('Основной эфир'!$F:$F, 'Основной эфир'!$B:$B=$A676,'Основной эфир'!$C:$C=$B676,'Основной эфир'!$I:$I=$C676)),"""")"),"")</f>
        <v/>
      </c>
      <c r="M676" s="92" t="str">
        <f t="shared" si="1"/>
        <v/>
      </c>
      <c r="N676" s="93">
        <f>IFERROR(__xludf.DUMMYFUNCTION("IFERROR(SWITCH(lower(join("" "",L676:M676)),""а миллионник"", 62.5,""б миллионник"", 75,""а мск"", 50, ""б мск"", 62.5, ""a остальное"", 70, ""б остальное"", 80)/100,0)"),0.0)</f>
        <v>0</v>
      </c>
      <c r="O676" s="91">
        <f t="shared" si="2"/>
        <v>0</v>
      </c>
      <c r="P676" s="91">
        <f>IFERROR(__xludf.DUMMYFUNCTION("IFERROR(sum(filter('Генеральный баннер'!$O:$O, 'Генеральный баннер'!$B:$B=$A676,'Генеральный баннер'!$C:$C=$B676,'Генеральный баннер'!$I:$I=$C676)), 0) "),0.0)</f>
        <v>0</v>
      </c>
      <c r="Q676" s="91">
        <f>IFERROR(__xludf.DUMMYFUNCTION("IFERROR(sum(filter('Генеральный баннер'!$Q:$Q, 'Генеральный баннер'!$B:$B=$A676,'Генеральный баннер'!$C:$C=$B676,'Генеральный баннер'!$I:$I=$C676)), 0) "),0.0)</f>
        <v>0</v>
      </c>
      <c r="R676" s="91">
        <f>IFERROR(__xludf.DUMMYFUNCTION("IFERROR(AVERAGE(filter('Генеральный баннер'!$AA:$AA, 'Генеральный баннер'!$B:$B=$A676,'Генеральный баннер'!$C:$C=$B676,'Генеральный баннер'!$I:$I=$C676)), 0) "),0.0)</f>
        <v>0</v>
      </c>
      <c r="S676" s="91">
        <f>IFERROR(__xludf.DUMMYFUNCTION("IFERROR(SUM(filter('Генеральный баннер'!$AH:$AH, 'Генеральный баннер'!$B:$B=$A676,'Генеральный баннер'!$C:$C=$B676,'Генеральный баннер'!$I:$I=$C676)), 0) "),0.0)</f>
        <v>0</v>
      </c>
      <c r="T676" s="91" t="str">
        <f>IFERROR(__xludf.DUMMYFUNCTION("IFERROR(REGEXREPLACE(unique(filter('Генеральный баннер'!$A:$A, 'Генеральный баннер'!$B:$B=$A676,'Генеральный баннер'!$C:$C=$B676,'Генеральный баннер'!$I:$I=$C676)), ""\d+"", """"),"""")"),"")</f>
        <v/>
      </c>
      <c r="U676" s="91" t="str">
        <f>IFERROR(__xludf.DUMMYFUNCTION("IFERROR(unique(filter('Генеральный баннер'!$F:$F, 'Генеральный баннер'!$B:$B=$A676,'Генеральный баннер'!$C:$C=$B676,'Генеральный баннер'!$I:$I=$C676)),"""")"),"")</f>
        <v/>
      </c>
      <c r="V676" s="92" t="str">
        <f t="shared" si="3"/>
        <v/>
      </c>
      <c r="W676" s="93">
        <f>IFERROR(__xludf.DUMMYFUNCTION("IFERROR(SWITCH(lower(join("" "",U676:V676)),""а миллионник"", 62.5,""б миллионник"", 75,""а мск"", 50, ""б мск"", 62.5, ""a остальное"", 70, ""б остальное"", 80)/100,0)"),0.0)</f>
        <v>0</v>
      </c>
      <c r="X676" s="91">
        <f t="shared" si="4"/>
        <v>0</v>
      </c>
    </row>
    <row r="677">
      <c r="A677" s="12"/>
      <c r="B677" s="12"/>
      <c r="C677" s="12"/>
      <c r="D677" s="91">
        <f>IFERROR(__xludf.DUMMYFUNCTION("IFERROR(sum(filter('Основной эфир'!$AA:$AA, 'Основной эфир'!$B:$B=$A677,'Основной эфир'!$C:$C=$B677,'Основной эфир'!$I:$I=$C677)), 0) "),0.0)</f>
        <v>0</v>
      </c>
      <c r="E677" s="91">
        <f>IFERROR(__xludf.DUMMYFUNCTION("IFERROR(sum(filter('Основной эфир'!$AC:$AC, 'Основной эфир'!$B:$B=$A677,'Основной эфир'!$C:$C=$B677,'Основной эфир'!$I:$I=$C677)), 0) "),0.0)</f>
        <v>0</v>
      </c>
      <c r="F677" s="91">
        <f>IFERROR(__xludf.DUMMYFUNCTION("IFERROR(sum(filter('Основной эфир'!$O:$O, 'Основной эфир'!$B:$B=$A677,'Основной эфир'!$C:$C=$B677,'Основной эфир'!$I:$I=$C677)), 0) "),0.0)</f>
        <v>0</v>
      </c>
      <c r="G677" s="91">
        <f>IFERROR(__xludf.DUMMYFUNCTION("IFERROR(sum(filter('Основной эфир'!$Q:$Q, 'Основной эфир'!$B:$B=$A677,'Основной эфир'!$C:$C=$B677,'Основной эфир'!$I:$I=$C677)), 0) "),0.0)</f>
        <v>0</v>
      </c>
      <c r="H677" s="91">
        <f>IFERROR(__xludf.DUMMYFUNCTION("IFERROR(AVERAGE(filter('Основной эфир'!$Y:$Y, 'Основной эфир'!$B:$B=$A677,'Основной эфир'!$C:$C=$B677,'Основной эфир'!$I:$I=$C677)), 0) "),0.0)</f>
        <v>0</v>
      </c>
      <c r="I677" s="91">
        <f>IFERROR(__xludf.DUMMYFUNCTION("IFERROR(AVERAGE(filter('Основной эфир'!$AE:$AE, 'Основной эфир'!$B:$B=$A677,'Основной эфир'!$C:$C=$B677,'Основной эфир'!$I:$I=$C677)), 0) "),0.0)</f>
        <v>0</v>
      </c>
      <c r="J677" s="91">
        <f>IFERROR(__xludf.DUMMYFUNCTION("IFERROR(SUM(filter('Основной эфир'!$AL:$AL, 'Основной эфир'!$B:$B=$A677,'Основной эфир'!$C:$C=$B677,'Основной эфир'!$I:$I=$C677)), 0) "),0.0)</f>
        <v>0</v>
      </c>
      <c r="K677" s="91" t="str">
        <f>IFERROR(__xludf.DUMMYFUNCTION("IFERROR(REGEXREPLACE(unique(filter('Основной эфир'!$A:$A, 'Основной эфир'!$B:$B=$A677,'Основной эфир'!$C:$C=$B677,'Основной эфир'!$I:$I=$C677)), ""\d+"", """"),"""")"),"")</f>
        <v/>
      </c>
      <c r="L677" s="91" t="str">
        <f>IFERROR(__xludf.DUMMYFUNCTION("IFERROR(unique(filter('Основной эфир'!$F:$F, 'Основной эфир'!$B:$B=$A677,'Основной эфир'!$C:$C=$B677,'Основной эфир'!$I:$I=$C677)),"""")"),"")</f>
        <v/>
      </c>
      <c r="M677" s="92" t="str">
        <f t="shared" si="1"/>
        <v/>
      </c>
      <c r="N677" s="93">
        <f>IFERROR(__xludf.DUMMYFUNCTION("IFERROR(SWITCH(lower(join("" "",L677:M677)),""а миллионник"", 62.5,""б миллионник"", 75,""а мск"", 50, ""б мск"", 62.5, ""a остальное"", 70, ""б остальное"", 80)/100,0)"),0.0)</f>
        <v>0</v>
      </c>
      <c r="O677" s="91">
        <f t="shared" si="2"/>
        <v>0</v>
      </c>
      <c r="P677" s="91">
        <f>IFERROR(__xludf.DUMMYFUNCTION("IFERROR(sum(filter('Генеральный баннер'!$O:$O, 'Генеральный баннер'!$B:$B=$A677,'Генеральный баннер'!$C:$C=$B677,'Генеральный баннер'!$I:$I=$C677)), 0) "),0.0)</f>
        <v>0</v>
      </c>
      <c r="Q677" s="91">
        <f>IFERROR(__xludf.DUMMYFUNCTION("IFERROR(sum(filter('Генеральный баннер'!$Q:$Q, 'Генеральный баннер'!$B:$B=$A677,'Генеральный баннер'!$C:$C=$B677,'Генеральный баннер'!$I:$I=$C677)), 0) "),0.0)</f>
        <v>0</v>
      </c>
      <c r="R677" s="91">
        <f>IFERROR(__xludf.DUMMYFUNCTION("IFERROR(AVERAGE(filter('Генеральный баннер'!$AA:$AA, 'Генеральный баннер'!$B:$B=$A677,'Генеральный баннер'!$C:$C=$B677,'Генеральный баннер'!$I:$I=$C677)), 0) "),0.0)</f>
        <v>0</v>
      </c>
      <c r="S677" s="91">
        <f>IFERROR(__xludf.DUMMYFUNCTION("IFERROR(SUM(filter('Генеральный баннер'!$AH:$AH, 'Генеральный баннер'!$B:$B=$A677,'Генеральный баннер'!$C:$C=$B677,'Генеральный баннер'!$I:$I=$C677)), 0) "),0.0)</f>
        <v>0</v>
      </c>
      <c r="T677" s="91" t="str">
        <f>IFERROR(__xludf.DUMMYFUNCTION("IFERROR(REGEXREPLACE(unique(filter('Генеральный баннер'!$A:$A, 'Генеральный баннер'!$B:$B=$A677,'Генеральный баннер'!$C:$C=$B677,'Генеральный баннер'!$I:$I=$C677)), ""\d+"", """"),"""")"),"")</f>
        <v/>
      </c>
      <c r="U677" s="91" t="str">
        <f>IFERROR(__xludf.DUMMYFUNCTION("IFERROR(unique(filter('Генеральный баннер'!$F:$F, 'Генеральный баннер'!$B:$B=$A677,'Генеральный баннер'!$C:$C=$B677,'Генеральный баннер'!$I:$I=$C677)),"""")"),"")</f>
        <v/>
      </c>
      <c r="V677" s="92" t="str">
        <f t="shared" si="3"/>
        <v/>
      </c>
      <c r="W677" s="93">
        <f>IFERROR(__xludf.DUMMYFUNCTION("IFERROR(SWITCH(lower(join("" "",U677:V677)),""а миллионник"", 62.5,""б миллионник"", 75,""а мск"", 50, ""б мск"", 62.5, ""a остальное"", 70, ""б остальное"", 80)/100,0)"),0.0)</f>
        <v>0</v>
      </c>
      <c r="X677" s="91">
        <f t="shared" si="4"/>
        <v>0</v>
      </c>
    </row>
    <row r="678">
      <c r="A678" s="12"/>
      <c r="B678" s="12"/>
      <c r="C678" s="12"/>
      <c r="D678" s="91">
        <f>IFERROR(__xludf.DUMMYFUNCTION("IFERROR(sum(filter('Основной эфир'!$AA:$AA, 'Основной эфир'!$B:$B=$A678,'Основной эфир'!$C:$C=$B678,'Основной эфир'!$I:$I=$C678)), 0) "),0.0)</f>
        <v>0</v>
      </c>
      <c r="E678" s="91">
        <f>IFERROR(__xludf.DUMMYFUNCTION("IFERROR(sum(filter('Основной эфир'!$AC:$AC, 'Основной эфир'!$B:$B=$A678,'Основной эфир'!$C:$C=$B678,'Основной эфир'!$I:$I=$C678)), 0) "),0.0)</f>
        <v>0</v>
      </c>
      <c r="F678" s="91">
        <f>IFERROR(__xludf.DUMMYFUNCTION("IFERROR(sum(filter('Основной эфир'!$O:$O, 'Основной эфир'!$B:$B=$A678,'Основной эфир'!$C:$C=$B678,'Основной эфир'!$I:$I=$C678)), 0) "),0.0)</f>
        <v>0</v>
      </c>
      <c r="G678" s="91">
        <f>IFERROR(__xludf.DUMMYFUNCTION("IFERROR(sum(filter('Основной эфир'!$Q:$Q, 'Основной эфир'!$B:$B=$A678,'Основной эфир'!$C:$C=$B678,'Основной эфир'!$I:$I=$C678)), 0) "),0.0)</f>
        <v>0</v>
      </c>
      <c r="H678" s="91">
        <f>IFERROR(__xludf.DUMMYFUNCTION("IFERROR(AVERAGE(filter('Основной эфир'!$Y:$Y, 'Основной эфир'!$B:$B=$A678,'Основной эфир'!$C:$C=$B678,'Основной эфир'!$I:$I=$C678)), 0) "),0.0)</f>
        <v>0</v>
      </c>
      <c r="I678" s="91">
        <f>IFERROR(__xludf.DUMMYFUNCTION("IFERROR(AVERAGE(filter('Основной эфир'!$AE:$AE, 'Основной эфир'!$B:$B=$A678,'Основной эфир'!$C:$C=$B678,'Основной эфир'!$I:$I=$C678)), 0) "),0.0)</f>
        <v>0</v>
      </c>
      <c r="J678" s="91">
        <f>IFERROR(__xludf.DUMMYFUNCTION("IFERROR(SUM(filter('Основной эфир'!$AL:$AL, 'Основной эфир'!$B:$B=$A678,'Основной эфир'!$C:$C=$B678,'Основной эфир'!$I:$I=$C678)), 0) "),0.0)</f>
        <v>0</v>
      </c>
      <c r="K678" s="91" t="str">
        <f>IFERROR(__xludf.DUMMYFUNCTION("IFERROR(REGEXREPLACE(unique(filter('Основной эфир'!$A:$A, 'Основной эфир'!$B:$B=$A678,'Основной эфир'!$C:$C=$B678,'Основной эфир'!$I:$I=$C678)), ""\d+"", """"),"""")"),"")</f>
        <v/>
      </c>
      <c r="L678" s="91" t="str">
        <f>IFERROR(__xludf.DUMMYFUNCTION("IFERROR(unique(filter('Основной эфир'!$F:$F, 'Основной эфир'!$B:$B=$A678,'Основной эфир'!$C:$C=$B678,'Основной эфир'!$I:$I=$C678)),"""")"),"")</f>
        <v/>
      </c>
      <c r="M678" s="92" t="str">
        <f t="shared" si="1"/>
        <v/>
      </c>
      <c r="N678" s="93">
        <f>IFERROR(__xludf.DUMMYFUNCTION("IFERROR(SWITCH(lower(join("" "",L678:M678)),""а миллионник"", 62.5,""б миллионник"", 75,""а мск"", 50, ""б мск"", 62.5, ""a остальное"", 70, ""б остальное"", 80)/100,0)"),0.0)</f>
        <v>0</v>
      </c>
      <c r="O678" s="91">
        <f t="shared" si="2"/>
        <v>0</v>
      </c>
      <c r="P678" s="91">
        <f>IFERROR(__xludf.DUMMYFUNCTION("IFERROR(sum(filter('Генеральный баннер'!$O:$O, 'Генеральный баннер'!$B:$B=$A678,'Генеральный баннер'!$C:$C=$B678,'Генеральный баннер'!$I:$I=$C678)), 0) "),0.0)</f>
        <v>0</v>
      </c>
      <c r="Q678" s="91">
        <f>IFERROR(__xludf.DUMMYFUNCTION("IFERROR(sum(filter('Генеральный баннер'!$Q:$Q, 'Генеральный баннер'!$B:$B=$A678,'Генеральный баннер'!$C:$C=$B678,'Генеральный баннер'!$I:$I=$C678)), 0) "),0.0)</f>
        <v>0</v>
      </c>
      <c r="R678" s="91">
        <f>IFERROR(__xludf.DUMMYFUNCTION("IFERROR(AVERAGE(filter('Генеральный баннер'!$AA:$AA, 'Генеральный баннер'!$B:$B=$A678,'Генеральный баннер'!$C:$C=$B678,'Генеральный баннер'!$I:$I=$C678)), 0) "),0.0)</f>
        <v>0</v>
      </c>
      <c r="S678" s="91">
        <f>IFERROR(__xludf.DUMMYFUNCTION("IFERROR(SUM(filter('Генеральный баннер'!$AH:$AH, 'Генеральный баннер'!$B:$B=$A678,'Генеральный баннер'!$C:$C=$B678,'Генеральный баннер'!$I:$I=$C678)), 0) "),0.0)</f>
        <v>0</v>
      </c>
      <c r="T678" s="91" t="str">
        <f>IFERROR(__xludf.DUMMYFUNCTION("IFERROR(REGEXREPLACE(unique(filter('Генеральный баннер'!$A:$A, 'Генеральный баннер'!$B:$B=$A678,'Генеральный баннер'!$C:$C=$B678,'Генеральный баннер'!$I:$I=$C678)), ""\d+"", """"),"""")"),"")</f>
        <v/>
      </c>
      <c r="U678" s="91" t="str">
        <f>IFERROR(__xludf.DUMMYFUNCTION("IFERROR(unique(filter('Генеральный баннер'!$F:$F, 'Генеральный баннер'!$B:$B=$A678,'Генеральный баннер'!$C:$C=$B678,'Генеральный баннер'!$I:$I=$C678)),"""")"),"")</f>
        <v/>
      </c>
      <c r="V678" s="92" t="str">
        <f t="shared" si="3"/>
        <v/>
      </c>
      <c r="W678" s="93">
        <f>IFERROR(__xludf.DUMMYFUNCTION("IFERROR(SWITCH(lower(join("" "",U678:V678)),""а миллионник"", 62.5,""б миллионник"", 75,""а мск"", 50, ""б мск"", 62.5, ""a остальное"", 70, ""б остальное"", 80)/100,0)"),0.0)</f>
        <v>0</v>
      </c>
      <c r="X678" s="91">
        <f t="shared" si="4"/>
        <v>0</v>
      </c>
    </row>
    <row r="679">
      <c r="A679" s="12"/>
      <c r="B679" s="12"/>
      <c r="C679" s="12"/>
      <c r="D679" s="91">
        <f>IFERROR(__xludf.DUMMYFUNCTION("IFERROR(sum(filter('Основной эфир'!$AA:$AA, 'Основной эфир'!$B:$B=$A679,'Основной эфир'!$C:$C=$B679,'Основной эфир'!$I:$I=$C679)), 0) "),0.0)</f>
        <v>0</v>
      </c>
      <c r="E679" s="91">
        <f>IFERROR(__xludf.DUMMYFUNCTION("IFERROR(sum(filter('Основной эфир'!$AC:$AC, 'Основной эфир'!$B:$B=$A679,'Основной эфир'!$C:$C=$B679,'Основной эфир'!$I:$I=$C679)), 0) "),0.0)</f>
        <v>0</v>
      </c>
      <c r="F679" s="91">
        <f>IFERROR(__xludf.DUMMYFUNCTION("IFERROR(sum(filter('Основной эфир'!$O:$O, 'Основной эфир'!$B:$B=$A679,'Основной эфир'!$C:$C=$B679,'Основной эфир'!$I:$I=$C679)), 0) "),0.0)</f>
        <v>0</v>
      </c>
      <c r="G679" s="91">
        <f>IFERROR(__xludf.DUMMYFUNCTION("IFERROR(sum(filter('Основной эфир'!$Q:$Q, 'Основной эфир'!$B:$B=$A679,'Основной эфир'!$C:$C=$B679,'Основной эфир'!$I:$I=$C679)), 0) "),0.0)</f>
        <v>0</v>
      </c>
      <c r="H679" s="91">
        <f>IFERROR(__xludf.DUMMYFUNCTION("IFERROR(AVERAGE(filter('Основной эфир'!$Y:$Y, 'Основной эфир'!$B:$B=$A679,'Основной эфир'!$C:$C=$B679,'Основной эфир'!$I:$I=$C679)), 0) "),0.0)</f>
        <v>0</v>
      </c>
      <c r="I679" s="91">
        <f>IFERROR(__xludf.DUMMYFUNCTION("IFERROR(AVERAGE(filter('Основной эфир'!$AE:$AE, 'Основной эфир'!$B:$B=$A679,'Основной эфир'!$C:$C=$B679,'Основной эфир'!$I:$I=$C679)), 0) "),0.0)</f>
        <v>0</v>
      </c>
      <c r="J679" s="91">
        <f>IFERROR(__xludf.DUMMYFUNCTION("IFERROR(SUM(filter('Основной эфир'!$AL:$AL, 'Основной эфир'!$B:$B=$A679,'Основной эфир'!$C:$C=$B679,'Основной эфир'!$I:$I=$C679)), 0) "),0.0)</f>
        <v>0</v>
      </c>
      <c r="K679" s="91" t="str">
        <f>IFERROR(__xludf.DUMMYFUNCTION("IFERROR(REGEXREPLACE(unique(filter('Основной эфир'!$A:$A, 'Основной эфир'!$B:$B=$A679,'Основной эфир'!$C:$C=$B679,'Основной эфир'!$I:$I=$C679)), ""\d+"", """"),"""")"),"")</f>
        <v/>
      </c>
      <c r="L679" s="91" t="str">
        <f>IFERROR(__xludf.DUMMYFUNCTION("IFERROR(unique(filter('Основной эфир'!$F:$F, 'Основной эфир'!$B:$B=$A679,'Основной эфир'!$C:$C=$B679,'Основной эфир'!$I:$I=$C679)),"""")"),"")</f>
        <v/>
      </c>
      <c r="M679" s="92" t="str">
        <f t="shared" si="1"/>
        <v/>
      </c>
      <c r="N679" s="93">
        <f>IFERROR(__xludf.DUMMYFUNCTION("IFERROR(SWITCH(lower(join("" "",L679:M679)),""а миллионник"", 62.5,""б миллионник"", 75,""а мск"", 50, ""б мск"", 62.5, ""a остальное"", 70, ""б остальное"", 80)/100,0)"),0.0)</f>
        <v>0</v>
      </c>
      <c r="O679" s="91">
        <f t="shared" si="2"/>
        <v>0</v>
      </c>
      <c r="P679" s="91">
        <f>IFERROR(__xludf.DUMMYFUNCTION("IFERROR(sum(filter('Генеральный баннер'!$O:$O, 'Генеральный баннер'!$B:$B=$A679,'Генеральный баннер'!$C:$C=$B679,'Генеральный баннер'!$I:$I=$C679)), 0) "),0.0)</f>
        <v>0</v>
      </c>
      <c r="Q679" s="91">
        <f>IFERROR(__xludf.DUMMYFUNCTION("IFERROR(sum(filter('Генеральный баннер'!$Q:$Q, 'Генеральный баннер'!$B:$B=$A679,'Генеральный баннер'!$C:$C=$B679,'Генеральный баннер'!$I:$I=$C679)), 0) "),0.0)</f>
        <v>0</v>
      </c>
      <c r="R679" s="91">
        <f>IFERROR(__xludf.DUMMYFUNCTION("IFERROR(AVERAGE(filter('Генеральный баннер'!$AA:$AA, 'Генеральный баннер'!$B:$B=$A679,'Генеральный баннер'!$C:$C=$B679,'Генеральный баннер'!$I:$I=$C679)), 0) "),0.0)</f>
        <v>0</v>
      </c>
      <c r="S679" s="91">
        <f>IFERROR(__xludf.DUMMYFUNCTION("IFERROR(SUM(filter('Генеральный баннер'!$AH:$AH, 'Генеральный баннер'!$B:$B=$A679,'Генеральный баннер'!$C:$C=$B679,'Генеральный баннер'!$I:$I=$C679)), 0) "),0.0)</f>
        <v>0</v>
      </c>
      <c r="T679" s="91" t="str">
        <f>IFERROR(__xludf.DUMMYFUNCTION("IFERROR(REGEXREPLACE(unique(filter('Генеральный баннер'!$A:$A, 'Генеральный баннер'!$B:$B=$A679,'Генеральный баннер'!$C:$C=$B679,'Генеральный баннер'!$I:$I=$C679)), ""\d+"", """"),"""")"),"")</f>
        <v/>
      </c>
      <c r="U679" s="91" t="str">
        <f>IFERROR(__xludf.DUMMYFUNCTION("IFERROR(unique(filter('Генеральный баннер'!$F:$F, 'Генеральный баннер'!$B:$B=$A679,'Генеральный баннер'!$C:$C=$B679,'Генеральный баннер'!$I:$I=$C679)),"""")"),"")</f>
        <v/>
      </c>
      <c r="V679" s="92" t="str">
        <f t="shared" si="3"/>
        <v/>
      </c>
      <c r="W679" s="93">
        <f>IFERROR(__xludf.DUMMYFUNCTION("IFERROR(SWITCH(lower(join("" "",U679:V679)),""а миллионник"", 62.5,""б миллионник"", 75,""а мск"", 50, ""б мск"", 62.5, ""a остальное"", 70, ""б остальное"", 80)/100,0)"),0.0)</f>
        <v>0</v>
      </c>
      <c r="X679" s="91">
        <f t="shared" si="4"/>
        <v>0</v>
      </c>
    </row>
    <row r="680">
      <c r="A680" s="12"/>
      <c r="B680" s="12"/>
      <c r="C680" s="12"/>
      <c r="D680" s="91">
        <f>IFERROR(__xludf.DUMMYFUNCTION("IFERROR(sum(filter('Основной эфир'!$AA:$AA, 'Основной эфир'!$B:$B=$A680,'Основной эфир'!$C:$C=$B680,'Основной эфир'!$I:$I=$C680)), 0) "),0.0)</f>
        <v>0</v>
      </c>
      <c r="E680" s="91">
        <f>IFERROR(__xludf.DUMMYFUNCTION("IFERROR(sum(filter('Основной эфир'!$AC:$AC, 'Основной эфир'!$B:$B=$A680,'Основной эфир'!$C:$C=$B680,'Основной эфир'!$I:$I=$C680)), 0) "),0.0)</f>
        <v>0</v>
      </c>
      <c r="F680" s="91">
        <f>IFERROR(__xludf.DUMMYFUNCTION("IFERROR(sum(filter('Основной эфир'!$O:$O, 'Основной эфир'!$B:$B=$A680,'Основной эфир'!$C:$C=$B680,'Основной эфир'!$I:$I=$C680)), 0) "),0.0)</f>
        <v>0</v>
      </c>
      <c r="G680" s="91">
        <f>IFERROR(__xludf.DUMMYFUNCTION("IFERROR(sum(filter('Основной эфир'!$Q:$Q, 'Основной эфир'!$B:$B=$A680,'Основной эфир'!$C:$C=$B680,'Основной эфир'!$I:$I=$C680)), 0) "),0.0)</f>
        <v>0</v>
      </c>
      <c r="H680" s="91">
        <f>IFERROR(__xludf.DUMMYFUNCTION("IFERROR(AVERAGE(filter('Основной эфир'!$Y:$Y, 'Основной эфир'!$B:$B=$A680,'Основной эфир'!$C:$C=$B680,'Основной эфир'!$I:$I=$C680)), 0) "),0.0)</f>
        <v>0</v>
      </c>
      <c r="I680" s="91">
        <f>IFERROR(__xludf.DUMMYFUNCTION("IFERROR(AVERAGE(filter('Основной эфир'!$AE:$AE, 'Основной эфир'!$B:$B=$A680,'Основной эфир'!$C:$C=$B680,'Основной эфир'!$I:$I=$C680)), 0) "),0.0)</f>
        <v>0</v>
      </c>
      <c r="J680" s="91">
        <f>IFERROR(__xludf.DUMMYFUNCTION("IFERROR(SUM(filter('Основной эфир'!$AL:$AL, 'Основной эфир'!$B:$B=$A680,'Основной эфир'!$C:$C=$B680,'Основной эфир'!$I:$I=$C680)), 0) "),0.0)</f>
        <v>0</v>
      </c>
      <c r="K680" s="91" t="str">
        <f>IFERROR(__xludf.DUMMYFUNCTION("IFERROR(REGEXREPLACE(unique(filter('Основной эфир'!$A:$A, 'Основной эфир'!$B:$B=$A680,'Основной эфир'!$C:$C=$B680,'Основной эфир'!$I:$I=$C680)), ""\d+"", """"),"""")"),"")</f>
        <v/>
      </c>
      <c r="L680" s="91" t="str">
        <f>IFERROR(__xludf.DUMMYFUNCTION("IFERROR(unique(filter('Основной эфир'!$F:$F, 'Основной эфир'!$B:$B=$A680,'Основной эфир'!$C:$C=$B680,'Основной эфир'!$I:$I=$C680)),"""")"),"")</f>
        <v/>
      </c>
      <c r="M680" s="92" t="str">
        <f t="shared" si="1"/>
        <v/>
      </c>
      <c r="N680" s="93">
        <f>IFERROR(__xludf.DUMMYFUNCTION("IFERROR(SWITCH(lower(join("" "",L680:M680)),""а миллионник"", 62.5,""б миллионник"", 75,""а мск"", 50, ""б мск"", 62.5, ""a остальное"", 70, ""б остальное"", 80)/100,0)"),0.0)</f>
        <v>0</v>
      </c>
      <c r="O680" s="91">
        <f t="shared" si="2"/>
        <v>0</v>
      </c>
      <c r="P680" s="91">
        <f>IFERROR(__xludf.DUMMYFUNCTION("IFERROR(sum(filter('Генеральный баннер'!$O:$O, 'Генеральный баннер'!$B:$B=$A680,'Генеральный баннер'!$C:$C=$B680,'Генеральный баннер'!$I:$I=$C680)), 0) "),0.0)</f>
        <v>0</v>
      </c>
      <c r="Q680" s="91">
        <f>IFERROR(__xludf.DUMMYFUNCTION("IFERROR(sum(filter('Генеральный баннер'!$Q:$Q, 'Генеральный баннер'!$B:$B=$A680,'Генеральный баннер'!$C:$C=$B680,'Генеральный баннер'!$I:$I=$C680)), 0) "),0.0)</f>
        <v>0</v>
      </c>
      <c r="R680" s="91">
        <f>IFERROR(__xludf.DUMMYFUNCTION("IFERROR(AVERAGE(filter('Генеральный баннер'!$AA:$AA, 'Генеральный баннер'!$B:$B=$A680,'Генеральный баннер'!$C:$C=$B680,'Генеральный баннер'!$I:$I=$C680)), 0) "),0.0)</f>
        <v>0</v>
      </c>
      <c r="S680" s="91">
        <f>IFERROR(__xludf.DUMMYFUNCTION("IFERROR(SUM(filter('Генеральный баннер'!$AH:$AH, 'Генеральный баннер'!$B:$B=$A680,'Генеральный баннер'!$C:$C=$B680,'Генеральный баннер'!$I:$I=$C680)), 0) "),0.0)</f>
        <v>0</v>
      </c>
      <c r="T680" s="91" t="str">
        <f>IFERROR(__xludf.DUMMYFUNCTION("IFERROR(REGEXREPLACE(unique(filter('Генеральный баннер'!$A:$A, 'Генеральный баннер'!$B:$B=$A680,'Генеральный баннер'!$C:$C=$B680,'Генеральный баннер'!$I:$I=$C680)), ""\d+"", """"),"""")"),"")</f>
        <v/>
      </c>
      <c r="U680" s="91" t="str">
        <f>IFERROR(__xludf.DUMMYFUNCTION("IFERROR(unique(filter('Генеральный баннер'!$F:$F, 'Генеральный баннер'!$B:$B=$A680,'Генеральный баннер'!$C:$C=$B680,'Генеральный баннер'!$I:$I=$C680)),"""")"),"")</f>
        <v/>
      </c>
      <c r="V680" s="92" t="str">
        <f t="shared" si="3"/>
        <v/>
      </c>
      <c r="W680" s="93">
        <f>IFERROR(__xludf.DUMMYFUNCTION("IFERROR(SWITCH(lower(join("" "",U680:V680)),""а миллионник"", 62.5,""б миллионник"", 75,""а мск"", 50, ""б мск"", 62.5, ""a остальное"", 70, ""б остальное"", 80)/100,0)"),0.0)</f>
        <v>0</v>
      </c>
      <c r="X680" s="91">
        <f t="shared" si="4"/>
        <v>0</v>
      </c>
    </row>
    <row r="681">
      <c r="A681" s="12"/>
      <c r="B681" s="12"/>
      <c r="C681" s="12"/>
      <c r="D681" s="91">
        <f>IFERROR(__xludf.DUMMYFUNCTION("IFERROR(sum(filter('Основной эфир'!$AA:$AA, 'Основной эфир'!$B:$B=$A681,'Основной эфир'!$C:$C=$B681,'Основной эфир'!$I:$I=$C681)), 0) "),0.0)</f>
        <v>0</v>
      </c>
      <c r="E681" s="91">
        <f>IFERROR(__xludf.DUMMYFUNCTION("IFERROR(sum(filter('Основной эфир'!$AC:$AC, 'Основной эфир'!$B:$B=$A681,'Основной эфир'!$C:$C=$B681,'Основной эфир'!$I:$I=$C681)), 0) "),0.0)</f>
        <v>0</v>
      </c>
      <c r="F681" s="91">
        <f>IFERROR(__xludf.DUMMYFUNCTION("IFERROR(sum(filter('Основной эфир'!$O:$O, 'Основной эфир'!$B:$B=$A681,'Основной эфир'!$C:$C=$B681,'Основной эфир'!$I:$I=$C681)), 0) "),0.0)</f>
        <v>0</v>
      </c>
      <c r="G681" s="91">
        <f>IFERROR(__xludf.DUMMYFUNCTION("IFERROR(sum(filter('Основной эфир'!$Q:$Q, 'Основной эфир'!$B:$B=$A681,'Основной эфир'!$C:$C=$B681,'Основной эфир'!$I:$I=$C681)), 0) "),0.0)</f>
        <v>0</v>
      </c>
      <c r="H681" s="91">
        <f>IFERROR(__xludf.DUMMYFUNCTION("IFERROR(AVERAGE(filter('Основной эфир'!$Y:$Y, 'Основной эфир'!$B:$B=$A681,'Основной эфир'!$C:$C=$B681,'Основной эфир'!$I:$I=$C681)), 0) "),0.0)</f>
        <v>0</v>
      </c>
      <c r="I681" s="91">
        <f>IFERROR(__xludf.DUMMYFUNCTION("IFERROR(AVERAGE(filter('Основной эфир'!$AE:$AE, 'Основной эфир'!$B:$B=$A681,'Основной эфир'!$C:$C=$B681,'Основной эфир'!$I:$I=$C681)), 0) "),0.0)</f>
        <v>0</v>
      </c>
      <c r="J681" s="91">
        <f>IFERROR(__xludf.DUMMYFUNCTION("IFERROR(SUM(filter('Основной эфир'!$AL:$AL, 'Основной эфир'!$B:$B=$A681,'Основной эфир'!$C:$C=$B681,'Основной эфир'!$I:$I=$C681)), 0) "),0.0)</f>
        <v>0</v>
      </c>
      <c r="K681" s="91" t="str">
        <f>IFERROR(__xludf.DUMMYFUNCTION("IFERROR(REGEXREPLACE(unique(filter('Основной эфир'!$A:$A, 'Основной эфир'!$B:$B=$A681,'Основной эфир'!$C:$C=$B681,'Основной эфир'!$I:$I=$C681)), ""\d+"", """"),"""")"),"")</f>
        <v/>
      </c>
      <c r="L681" s="91" t="str">
        <f>IFERROR(__xludf.DUMMYFUNCTION("IFERROR(unique(filter('Основной эфир'!$F:$F, 'Основной эфир'!$B:$B=$A681,'Основной эфир'!$C:$C=$B681,'Основной эфир'!$I:$I=$C681)),"""")"),"")</f>
        <v/>
      </c>
      <c r="M681" s="92" t="str">
        <f t="shared" si="1"/>
        <v/>
      </c>
      <c r="N681" s="93">
        <f>IFERROR(__xludf.DUMMYFUNCTION("IFERROR(SWITCH(lower(join("" "",L681:M681)),""а миллионник"", 62.5,""б миллионник"", 75,""а мск"", 50, ""б мск"", 62.5, ""a остальное"", 70, ""б остальное"", 80)/100,0)"),0.0)</f>
        <v>0</v>
      </c>
      <c r="O681" s="91">
        <f t="shared" si="2"/>
        <v>0</v>
      </c>
      <c r="P681" s="91">
        <f>IFERROR(__xludf.DUMMYFUNCTION("IFERROR(sum(filter('Генеральный баннер'!$O:$O, 'Генеральный баннер'!$B:$B=$A681,'Генеральный баннер'!$C:$C=$B681,'Генеральный баннер'!$I:$I=$C681)), 0) "),0.0)</f>
        <v>0</v>
      </c>
      <c r="Q681" s="91">
        <f>IFERROR(__xludf.DUMMYFUNCTION("IFERROR(sum(filter('Генеральный баннер'!$Q:$Q, 'Генеральный баннер'!$B:$B=$A681,'Генеральный баннер'!$C:$C=$B681,'Генеральный баннер'!$I:$I=$C681)), 0) "),0.0)</f>
        <v>0</v>
      </c>
      <c r="R681" s="91">
        <f>IFERROR(__xludf.DUMMYFUNCTION("IFERROR(AVERAGE(filter('Генеральный баннер'!$AA:$AA, 'Генеральный баннер'!$B:$B=$A681,'Генеральный баннер'!$C:$C=$B681,'Генеральный баннер'!$I:$I=$C681)), 0) "),0.0)</f>
        <v>0</v>
      </c>
      <c r="S681" s="91">
        <f>IFERROR(__xludf.DUMMYFUNCTION("IFERROR(SUM(filter('Генеральный баннер'!$AH:$AH, 'Генеральный баннер'!$B:$B=$A681,'Генеральный баннер'!$C:$C=$B681,'Генеральный баннер'!$I:$I=$C681)), 0) "),0.0)</f>
        <v>0</v>
      </c>
      <c r="T681" s="91" t="str">
        <f>IFERROR(__xludf.DUMMYFUNCTION("IFERROR(REGEXREPLACE(unique(filter('Генеральный баннер'!$A:$A, 'Генеральный баннер'!$B:$B=$A681,'Генеральный баннер'!$C:$C=$B681,'Генеральный баннер'!$I:$I=$C681)), ""\d+"", """"),"""")"),"")</f>
        <v/>
      </c>
      <c r="U681" s="91" t="str">
        <f>IFERROR(__xludf.DUMMYFUNCTION("IFERROR(unique(filter('Генеральный баннер'!$F:$F, 'Генеральный баннер'!$B:$B=$A681,'Генеральный баннер'!$C:$C=$B681,'Генеральный баннер'!$I:$I=$C681)),"""")"),"")</f>
        <v/>
      </c>
      <c r="V681" s="92" t="str">
        <f t="shared" si="3"/>
        <v/>
      </c>
      <c r="W681" s="93">
        <f>IFERROR(__xludf.DUMMYFUNCTION("IFERROR(SWITCH(lower(join("" "",U681:V681)),""а миллионник"", 62.5,""б миллионник"", 75,""а мск"", 50, ""б мск"", 62.5, ""a остальное"", 70, ""б остальное"", 80)/100,0)"),0.0)</f>
        <v>0</v>
      </c>
      <c r="X681" s="91">
        <f t="shared" si="4"/>
        <v>0</v>
      </c>
    </row>
    <row r="682">
      <c r="A682" s="12"/>
      <c r="B682" s="12"/>
      <c r="C682" s="12"/>
      <c r="D682" s="91">
        <f>IFERROR(__xludf.DUMMYFUNCTION("IFERROR(sum(filter('Основной эфир'!$AA:$AA, 'Основной эфир'!$B:$B=$A682,'Основной эфир'!$C:$C=$B682,'Основной эфир'!$I:$I=$C682)), 0) "),0.0)</f>
        <v>0</v>
      </c>
      <c r="E682" s="91">
        <f>IFERROR(__xludf.DUMMYFUNCTION("IFERROR(sum(filter('Основной эфир'!$AC:$AC, 'Основной эфир'!$B:$B=$A682,'Основной эфир'!$C:$C=$B682,'Основной эфир'!$I:$I=$C682)), 0) "),0.0)</f>
        <v>0</v>
      </c>
      <c r="F682" s="91">
        <f>IFERROR(__xludf.DUMMYFUNCTION("IFERROR(sum(filter('Основной эфир'!$O:$O, 'Основной эфир'!$B:$B=$A682,'Основной эфир'!$C:$C=$B682,'Основной эфир'!$I:$I=$C682)), 0) "),0.0)</f>
        <v>0</v>
      </c>
      <c r="G682" s="91">
        <f>IFERROR(__xludf.DUMMYFUNCTION("IFERROR(sum(filter('Основной эфир'!$Q:$Q, 'Основной эфир'!$B:$B=$A682,'Основной эфир'!$C:$C=$B682,'Основной эфир'!$I:$I=$C682)), 0) "),0.0)</f>
        <v>0</v>
      </c>
      <c r="H682" s="91">
        <f>IFERROR(__xludf.DUMMYFUNCTION("IFERROR(AVERAGE(filter('Основной эфир'!$Y:$Y, 'Основной эфир'!$B:$B=$A682,'Основной эфир'!$C:$C=$B682,'Основной эфир'!$I:$I=$C682)), 0) "),0.0)</f>
        <v>0</v>
      </c>
      <c r="I682" s="91">
        <f>IFERROR(__xludf.DUMMYFUNCTION("IFERROR(AVERAGE(filter('Основной эфир'!$AE:$AE, 'Основной эфир'!$B:$B=$A682,'Основной эфир'!$C:$C=$B682,'Основной эфир'!$I:$I=$C682)), 0) "),0.0)</f>
        <v>0</v>
      </c>
      <c r="J682" s="91">
        <f>IFERROR(__xludf.DUMMYFUNCTION("IFERROR(SUM(filter('Основной эфир'!$AL:$AL, 'Основной эфир'!$B:$B=$A682,'Основной эфир'!$C:$C=$B682,'Основной эфир'!$I:$I=$C682)), 0) "),0.0)</f>
        <v>0</v>
      </c>
      <c r="K682" s="91" t="str">
        <f>IFERROR(__xludf.DUMMYFUNCTION("IFERROR(REGEXREPLACE(unique(filter('Основной эфир'!$A:$A, 'Основной эфир'!$B:$B=$A682,'Основной эфир'!$C:$C=$B682,'Основной эфир'!$I:$I=$C682)), ""\d+"", """"),"""")"),"")</f>
        <v/>
      </c>
      <c r="L682" s="91" t="str">
        <f>IFERROR(__xludf.DUMMYFUNCTION("IFERROR(unique(filter('Основной эфир'!$F:$F, 'Основной эфир'!$B:$B=$A682,'Основной эфир'!$C:$C=$B682,'Основной эфир'!$I:$I=$C682)),"""")"),"")</f>
        <v/>
      </c>
      <c r="M682" s="92" t="str">
        <f t="shared" si="1"/>
        <v/>
      </c>
      <c r="N682" s="93">
        <f>IFERROR(__xludf.DUMMYFUNCTION("IFERROR(SWITCH(lower(join("" "",L682:M682)),""а миллионник"", 62.5,""б миллионник"", 75,""а мск"", 50, ""б мск"", 62.5, ""a остальное"", 70, ""б остальное"", 80)/100,0)"),0.0)</f>
        <v>0</v>
      </c>
      <c r="O682" s="91">
        <f t="shared" si="2"/>
        <v>0</v>
      </c>
      <c r="P682" s="91">
        <f>IFERROR(__xludf.DUMMYFUNCTION("IFERROR(sum(filter('Генеральный баннер'!$O:$O, 'Генеральный баннер'!$B:$B=$A682,'Генеральный баннер'!$C:$C=$B682,'Генеральный баннер'!$I:$I=$C682)), 0) "),0.0)</f>
        <v>0</v>
      </c>
      <c r="Q682" s="91">
        <f>IFERROR(__xludf.DUMMYFUNCTION("IFERROR(sum(filter('Генеральный баннер'!$Q:$Q, 'Генеральный баннер'!$B:$B=$A682,'Генеральный баннер'!$C:$C=$B682,'Генеральный баннер'!$I:$I=$C682)), 0) "),0.0)</f>
        <v>0</v>
      </c>
      <c r="R682" s="91">
        <f>IFERROR(__xludf.DUMMYFUNCTION("IFERROR(AVERAGE(filter('Генеральный баннер'!$AA:$AA, 'Генеральный баннер'!$B:$B=$A682,'Генеральный баннер'!$C:$C=$B682,'Генеральный баннер'!$I:$I=$C682)), 0) "),0.0)</f>
        <v>0</v>
      </c>
      <c r="S682" s="91">
        <f>IFERROR(__xludf.DUMMYFUNCTION("IFERROR(SUM(filter('Генеральный баннер'!$AH:$AH, 'Генеральный баннер'!$B:$B=$A682,'Генеральный баннер'!$C:$C=$B682,'Генеральный баннер'!$I:$I=$C682)), 0) "),0.0)</f>
        <v>0</v>
      </c>
      <c r="T682" s="91" t="str">
        <f>IFERROR(__xludf.DUMMYFUNCTION("IFERROR(REGEXREPLACE(unique(filter('Генеральный баннер'!$A:$A, 'Генеральный баннер'!$B:$B=$A682,'Генеральный баннер'!$C:$C=$B682,'Генеральный баннер'!$I:$I=$C682)), ""\d+"", """"),"""")"),"")</f>
        <v/>
      </c>
      <c r="U682" s="91" t="str">
        <f>IFERROR(__xludf.DUMMYFUNCTION("IFERROR(unique(filter('Генеральный баннер'!$F:$F, 'Генеральный баннер'!$B:$B=$A682,'Генеральный баннер'!$C:$C=$B682,'Генеральный баннер'!$I:$I=$C682)),"""")"),"")</f>
        <v/>
      </c>
      <c r="V682" s="92" t="str">
        <f t="shared" si="3"/>
        <v/>
      </c>
      <c r="W682" s="93">
        <f>IFERROR(__xludf.DUMMYFUNCTION("IFERROR(SWITCH(lower(join("" "",U682:V682)),""а миллионник"", 62.5,""б миллионник"", 75,""а мск"", 50, ""б мск"", 62.5, ""a остальное"", 70, ""б остальное"", 80)/100,0)"),0.0)</f>
        <v>0</v>
      </c>
      <c r="X682" s="91">
        <f t="shared" si="4"/>
        <v>0</v>
      </c>
    </row>
    <row r="683">
      <c r="A683" s="12"/>
      <c r="B683" s="12"/>
      <c r="C683" s="12"/>
      <c r="D683" s="91">
        <f>IFERROR(__xludf.DUMMYFUNCTION("IFERROR(sum(filter('Основной эфир'!$AA:$AA, 'Основной эфир'!$B:$B=$A683,'Основной эфир'!$C:$C=$B683,'Основной эфир'!$I:$I=$C683)), 0) "),0.0)</f>
        <v>0</v>
      </c>
      <c r="E683" s="91">
        <f>IFERROR(__xludf.DUMMYFUNCTION("IFERROR(sum(filter('Основной эфир'!$AC:$AC, 'Основной эфир'!$B:$B=$A683,'Основной эфир'!$C:$C=$B683,'Основной эфир'!$I:$I=$C683)), 0) "),0.0)</f>
        <v>0</v>
      </c>
      <c r="F683" s="91">
        <f>IFERROR(__xludf.DUMMYFUNCTION("IFERROR(sum(filter('Основной эфир'!$O:$O, 'Основной эфир'!$B:$B=$A683,'Основной эфир'!$C:$C=$B683,'Основной эфир'!$I:$I=$C683)), 0) "),0.0)</f>
        <v>0</v>
      </c>
      <c r="G683" s="91">
        <f>IFERROR(__xludf.DUMMYFUNCTION("IFERROR(sum(filter('Основной эфир'!$Q:$Q, 'Основной эфир'!$B:$B=$A683,'Основной эфир'!$C:$C=$B683,'Основной эфир'!$I:$I=$C683)), 0) "),0.0)</f>
        <v>0</v>
      </c>
      <c r="H683" s="91">
        <f>IFERROR(__xludf.DUMMYFUNCTION("IFERROR(AVERAGE(filter('Основной эфир'!$Y:$Y, 'Основной эфир'!$B:$B=$A683,'Основной эфир'!$C:$C=$B683,'Основной эфир'!$I:$I=$C683)), 0) "),0.0)</f>
        <v>0</v>
      </c>
      <c r="I683" s="91">
        <f>IFERROR(__xludf.DUMMYFUNCTION("IFERROR(AVERAGE(filter('Основной эфир'!$AE:$AE, 'Основной эфир'!$B:$B=$A683,'Основной эфир'!$C:$C=$B683,'Основной эфир'!$I:$I=$C683)), 0) "),0.0)</f>
        <v>0</v>
      </c>
      <c r="J683" s="91">
        <f>IFERROR(__xludf.DUMMYFUNCTION("IFERROR(SUM(filter('Основной эфир'!$AL:$AL, 'Основной эфир'!$B:$B=$A683,'Основной эфир'!$C:$C=$B683,'Основной эфир'!$I:$I=$C683)), 0) "),0.0)</f>
        <v>0</v>
      </c>
      <c r="K683" s="91" t="str">
        <f>IFERROR(__xludf.DUMMYFUNCTION("IFERROR(REGEXREPLACE(unique(filter('Основной эфир'!$A:$A, 'Основной эфир'!$B:$B=$A683,'Основной эфир'!$C:$C=$B683,'Основной эфир'!$I:$I=$C683)), ""\d+"", """"),"""")"),"")</f>
        <v/>
      </c>
      <c r="L683" s="91" t="str">
        <f>IFERROR(__xludf.DUMMYFUNCTION("IFERROR(unique(filter('Основной эфир'!$F:$F, 'Основной эфир'!$B:$B=$A683,'Основной эфир'!$C:$C=$B683,'Основной эфир'!$I:$I=$C683)),"""")"),"")</f>
        <v/>
      </c>
      <c r="M683" s="92" t="str">
        <f t="shared" si="1"/>
        <v/>
      </c>
      <c r="N683" s="93">
        <f>IFERROR(__xludf.DUMMYFUNCTION("IFERROR(SWITCH(lower(join("" "",L683:M683)),""а миллионник"", 62.5,""б миллионник"", 75,""а мск"", 50, ""б мск"", 62.5, ""a остальное"", 70, ""б остальное"", 80)/100,0)"),0.0)</f>
        <v>0</v>
      </c>
      <c r="O683" s="91">
        <f t="shared" si="2"/>
        <v>0</v>
      </c>
      <c r="P683" s="91">
        <f>IFERROR(__xludf.DUMMYFUNCTION("IFERROR(sum(filter('Генеральный баннер'!$O:$O, 'Генеральный баннер'!$B:$B=$A683,'Генеральный баннер'!$C:$C=$B683,'Генеральный баннер'!$I:$I=$C683)), 0) "),0.0)</f>
        <v>0</v>
      </c>
      <c r="Q683" s="91">
        <f>IFERROR(__xludf.DUMMYFUNCTION("IFERROR(sum(filter('Генеральный баннер'!$Q:$Q, 'Генеральный баннер'!$B:$B=$A683,'Генеральный баннер'!$C:$C=$B683,'Генеральный баннер'!$I:$I=$C683)), 0) "),0.0)</f>
        <v>0</v>
      </c>
      <c r="R683" s="91">
        <f>IFERROR(__xludf.DUMMYFUNCTION("IFERROR(AVERAGE(filter('Генеральный баннер'!$AA:$AA, 'Генеральный баннер'!$B:$B=$A683,'Генеральный баннер'!$C:$C=$B683,'Генеральный баннер'!$I:$I=$C683)), 0) "),0.0)</f>
        <v>0</v>
      </c>
      <c r="S683" s="91">
        <f>IFERROR(__xludf.DUMMYFUNCTION("IFERROR(SUM(filter('Генеральный баннер'!$AH:$AH, 'Генеральный баннер'!$B:$B=$A683,'Генеральный баннер'!$C:$C=$B683,'Генеральный баннер'!$I:$I=$C683)), 0) "),0.0)</f>
        <v>0</v>
      </c>
      <c r="T683" s="91" t="str">
        <f>IFERROR(__xludf.DUMMYFUNCTION("IFERROR(REGEXREPLACE(unique(filter('Генеральный баннер'!$A:$A, 'Генеральный баннер'!$B:$B=$A683,'Генеральный баннер'!$C:$C=$B683,'Генеральный баннер'!$I:$I=$C683)), ""\d+"", """"),"""")"),"")</f>
        <v/>
      </c>
      <c r="U683" s="91" t="str">
        <f>IFERROR(__xludf.DUMMYFUNCTION("IFERROR(unique(filter('Генеральный баннер'!$F:$F, 'Генеральный баннер'!$B:$B=$A683,'Генеральный баннер'!$C:$C=$B683,'Генеральный баннер'!$I:$I=$C683)),"""")"),"")</f>
        <v/>
      </c>
      <c r="V683" s="92" t="str">
        <f t="shared" si="3"/>
        <v/>
      </c>
      <c r="W683" s="93">
        <f>IFERROR(__xludf.DUMMYFUNCTION("IFERROR(SWITCH(lower(join("" "",U683:V683)),""а миллионник"", 62.5,""б миллионник"", 75,""а мск"", 50, ""б мск"", 62.5, ""a остальное"", 70, ""б остальное"", 80)/100,0)"),0.0)</f>
        <v>0</v>
      </c>
      <c r="X683" s="91">
        <f t="shared" si="4"/>
        <v>0</v>
      </c>
    </row>
    <row r="684">
      <c r="A684" s="12"/>
      <c r="B684" s="12"/>
      <c r="C684" s="12"/>
      <c r="D684" s="91">
        <f>IFERROR(__xludf.DUMMYFUNCTION("IFERROR(sum(filter('Основной эфир'!$AA:$AA, 'Основной эфир'!$B:$B=$A684,'Основной эфир'!$C:$C=$B684,'Основной эфир'!$I:$I=$C684)), 0) "),0.0)</f>
        <v>0</v>
      </c>
      <c r="E684" s="91">
        <f>IFERROR(__xludf.DUMMYFUNCTION("IFERROR(sum(filter('Основной эфир'!$AC:$AC, 'Основной эфир'!$B:$B=$A684,'Основной эфир'!$C:$C=$B684,'Основной эфир'!$I:$I=$C684)), 0) "),0.0)</f>
        <v>0</v>
      </c>
      <c r="F684" s="91">
        <f>IFERROR(__xludf.DUMMYFUNCTION("IFERROR(sum(filter('Основной эфир'!$O:$O, 'Основной эфир'!$B:$B=$A684,'Основной эфир'!$C:$C=$B684,'Основной эфир'!$I:$I=$C684)), 0) "),0.0)</f>
        <v>0</v>
      </c>
      <c r="G684" s="91">
        <f>IFERROR(__xludf.DUMMYFUNCTION("IFERROR(sum(filter('Основной эфир'!$Q:$Q, 'Основной эфир'!$B:$B=$A684,'Основной эфир'!$C:$C=$B684,'Основной эфир'!$I:$I=$C684)), 0) "),0.0)</f>
        <v>0</v>
      </c>
      <c r="H684" s="91">
        <f>IFERROR(__xludf.DUMMYFUNCTION("IFERROR(AVERAGE(filter('Основной эфир'!$Y:$Y, 'Основной эфир'!$B:$B=$A684,'Основной эфир'!$C:$C=$B684,'Основной эфир'!$I:$I=$C684)), 0) "),0.0)</f>
        <v>0</v>
      </c>
      <c r="I684" s="91">
        <f>IFERROR(__xludf.DUMMYFUNCTION("IFERROR(AVERAGE(filter('Основной эфир'!$AE:$AE, 'Основной эфир'!$B:$B=$A684,'Основной эфир'!$C:$C=$B684,'Основной эфир'!$I:$I=$C684)), 0) "),0.0)</f>
        <v>0</v>
      </c>
      <c r="J684" s="91">
        <f>IFERROR(__xludf.DUMMYFUNCTION("IFERROR(SUM(filter('Основной эфир'!$AL:$AL, 'Основной эфир'!$B:$B=$A684,'Основной эфир'!$C:$C=$B684,'Основной эфир'!$I:$I=$C684)), 0) "),0.0)</f>
        <v>0</v>
      </c>
      <c r="K684" s="91" t="str">
        <f>IFERROR(__xludf.DUMMYFUNCTION("IFERROR(REGEXREPLACE(unique(filter('Основной эфир'!$A:$A, 'Основной эфир'!$B:$B=$A684,'Основной эфир'!$C:$C=$B684,'Основной эфир'!$I:$I=$C684)), ""\d+"", """"),"""")"),"")</f>
        <v/>
      </c>
      <c r="L684" s="91" t="str">
        <f>IFERROR(__xludf.DUMMYFUNCTION("IFERROR(unique(filter('Основной эфир'!$F:$F, 'Основной эфир'!$B:$B=$A684,'Основной эфир'!$C:$C=$B684,'Основной эфир'!$I:$I=$C684)),"""")"),"")</f>
        <v/>
      </c>
      <c r="M684" s="92" t="str">
        <f t="shared" si="1"/>
        <v/>
      </c>
      <c r="N684" s="93">
        <f>IFERROR(__xludf.DUMMYFUNCTION("IFERROR(SWITCH(lower(join("" "",L684:M684)),""а миллионник"", 62.5,""б миллионник"", 75,""а мск"", 50, ""б мск"", 62.5, ""a остальное"", 70, ""б остальное"", 80)/100,0)"),0.0)</f>
        <v>0</v>
      </c>
      <c r="O684" s="91">
        <f t="shared" si="2"/>
        <v>0</v>
      </c>
      <c r="P684" s="91">
        <f>IFERROR(__xludf.DUMMYFUNCTION("IFERROR(sum(filter('Генеральный баннер'!$O:$O, 'Генеральный баннер'!$B:$B=$A684,'Генеральный баннер'!$C:$C=$B684,'Генеральный баннер'!$I:$I=$C684)), 0) "),0.0)</f>
        <v>0</v>
      </c>
      <c r="Q684" s="91">
        <f>IFERROR(__xludf.DUMMYFUNCTION("IFERROR(sum(filter('Генеральный баннер'!$Q:$Q, 'Генеральный баннер'!$B:$B=$A684,'Генеральный баннер'!$C:$C=$B684,'Генеральный баннер'!$I:$I=$C684)), 0) "),0.0)</f>
        <v>0</v>
      </c>
      <c r="R684" s="91">
        <f>IFERROR(__xludf.DUMMYFUNCTION("IFERROR(AVERAGE(filter('Генеральный баннер'!$AA:$AA, 'Генеральный баннер'!$B:$B=$A684,'Генеральный баннер'!$C:$C=$B684,'Генеральный баннер'!$I:$I=$C684)), 0) "),0.0)</f>
        <v>0</v>
      </c>
      <c r="S684" s="91">
        <f>IFERROR(__xludf.DUMMYFUNCTION("IFERROR(SUM(filter('Генеральный баннер'!$AH:$AH, 'Генеральный баннер'!$B:$B=$A684,'Генеральный баннер'!$C:$C=$B684,'Генеральный баннер'!$I:$I=$C684)), 0) "),0.0)</f>
        <v>0</v>
      </c>
      <c r="T684" s="91" t="str">
        <f>IFERROR(__xludf.DUMMYFUNCTION("IFERROR(REGEXREPLACE(unique(filter('Генеральный баннер'!$A:$A, 'Генеральный баннер'!$B:$B=$A684,'Генеральный баннер'!$C:$C=$B684,'Генеральный баннер'!$I:$I=$C684)), ""\d+"", """"),"""")"),"")</f>
        <v/>
      </c>
      <c r="U684" s="91" t="str">
        <f>IFERROR(__xludf.DUMMYFUNCTION("IFERROR(unique(filter('Генеральный баннер'!$F:$F, 'Генеральный баннер'!$B:$B=$A684,'Генеральный баннер'!$C:$C=$B684,'Генеральный баннер'!$I:$I=$C684)),"""")"),"")</f>
        <v/>
      </c>
      <c r="V684" s="92" t="str">
        <f t="shared" si="3"/>
        <v/>
      </c>
      <c r="W684" s="93">
        <f>IFERROR(__xludf.DUMMYFUNCTION("IFERROR(SWITCH(lower(join("" "",U684:V684)),""а миллионник"", 62.5,""б миллионник"", 75,""а мск"", 50, ""б мск"", 62.5, ""a остальное"", 70, ""б остальное"", 80)/100,0)"),0.0)</f>
        <v>0</v>
      </c>
      <c r="X684" s="91">
        <f t="shared" si="4"/>
        <v>0</v>
      </c>
    </row>
    <row r="685">
      <c r="A685" s="12"/>
      <c r="B685" s="12"/>
      <c r="C685" s="12"/>
      <c r="D685" s="91">
        <f>IFERROR(__xludf.DUMMYFUNCTION("IFERROR(sum(filter('Основной эфир'!$AA:$AA, 'Основной эфир'!$B:$B=$A685,'Основной эфир'!$C:$C=$B685,'Основной эфир'!$I:$I=$C685)), 0) "),0.0)</f>
        <v>0</v>
      </c>
      <c r="E685" s="91">
        <f>IFERROR(__xludf.DUMMYFUNCTION("IFERROR(sum(filter('Основной эфир'!$AC:$AC, 'Основной эфир'!$B:$B=$A685,'Основной эфир'!$C:$C=$B685,'Основной эфир'!$I:$I=$C685)), 0) "),0.0)</f>
        <v>0</v>
      </c>
      <c r="F685" s="91">
        <f>IFERROR(__xludf.DUMMYFUNCTION("IFERROR(sum(filter('Основной эфир'!$O:$O, 'Основной эфир'!$B:$B=$A685,'Основной эфир'!$C:$C=$B685,'Основной эфир'!$I:$I=$C685)), 0) "),0.0)</f>
        <v>0</v>
      </c>
      <c r="G685" s="91">
        <f>IFERROR(__xludf.DUMMYFUNCTION("IFERROR(sum(filter('Основной эфир'!$Q:$Q, 'Основной эфир'!$B:$B=$A685,'Основной эфир'!$C:$C=$B685,'Основной эфир'!$I:$I=$C685)), 0) "),0.0)</f>
        <v>0</v>
      </c>
      <c r="H685" s="91">
        <f>IFERROR(__xludf.DUMMYFUNCTION("IFERROR(AVERAGE(filter('Основной эфир'!$Y:$Y, 'Основной эфир'!$B:$B=$A685,'Основной эфир'!$C:$C=$B685,'Основной эфир'!$I:$I=$C685)), 0) "),0.0)</f>
        <v>0</v>
      </c>
      <c r="I685" s="91">
        <f>IFERROR(__xludf.DUMMYFUNCTION("IFERROR(AVERAGE(filter('Основной эфир'!$AE:$AE, 'Основной эфир'!$B:$B=$A685,'Основной эфир'!$C:$C=$B685,'Основной эфир'!$I:$I=$C685)), 0) "),0.0)</f>
        <v>0</v>
      </c>
      <c r="J685" s="91">
        <f>IFERROR(__xludf.DUMMYFUNCTION("IFERROR(SUM(filter('Основной эфир'!$AL:$AL, 'Основной эфир'!$B:$B=$A685,'Основной эфир'!$C:$C=$B685,'Основной эфир'!$I:$I=$C685)), 0) "),0.0)</f>
        <v>0</v>
      </c>
      <c r="K685" s="91" t="str">
        <f>IFERROR(__xludf.DUMMYFUNCTION("IFERROR(REGEXREPLACE(unique(filter('Основной эфир'!$A:$A, 'Основной эфир'!$B:$B=$A685,'Основной эфир'!$C:$C=$B685,'Основной эфир'!$I:$I=$C685)), ""\d+"", """"),"""")"),"")</f>
        <v/>
      </c>
      <c r="L685" s="91" t="str">
        <f>IFERROR(__xludf.DUMMYFUNCTION("IFERROR(unique(filter('Основной эфир'!$F:$F, 'Основной эфир'!$B:$B=$A685,'Основной эфир'!$C:$C=$B685,'Основной эфир'!$I:$I=$C685)),"""")"),"")</f>
        <v/>
      </c>
      <c r="M685" s="92" t="str">
        <f t="shared" si="1"/>
        <v/>
      </c>
      <c r="N685" s="93">
        <f>IFERROR(__xludf.DUMMYFUNCTION("IFERROR(SWITCH(lower(join("" "",L685:M685)),""а миллионник"", 62.5,""б миллионник"", 75,""а мск"", 50, ""б мск"", 62.5, ""a остальное"", 70, ""б остальное"", 80)/100,0)"),0.0)</f>
        <v>0</v>
      </c>
      <c r="O685" s="91">
        <f t="shared" si="2"/>
        <v>0</v>
      </c>
      <c r="P685" s="91">
        <f>IFERROR(__xludf.DUMMYFUNCTION("IFERROR(sum(filter('Генеральный баннер'!$O:$O, 'Генеральный баннер'!$B:$B=$A685,'Генеральный баннер'!$C:$C=$B685,'Генеральный баннер'!$I:$I=$C685)), 0) "),0.0)</f>
        <v>0</v>
      </c>
      <c r="Q685" s="91">
        <f>IFERROR(__xludf.DUMMYFUNCTION("IFERROR(sum(filter('Генеральный баннер'!$Q:$Q, 'Генеральный баннер'!$B:$B=$A685,'Генеральный баннер'!$C:$C=$B685,'Генеральный баннер'!$I:$I=$C685)), 0) "),0.0)</f>
        <v>0</v>
      </c>
      <c r="R685" s="91">
        <f>IFERROR(__xludf.DUMMYFUNCTION("IFERROR(AVERAGE(filter('Генеральный баннер'!$AA:$AA, 'Генеральный баннер'!$B:$B=$A685,'Генеральный баннер'!$C:$C=$B685,'Генеральный баннер'!$I:$I=$C685)), 0) "),0.0)</f>
        <v>0</v>
      </c>
      <c r="S685" s="91">
        <f>IFERROR(__xludf.DUMMYFUNCTION("IFERROR(SUM(filter('Генеральный баннер'!$AH:$AH, 'Генеральный баннер'!$B:$B=$A685,'Генеральный баннер'!$C:$C=$B685,'Генеральный баннер'!$I:$I=$C685)), 0) "),0.0)</f>
        <v>0</v>
      </c>
      <c r="T685" s="91" t="str">
        <f>IFERROR(__xludf.DUMMYFUNCTION("IFERROR(REGEXREPLACE(unique(filter('Генеральный баннер'!$A:$A, 'Генеральный баннер'!$B:$B=$A685,'Генеральный баннер'!$C:$C=$B685,'Генеральный баннер'!$I:$I=$C685)), ""\d+"", """"),"""")"),"")</f>
        <v/>
      </c>
      <c r="U685" s="91" t="str">
        <f>IFERROR(__xludf.DUMMYFUNCTION("IFERROR(unique(filter('Генеральный баннер'!$F:$F, 'Генеральный баннер'!$B:$B=$A685,'Генеральный баннер'!$C:$C=$B685,'Генеральный баннер'!$I:$I=$C685)),"""")"),"")</f>
        <v/>
      </c>
      <c r="V685" s="92" t="str">
        <f t="shared" si="3"/>
        <v/>
      </c>
      <c r="W685" s="93">
        <f>IFERROR(__xludf.DUMMYFUNCTION("IFERROR(SWITCH(lower(join("" "",U685:V685)),""а миллионник"", 62.5,""б миллионник"", 75,""а мск"", 50, ""б мск"", 62.5, ""a остальное"", 70, ""б остальное"", 80)/100,0)"),0.0)</f>
        <v>0</v>
      </c>
      <c r="X685" s="91">
        <f t="shared" si="4"/>
        <v>0</v>
      </c>
    </row>
    <row r="686">
      <c r="A686" s="12"/>
      <c r="B686" s="12"/>
      <c r="C686" s="12"/>
      <c r="D686" s="91">
        <f>IFERROR(__xludf.DUMMYFUNCTION("IFERROR(sum(filter('Основной эфир'!$AA:$AA, 'Основной эфир'!$B:$B=$A686,'Основной эфир'!$C:$C=$B686,'Основной эфир'!$I:$I=$C686)), 0) "),0.0)</f>
        <v>0</v>
      </c>
      <c r="E686" s="91">
        <f>IFERROR(__xludf.DUMMYFUNCTION("IFERROR(sum(filter('Основной эфир'!$AC:$AC, 'Основной эфир'!$B:$B=$A686,'Основной эфир'!$C:$C=$B686,'Основной эфир'!$I:$I=$C686)), 0) "),0.0)</f>
        <v>0</v>
      </c>
      <c r="F686" s="91">
        <f>IFERROR(__xludf.DUMMYFUNCTION("IFERROR(sum(filter('Основной эфир'!$O:$O, 'Основной эфир'!$B:$B=$A686,'Основной эфир'!$C:$C=$B686,'Основной эфир'!$I:$I=$C686)), 0) "),0.0)</f>
        <v>0</v>
      </c>
      <c r="G686" s="91">
        <f>IFERROR(__xludf.DUMMYFUNCTION("IFERROR(sum(filter('Основной эфир'!$Q:$Q, 'Основной эфир'!$B:$B=$A686,'Основной эфир'!$C:$C=$B686,'Основной эфир'!$I:$I=$C686)), 0) "),0.0)</f>
        <v>0</v>
      </c>
      <c r="H686" s="91">
        <f>IFERROR(__xludf.DUMMYFUNCTION("IFERROR(AVERAGE(filter('Основной эфир'!$Y:$Y, 'Основной эфир'!$B:$B=$A686,'Основной эфир'!$C:$C=$B686,'Основной эфир'!$I:$I=$C686)), 0) "),0.0)</f>
        <v>0</v>
      </c>
      <c r="I686" s="91">
        <f>IFERROR(__xludf.DUMMYFUNCTION("IFERROR(AVERAGE(filter('Основной эфир'!$AE:$AE, 'Основной эфир'!$B:$B=$A686,'Основной эфир'!$C:$C=$B686,'Основной эфир'!$I:$I=$C686)), 0) "),0.0)</f>
        <v>0</v>
      </c>
      <c r="J686" s="91">
        <f>IFERROR(__xludf.DUMMYFUNCTION("IFERROR(SUM(filter('Основной эфир'!$AL:$AL, 'Основной эфир'!$B:$B=$A686,'Основной эфир'!$C:$C=$B686,'Основной эфир'!$I:$I=$C686)), 0) "),0.0)</f>
        <v>0</v>
      </c>
      <c r="K686" s="91" t="str">
        <f>IFERROR(__xludf.DUMMYFUNCTION("IFERROR(REGEXREPLACE(unique(filter('Основной эфир'!$A:$A, 'Основной эфир'!$B:$B=$A686,'Основной эфир'!$C:$C=$B686,'Основной эфир'!$I:$I=$C686)), ""\d+"", """"),"""")"),"")</f>
        <v/>
      </c>
      <c r="L686" s="91" t="str">
        <f>IFERROR(__xludf.DUMMYFUNCTION("IFERROR(unique(filter('Основной эфир'!$F:$F, 'Основной эфир'!$B:$B=$A686,'Основной эфир'!$C:$C=$B686,'Основной эфир'!$I:$I=$C686)),"""")"),"")</f>
        <v/>
      </c>
      <c r="M686" s="92" t="str">
        <f t="shared" si="1"/>
        <v/>
      </c>
      <c r="N686" s="93">
        <f>IFERROR(__xludf.DUMMYFUNCTION("IFERROR(SWITCH(lower(join("" "",L686:M686)),""а миллионник"", 62.5,""б миллионник"", 75,""а мск"", 50, ""б мск"", 62.5, ""a остальное"", 70, ""б остальное"", 80)/100,0)"),0.0)</f>
        <v>0</v>
      </c>
      <c r="O686" s="91">
        <f t="shared" si="2"/>
        <v>0</v>
      </c>
      <c r="P686" s="91">
        <f>IFERROR(__xludf.DUMMYFUNCTION("IFERROR(sum(filter('Генеральный баннер'!$O:$O, 'Генеральный баннер'!$B:$B=$A686,'Генеральный баннер'!$C:$C=$B686,'Генеральный баннер'!$I:$I=$C686)), 0) "),0.0)</f>
        <v>0</v>
      </c>
      <c r="Q686" s="91">
        <f>IFERROR(__xludf.DUMMYFUNCTION("IFERROR(sum(filter('Генеральный баннер'!$Q:$Q, 'Генеральный баннер'!$B:$B=$A686,'Генеральный баннер'!$C:$C=$B686,'Генеральный баннер'!$I:$I=$C686)), 0) "),0.0)</f>
        <v>0</v>
      </c>
      <c r="R686" s="91">
        <f>IFERROR(__xludf.DUMMYFUNCTION("IFERROR(AVERAGE(filter('Генеральный баннер'!$AA:$AA, 'Генеральный баннер'!$B:$B=$A686,'Генеральный баннер'!$C:$C=$B686,'Генеральный баннер'!$I:$I=$C686)), 0) "),0.0)</f>
        <v>0</v>
      </c>
      <c r="S686" s="91">
        <f>IFERROR(__xludf.DUMMYFUNCTION("IFERROR(SUM(filter('Генеральный баннер'!$AH:$AH, 'Генеральный баннер'!$B:$B=$A686,'Генеральный баннер'!$C:$C=$B686,'Генеральный баннер'!$I:$I=$C686)), 0) "),0.0)</f>
        <v>0</v>
      </c>
      <c r="T686" s="91" t="str">
        <f>IFERROR(__xludf.DUMMYFUNCTION("IFERROR(REGEXREPLACE(unique(filter('Генеральный баннер'!$A:$A, 'Генеральный баннер'!$B:$B=$A686,'Генеральный баннер'!$C:$C=$B686,'Генеральный баннер'!$I:$I=$C686)), ""\d+"", """"),"""")"),"")</f>
        <v/>
      </c>
      <c r="U686" s="91" t="str">
        <f>IFERROR(__xludf.DUMMYFUNCTION("IFERROR(unique(filter('Генеральный баннер'!$F:$F, 'Генеральный баннер'!$B:$B=$A686,'Генеральный баннер'!$C:$C=$B686,'Генеральный баннер'!$I:$I=$C686)),"""")"),"")</f>
        <v/>
      </c>
      <c r="V686" s="92" t="str">
        <f t="shared" si="3"/>
        <v/>
      </c>
      <c r="W686" s="93">
        <f>IFERROR(__xludf.DUMMYFUNCTION("IFERROR(SWITCH(lower(join("" "",U686:V686)),""а миллионник"", 62.5,""б миллионник"", 75,""а мск"", 50, ""б мск"", 62.5, ""a остальное"", 70, ""б остальное"", 80)/100,0)"),0.0)</f>
        <v>0</v>
      </c>
      <c r="X686" s="91">
        <f t="shared" si="4"/>
        <v>0</v>
      </c>
    </row>
    <row r="687">
      <c r="A687" s="12"/>
      <c r="B687" s="12"/>
      <c r="C687" s="12"/>
      <c r="D687" s="91">
        <f>IFERROR(__xludf.DUMMYFUNCTION("IFERROR(sum(filter('Основной эфир'!$AA:$AA, 'Основной эфир'!$B:$B=$A687,'Основной эфир'!$C:$C=$B687,'Основной эфир'!$I:$I=$C687)), 0) "),0.0)</f>
        <v>0</v>
      </c>
      <c r="E687" s="91">
        <f>IFERROR(__xludf.DUMMYFUNCTION("IFERROR(sum(filter('Основной эфир'!$AC:$AC, 'Основной эфир'!$B:$B=$A687,'Основной эфир'!$C:$C=$B687,'Основной эфир'!$I:$I=$C687)), 0) "),0.0)</f>
        <v>0</v>
      </c>
      <c r="F687" s="91">
        <f>IFERROR(__xludf.DUMMYFUNCTION("IFERROR(sum(filter('Основной эфир'!$O:$O, 'Основной эфир'!$B:$B=$A687,'Основной эфир'!$C:$C=$B687,'Основной эфир'!$I:$I=$C687)), 0) "),0.0)</f>
        <v>0</v>
      </c>
      <c r="G687" s="91">
        <f>IFERROR(__xludf.DUMMYFUNCTION("IFERROR(sum(filter('Основной эфир'!$Q:$Q, 'Основной эфир'!$B:$B=$A687,'Основной эфир'!$C:$C=$B687,'Основной эфир'!$I:$I=$C687)), 0) "),0.0)</f>
        <v>0</v>
      </c>
      <c r="H687" s="91">
        <f>IFERROR(__xludf.DUMMYFUNCTION("IFERROR(AVERAGE(filter('Основной эфир'!$Y:$Y, 'Основной эфир'!$B:$B=$A687,'Основной эфир'!$C:$C=$B687,'Основной эфир'!$I:$I=$C687)), 0) "),0.0)</f>
        <v>0</v>
      </c>
      <c r="I687" s="91">
        <f>IFERROR(__xludf.DUMMYFUNCTION("IFERROR(AVERAGE(filter('Основной эфир'!$AE:$AE, 'Основной эфир'!$B:$B=$A687,'Основной эфир'!$C:$C=$B687,'Основной эфир'!$I:$I=$C687)), 0) "),0.0)</f>
        <v>0</v>
      </c>
      <c r="J687" s="91">
        <f>IFERROR(__xludf.DUMMYFUNCTION("IFERROR(SUM(filter('Основной эфир'!$AL:$AL, 'Основной эфир'!$B:$B=$A687,'Основной эфир'!$C:$C=$B687,'Основной эфир'!$I:$I=$C687)), 0) "),0.0)</f>
        <v>0</v>
      </c>
      <c r="K687" s="91" t="str">
        <f>IFERROR(__xludf.DUMMYFUNCTION("IFERROR(REGEXREPLACE(unique(filter('Основной эфир'!$A:$A, 'Основной эфир'!$B:$B=$A687,'Основной эфир'!$C:$C=$B687,'Основной эфир'!$I:$I=$C687)), ""\d+"", """"),"""")"),"")</f>
        <v/>
      </c>
      <c r="L687" s="91" t="str">
        <f>IFERROR(__xludf.DUMMYFUNCTION("IFERROR(unique(filter('Основной эфир'!$F:$F, 'Основной эфир'!$B:$B=$A687,'Основной эфир'!$C:$C=$B687,'Основной эфир'!$I:$I=$C687)),"""")"),"")</f>
        <v/>
      </c>
      <c r="M687" s="92" t="str">
        <f t="shared" si="1"/>
        <v/>
      </c>
      <c r="N687" s="93">
        <f>IFERROR(__xludf.DUMMYFUNCTION("IFERROR(SWITCH(lower(join("" "",L687:M687)),""а миллионник"", 62.5,""б миллионник"", 75,""а мск"", 50, ""б мск"", 62.5, ""a остальное"", 70, ""б остальное"", 80)/100,0)"),0.0)</f>
        <v>0</v>
      </c>
      <c r="O687" s="91">
        <f t="shared" si="2"/>
        <v>0</v>
      </c>
      <c r="P687" s="91">
        <f>IFERROR(__xludf.DUMMYFUNCTION("IFERROR(sum(filter('Генеральный баннер'!$O:$O, 'Генеральный баннер'!$B:$B=$A687,'Генеральный баннер'!$C:$C=$B687,'Генеральный баннер'!$I:$I=$C687)), 0) "),0.0)</f>
        <v>0</v>
      </c>
      <c r="Q687" s="91">
        <f>IFERROR(__xludf.DUMMYFUNCTION("IFERROR(sum(filter('Генеральный баннер'!$Q:$Q, 'Генеральный баннер'!$B:$B=$A687,'Генеральный баннер'!$C:$C=$B687,'Генеральный баннер'!$I:$I=$C687)), 0) "),0.0)</f>
        <v>0</v>
      </c>
      <c r="R687" s="91">
        <f>IFERROR(__xludf.DUMMYFUNCTION("IFERROR(AVERAGE(filter('Генеральный баннер'!$AA:$AA, 'Генеральный баннер'!$B:$B=$A687,'Генеральный баннер'!$C:$C=$B687,'Генеральный баннер'!$I:$I=$C687)), 0) "),0.0)</f>
        <v>0</v>
      </c>
      <c r="S687" s="91">
        <f>IFERROR(__xludf.DUMMYFUNCTION("IFERROR(SUM(filter('Генеральный баннер'!$AH:$AH, 'Генеральный баннер'!$B:$B=$A687,'Генеральный баннер'!$C:$C=$B687,'Генеральный баннер'!$I:$I=$C687)), 0) "),0.0)</f>
        <v>0</v>
      </c>
      <c r="T687" s="91" t="str">
        <f>IFERROR(__xludf.DUMMYFUNCTION("IFERROR(REGEXREPLACE(unique(filter('Генеральный баннер'!$A:$A, 'Генеральный баннер'!$B:$B=$A687,'Генеральный баннер'!$C:$C=$B687,'Генеральный баннер'!$I:$I=$C687)), ""\d+"", """"),"""")"),"")</f>
        <v/>
      </c>
      <c r="U687" s="91" t="str">
        <f>IFERROR(__xludf.DUMMYFUNCTION("IFERROR(unique(filter('Генеральный баннер'!$F:$F, 'Генеральный баннер'!$B:$B=$A687,'Генеральный баннер'!$C:$C=$B687,'Генеральный баннер'!$I:$I=$C687)),"""")"),"")</f>
        <v/>
      </c>
      <c r="V687" s="92" t="str">
        <f t="shared" si="3"/>
        <v/>
      </c>
      <c r="W687" s="93">
        <f>IFERROR(__xludf.DUMMYFUNCTION("IFERROR(SWITCH(lower(join("" "",U687:V687)),""а миллионник"", 62.5,""б миллионник"", 75,""а мск"", 50, ""б мск"", 62.5, ""a остальное"", 70, ""б остальное"", 80)/100,0)"),0.0)</f>
        <v>0</v>
      </c>
      <c r="X687" s="91">
        <f t="shared" si="4"/>
        <v>0</v>
      </c>
    </row>
    <row r="688">
      <c r="A688" s="12"/>
      <c r="B688" s="12"/>
      <c r="C688" s="12"/>
      <c r="D688" s="91">
        <f>IFERROR(__xludf.DUMMYFUNCTION("IFERROR(sum(filter('Основной эфир'!$AA:$AA, 'Основной эфир'!$B:$B=$A688,'Основной эфир'!$C:$C=$B688,'Основной эфир'!$I:$I=$C688)), 0) "),0.0)</f>
        <v>0</v>
      </c>
      <c r="E688" s="91">
        <f>IFERROR(__xludf.DUMMYFUNCTION("IFERROR(sum(filter('Основной эфир'!$AC:$AC, 'Основной эфир'!$B:$B=$A688,'Основной эфир'!$C:$C=$B688,'Основной эфир'!$I:$I=$C688)), 0) "),0.0)</f>
        <v>0</v>
      </c>
      <c r="F688" s="91">
        <f>IFERROR(__xludf.DUMMYFUNCTION("IFERROR(sum(filter('Основной эфир'!$O:$O, 'Основной эфир'!$B:$B=$A688,'Основной эфир'!$C:$C=$B688,'Основной эфир'!$I:$I=$C688)), 0) "),0.0)</f>
        <v>0</v>
      </c>
      <c r="G688" s="91">
        <f>IFERROR(__xludf.DUMMYFUNCTION("IFERROR(sum(filter('Основной эфир'!$Q:$Q, 'Основной эфир'!$B:$B=$A688,'Основной эфир'!$C:$C=$B688,'Основной эфир'!$I:$I=$C688)), 0) "),0.0)</f>
        <v>0</v>
      </c>
      <c r="H688" s="91">
        <f>IFERROR(__xludf.DUMMYFUNCTION("IFERROR(AVERAGE(filter('Основной эфир'!$Y:$Y, 'Основной эфир'!$B:$B=$A688,'Основной эфир'!$C:$C=$B688,'Основной эфир'!$I:$I=$C688)), 0) "),0.0)</f>
        <v>0</v>
      </c>
      <c r="I688" s="91">
        <f>IFERROR(__xludf.DUMMYFUNCTION("IFERROR(AVERAGE(filter('Основной эфир'!$AE:$AE, 'Основной эфир'!$B:$B=$A688,'Основной эфир'!$C:$C=$B688,'Основной эфир'!$I:$I=$C688)), 0) "),0.0)</f>
        <v>0</v>
      </c>
      <c r="J688" s="91">
        <f>IFERROR(__xludf.DUMMYFUNCTION("IFERROR(SUM(filter('Основной эфир'!$AL:$AL, 'Основной эфир'!$B:$B=$A688,'Основной эфир'!$C:$C=$B688,'Основной эфир'!$I:$I=$C688)), 0) "),0.0)</f>
        <v>0</v>
      </c>
      <c r="K688" s="91" t="str">
        <f>IFERROR(__xludf.DUMMYFUNCTION("IFERROR(REGEXREPLACE(unique(filter('Основной эфир'!$A:$A, 'Основной эфир'!$B:$B=$A688,'Основной эфир'!$C:$C=$B688,'Основной эфир'!$I:$I=$C688)), ""\d+"", """"),"""")"),"")</f>
        <v/>
      </c>
      <c r="L688" s="91" t="str">
        <f>IFERROR(__xludf.DUMMYFUNCTION("IFERROR(unique(filter('Основной эфир'!$F:$F, 'Основной эфир'!$B:$B=$A688,'Основной эфир'!$C:$C=$B688,'Основной эфир'!$I:$I=$C688)),"""")"),"")</f>
        <v/>
      </c>
      <c r="M688" s="92" t="str">
        <f t="shared" si="1"/>
        <v/>
      </c>
      <c r="N688" s="93">
        <f>IFERROR(__xludf.DUMMYFUNCTION("IFERROR(SWITCH(lower(join("" "",L688:M688)),""а миллионник"", 62.5,""б миллионник"", 75,""а мск"", 50, ""б мск"", 62.5, ""a остальное"", 70, ""б остальное"", 80)/100,0)"),0.0)</f>
        <v>0</v>
      </c>
      <c r="O688" s="91">
        <f t="shared" si="2"/>
        <v>0</v>
      </c>
      <c r="P688" s="91">
        <f>IFERROR(__xludf.DUMMYFUNCTION("IFERROR(sum(filter('Генеральный баннер'!$O:$O, 'Генеральный баннер'!$B:$B=$A688,'Генеральный баннер'!$C:$C=$B688,'Генеральный баннер'!$I:$I=$C688)), 0) "),0.0)</f>
        <v>0</v>
      </c>
      <c r="Q688" s="91">
        <f>IFERROR(__xludf.DUMMYFUNCTION("IFERROR(sum(filter('Генеральный баннер'!$Q:$Q, 'Генеральный баннер'!$B:$B=$A688,'Генеральный баннер'!$C:$C=$B688,'Генеральный баннер'!$I:$I=$C688)), 0) "),0.0)</f>
        <v>0</v>
      </c>
      <c r="R688" s="91">
        <f>IFERROR(__xludf.DUMMYFUNCTION("IFERROR(AVERAGE(filter('Генеральный баннер'!$AA:$AA, 'Генеральный баннер'!$B:$B=$A688,'Генеральный баннер'!$C:$C=$B688,'Генеральный баннер'!$I:$I=$C688)), 0) "),0.0)</f>
        <v>0</v>
      </c>
      <c r="S688" s="91">
        <f>IFERROR(__xludf.DUMMYFUNCTION("IFERROR(SUM(filter('Генеральный баннер'!$AH:$AH, 'Генеральный баннер'!$B:$B=$A688,'Генеральный баннер'!$C:$C=$B688,'Генеральный баннер'!$I:$I=$C688)), 0) "),0.0)</f>
        <v>0</v>
      </c>
      <c r="T688" s="91" t="str">
        <f>IFERROR(__xludf.DUMMYFUNCTION("IFERROR(REGEXREPLACE(unique(filter('Генеральный баннер'!$A:$A, 'Генеральный баннер'!$B:$B=$A688,'Генеральный баннер'!$C:$C=$B688,'Генеральный баннер'!$I:$I=$C688)), ""\d+"", """"),"""")"),"")</f>
        <v/>
      </c>
      <c r="U688" s="91" t="str">
        <f>IFERROR(__xludf.DUMMYFUNCTION("IFERROR(unique(filter('Генеральный баннер'!$F:$F, 'Генеральный баннер'!$B:$B=$A688,'Генеральный баннер'!$C:$C=$B688,'Генеральный баннер'!$I:$I=$C688)),"""")"),"")</f>
        <v/>
      </c>
      <c r="V688" s="92" t="str">
        <f t="shared" si="3"/>
        <v/>
      </c>
      <c r="W688" s="93">
        <f>IFERROR(__xludf.DUMMYFUNCTION("IFERROR(SWITCH(lower(join("" "",U688:V688)),""а миллионник"", 62.5,""б миллионник"", 75,""а мск"", 50, ""б мск"", 62.5, ""a остальное"", 70, ""б остальное"", 80)/100,0)"),0.0)</f>
        <v>0</v>
      </c>
      <c r="X688" s="91">
        <f t="shared" si="4"/>
        <v>0</v>
      </c>
    </row>
    <row r="689">
      <c r="A689" s="12"/>
      <c r="B689" s="12"/>
      <c r="C689" s="12"/>
      <c r="D689" s="91">
        <f>IFERROR(__xludf.DUMMYFUNCTION("IFERROR(sum(filter('Основной эфир'!$AA:$AA, 'Основной эфир'!$B:$B=$A689,'Основной эфир'!$C:$C=$B689,'Основной эфир'!$I:$I=$C689)), 0) "),0.0)</f>
        <v>0</v>
      </c>
      <c r="E689" s="91">
        <f>IFERROR(__xludf.DUMMYFUNCTION("IFERROR(sum(filter('Основной эфир'!$AC:$AC, 'Основной эфир'!$B:$B=$A689,'Основной эфир'!$C:$C=$B689,'Основной эфир'!$I:$I=$C689)), 0) "),0.0)</f>
        <v>0</v>
      </c>
      <c r="F689" s="91">
        <f>IFERROR(__xludf.DUMMYFUNCTION("IFERROR(sum(filter('Основной эфир'!$O:$O, 'Основной эфир'!$B:$B=$A689,'Основной эфир'!$C:$C=$B689,'Основной эфир'!$I:$I=$C689)), 0) "),0.0)</f>
        <v>0</v>
      </c>
      <c r="G689" s="91">
        <f>IFERROR(__xludf.DUMMYFUNCTION("IFERROR(sum(filter('Основной эфир'!$Q:$Q, 'Основной эфир'!$B:$B=$A689,'Основной эфир'!$C:$C=$B689,'Основной эфир'!$I:$I=$C689)), 0) "),0.0)</f>
        <v>0</v>
      </c>
      <c r="H689" s="91">
        <f>IFERROR(__xludf.DUMMYFUNCTION("IFERROR(AVERAGE(filter('Основной эфир'!$Y:$Y, 'Основной эфир'!$B:$B=$A689,'Основной эфир'!$C:$C=$B689,'Основной эфир'!$I:$I=$C689)), 0) "),0.0)</f>
        <v>0</v>
      </c>
      <c r="I689" s="91">
        <f>IFERROR(__xludf.DUMMYFUNCTION("IFERROR(AVERAGE(filter('Основной эфир'!$AE:$AE, 'Основной эфир'!$B:$B=$A689,'Основной эфир'!$C:$C=$B689,'Основной эфир'!$I:$I=$C689)), 0) "),0.0)</f>
        <v>0</v>
      </c>
      <c r="J689" s="91">
        <f>IFERROR(__xludf.DUMMYFUNCTION("IFERROR(SUM(filter('Основной эфир'!$AL:$AL, 'Основной эфир'!$B:$B=$A689,'Основной эфир'!$C:$C=$B689,'Основной эфир'!$I:$I=$C689)), 0) "),0.0)</f>
        <v>0</v>
      </c>
      <c r="K689" s="91" t="str">
        <f>IFERROR(__xludf.DUMMYFUNCTION("IFERROR(REGEXREPLACE(unique(filter('Основной эфир'!$A:$A, 'Основной эфир'!$B:$B=$A689,'Основной эфир'!$C:$C=$B689,'Основной эфир'!$I:$I=$C689)), ""\d+"", """"),"""")"),"")</f>
        <v/>
      </c>
      <c r="L689" s="91" t="str">
        <f>IFERROR(__xludf.DUMMYFUNCTION("IFERROR(unique(filter('Основной эфир'!$F:$F, 'Основной эфир'!$B:$B=$A689,'Основной эфир'!$C:$C=$B689,'Основной эфир'!$I:$I=$C689)),"""")"),"")</f>
        <v/>
      </c>
      <c r="M689" s="92" t="str">
        <f t="shared" si="1"/>
        <v/>
      </c>
      <c r="N689" s="93">
        <f>IFERROR(__xludf.DUMMYFUNCTION("IFERROR(SWITCH(lower(join("" "",L689:M689)),""а миллионник"", 62.5,""б миллионник"", 75,""а мск"", 50, ""б мск"", 62.5, ""a остальное"", 70, ""б остальное"", 80)/100,0)"),0.0)</f>
        <v>0</v>
      </c>
      <c r="O689" s="91">
        <f t="shared" si="2"/>
        <v>0</v>
      </c>
      <c r="P689" s="91">
        <f>IFERROR(__xludf.DUMMYFUNCTION("IFERROR(sum(filter('Генеральный баннер'!$O:$O, 'Генеральный баннер'!$B:$B=$A689,'Генеральный баннер'!$C:$C=$B689,'Генеральный баннер'!$I:$I=$C689)), 0) "),0.0)</f>
        <v>0</v>
      </c>
      <c r="Q689" s="91">
        <f>IFERROR(__xludf.DUMMYFUNCTION("IFERROR(sum(filter('Генеральный баннер'!$Q:$Q, 'Генеральный баннер'!$B:$B=$A689,'Генеральный баннер'!$C:$C=$B689,'Генеральный баннер'!$I:$I=$C689)), 0) "),0.0)</f>
        <v>0</v>
      </c>
      <c r="R689" s="91">
        <f>IFERROR(__xludf.DUMMYFUNCTION("IFERROR(AVERAGE(filter('Генеральный баннер'!$AA:$AA, 'Генеральный баннер'!$B:$B=$A689,'Генеральный баннер'!$C:$C=$B689,'Генеральный баннер'!$I:$I=$C689)), 0) "),0.0)</f>
        <v>0</v>
      </c>
      <c r="S689" s="91">
        <f>IFERROR(__xludf.DUMMYFUNCTION("IFERROR(SUM(filter('Генеральный баннер'!$AH:$AH, 'Генеральный баннер'!$B:$B=$A689,'Генеральный баннер'!$C:$C=$B689,'Генеральный баннер'!$I:$I=$C689)), 0) "),0.0)</f>
        <v>0</v>
      </c>
      <c r="T689" s="91" t="str">
        <f>IFERROR(__xludf.DUMMYFUNCTION("IFERROR(REGEXREPLACE(unique(filter('Генеральный баннер'!$A:$A, 'Генеральный баннер'!$B:$B=$A689,'Генеральный баннер'!$C:$C=$B689,'Генеральный баннер'!$I:$I=$C689)), ""\d+"", """"),"""")"),"")</f>
        <v/>
      </c>
      <c r="U689" s="91" t="str">
        <f>IFERROR(__xludf.DUMMYFUNCTION("IFERROR(unique(filter('Генеральный баннер'!$F:$F, 'Генеральный баннер'!$B:$B=$A689,'Генеральный баннер'!$C:$C=$B689,'Генеральный баннер'!$I:$I=$C689)),"""")"),"")</f>
        <v/>
      </c>
      <c r="V689" s="92" t="str">
        <f t="shared" si="3"/>
        <v/>
      </c>
      <c r="W689" s="93">
        <f>IFERROR(__xludf.DUMMYFUNCTION("IFERROR(SWITCH(lower(join("" "",U689:V689)),""а миллионник"", 62.5,""б миллионник"", 75,""а мск"", 50, ""б мск"", 62.5, ""a остальное"", 70, ""б остальное"", 80)/100,0)"),0.0)</f>
        <v>0</v>
      </c>
      <c r="X689" s="91">
        <f t="shared" si="4"/>
        <v>0</v>
      </c>
    </row>
    <row r="690">
      <c r="A690" s="12"/>
      <c r="B690" s="12"/>
      <c r="C690" s="12"/>
      <c r="D690" s="91">
        <f>IFERROR(__xludf.DUMMYFUNCTION("IFERROR(sum(filter('Основной эфир'!$AA:$AA, 'Основной эфир'!$B:$B=$A690,'Основной эфир'!$C:$C=$B690,'Основной эфир'!$I:$I=$C690)), 0) "),0.0)</f>
        <v>0</v>
      </c>
      <c r="E690" s="91">
        <f>IFERROR(__xludf.DUMMYFUNCTION("IFERROR(sum(filter('Основной эфир'!$AC:$AC, 'Основной эфир'!$B:$B=$A690,'Основной эфир'!$C:$C=$B690,'Основной эфир'!$I:$I=$C690)), 0) "),0.0)</f>
        <v>0</v>
      </c>
      <c r="F690" s="91">
        <f>IFERROR(__xludf.DUMMYFUNCTION("IFERROR(sum(filter('Основной эфир'!$O:$O, 'Основной эфир'!$B:$B=$A690,'Основной эфир'!$C:$C=$B690,'Основной эфир'!$I:$I=$C690)), 0) "),0.0)</f>
        <v>0</v>
      </c>
      <c r="G690" s="91">
        <f>IFERROR(__xludf.DUMMYFUNCTION("IFERROR(sum(filter('Основной эфир'!$Q:$Q, 'Основной эфир'!$B:$B=$A690,'Основной эфир'!$C:$C=$B690,'Основной эфир'!$I:$I=$C690)), 0) "),0.0)</f>
        <v>0</v>
      </c>
      <c r="H690" s="91">
        <f>IFERROR(__xludf.DUMMYFUNCTION("IFERROR(AVERAGE(filter('Основной эфир'!$Y:$Y, 'Основной эфир'!$B:$B=$A690,'Основной эфир'!$C:$C=$B690,'Основной эфир'!$I:$I=$C690)), 0) "),0.0)</f>
        <v>0</v>
      </c>
      <c r="I690" s="91">
        <f>IFERROR(__xludf.DUMMYFUNCTION("IFERROR(AVERAGE(filter('Основной эфир'!$AE:$AE, 'Основной эфир'!$B:$B=$A690,'Основной эфир'!$C:$C=$B690,'Основной эфир'!$I:$I=$C690)), 0) "),0.0)</f>
        <v>0</v>
      </c>
      <c r="J690" s="91">
        <f>IFERROR(__xludf.DUMMYFUNCTION("IFERROR(SUM(filter('Основной эфир'!$AL:$AL, 'Основной эфир'!$B:$B=$A690,'Основной эфир'!$C:$C=$B690,'Основной эфир'!$I:$I=$C690)), 0) "),0.0)</f>
        <v>0</v>
      </c>
      <c r="K690" s="91" t="str">
        <f>IFERROR(__xludf.DUMMYFUNCTION("IFERROR(REGEXREPLACE(unique(filter('Основной эфир'!$A:$A, 'Основной эфир'!$B:$B=$A690,'Основной эфир'!$C:$C=$B690,'Основной эфир'!$I:$I=$C690)), ""\d+"", """"),"""")"),"")</f>
        <v/>
      </c>
      <c r="L690" s="91" t="str">
        <f>IFERROR(__xludf.DUMMYFUNCTION("IFERROR(unique(filter('Основной эфир'!$F:$F, 'Основной эфир'!$B:$B=$A690,'Основной эфир'!$C:$C=$B690,'Основной эфир'!$I:$I=$C690)),"""")"),"")</f>
        <v/>
      </c>
      <c r="M690" s="92" t="str">
        <f t="shared" si="1"/>
        <v/>
      </c>
      <c r="N690" s="93">
        <f>IFERROR(__xludf.DUMMYFUNCTION("IFERROR(SWITCH(lower(join("" "",L690:M690)),""а миллионник"", 62.5,""б миллионник"", 75,""а мск"", 50, ""б мск"", 62.5, ""a остальное"", 70, ""б остальное"", 80)/100,0)"),0.0)</f>
        <v>0</v>
      </c>
      <c r="O690" s="91">
        <f t="shared" si="2"/>
        <v>0</v>
      </c>
      <c r="P690" s="91">
        <f>IFERROR(__xludf.DUMMYFUNCTION("IFERROR(sum(filter('Генеральный баннер'!$O:$O, 'Генеральный баннер'!$B:$B=$A690,'Генеральный баннер'!$C:$C=$B690,'Генеральный баннер'!$I:$I=$C690)), 0) "),0.0)</f>
        <v>0</v>
      </c>
      <c r="Q690" s="91">
        <f>IFERROR(__xludf.DUMMYFUNCTION("IFERROR(sum(filter('Генеральный баннер'!$Q:$Q, 'Генеральный баннер'!$B:$B=$A690,'Генеральный баннер'!$C:$C=$B690,'Генеральный баннер'!$I:$I=$C690)), 0) "),0.0)</f>
        <v>0</v>
      </c>
      <c r="R690" s="91">
        <f>IFERROR(__xludf.DUMMYFUNCTION("IFERROR(AVERAGE(filter('Генеральный баннер'!$AA:$AA, 'Генеральный баннер'!$B:$B=$A690,'Генеральный баннер'!$C:$C=$B690,'Генеральный баннер'!$I:$I=$C690)), 0) "),0.0)</f>
        <v>0</v>
      </c>
      <c r="S690" s="91">
        <f>IFERROR(__xludf.DUMMYFUNCTION("IFERROR(SUM(filter('Генеральный баннер'!$AH:$AH, 'Генеральный баннер'!$B:$B=$A690,'Генеральный баннер'!$C:$C=$B690,'Генеральный баннер'!$I:$I=$C690)), 0) "),0.0)</f>
        <v>0</v>
      </c>
      <c r="T690" s="91" t="str">
        <f>IFERROR(__xludf.DUMMYFUNCTION("IFERROR(REGEXREPLACE(unique(filter('Генеральный баннер'!$A:$A, 'Генеральный баннер'!$B:$B=$A690,'Генеральный баннер'!$C:$C=$B690,'Генеральный баннер'!$I:$I=$C690)), ""\d+"", """"),"""")"),"")</f>
        <v/>
      </c>
      <c r="U690" s="91" t="str">
        <f>IFERROR(__xludf.DUMMYFUNCTION("IFERROR(unique(filter('Генеральный баннер'!$F:$F, 'Генеральный баннер'!$B:$B=$A690,'Генеральный баннер'!$C:$C=$B690,'Генеральный баннер'!$I:$I=$C690)),"""")"),"")</f>
        <v/>
      </c>
      <c r="V690" s="92" t="str">
        <f t="shared" si="3"/>
        <v/>
      </c>
      <c r="W690" s="93">
        <f>IFERROR(__xludf.DUMMYFUNCTION("IFERROR(SWITCH(lower(join("" "",U690:V690)),""а миллионник"", 62.5,""б миллионник"", 75,""а мск"", 50, ""б мск"", 62.5, ""a остальное"", 70, ""б остальное"", 80)/100,0)"),0.0)</f>
        <v>0</v>
      </c>
      <c r="X690" s="91">
        <f t="shared" si="4"/>
        <v>0</v>
      </c>
    </row>
    <row r="691">
      <c r="A691" s="12"/>
      <c r="B691" s="12"/>
      <c r="C691" s="12"/>
      <c r="D691" s="91">
        <f>IFERROR(__xludf.DUMMYFUNCTION("IFERROR(sum(filter('Основной эфир'!$AA:$AA, 'Основной эфир'!$B:$B=$A691,'Основной эфир'!$C:$C=$B691,'Основной эфир'!$I:$I=$C691)), 0) "),0.0)</f>
        <v>0</v>
      </c>
      <c r="E691" s="91">
        <f>IFERROR(__xludf.DUMMYFUNCTION("IFERROR(sum(filter('Основной эфир'!$AC:$AC, 'Основной эфир'!$B:$B=$A691,'Основной эфир'!$C:$C=$B691,'Основной эфир'!$I:$I=$C691)), 0) "),0.0)</f>
        <v>0</v>
      </c>
      <c r="F691" s="91">
        <f>IFERROR(__xludf.DUMMYFUNCTION("IFERROR(sum(filter('Основной эфир'!$O:$O, 'Основной эфир'!$B:$B=$A691,'Основной эфир'!$C:$C=$B691,'Основной эфир'!$I:$I=$C691)), 0) "),0.0)</f>
        <v>0</v>
      </c>
      <c r="G691" s="91">
        <f>IFERROR(__xludf.DUMMYFUNCTION("IFERROR(sum(filter('Основной эфир'!$Q:$Q, 'Основной эфир'!$B:$B=$A691,'Основной эфир'!$C:$C=$B691,'Основной эфир'!$I:$I=$C691)), 0) "),0.0)</f>
        <v>0</v>
      </c>
      <c r="H691" s="91">
        <f>IFERROR(__xludf.DUMMYFUNCTION("IFERROR(AVERAGE(filter('Основной эфир'!$Y:$Y, 'Основной эфир'!$B:$B=$A691,'Основной эфир'!$C:$C=$B691,'Основной эфир'!$I:$I=$C691)), 0) "),0.0)</f>
        <v>0</v>
      </c>
      <c r="I691" s="91">
        <f>IFERROR(__xludf.DUMMYFUNCTION("IFERROR(AVERAGE(filter('Основной эфир'!$AE:$AE, 'Основной эфир'!$B:$B=$A691,'Основной эфир'!$C:$C=$B691,'Основной эфир'!$I:$I=$C691)), 0) "),0.0)</f>
        <v>0</v>
      </c>
      <c r="J691" s="91">
        <f>IFERROR(__xludf.DUMMYFUNCTION("IFERROR(SUM(filter('Основной эфир'!$AL:$AL, 'Основной эфир'!$B:$B=$A691,'Основной эфир'!$C:$C=$B691,'Основной эфир'!$I:$I=$C691)), 0) "),0.0)</f>
        <v>0</v>
      </c>
      <c r="K691" s="91" t="str">
        <f>IFERROR(__xludf.DUMMYFUNCTION("IFERROR(REGEXREPLACE(unique(filter('Основной эфир'!$A:$A, 'Основной эфир'!$B:$B=$A691,'Основной эфир'!$C:$C=$B691,'Основной эфир'!$I:$I=$C691)), ""\d+"", """"),"""")"),"")</f>
        <v/>
      </c>
      <c r="L691" s="91" t="str">
        <f>IFERROR(__xludf.DUMMYFUNCTION("IFERROR(unique(filter('Основной эфир'!$F:$F, 'Основной эфир'!$B:$B=$A691,'Основной эфир'!$C:$C=$B691,'Основной эфир'!$I:$I=$C691)),"""")"),"")</f>
        <v/>
      </c>
      <c r="M691" s="92" t="str">
        <f t="shared" si="1"/>
        <v/>
      </c>
      <c r="N691" s="93">
        <f>IFERROR(__xludf.DUMMYFUNCTION("IFERROR(SWITCH(lower(join("" "",L691:M691)),""а миллионник"", 62.5,""б миллионник"", 75,""а мск"", 50, ""б мск"", 62.5, ""a остальное"", 70, ""б остальное"", 80)/100,0)"),0.0)</f>
        <v>0</v>
      </c>
      <c r="O691" s="91">
        <f t="shared" si="2"/>
        <v>0</v>
      </c>
      <c r="P691" s="91">
        <f>IFERROR(__xludf.DUMMYFUNCTION("IFERROR(sum(filter('Генеральный баннер'!$O:$O, 'Генеральный баннер'!$B:$B=$A691,'Генеральный баннер'!$C:$C=$B691,'Генеральный баннер'!$I:$I=$C691)), 0) "),0.0)</f>
        <v>0</v>
      </c>
      <c r="Q691" s="91">
        <f>IFERROR(__xludf.DUMMYFUNCTION("IFERROR(sum(filter('Генеральный баннер'!$Q:$Q, 'Генеральный баннер'!$B:$B=$A691,'Генеральный баннер'!$C:$C=$B691,'Генеральный баннер'!$I:$I=$C691)), 0) "),0.0)</f>
        <v>0</v>
      </c>
      <c r="R691" s="91">
        <f>IFERROR(__xludf.DUMMYFUNCTION("IFERROR(AVERAGE(filter('Генеральный баннер'!$AA:$AA, 'Генеральный баннер'!$B:$B=$A691,'Генеральный баннер'!$C:$C=$B691,'Генеральный баннер'!$I:$I=$C691)), 0) "),0.0)</f>
        <v>0</v>
      </c>
      <c r="S691" s="91">
        <f>IFERROR(__xludf.DUMMYFUNCTION("IFERROR(SUM(filter('Генеральный баннер'!$AH:$AH, 'Генеральный баннер'!$B:$B=$A691,'Генеральный баннер'!$C:$C=$B691,'Генеральный баннер'!$I:$I=$C691)), 0) "),0.0)</f>
        <v>0</v>
      </c>
      <c r="T691" s="91" t="str">
        <f>IFERROR(__xludf.DUMMYFUNCTION("IFERROR(REGEXREPLACE(unique(filter('Генеральный баннер'!$A:$A, 'Генеральный баннер'!$B:$B=$A691,'Генеральный баннер'!$C:$C=$B691,'Генеральный баннер'!$I:$I=$C691)), ""\d+"", """"),"""")"),"")</f>
        <v/>
      </c>
      <c r="U691" s="91" t="str">
        <f>IFERROR(__xludf.DUMMYFUNCTION("IFERROR(unique(filter('Генеральный баннер'!$F:$F, 'Генеральный баннер'!$B:$B=$A691,'Генеральный баннер'!$C:$C=$B691,'Генеральный баннер'!$I:$I=$C691)),"""")"),"")</f>
        <v/>
      </c>
      <c r="V691" s="92" t="str">
        <f t="shared" si="3"/>
        <v/>
      </c>
      <c r="W691" s="93">
        <f>IFERROR(__xludf.DUMMYFUNCTION("IFERROR(SWITCH(lower(join("" "",U691:V691)),""а миллионник"", 62.5,""б миллионник"", 75,""а мск"", 50, ""б мск"", 62.5, ""a остальное"", 70, ""б остальное"", 80)/100,0)"),0.0)</f>
        <v>0</v>
      </c>
      <c r="X691" s="91">
        <f t="shared" si="4"/>
        <v>0</v>
      </c>
    </row>
    <row r="692">
      <c r="A692" s="12"/>
      <c r="B692" s="12"/>
      <c r="C692" s="12"/>
      <c r="D692" s="91">
        <f>IFERROR(__xludf.DUMMYFUNCTION("IFERROR(sum(filter('Основной эфир'!$AA:$AA, 'Основной эфир'!$B:$B=$A692,'Основной эфир'!$C:$C=$B692,'Основной эфир'!$I:$I=$C692)), 0) "),0.0)</f>
        <v>0</v>
      </c>
      <c r="E692" s="91">
        <f>IFERROR(__xludf.DUMMYFUNCTION("IFERROR(sum(filter('Основной эфир'!$AC:$AC, 'Основной эфир'!$B:$B=$A692,'Основной эфир'!$C:$C=$B692,'Основной эфир'!$I:$I=$C692)), 0) "),0.0)</f>
        <v>0</v>
      </c>
      <c r="F692" s="91">
        <f>IFERROR(__xludf.DUMMYFUNCTION("IFERROR(sum(filter('Основной эфир'!$O:$O, 'Основной эфир'!$B:$B=$A692,'Основной эфир'!$C:$C=$B692,'Основной эфир'!$I:$I=$C692)), 0) "),0.0)</f>
        <v>0</v>
      </c>
      <c r="G692" s="91">
        <f>IFERROR(__xludf.DUMMYFUNCTION("IFERROR(sum(filter('Основной эфир'!$Q:$Q, 'Основной эфир'!$B:$B=$A692,'Основной эфир'!$C:$C=$B692,'Основной эфир'!$I:$I=$C692)), 0) "),0.0)</f>
        <v>0</v>
      </c>
      <c r="H692" s="91">
        <f>IFERROR(__xludf.DUMMYFUNCTION("IFERROR(AVERAGE(filter('Основной эфир'!$Y:$Y, 'Основной эфир'!$B:$B=$A692,'Основной эфир'!$C:$C=$B692,'Основной эфир'!$I:$I=$C692)), 0) "),0.0)</f>
        <v>0</v>
      </c>
      <c r="I692" s="91">
        <f>IFERROR(__xludf.DUMMYFUNCTION("IFERROR(AVERAGE(filter('Основной эфир'!$AE:$AE, 'Основной эфир'!$B:$B=$A692,'Основной эфир'!$C:$C=$B692,'Основной эфир'!$I:$I=$C692)), 0) "),0.0)</f>
        <v>0</v>
      </c>
      <c r="J692" s="91">
        <f>IFERROR(__xludf.DUMMYFUNCTION("IFERROR(SUM(filter('Основной эфир'!$AL:$AL, 'Основной эфир'!$B:$B=$A692,'Основной эфир'!$C:$C=$B692,'Основной эфир'!$I:$I=$C692)), 0) "),0.0)</f>
        <v>0</v>
      </c>
      <c r="K692" s="91" t="str">
        <f>IFERROR(__xludf.DUMMYFUNCTION("IFERROR(REGEXREPLACE(unique(filter('Основной эфир'!$A:$A, 'Основной эфир'!$B:$B=$A692,'Основной эфир'!$C:$C=$B692,'Основной эфир'!$I:$I=$C692)), ""\d+"", """"),"""")"),"")</f>
        <v/>
      </c>
      <c r="L692" s="91" t="str">
        <f>IFERROR(__xludf.DUMMYFUNCTION("IFERROR(unique(filter('Основной эфир'!$F:$F, 'Основной эфир'!$B:$B=$A692,'Основной эфир'!$C:$C=$B692,'Основной эфир'!$I:$I=$C692)),"""")"),"")</f>
        <v/>
      </c>
      <c r="M692" s="92" t="str">
        <f t="shared" si="1"/>
        <v/>
      </c>
      <c r="N692" s="93">
        <f>IFERROR(__xludf.DUMMYFUNCTION("IFERROR(SWITCH(lower(join("" "",L692:M692)),""а миллионник"", 62.5,""б миллионник"", 75,""а мск"", 50, ""б мск"", 62.5, ""a остальное"", 70, ""б остальное"", 80)/100,0)"),0.0)</f>
        <v>0</v>
      </c>
      <c r="O692" s="91">
        <f t="shared" si="2"/>
        <v>0</v>
      </c>
      <c r="P692" s="91">
        <f>IFERROR(__xludf.DUMMYFUNCTION("IFERROR(sum(filter('Генеральный баннер'!$O:$O, 'Генеральный баннер'!$B:$B=$A692,'Генеральный баннер'!$C:$C=$B692,'Генеральный баннер'!$I:$I=$C692)), 0) "),0.0)</f>
        <v>0</v>
      </c>
      <c r="Q692" s="91">
        <f>IFERROR(__xludf.DUMMYFUNCTION("IFERROR(sum(filter('Генеральный баннер'!$Q:$Q, 'Генеральный баннер'!$B:$B=$A692,'Генеральный баннер'!$C:$C=$B692,'Генеральный баннер'!$I:$I=$C692)), 0) "),0.0)</f>
        <v>0</v>
      </c>
      <c r="R692" s="91">
        <f>IFERROR(__xludf.DUMMYFUNCTION("IFERROR(AVERAGE(filter('Генеральный баннер'!$AA:$AA, 'Генеральный баннер'!$B:$B=$A692,'Генеральный баннер'!$C:$C=$B692,'Генеральный баннер'!$I:$I=$C692)), 0) "),0.0)</f>
        <v>0</v>
      </c>
      <c r="S692" s="91">
        <f>IFERROR(__xludf.DUMMYFUNCTION("IFERROR(SUM(filter('Генеральный баннер'!$AH:$AH, 'Генеральный баннер'!$B:$B=$A692,'Генеральный баннер'!$C:$C=$B692,'Генеральный баннер'!$I:$I=$C692)), 0) "),0.0)</f>
        <v>0</v>
      </c>
      <c r="T692" s="91" t="str">
        <f>IFERROR(__xludf.DUMMYFUNCTION("IFERROR(REGEXREPLACE(unique(filter('Генеральный баннер'!$A:$A, 'Генеральный баннер'!$B:$B=$A692,'Генеральный баннер'!$C:$C=$B692,'Генеральный баннер'!$I:$I=$C692)), ""\d+"", """"),"""")"),"")</f>
        <v/>
      </c>
      <c r="U692" s="91" t="str">
        <f>IFERROR(__xludf.DUMMYFUNCTION("IFERROR(unique(filter('Генеральный баннер'!$F:$F, 'Генеральный баннер'!$B:$B=$A692,'Генеральный баннер'!$C:$C=$B692,'Генеральный баннер'!$I:$I=$C692)),"""")"),"")</f>
        <v/>
      </c>
      <c r="V692" s="92" t="str">
        <f t="shared" si="3"/>
        <v/>
      </c>
      <c r="W692" s="93">
        <f>IFERROR(__xludf.DUMMYFUNCTION("IFERROR(SWITCH(lower(join("" "",U692:V692)),""а миллионник"", 62.5,""б миллионник"", 75,""а мск"", 50, ""б мск"", 62.5, ""a остальное"", 70, ""б остальное"", 80)/100,0)"),0.0)</f>
        <v>0</v>
      </c>
      <c r="X692" s="91">
        <f t="shared" si="4"/>
        <v>0</v>
      </c>
    </row>
    <row r="693">
      <c r="A693" s="12"/>
      <c r="B693" s="12"/>
      <c r="C693" s="12"/>
      <c r="D693" s="91">
        <f>IFERROR(__xludf.DUMMYFUNCTION("IFERROR(sum(filter('Основной эфир'!$AA:$AA, 'Основной эфир'!$B:$B=$A693,'Основной эфир'!$C:$C=$B693,'Основной эфир'!$I:$I=$C693)), 0) "),0.0)</f>
        <v>0</v>
      </c>
      <c r="E693" s="91">
        <f>IFERROR(__xludf.DUMMYFUNCTION("IFERROR(sum(filter('Основной эфир'!$AC:$AC, 'Основной эфир'!$B:$B=$A693,'Основной эфир'!$C:$C=$B693,'Основной эфир'!$I:$I=$C693)), 0) "),0.0)</f>
        <v>0</v>
      </c>
      <c r="F693" s="91">
        <f>IFERROR(__xludf.DUMMYFUNCTION("IFERROR(sum(filter('Основной эфир'!$O:$O, 'Основной эфир'!$B:$B=$A693,'Основной эфир'!$C:$C=$B693,'Основной эфир'!$I:$I=$C693)), 0) "),0.0)</f>
        <v>0</v>
      </c>
      <c r="G693" s="91">
        <f>IFERROR(__xludf.DUMMYFUNCTION("IFERROR(sum(filter('Основной эфир'!$Q:$Q, 'Основной эфир'!$B:$B=$A693,'Основной эфир'!$C:$C=$B693,'Основной эфир'!$I:$I=$C693)), 0) "),0.0)</f>
        <v>0</v>
      </c>
      <c r="H693" s="91">
        <f>IFERROR(__xludf.DUMMYFUNCTION("IFERROR(AVERAGE(filter('Основной эфир'!$Y:$Y, 'Основной эфир'!$B:$B=$A693,'Основной эфир'!$C:$C=$B693,'Основной эфир'!$I:$I=$C693)), 0) "),0.0)</f>
        <v>0</v>
      </c>
      <c r="I693" s="91">
        <f>IFERROR(__xludf.DUMMYFUNCTION("IFERROR(AVERAGE(filter('Основной эфир'!$AE:$AE, 'Основной эфир'!$B:$B=$A693,'Основной эфир'!$C:$C=$B693,'Основной эфир'!$I:$I=$C693)), 0) "),0.0)</f>
        <v>0</v>
      </c>
      <c r="J693" s="91">
        <f>IFERROR(__xludf.DUMMYFUNCTION("IFERROR(SUM(filter('Основной эфир'!$AL:$AL, 'Основной эфир'!$B:$B=$A693,'Основной эфир'!$C:$C=$B693,'Основной эфир'!$I:$I=$C693)), 0) "),0.0)</f>
        <v>0</v>
      </c>
      <c r="K693" s="91" t="str">
        <f>IFERROR(__xludf.DUMMYFUNCTION("IFERROR(REGEXREPLACE(unique(filter('Основной эфир'!$A:$A, 'Основной эфир'!$B:$B=$A693,'Основной эфир'!$C:$C=$B693,'Основной эфир'!$I:$I=$C693)), ""\d+"", """"),"""")"),"")</f>
        <v/>
      </c>
      <c r="L693" s="91" t="str">
        <f>IFERROR(__xludf.DUMMYFUNCTION("IFERROR(unique(filter('Основной эфир'!$F:$F, 'Основной эфир'!$B:$B=$A693,'Основной эфир'!$C:$C=$B693,'Основной эфир'!$I:$I=$C693)),"""")"),"")</f>
        <v/>
      </c>
      <c r="M693" s="92" t="str">
        <f t="shared" si="1"/>
        <v/>
      </c>
      <c r="N693" s="93">
        <f>IFERROR(__xludf.DUMMYFUNCTION("IFERROR(SWITCH(lower(join("" "",L693:M693)),""а миллионник"", 62.5,""б миллионник"", 75,""а мск"", 50, ""б мск"", 62.5, ""a остальное"", 70, ""б остальное"", 80)/100,0)"),0.0)</f>
        <v>0</v>
      </c>
      <c r="O693" s="91">
        <f t="shared" si="2"/>
        <v>0</v>
      </c>
      <c r="P693" s="91">
        <f>IFERROR(__xludf.DUMMYFUNCTION("IFERROR(sum(filter('Генеральный баннер'!$O:$O, 'Генеральный баннер'!$B:$B=$A693,'Генеральный баннер'!$C:$C=$B693,'Генеральный баннер'!$I:$I=$C693)), 0) "),0.0)</f>
        <v>0</v>
      </c>
      <c r="Q693" s="91">
        <f>IFERROR(__xludf.DUMMYFUNCTION("IFERROR(sum(filter('Генеральный баннер'!$Q:$Q, 'Генеральный баннер'!$B:$B=$A693,'Генеральный баннер'!$C:$C=$B693,'Генеральный баннер'!$I:$I=$C693)), 0) "),0.0)</f>
        <v>0</v>
      </c>
      <c r="R693" s="91">
        <f>IFERROR(__xludf.DUMMYFUNCTION("IFERROR(AVERAGE(filter('Генеральный баннер'!$AA:$AA, 'Генеральный баннер'!$B:$B=$A693,'Генеральный баннер'!$C:$C=$B693,'Генеральный баннер'!$I:$I=$C693)), 0) "),0.0)</f>
        <v>0</v>
      </c>
      <c r="S693" s="91">
        <f>IFERROR(__xludf.DUMMYFUNCTION("IFERROR(SUM(filter('Генеральный баннер'!$AH:$AH, 'Генеральный баннер'!$B:$B=$A693,'Генеральный баннер'!$C:$C=$B693,'Генеральный баннер'!$I:$I=$C693)), 0) "),0.0)</f>
        <v>0</v>
      </c>
      <c r="T693" s="91" t="str">
        <f>IFERROR(__xludf.DUMMYFUNCTION("IFERROR(REGEXREPLACE(unique(filter('Генеральный баннер'!$A:$A, 'Генеральный баннер'!$B:$B=$A693,'Генеральный баннер'!$C:$C=$B693,'Генеральный баннер'!$I:$I=$C693)), ""\d+"", """"),"""")"),"")</f>
        <v/>
      </c>
      <c r="U693" s="91" t="str">
        <f>IFERROR(__xludf.DUMMYFUNCTION("IFERROR(unique(filter('Генеральный баннер'!$F:$F, 'Генеральный баннер'!$B:$B=$A693,'Генеральный баннер'!$C:$C=$B693,'Генеральный баннер'!$I:$I=$C693)),"""")"),"")</f>
        <v/>
      </c>
      <c r="V693" s="92" t="str">
        <f t="shared" si="3"/>
        <v/>
      </c>
      <c r="W693" s="93">
        <f>IFERROR(__xludf.DUMMYFUNCTION("IFERROR(SWITCH(lower(join("" "",U693:V693)),""а миллионник"", 62.5,""б миллионник"", 75,""а мск"", 50, ""б мск"", 62.5, ""a остальное"", 70, ""б остальное"", 80)/100,0)"),0.0)</f>
        <v>0</v>
      </c>
      <c r="X693" s="91">
        <f t="shared" si="4"/>
        <v>0</v>
      </c>
    </row>
    <row r="694">
      <c r="A694" s="12"/>
      <c r="B694" s="12"/>
      <c r="C694" s="12"/>
      <c r="D694" s="91">
        <f>IFERROR(__xludf.DUMMYFUNCTION("IFERROR(sum(filter('Основной эфир'!$AA:$AA, 'Основной эфир'!$B:$B=$A694,'Основной эфир'!$C:$C=$B694,'Основной эфир'!$I:$I=$C694)), 0) "),0.0)</f>
        <v>0</v>
      </c>
      <c r="E694" s="91">
        <f>IFERROR(__xludf.DUMMYFUNCTION("IFERROR(sum(filter('Основной эфир'!$AC:$AC, 'Основной эфир'!$B:$B=$A694,'Основной эфир'!$C:$C=$B694,'Основной эфир'!$I:$I=$C694)), 0) "),0.0)</f>
        <v>0</v>
      </c>
      <c r="F694" s="91">
        <f>IFERROR(__xludf.DUMMYFUNCTION("IFERROR(sum(filter('Основной эфир'!$O:$O, 'Основной эфир'!$B:$B=$A694,'Основной эфир'!$C:$C=$B694,'Основной эфир'!$I:$I=$C694)), 0) "),0.0)</f>
        <v>0</v>
      </c>
      <c r="G694" s="91">
        <f>IFERROR(__xludf.DUMMYFUNCTION("IFERROR(sum(filter('Основной эфир'!$Q:$Q, 'Основной эфир'!$B:$B=$A694,'Основной эфир'!$C:$C=$B694,'Основной эфир'!$I:$I=$C694)), 0) "),0.0)</f>
        <v>0</v>
      </c>
      <c r="H694" s="91">
        <f>IFERROR(__xludf.DUMMYFUNCTION("IFERROR(AVERAGE(filter('Основной эфир'!$Y:$Y, 'Основной эфир'!$B:$B=$A694,'Основной эфир'!$C:$C=$B694,'Основной эфир'!$I:$I=$C694)), 0) "),0.0)</f>
        <v>0</v>
      </c>
      <c r="I694" s="91">
        <f>IFERROR(__xludf.DUMMYFUNCTION("IFERROR(AVERAGE(filter('Основной эфир'!$AE:$AE, 'Основной эфир'!$B:$B=$A694,'Основной эфир'!$C:$C=$B694,'Основной эфир'!$I:$I=$C694)), 0) "),0.0)</f>
        <v>0</v>
      </c>
      <c r="J694" s="91">
        <f>IFERROR(__xludf.DUMMYFUNCTION("IFERROR(SUM(filter('Основной эфир'!$AL:$AL, 'Основной эфир'!$B:$B=$A694,'Основной эфир'!$C:$C=$B694,'Основной эфир'!$I:$I=$C694)), 0) "),0.0)</f>
        <v>0</v>
      </c>
      <c r="K694" s="91" t="str">
        <f>IFERROR(__xludf.DUMMYFUNCTION("IFERROR(REGEXREPLACE(unique(filter('Основной эфир'!$A:$A, 'Основной эфир'!$B:$B=$A694,'Основной эфир'!$C:$C=$B694,'Основной эфир'!$I:$I=$C694)), ""\d+"", """"),"""")"),"")</f>
        <v/>
      </c>
      <c r="L694" s="91" t="str">
        <f>IFERROR(__xludf.DUMMYFUNCTION("IFERROR(unique(filter('Основной эфир'!$F:$F, 'Основной эфир'!$B:$B=$A694,'Основной эфир'!$C:$C=$B694,'Основной эфир'!$I:$I=$C694)),"""")"),"")</f>
        <v/>
      </c>
      <c r="M694" s="92" t="str">
        <f t="shared" si="1"/>
        <v/>
      </c>
      <c r="N694" s="93">
        <f>IFERROR(__xludf.DUMMYFUNCTION("IFERROR(SWITCH(lower(join("" "",L694:M694)),""а миллионник"", 62.5,""б миллионник"", 75,""а мск"", 50, ""б мск"", 62.5, ""a остальное"", 70, ""б остальное"", 80)/100,0)"),0.0)</f>
        <v>0</v>
      </c>
      <c r="O694" s="91">
        <f t="shared" si="2"/>
        <v>0</v>
      </c>
      <c r="P694" s="91">
        <f>IFERROR(__xludf.DUMMYFUNCTION("IFERROR(sum(filter('Генеральный баннер'!$O:$O, 'Генеральный баннер'!$B:$B=$A694,'Генеральный баннер'!$C:$C=$B694,'Генеральный баннер'!$I:$I=$C694)), 0) "),0.0)</f>
        <v>0</v>
      </c>
      <c r="Q694" s="91">
        <f>IFERROR(__xludf.DUMMYFUNCTION("IFERROR(sum(filter('Генеральный баннер'!$Q:$Q, 'Генеральный баннер'!$B:$B=$A694,'Генеральный баннер'!$C:$C=$B694,'Генеральный баннер'!$I:$I=$C694)), 0) "),0.0)</f>
        <v>0</v>
      </c>
      <c r="R694" s="91">
        <f>IFERROR(__xludf.DUMMYFUNCTION("IFERROR(AVERAGE(filter('Генеральный баннер'!$AA:$AA, 'Генеральный баннер'!$B:$B=$A694,'Генеральный баннер'!$C:$C=$B694,'Генеральный баннер'!$I:$I=$C694)), 0) "),0.0)</f>
        <v>0</v>
      </c>
      <c r="S694" s="91">
        <f>IFERROR(__xludf.DUMMYFUNCTION("IFERROR(SUM(filter('Генеральный баннер'!$AH:$AH, 'Генеральный баннер'!$B:$B=$A694,'Генеральный баннер'!$C:$C=$B694,'Генеральный баннер'!$I:$I=$C694)), 0) "),0.0)</f>
        <v>0</v>
      </c>
      <c r="T694" s="91" t="str">
        <f>IFERROR(__xludf.DUMMYFUNCTION("IFERROR(REGEXREPLACE(unique(filter('Генеральный баннер'!$A:$A, 'Генеральный баннер'!$B:$B=$A694,'Генеральный баннер'!$C:$C=$B694,'Генеральный баннер'!$I:$I=$C694)), ""\d+"", """"),"""")"),"")</f>
        <v/>
      </c>
      <c r="U694" s="91" t="str">
        <f>IFERROR(__xludf.DUMMYFUNCTION("IFERROR(unique(filter('Генеральный баннер'!$F:$F, 'Генеральный баннер'!$B:$B=$A694,'Генеральный баннер'!$C:$C=$B694,'Генеральный баннер'!$I:$I=$C694)),"""")"),"")</f>
        <v/>
      </c>
      <c r="V694" s="92" t="str">
        <f t="shared" si="3"/>
        <v/>
      </c>
      <c r="W694" s="93">
        <f>IFERROR(__xludf.DUMMYFUNCTION("IFERROR(SWITCH(lower(join("" "",U694:V694)),""а миллионник"", 62.5,""б миллионник"", 75,""а мск"", 50, ""б мск"", 62.5, ""a остальное"", 70, ""б остальное"", 80)/100,0)"),0.0)</f>
        <v>0</v>
      </c>
      <c r="X694" s="91">
        <f t="shared" si="4"/>
        <v>0</v>
      </c>
    </row>
    <row r="695">
      <c r="A695" s="12"/>
      <c r="B695" s="12"/>
      <c r="C695" s="12"/>
      <c r="D695" s="91">
        <f>IFERROR(__xludf.DUMMYFUNCTION("IFERROR(sum(filter('Основной эфир'!$AA:$AA, 'Основной эфир'!$B:$B=$A695,'Основной эфир'!$C:$C=$B695,'Основной эфир'!$I:$I=$C695)), 0) "),0.0)</f>
        <v>0</v>
      </c>
      <c r="E695" s="91">
        <f>IFERROR(__xludf.DUMMYFUNCTION("IFERROR(sum(filter('Основной эфир'!$AC:$AC, 'Основной эфир'!$B:$B=$A695,'Основной эфир'!$C:$C=$B695,'Основной эфир'!$I:$I=$C695)), 0) "),0.0)</f>
        <v>0</v>
      </c>
      <c r="F695" s="91">
        <f>IFERROR(__xludf.DUMMYFUNCTION("IFERROR(sum(filter('Основной эфир'!$O:$O, 'Основной эфир'!$B:$B=$A695,'Основной эфир'!$C:$C=$B695,'Основной эфир'!$I:$I=$C695)), 0) "),0.0)</f>
        <v>0</v>
      </c>
      <c r="G695" s="91">
        <f>IFERROR(__xludf.DUMMYFUNCTION("IFERROR(sum(filter('Основной эфир'!$Q:$Q, 'Основной эфир'!$B:$B=$A695,'Основной эфир'!$C:$C=$B695,'Основной эфир'!$I:$I=$C695)), 0) "),0.0)</f>
        <v>0</v>
      </c>
      <c r="H695" s="91">
        <f>IFERROR(__xludf.DUMMYFUNCTION("IFERROR(AVERAGE(filter('Основной эфир'!$Y:$Y, 'Основной эфир'!$B:$B=$A695,'Основной эфир'!$C:$C=$B695,'Основной эфир'!$I:$I=$C695)), 0) "),0.0)</f>
        <v>0</v>
      </c>
      <c r="I695" s="91">
        <f>IFERROR(__xludf.DUMMYFUNCTION("IFERROR(AVERAGE(filter('Основной эфир'!$AE:$AE, 'Основной эфир'!$B:$B=$A695,'Основной эфир'!$C:$C=$B695,'Основной эфир'!$I:$I=$C695)), 0) "),0.0)</f>
        <v>0</v>
      </c>
      <c r="J695" s="91">
        <f>IFERROR(__xludf.DUMMYFUNCTION("IFERROR(SUM(filter('Основной эфир'!$AL:$AL, 'Основной эфир'!$B:$B=$A695,'Основной эфир'!$C:$C=$B695,'Основной эфир'!$I:$I=$C695)), 0) "),0.0)</f>
        <v>0</v>
      </c>
      <c r="K695" s="91" t="str">
        <f>IFERROR(__xludf.DUMMYFUNCTION("IFERROR(REGEXREPLACE(unique(filter('Основной эфир'!$A:$A, 'Основной эфир'!$B:$B=$A695,'Основной эфир'!$C:$C=$B695,'Основной эфир'!$I:$I=$C695)), ""\d+"", """"),"""")"),"")</f>
        <v/>
      </c>
      <c r="L695" s="91" t="str">
        <f>IFERROR(__xludf.DUMMYFUNCTION("IFERROR(unique(filter('Основной эфир'!$F:$F, 'Основной эфир'!$B:$B=$A695,'Основной эфир'!$C:$C=$B695,'Основной эфир'!$I:$I=$C695)),"""")"),"")</f>
        <v/>
      </c>
      <c r="M695" s="92" t="str">
        <f t="shared" si="1"/>
        <v/>
      </c>
      <c r="N695" s="93">
        <f>IFERROR(__xludf.DUMMYFUNCTION("IFERROR(SWITCH(lower(join("" "",L695:M695)),""а миллионник"", 62.5,""б миллионник"", 75,""а мск"", 50, ""б мск"", 62.5, ""a остальное"", 70, ""б остальное"", 80)/100,0)"),0.0)</f>
        <v>0</v>
      </c>
      <c r="O695" s="91">
        <f t="shared" si="2"/>
        <v>0</v>
      </c>
      <c r="P695" s="91">
        <f>IFERROR(__xludf.DUMMYFUNCTION("IFERROR(sum(filter('Генеральный баннер'!$O:$O, 'Генеральный баннер'!$B:$B=$A695,'Генеральный баннер'!$C:$C=$B695,'Генеральный баннер'!$I:$I=$C695)), 0) "),0.0)</f>
        <v>0</v>
      </c>
      <c r="Q695" s="91">
        <f>IFERROR(__xludf.DUMMYFUNCTION("IFERROR(sum(filter('Генеральный баннер'!$Q:$Q, 'Генеральный баннер'!$B:$B=$A695,'Генеральный баннер'!$C:$C=$B695,'Генеральный баннер'!$I:$I=$C695)), 0) "),0.0)</f>
        <v>0</v>
      </c>
      <c r="R695" s="91">
        <f>IFERROR(__xludf.DUMMYFUNCTION("IFERROR(AVERAGE(filter('Генеральный баннер'!$AA:$AA, 'Генеральный баннер'!$B:$B=$A695,'Генеральный баннер'!$C:$C=$B695,'Генеральный баннер'!$I:$I=$C695)), 0) "),0.0)</f>
        <v>0</v>
      </c>
      <c r="S695" s="91">
        <f>IFERROR(__xludf.DUMMYFUNCTION("IFERROR(SUM(filter('Генеральный баннер'!$AH:$AH, 'Генеральный баннер'!$B:$B=$A695,'Генеральный баннер'!$C:$C=$B695,'Генеральный баннер'!$I:$I=$C695)), 0) "),0.0)</f>
        <v>0</v>
      </c>
      <c r="T695" s="91" t="str">
        <f>IFERROR(__xludf.DUMMYFUNCTION("IFERROR(REGEXREPLACE(unique(filter('Генеральный баннер'!$A:$A, 'Генеральный баннер'!$B:$B=$A695,'Генеральный баннер'!$C:$C=$B695,'Генеральный баннер'!$I:$I=$C695)), ""\d+"", """"),"""")"),"")</f>
        <v/>
      </c>
      <c r="U695" s="91" t="str">
        <f>IFERROR(__xludf.DUMMYFUNCTION("IFERROR(unique(filter('Генеральный баннер'!$F:$F, 'Генеральный баннер'!$B:$B=$A695,'Генеральный баннер'!$C:$C=$B695,'Генеральный баннер'!$I:$I=$C695)),"""")"),"")</f>
        <v/>
      </c>
      <c r="V695" s="92" t="str">
        <f t="shared" si="3"/>
        <v/>
      </c>
      <c r="W695" s="93">
        <f>IFERROR(__xludf.DUMMYFUNCTION("IFERROR(SWITCH(lower(join("" "",U695:V695)),""а миллионник"", 62.5,""б миллионник"", 75,""а мск"", 50, ""б мск"", 62.5, ""a остальное"", 70, ""б остальное"", 80)/100,0)"),0.0)</f>
        <v>0</v>
      </c>
      <c r="X695" s="91">
        <f t="shared" si="4"/>
        <v>0</v>
      </c>
    </row>
    <row r="696">
      <c r="A696" s="12"/>
      <c r="B696" s="12"/>
      <c r="C696" s="12"/>
      <c r="D696" s="91">
        <f>IFERROR(__xludf.DUMMYFUNCTION("IFERROR(sum(filter('Основной эфир'!$AA:$AA, 'Основной эфир'!$B:$B=$A696,'Основной эфир'!$C:$C=$B696,'Основной эфир'!$I:$I=$C696)), 0) "),0.0)</f>
        <v>0</v>
      </c>
      <c r="E696" s="91">
        <f>IFERROR(__xludf.DUMMYFUNCTION("IFERROR(sum(filter('Основной эфир'!$AC:$AC, 'Основной эфир'!$B:$B=$A696,'Основной эфир'!$C:$C=$B696,'Основной эфир'!$I:$I=$C696)), 0) "),0.0)</f>
        <v>0</v>
      </c>
      <c r="F696" s="91">
        <f>IFERROR(__xludf.DUMMYFUNCTION("IFERROR(sum(filter('Основной эфир'!$O:$O, 'Основной эфир'!$B:$B=$A696,'Основной эфир'!$C:$C=$B696,'Основной эфир'!$I:$I=$C696)), 0) "),0.0)</f>
        <v>0</v>
      </c>
      <c r="G696" s="91">
        <f>IFERROR(__xludf.DUMMYFUNCTION("IFERROR(sum(filter('Основной эфир'!$Q:$Q, 'Основной эфир'!$B:$B=$A696,'Основной эфир'!$C:$C=$B696,'Основной эфир'!$I:$I=$C696)), 0) "),0.0)</f>
        <v>0</v>
      </c>
      <c r="H696" s="91">
        <f>IFERROR(__xludf.DUMMYFUNCTION("IFERROR(AVERAGE(filter('Основной эфир'!$Y:$Y, 'Основной эфир'!$B:$B=$A696,'Основной эфир'!$C:$C=$B696,'Основной эфир'!$I:$I=$C696)), 0) "),0.0)</f>
        <v>0</v>
      </c>
      <c r="I696" s="91">
        <f>IFERROR(__xludf.DUMMYFUNCTION("IFERROR(AVERAGE(filter('Основной эфир'!$AE:$AE, 'Основной эфир'!$B:$B=$A696,'Основной эфир'!$C:$C=$B696,'Основной эфир'!$I:$I=$C696)), 0) "),0.0)</f>
        <v>0</v>
      </c>
      <c r="J696" s="91">
        <f>IFERROR(__xludf.DUMMYFUNCTION("IFERROR(SUM(filter('Основной эфир'!$AL:$AL, 'Основной эфир'!$B:$B=$A696,'Основной эфир'!$C:$C=$B696,'Основной эфир'!$I:$I=$C696)), 0) "),0.0)</f>
        <v>0</v>
      </c>
      <c r="K696" s="91" t="str">
        <f>IFERROR(__xludf.DUMMYFUNCTION("IFERROR(REGEXREPLACE(unique(filter('Основной эфир'!$A:$A, 'Основной эфир'!$B:$B=$A696,'Основной эфир'!$C:$C=$B696,'Основной эфир'!$I:$I=$C696)), ""\d+"", """"),"""")"),"")</f>
        <v/>
      </c>
      <c r="L696" s="91" t="str">
        <f>IFERROR(__xludf.DUMMYFUNCTION("IFERROR(unique(filter('Основной эфир'!$F:$F, 'Основной эфир'!$B:$B=$A696,'Основной эфир'!$C:$C=$B696,'Основной эфир'!$I:$I=$C696)),"""")"),"")</f>
        <v/>
      </c>
      <c r="M696" s="92" t="str">
        <f t="shared" si="1"/>
        <v/>
      </c>
      <c r="N696" s="93">
        <f>IFERROR(__xludf.DUMMYFUNCTION("IFERROR(SWITCH(lower(join("" "",L696:M696)),""а миллионник"", 62.5,""б миллионник"", 75,""а мск"", 50, ""б мск"", 62.5, ""a остальное"", 70, ""б остальное"", 80)/100,0)"),0.0)</f>
        <v>0</v>
      </c>
      <c r="O696" s="91">
        <f t="shared" si="2"/>
        <v>0</v>
      </c>
      <c r="P696" s="91">
        <f>IFERROR(__xludf.DUMMYFUNCTION("IFERROR(sum(filter('Генеральный баннер'!$O:$O, 'Генеральный баннер'!$B:$B=$A696,'Генеральный баннер'!$C:$C=$B696,'Генеральный баннер'!$I:$I=$C696)), 0) "),0.0)</f>
        <v>0</v>
      </c>
      <c r="Q696" s="91">
        <f>IFERROR(__xludf.DUMMYFUNCTION("IFERROR(sum(filter('Генеральный баннер'!$Q:$Q, 'Генеральный баннер'!$B:$B=$A696,'Генеральный баннер'!$C:$C=$B696,'Генеральный баннер'!$I:$I=$C696)), 0) "),0.0)</f>
        <v>0</v>
      </c>
      <c r="R696" s="91">
        <f>IFERROR(__xludf.DUMMYFUNCTION("IFERROR(AVERAGE(filter('Генеральный баннер'!$AA:$AA, 'Генеральный баннер'!$B:$B=$A696,'Генеральный баннер'!$C:$C=$B696,'Генеральный баннер'!$I:$I=$C696)), 0) "),0.0)</f>
        <v>0</v>
      </c>
      <c r="S696" s="91">
        <f>IFERROR(__xludf.DUMMYFUNCTION("IFERROR(SUM(filter('Генеральный баннер'!$AH:$AH, 'Генеральный баннер'!$B:$B=$A696,'Генеральный баннер'!$C:$C=$B696,'Генеральный баннер'!$I:$I=$C696)), 0) "),0.0)</f>
        <v>0</v>
      </c>
      <c r="T696" s="91" t="str">
        <f>IFERROR(__xludf.DUMMYFUNCTION("IFERROR(REGEXREPLACE(unique(filter('Генеральный баннер'!$A:$A, 'Генеральный баннер'!$B:$B=$A696,'Генеральный баннер'!$C:$C=$B696,'Генеральный баннер'!$I:$I=$C696)), ""\d+"", """"),"""")"),"")</f>
        <v/>
      </c>
      <c r="U696" s="91" t="str">
        <f>IFERROR(__xludf.DUMMYFUNCTION("IFERROR(unique(filter('Генеральный баннер'!$F:$F, 'Генеральный баннер'!$B:$B=$A696,'Генеральный баннер'!$C:$C=$B696,'Генеральный баннер'!$I:$I=$C696)),"""")"),"")</f>
        <v/>
      </c>
      <c r="V696" s="92" t="str">
        <f t="shared" si="3"/>
        <v/>
      </c>
      <c r="W696" s="93">
        <f>IFERROR(__xludf.DUMMYFUNCTION("IFERROR(SWITCH(lower(join("" "",U696:V696)),""а миллионник"", 62.5,""б миллионник"", 75,""а мск"", 50, ""б мск"", 62.5, ""a остальное"", 70, ""б остальное"", 80)/100,0)"),0.0)</f>
        <v>0</v>
      </c>
      <c r="X696" s="91">
        <f t="shared" si="4"/>
        <v>0</v>
      </c>
    </row>
    <row r="697">
      <c r="A697" s="12"/>
      <c r="B697" s="12"/>
      <c r="C697" s="12"/>
      <c r="D697" s="91">
        <f>IFERROR(__xludf.DUMMYFUNCTION("IFERROR(sum(filter('Основной эфир'!$AA:$AA, 'Основной эфир'!$B:$B=$A697,'Основной эфир'!$C:$C=$B697,'Основной эфир'!$I:$I=$C697)), 0) "),0.0)</f>
        <v>0</v>
      </c>
      <c r="E697" s="91">
        <f>IFERROR(__xludf.DUMMYFUNCTION("IFERROR(sum(filter('Основной эфир'!$AC:$AC, 'Основной эфир'!$B:$B=$A697,'Основной эфир'!$C:$C=$B697,'Основной эфир'!$I:$I=$C697)), 0) "),0.0)</f>
        <v>0</v>
      </c>
      <c r="F697" s="91">
        <f>IFERROR(__xludf.DUMMYFUNCTION("IFERROR(sum(filter('Основной эфир'!$O:$O, 'Основной эфир'!$B:$B=$A697,'Основной эфир'!$C:$C=$B697,'Основной эфир'!$I:$I=$C697)), 0) "),0.0)</f>
        <v>0</v>
      </c>
      <c r="G697" s="91">
        <f>IFERROR(__xludf.DUMMYFUNCTION("IFERROR(sum(filter('Основной эфир'!$Q:$Q, 'Основной эфир'!$B:$B=$A697,'Основной эфир'!$C:$C=$B697,'Основной эфир'!$I:$I=$C697)), 0) "),0.0)</f>
        <v>0</v>
      </c>
      <c r="H697" s="91">
        <f>IFERROR(__xludf.DUMMYFUNCTION("IFERROR(AVERAGE(filter('Основной эфир'!$Y:$Y, 'Основной эфир'!$B:$B=$A697,'Основной эфир'!$C:$C=$B697,'Основной эфир'!$I:$I=$C697)), 0) "),0.0)</f>
        <v>0</v>
      </c>
      <c r="I697" s="91">
        <f>IFERROR(__xludf.DUMMYFUNCTION("IFERROR(AVERAGE(filter('Основной эфир'!$AE:$AE, 'Основной эфир'!$B:$B=$A697,'Основной эфир'!$C:$C=$B697,'Основной эфир'!$I:$I=$C697)), 0) "),0.0)</f>
        <v>0</v>
      </c>
      <c r="J697" s="91">
        <f>IFERROR(__xludf.DUMMYFUNCTION("IFERROR(SUM(filter('Основной эфир'!$AL:$AL, 'Основной эфир'!$B:$B=$A697,'Основной эфир'!$C:$C=$B697,'Основной эфир'!$I:$I=$C697)), 0) "),0.0)</f>
        <v>0</v>
      </c>
      <c r="K697" s="91" t="str">
        <f>IFERROR(__xludf.DUMMYFUNCTION("IFERROR(REGEXREPLACE(unique(filter('Основной эфир'!$A:$A, 'Основной эфир'!$B:$B=$A697,'Основной эфир'!$C:$C=$B697,'Основной эфир'!$I:$I=$C697)), ""\d+"", """"),"""")"),"")</f>
        <v/>
      </c>
      <c r="L697" s="91" t="str">
        <f>IFERROR(__xludf.DUMMYFUNCTION("IFERROR(unique(filter('Основной эфир'!$F:$F, 'Основной эфир'!$B:$B=$A697,'Основной эфир'!$C:$C=$B697,'Основной эфир'!$I:$I=$C697)),"""")"),"")</f>
        <v/>
      </c>
      <c r="M697" s="92" t="str">
        <f t="shared" si="1"/>
        <v/>
      </c>
      <c r="N697" s="93">
        <f>IFERROR(__xludf.DUMMYFUNCTION("IFERROR(SWITCH(lower(join("" "",L697:M697)),""а миллионник"", 62.5,""б миллионник"", 75,""а мск"", 50, ""б мск"", 62.5, ""a остальное"", 70, ""б остальное"", 80)/100,0)"),0.0)</f>
        <v>0</v>
      </c>
      <c r="O697" s="91">
        <f t="shared" si="2"/>
        <v>0</v>
      </c>
      <c r="P697" s="91">
        <f>IFERROR(__xludf.DUMMYFUNCTION("IFERROR(sum(filter('Генеральный баннер'!$O:$O, 'Генеральный баннер'!$B:$B=$A697,'Генеральный баннер'!$C:$C=$B697,'Генеральный баннер'!$I:$I=$C697)), 0) "),0.0)</f>
        <v>0</v>
      </c>
      <c r="Q697" s="91">
        <f>IFERROR(__xludf.DUMMYFUNCTION("IFERROR(sum(filter('Генеральный баннер'!$Q:$Q, 'Генеральный баннер'!$B:$B=$A697,'Генеральный баннер'!$C:$C=$B697,'Генеральный баннер'!$I:$I=$C697)), 0) "),0.0)</f>
        <v>0</v>
      </c>
      <c r="R697" s="91">
        <f>IFERROR(__xludf.DUMMYFUNCTION("IFERROR(AVERAGE(filter('Генеральный баннер'!$AA:$AA, 'Генеральный баннер'!$B:$B=$A697,'Генеральный баннер'!$C:$C=$B697,'Генеральный баннер'!$I:$I=$C697)), 0) "),0.0)</f>
        <v>0</v>
      </c>
      <c r="S697" s="91">
        <f>IFERROR(__xludf.DUMMYFUNCTION("IFERROR(SUM(filter('Генеральный баннер'!$AH:$AH, 'Генеральный баннер'!$B:$B=$A697,'Генеральный баннер'!$C:$C=$B697,'Генеральный баннер'!$I:$I=$C697)), 0) "),0.0)</f>
        <v>0</v>
      </c>
      <c r="T697" s="91" t="str">
        <f>IFERROR(__xludf.DUMMYFUNCTION("IFERROR(REGEXREPLACE(unique(filter('Генеральный баннер'!$A:$A, 'Генеральный баннер'!$B:$B=$A697,'Генеральный баннер'!$C:$C=$B697,'Генеральный баннер'!$I:$I=$C697)), ""\d+"", """"),"""")"),"")</f>
        <v/>
      </c>
      <c r="U697" s="91" t="str">
        <f>IFERROR(__xludf.DUMMYFUNCTION("IFERROR(unique(filter('Генеральный баннер'!$F:$F, 'Генеральный баннер'!$B:$B=$A697,'Генеральный баннер'!$C:$C=$B697,'Генеральный баннер'!$I:$I=$C697)),"""")"),"")</f>
        <v/>
      </c>
      <c r="V697" s="92" t="str">
        <f t="shared" si="3"/>
        <v/>
      </c>
      <c r="W697" s="93">
        <f>IFERROR(__xludf.DUMMYFUNCTION("IFERROR(SWITCH(lower(join("" "",U697:V697)),""а миллионник"", 62.5,""б миллионник"", 75,""а мск"", 50, ""б мск"", 62.5, ""a остальное"", 70, ""б остальное"", 80)/100,0)"),0.0)</f>
        <v>0</v>
      </c>
      <c r="X697" s="91">
        <f t="shared" si="4"/>
        <v>0</v>
      </c>
    </row>
    <row r="698">
      <c r="A698" s="12"/>
      <c r="B698" s="12"/>
      <c r="C698" s="12"/>
      <c r="D698" s="91">
        <f>IFERROR(__xludf.DUMMYFUNCTION("IFERROR(sum(filter('Основной эфир'!$AA:$AA, 'Основной эфир'!$B:$B=$A698,'Основной эфир'!$C:$C=$B698,'Основной эфир'!$I:$I=$C698)), 0) "),0.0)</f>
        <v>0</v>
      </c>
      <c r="E698" s="91">
        <f>IFERROR(__xludf.DUMMYFUNCTION("IFERROR(sum(filter('Основной эфир'!$AC:$AC, 'Основной эфир'!$B:$B=$A698,'Основной эфир'!$C:$C=$B698,'Основной эфир'!$I:$I=$C698)), 0) "),0.0)</f>
        <v>0</v>
      </c>
      <c r="F698" s="91">
        <f>IFERROR(__xludf.DUMMYFUNCTION("IFERROR(sum(filter('Основной эфир'!$O:$O, 'Основной эфир'!$B:$B=$A698,'Основной эфир'!$C:$C=$B698,'Основной эфир'!$I:$I=$C698)), 0) "),0.0)</f>
        <v>0</v>
      </c>
      <c r="G698" s="91">
        <f>IFERROR(__xludf.DUMMYFUNCTION("IFERROR(sum(filter('Основной эфир'!$Q:$Q, 'Основной эфир'!$B:$B=$A698,'Основной эфир'!$C:$C=$B698,'Основной эфир'!$I:$I=$C698)), 0) "),0.0)</f>
        <v>0</v>
      </c>
      <c r="H698" s="91">
        <f>IFERROR(__xludf.DUMMYFUNCTION("IFERROR(AVERAGE(filter('Основной эфир'!$Y:$Y, 'Основной эфир'!$B:$B=$A698,'Основной эфир'!$C:$C=$B698,'Основной эфир'!$I:$I=$C698)), 0) "),0.0)</f>
        <v>0</v>
      </c>
      <c r="I698" s="91">
        <f>IFERROR(__xludf.DUMMYFUNCTION("IFERROR(AVERAGE(filter('Основной эфир'!$AE:$AE, 'Основной эфир'!$B:$B=$A698,'Основной эфир'!$C:$C=$B698,'Основной эфир'!$I:$I=$C698)), 0) "),0.0)</f>
        <v>0</v>
      </c>
      <c r="J698" s="91">
        <f>IFERROR(__xludf.DUMMYFUNCTION("IFERROR(SUM(filter('Основной эфир'!$AL:$AL, 'Основной эфир'!$B:$B=$A698,'Основной эфир'!$C:$C=$B698,'Основной эфир'!$I:$I=$C698)), 0) "),0.0)</f>
        <v>0</v>
      </c>
      <c r="K698" s="91" t="str">
        <f>IFERROR(__xludf.DUMMYFUNCTION("IFERROR(REGEXREPLACE(unique(filter('Основной эфир'!$A:$A, 'Основной эфир'!$B:$B=$A698,'Основной эфир'!$C:$C=$B698,'Основной эфир'!$I:$I=$C698)), ""\d+"", """"),"""")"),"")</f>
        <v/>
      </c>
      <c r="L698" s="91" t="str">
        <f>IFERROR(__xludf.DUMMYFUNCTION("IFERROR(unique(filter('Основной эфир'!$F:$F, 'Основной эфир'!$B:$B=$A698,'Основной эфир'!$C:$C=$B698,'Основной эфир'!$I:$I=$C698)),"""")"),"")</f>
        <v/>
      </c>
      <c r="M698" s="92" t="str">
        <f t="shared" si="1"/>
        <v/>
      </c>
      <c r="N698" s="93">
        <f>IFERROR(__xludf.DUMMYFUNCTION("IFERROR(SWITCH(lower(join("" "",L698:M698)),""а миллионник"", 62.5,""б миллионник"", 75,""а мск"", 50, ""б мск"", 62.5, ""a остальное"", 70, ""б остальное"", 80)/100,0)"),0.0)</f>
        <v>0</v>
      </c>
      <c r="O698" s="91">
        <f t="shared" si="2"/>
        <v>0</v>
      </c>
      <c r="P698" s="91">
        <f>IFERROR(__xludf.DUMMYFUNCTION("IFERROR(sum(filter('Генеральный баннер'!$O:$O, 'Генеральный баннер'!$B:$B=$A698,'Генеральный баннер'!$C:$C=$B698,'Генеральный баннер'!$I:$I=$C698)), 0) "),0.0)</f>
        <v>0</v>
      </c>
      <c r="Q698" s="91">
        <f>IFERROR(__xludf.DUMMYFUNCTION("IFERROR(sum(filter('Генеральный баннер'!$Q:$Q, 'Генеральный баннер'!$B:$B=$A698,'Генеральный баннер'!$C:$C=$B698,'Генеральный баннер'!$I:$I=$C698)), 0) "),0.0)</f>
        <v>0</v>
      </c>
      <c r="R698" s="91">
        <f>IFERROR(__xludf.DUMMYFUNCTION("IFERROR(AVERAGE(filter('Генеральный баннер'!$AA:$AA, 'Генеральный баннер'!$B:$B=$A698,'Генеральный баннер'!$C:$C=$B698,'Генеральный баннер'!$I:$I=$C698)), 0) "),0.0)</f>
        <v>0</v>
      </c>
      <c r="S698" s="91">
        <f>IFERROR(__xludf.DUMMYFUNCTION("IFERROR(SUM(filter('Генеральный баннер'!$AH:$AH, 'Генеральный баннер'!$B:$B=$A698,'Генеральный баннер'!$C:$C=$B698,'Генеральный баннер'!$I:$I=$C698)), 0) "),0.0)</f>
        <v>0</v>
      </c>
      <c r="T698" s="91" t="str">
        <f>IFERROR(__xludf.DUMMYFUNCTION("IFERROR(REGEXREPLACE(unique(filter('Генеральный баннер'!$A:$A, 'Генеральный баннер'!$B:$B=$A698,'Генеральный баннер'!$C:$C=$B698,'Генеральный баннер'!$I:$I=$C698)), ""\d+"", """"),"""")"),"")</f>
        <v/>
      </c>
      <c r="U698" s="91" t="str">
        <f>IFERROR(__xludf.DUMMYFUNCTION("IFERROR(unique(filter('Генеральный баннер'!$F:$F, 'Генеральный баннер'!$B:$B=$A698,'Генеральный баннер'!$C:$C=$B698,'Генеральный баннер'!$I:$I=$C698)),"""")"),"")</f>
        <v/>
      </c>
      <c r="V698" s="92" t="str">
        <f t="shared" si="3"/>
        <v/>
      </c>
      <c r="W698" s="93">
        <f>IFERROR(__xludf.DUMMYFUNCTION("IFERROR(SWITCH(lower(join("" "",U698:V698)),""а миллионник"", 62.5,""б миллионник"", 75,""а мск"", 50, ""б мск"", 62.5, ""a остальное"", 70, ""б остальное"", 80)/100,0)"),0.0)</f>
        <v>0</v>
      </c>
      <c r="X698" s="91">
        <f t="shared" si="4"/>
        <v>0</v>
      </c>
    </row>
    <row r="699">
      <c r="A699" s="12"/>
      <c r="B699" s="12"/>
      <c r="C699" s="12"/>
      <c r="D699" s="91">
        <f>IFERROR(__xludf.DUMMYFUNCTION("IFERROR(sum(filter('Основной эфир'!$AA:$AA, 'Основной эфир'!$B:$B=$A699,'Основной эфир'!$C:$C=$B699,'Основной эфир'!$I:$I=$C699)), 0) "),0.0)</f>
        <v>0</v>
      </c>
      <c r="E699" s="91">
        <f>IFERROR(__xludf.DUMMYFUNCTION("IFERROR(sum(filter('Основной эфир'!$AC:$AC, 'Основной эфир'!$B:$B=$A699,'Основной эфир'!$C:$C=$B699,'Основной эфир'!$I:$I=$C699)), 0) "),0.0)</f>
        <v>0</v>
      </c>
      <c r="F699" s="91">
        <f>IFERROR(__xludf.DUMMYFUNCTION("IFERROR(sum(filter('Основной эфир'!$O:$O, 'Основной эфир'!$B:$B=$A699,'Основной эфир'!$C:$C=$B699,'Основной эфир'!$I:$I=$C699)), 0) "),0.0)</f>
        <v>0</v>
      </c>
      <c r="G699" s="91">
        <f>IFERROR(__xludf.DUMMYFUNCTION("IFERROR(sum(filter('Основной эфир'!$Q:$Q, 'Основной эфир'!$B:$B=$A699,'Основной эфир'!$C:$C=$B699,'Основной эфир'!$I:$I=$C699)), 0) "),0.0)</f>
        <v>0</v>
      </c>
      <c r="H699" s="91">
        <f>IFERROR(__xludf.DUMMYFUNCTION("IFERROR(AVERAGE(filter('Основной эфир'!$Y:$Y, 'Основной эфир'!$B:$B=$A699,'Основной эфир'!$C:$C=$B699,'Основной эфир'!$I:$I=$C699)), 0) "),0.0)</f>
        <v>0</v>
      </c>
      <c r="I699" s="91">
        <f>IFERROR(__xludf.DUMMYFUNCTION("IFERROR(AVERAGE(filter('Основной эфир'!$AE:$AE, 'Основной эфир'!$B:$B=$A699,'Основной эфир'!$C:$C=$B699,'Основной эфир'!$I:$I=$C699)), 0) "),0.0)</f>
        <v>0</v>
      </c>
      <c r="J699" s="91">
        <f>IFERROR(__xludf.DUMMYFUNCTION("IFERROR(SUM(filter('Основной эфир'!$AL:$AL, 'Основной эфир'!$B:$B=$A699,'Основной эфир'!$C:$C=$B699,'Основной эфир'!$I:$I=$C699)), 0) "),0.0)</f>
        <v>0</v>
      </c>
      <c r="K699" s="91" t="str">
        <f>IFERROR(__xludf.DUMMYFUNCTION("IFERROR(REGEXREPLACE(unique(filter('Основной эфир'!$A:$A, 'Основной эфир'!$B:$B=$A699,'Основной эфир'!$C:$C=$B699,'Основной эфир'!$I:$I=$C699)), ""\d+"", """"),"""")"),"")</f>
        <v/>
      </c>
      <c r="L699" s="91" t="str">
        <f>IFERROR(__xludf.DUMMYFUNCTION("IFERROR(unique(filter('Основной эфир'!$F:$F, 'Основной эфир'!$B:$B=$A699,'Основной эфир'!$C:$C=$B699,'Основной эфир'!$I:$I=$C699)),"""")"),"")</f>
        <v/>
      </c>
      <c r="M699" s="92" t="str">
        <f t="shared" si="1"/>
        <v/>
      </c>
      <c r="N699" s="93">
        <f>IFERROR(__xludf.DUMMYFUNCTION("IFERROR(SWITCH(lower(join("" "",L699:M699)),""а миллионник"", 62.5,""б миллионник"", 75,""а мск"", 50, ""б мск"", 62.5, ""a остальное"", 70, ""б остальное"", 80)/100,0)"),0.0)</f>
        <v>0</v>
      </c>
      <c r="O699" s="91">
        <f t="shared" si="2"/>
        <v>0</v>
      </c>
      <c r="P699" s="91">
        <f>IFERROR(__xludf.DUMMYFUNCTION("IFERROR(sum(filter('Генеральный баннер'!$O:$O, 'Генеральный баннер'!$B:$B=$A699,'Генеральный баннер'!$C:$C=$B699,'Генеральный баннер'!$I:$I=$C699)), 0) "),0.0)</f>
        <v>0</v>
      </c>
      <c r="Q699" s="91">
        <f>IFERROR(__xludf.DUMMYFUNCTION("IFERROR(sum(filter('Генеральный баннер'!$Q:$Q, 'Генеральный баннер'!$B:$B=$A699,'Генеральный баннер'!$C:$C=$B699,'Генеральный баннер'!$I:$I=$C699)), 0) "),0.0)</f>
        <v>0</v>
      </c>
      <c r="R699" s="91">
        <f>IFERROR(__xludf.DUMMYFUNCTION("IFERROR(AVERAGE(filter('Генеральный баннер'!$AA:$AA, 'Генеральный баннер'!$B:$B=$A699,'Генеральный баннер'!$C:$C=$B699,'Генеральный баннер'!$I:$I=$C699)), 0) "),0.0)</f>
        <v>0</v>
      </c>
      <c r="S699" s="91">
        <f>IFERROR(__xludf.DUMMYFUNCTION("IFERROR(SUM(filter('Генеральный баннер'!$AH:$AH, 'Генеральный баннер'!$B:$B=$A699,'Генеральный баннер'!$C:$C=$B699,'Генеральный баннер'!$I:$I=$C699)), 0) "),0.0)</f>
        <v>0</v>
      </c>
      <c r="T699" s="91" t="str">
        <f>IFERROR(__xludf.DUMMYFUNCTION("IFERROR(REGEXREPLACE(unique(filter('Генеральный баннер'!$A:$A, 'Генеральный баннер'!$B:$B=$A699,'Генеральный баннер'!$C:$C=$B699,'Генеральный баннер'!$I:$I=$C699)), ""\d+"", """"),"""")"),"")</f>
        <v/>
      </c>
      <c r="U699" s="91" t="str">
        <f>IFERROR(__xludf.DUMMYFUNCTION("IFERROR(unique(filter('Генеральный баннер'!$F:$F, 'Генеральный баннер'!$B:$B=$A699,'Генеральный баннер'!$C:$C=$B699,'Генеральный баннер'!$I:$I=$C699)),"""")"),"")</f>
        <v/>
      </c>
      <c r="V699" s="92" t="str">
        <f t="shared" si="3"/>
        <v/>
      </c>
      <c r="W699" s="93">
        <f>IFERROR(__xludf.DUMMYFUNCTION("IFERROR(SWITCH(lower(join("" "",U699:V699)),""а миллионник"", 62.5,""б миллионник"", 75,""а мск"", 50, ""б мск"", 62.5, ""a остальное"", 70, ""б остальное"", 80)/100,0)"),0.0)</f>
        <v>0</v>
      </c>
      <c r="X699" s="91">
        <f t="shared" si="4"/>
        <v>0</v>
      </c>
    </row>
    <row r="700">
      <c r="A700" s="12"/>
      <c r="B700" s="12"/>
      <c r="C700" s="12"/>
      <c r="D700" s="91">
        <f>IFERROR(__xludf.DUMMYFUNCTION("IFERROR(sum(filter('Основной эфир'!$AA:$AA, 'Основной эфир'!$B:$B=$A700,'Основной эфир'!$C:$C=$B700,'Основной эфир'!$I:$I=$C700)), 0) "),0.0)</f>
        <v>0</v>
      </c>
      <c r="E700" s="91">
        <f>IFERROR(__xludf.DUMMYFUNCTION("IFERROR(sum(filter('Основной эфир'!$AC:$AC, 'Основной эфир'!$B:$B=$A700,'Основной эфир'!$C:$C=$B700,'Основной эфир'!$I:$I=$C700)), 0) "),0.0)</f>
        <v>0</v>
      </c>
      <c r="F700" s="91">
        <f>IFERROR(__xludf.DUMMYFUNCTION("IFERROR(sum(filter('Основной эфир'!$O:$O, 'Основной эфир'!$B:$B=$A700,'Основной эфир'!$C:$C=$B700,'Основной эфир'!$I:$I=$C700)), 0) "),0.0)</f>
        <v>0</v>
      </c>
      <c r="G700" s="91">
        <f>IFERROR(__xludf.DUMMYFUNCTION("IFERROR(sum(filter('Основной эфир'!$Q:$Q, 'Основной эфир'!$B:$B=$A700,'Основной эфир'!$C:$C=$B700,'Основной эфир'!$I:$I=$C700)), 0) "),0.0)</f>
        <v>0</v>
      </c>
      <c r="H700" s="91">
        <f>IFERROR(__xludf.DUMMYFUNCTION("IFERROR(AVERAGE(filter('Основной эфир'!$Y:$Y, 'Основной эфир'!$B:$B=$A700,'Основной эфир'!$C:$C=$B700,'Основной эфир'!$I:$I=$C700)), 0) "),0.0)</f>
        <v>0</v>
      </c>
      <c r="I700" s="91">
        <f>IFERROR(__xludf.DUMMYFUNCTION("IFERROR(AVERAGE(filter('Основной эфир'!$AE:$AE, 'Основной эфир'!$B:$B=$A700,'Основной эфир'!$C:$C=$B700,'Основной эфир'!$I:$I=$C700)), 0) "),0.0)</f>
        <v>0</v>
      </c>
      <c r="J700" s="91">
        <f>IFERROR(__xludf.DUMMYFUNCTION("IFERROR(SUM(filter('Основной эфир'!$AL:$AL, 'Основной эфир'!$B:$B=$A700,'Основной эфир'!$C:$C=$B700,'Основной эфир'!$I:$I=$C700)), 0) "),0.0)</f>
        <v>0</v>
      </c>
      <c r="K700" s="91" t="str">
        <f>IFERROR(__xludf.DUMMYFUNCTION("IFERROR(REGEXREPLACE(unique(filter('Основной эфир'!$A:$A, 'Основной эфир'!$B:$B=$A700,'Основной эфир'!$C:$C=$B700,'Основной эфир'!$I:$I=$C700)), ""\d+"", """"),"""")"),"")</f>
        <v/>
      </c>
      <c r="L700" s="91" t="str">
        <f>IFERROR(__xludf.DUMMYFUNCTION("IFERROR(unique(filter('Основной эфир'!$F:$F, 'Основной эфир'!$B:$B=$A700,'Основной эфир'!$C:$C=$B700,'Основной эфир'!$I:$I=$C700)),"""")"),"")</f>
        <v/>
      </c>
      <c r="M700" s="92" t="str">
        <f t="shared" si="1"/>
        <v/>
      </c>
      <c r="N700" s="93">
        <f>IFERROR(__xludf.DUMMYFUNCTION("IFERROR(SWITCH(lower(join("" "",L700:M700)),""а миллионник"", 62.5,""б миллионник"", 75,""а мск"", 50, ""б мск"", 62.5, ""a остальное"", 70, ""б остальное"", 80)/100,0)"),0.0)</f>
        <v>0</v>
      </c>
      <c r="O700" s="91">
        <f t="shared" si="2"/>
        <v>0</v>
      </c>
      <c r="P700" s="91">
        <f>IFERROR(__xludf.DUMMYFUNCTION("IFERROR(sum(filter('Генеральный баннер'!$O:$O, 'Генеральный баннер'!$B:$B=$A700,'Генеральный баннер'!$C:$C=$B700,'Генеральный баннер'!$I:$I=$C700)), 0) "),0.0)</f>
        <v>0</v>
      </c>
      <c r="Q700" s="91">
        <f>IFERROR(__xludf.DUMMYFUNCTION("IFERROR(sum(filter('Генеральный баннер'!$Q:$Q, 'Генеральный баннер'!$B:$B=$A700,'Генеральный баннер'!$C:$C=$B700,'Генеральный баннер'!$I:$I=$C700)), 0) "),0.0)</f>
        <v>0</v>
      </c>
      <c r="R700" s="91">
        <f>IFERROR(__xludf.DUMMYFUNCTION("IFERROR(AVERAGE(filter('Генеральный баннер'!$AA:$AA, 'Генеральный баннер'!$B:$B=$A700,'Генеральный баннер'!$C:$C=$B700,'Генеральный баннер'!$I:$I=$C700)), 0) "),0.0)</f>
        <v>0</v>
      </c>
      <c r="S700" s="91">
        <f>IFERROR(__xludf.DUMMYFUNCTION("IFERROR(SUM(filter('Генеральный баннер'!$AH:$AH, 'Генеральный баннер'!$B:$B=$A700,'Генеральный баннер'!$C:$C=$B700,'Генеральный баннер'!$I:$I=$C700)), 0) "),0.0)</f>
        <v>0</v>
      </c>
      <c r="T700" s="91" t="str">
        <f>IFERROR(__xludf.DUMMYFUNCTION("IFERROR(REGEXREPLACE(unique(filter('Генеральный баннер'!$A:$A, 'Генеральный баннер'!$B:$B=$A700,'Генеральный баннер'!$C:$C=$B700,'Генеральный баннер'!$I:$I=$C700)), ""\d+"", """"),"""")"),"")</f>
        <v/>
      </c>
      <c r="U700" s="91" t="str">
        <f>IFERROR(__xludf.DUMMYFUNCTION("IFERROR(unique(filter('Генеральный баннер'!$F:$F, 'Генеральный баннер'!$B:$B=$A700,'Генеральный баннер'!$C:$C=$B700,'Генеральный баннер'!$I:$I=$C700)),"""")"),"")</f>
        <v/>
      </c>
      <c r="V700" s="92" t="str">
        <f t="shared" si="3"/>
        <v/>
      </c>
      <c r="W700" s="93">
        <f>IFERROR(__xludf.DUMMYFUNCTION("IFERROR(SWITCH(lower(join("" "",U700:V700)),""а миллионник"", 62.5,""б миллионник"", 75,""а мск"", 50, ""б мск"", 62.5, ""a остальное"", 70, ""б остальное"", 80)/100,0)"),0.0)</f>
        <v>0</v>
      </c>
      <c r="X700" s="91">
        <f t="shared" si="4"/>
        <v>0</v>
      </c>
    </row>
    <row r="701">
      <c r="A701" s="12"/>
      <c r="B701" s="12"/>
      <c r="C701" s="12"/>
      <c r="D701" s="91">
        <f>IFERROR(__xludf.DUMMYFUNCTION("IFERROR(sum(filter('Основной эфир'!$AA:$AA, 'Основной эфир'!$B:$B=$A701,'Основной эфир'!$C:$C=$B701,'Основной эфир'!$I:$I=$C701)), 0) "),0.0)</f>
        <v>0</v>
      </c>
      <c r="E701" s="91">
        <f>IFERROR(__xludf.DUMMYFUNCTION("IFERROR(sum(filter('Основной эфир'!$AC:$AC, 'Основной эфир'!$B:$B=$A701,'Основной эфир'!$C:$C=$B701,'Основной эфир'!$I:$I=$C701)), 0) "),0.0)</f>
        <v>0</v>
      </c>
      <c r="F701" s="91">
        <f>IFERROR(__xludf.DUMMYFUNCTION("IFERROR(sum(filter('Основной эфир'!$O:$O, 'Основной эфир'!$B:$B=$A701,'Основной эфир'!$C:$C=$B701,'Основной эфир'!$I:$I=$C701)), 0) "),0.0)</f>
        <v>0</v>
      </c>
      <c r="G701" s="91">
        <f>IFERROR(__xludf.DUMMYFUNCTION("IFERROR(sum(filter('Основной эфир'!$Q:$Q, 'Основной эфир'!$B:$B=$A701,'Основной эфир'!$C:$C=$B701,'Основной эфир'!$I:$I=$C701)), 0) "),0.0)</f>
        <v>0</v>
      </c>
      <c r="H701" s="91">
        <f>IFERROR(__xludf.DUMMYFUNCTION("IFERROR(AVERAGE(filter('Основной эфир'!$Y:$Y, 'Основной эфир'!$B:$B=$A701,'Основной эфир'!$C:$C=$B701,'Основной эфир'!$I:$I=$C701)), 0) "),0.0)</f>
        <v>0</v>
      </c>
      <c r="I701" s="91">
        <f>IFERROR(__xludf.DUMMYFUNCTION("IFERROR(AVERAGE(filter('Основной эфир'!$AE:$AE, 'Основной эфир'!$B:$B=$A701,'Основной эфир'!$C:$C=$B701,'Основной эфир'!$I:$I=$C701)), 0) "),0.0)</f>
        <v>0</v>
      </c>
      <c r="J701" s="91">
        <f>IFERROR(__xludf.DUMMYFUNCTION("IFERROR(SUM(filter('Основной эфир'!$AL:$AL, 'Основной эфир'!$B:$B=$A701,'Основной эфир'!$C:$C=$B701,'Основной эфир'!$I:$I=$C701)), 0) "),0.0)</f>
        <v>0</v>
      </c>
      <c r="K701" s="91" t="str">
        <f>IFERROR(__xludf.DUMMYFUNCTION("IFERROR(REGEXREPLACE(unique(filter('Основной эфир'!$A:$A, 'Основной эфир'!$B:$B=$A701,'Основной эфир'!$C:$C=$B701,'Основной эфир'!$I:$I=$C701)), ""\d+"", """"),"""")"),"")</f>
        <v/>
      </c>
      <c r="L701" s="91" t="str">
        <f>IFERROR(__xludf.DUMMYFUNCTION("IFERROR(unique(filter('Основной эфир'!$F:$F, 'Основной эфир'!$B:$B=$A701,'Основной эфир'!$C:$C=$B701,'Основной эфир'!$I:$I=$C701)),"""")"),"")</f>
        <v/>
      </c>
      <c r="M701" s="92" t="str">
        <f t="shared" si="1"/>
        <v/>
      </c>
      <c r="N701" s="93">
        <f>IFERROR(__xludf.DUMMYFUNCTION("IFERROR(SWITCH(lower(join("" "",L701:M701)),""а миллионник"", 62.5,""б миллионник"", 75,""а мск"", 50, ""б мск"", 62.5, ""a остальное"", 70, ""б остальное"", 80)/100,0)"),0.0)</f>
        <v>0</v>
      </c>
      <c r="O701" s="91">
        <f t="shared" si="2"/>
        <v>0</v>
      </c>
      <c r="P701" s="91">
        <f>IFERROR(__xludf.DUMMYFUNCTION("IFERROR(sum(filter('Генеральный баннер'!$O:$O, 'Генеральный баннер'!$B:$B=$A701,'Генеральный баннер'!$C:$C=$B701,'Генеральный баннер'!$I:$I=$C701)), 0) "),0.0)</f>
        <v>0</v>
      </c>
      <c r="Q701" s="91">
        <f>IFERROR(__xludf.DUMMYFUNCTION("IFERROR(sum(filter('Генеральный баннер'!$Q:$Q, 'Генеральный баннер'!$B:$B=$A701,'Генеральный баннер'!$C:$C=$B701,'Генеральный баннер'!$I:$I=$C701)), 0) "),0.0)</f>
        <v>0</v>
      </c>
      <c r="R701" s="91">
        <f>IFERROR(__xludf.DUMMYFUNCTION("IFERROR(AVERAGE(filter('Генеральный баннер'!$AA:$AA, 'Генеральный баннер'!$B:$B=$A701,'Генеральный баннер'!$C:$C=$B701,'Генеральный баннер'!$I:$I=$C701)), 0) "),0.0)</f>
        <v>0</v>
      </c>
      <c r="S701" s="91">
        <f>IFERROR(__xludf.DUMMYFUNCTION("IFERROR(SUM(filter('Генеральный баннер'!$AH:$AH, 'Генеральный баннер'!$B:$B=$A701,'Генеральный баннер'!$C:$C=$B701,'Генеральный баннер'!$I:$I=$C701)), 0) "),0.0)</f>
        <v>0</v>
      </c>
      <c r="T701" s="91" t="str">
        <f>IFERROR(__xludf.DUMMYFUNCTION("IFERROR(REGEXREPLACE(unique(filter('Генеральный баннер'!$A:$A, 'Генеральный баннер'!$B:$B=$A701,'Генеральный баннер'!$C:$C=$B701,'Генеральный баннер'!$I:$I=$C701)), ""\d+"", """"),"""")"),"")</f>
        <v/>
      </c>
      <c r="U701" s="91" t="str">
        <f>IFERROR(__xludf.DUMMYFUNCTION("IFERROR(unique(filter('Генеральный баннер'!$F:$F, 'Генеральный баннер'!$B:$B=$A701,'Генеральный баннер'!$C:$C=$B701,'Генеральный баннер'!$I:$I=$C701)),"""")"),"")</f>
        <v/>
      </c>
      <c r="V701" s="92" t="str">
        <f t="shared" si="3"/>
        <v/>
      </c>
      <c r="W701" s="93">
        <f>IFERROR(__xludf.DUMMYFUNCTION("IFERROR(SWITCH(lower(join("" "",U701:V701)),""а миллионник"", 62.5,""б миллионник"", 75,""а мск"", 50, ""б мск"", 62.5, ""a остальное"", 70, ""б остальное"", 80)/100,0)"),0.0)</f>
        <v>0</v>
      </c>
      <c r="X701" s="91">
        <f t="shared" si="4"/>
        <v>0</v>
      </c>
    </row>
    <row r="702">
      <c r="A702" s="12"/>
      <c r="B702" s="12"/>
      <c r="C702" s="12"/>
      <c r="D702" s="91">
        <f>IFERROR(__xludf.DUMMYFUNCTION("IFERROR(sum(filter('Основной эфир'!$AA:$AA, 'Основной эфир'!$B:$B=$A702,'Основной эфир'!$C:$C=$B702,'Основной эфир'!$I:$I=$C702)), 0) "),0.0)</f>
        <v>0</v>
      </c>
      <c r="E702" s="91">
        <f>IFERROR(__xludf.DUMMYFUNCTION("IFERROR(sum(filter('Основной эфир'!$AC:$AC, 'Основной эфир'!$B:$B=$A702,'Основной эфир'!$C:$C=$B702,'Основной эфир'!$I:$I=$C702)), 0) "),0.0)</f>
        <v>0</v>
      </c>
      <c r="F702" s="91">
        <f>IFERROR(__xludf.DUMMYFUNCTION("IFERROR(sum(filter('Основной эфир'!$O:$O, 'Основной эфир'!$B:$B=$A702,'Основной эфир'!$C:$C=$B702,'Основной эфир'!$I:$I=$C702)), 0) "),0.0)</f>
        <v>0</v>
      </c>
      <c r="G702" s="91">
        <f>IFERROR(__xludf.DUMMYFUNCTION("IFERROR(sum(filter('Основной эфир'!$Q:$Q, 'Основной эфир'!$B:$B=$A702,'Основной эфир'!$C:$C=$B702,'Основной эфир'!$I:$I=$C702)), 0) "),0.0)</f>
        <v>0</v>
      </c>
      <c r="H702" s="91">
        <f>IFERROR(__xludf.DUMMYFUNCTION("IFERROR(AVERAGE(filter('Основной эфир'!$Y:$Y, 'Основной эфир'!$B:$B=$A702,'Основной эфир'!$C:$C=$B702,'Основной эфир'!$I:$I=$C702)), 0) "),0.0)</f>
        <v>0</v>
      </c>
      <c r="I702" s="91">
        <f>IFERROR(__xludf.DUMMYFUNCTION("IFERROR(AVERAGE(filter('Основной эфир'!$AE:$AE, 'Основной эфир'!$B:$B=$A702,'Основной эфир'!$C:$C=$B702,'Основной эфир'!$I:$I=$C702)), 0) "),0.0)</f>
        <v>0</v>
      </c>
      <c r="J702" s="91">
        <f>IFERROR(__xludf.DUMMYFUNCTION("IFERROR(SUM(filter('Основной эфир'!$AL:$AL, 'Основной эфир'!$B:$B=$A702,'Основной эфир'!$C:$C=$B702,'Основной эфир'!$I:$I=$C702)), 0) "),0.0)</f>
        <v>0</v>
      </c>
      <c r="K702" s="91" t="str">
        <f>IFERROR(__xludf.DUMMYFUNCTION("IFERROR(REGEXREPLACE(unique(filter('Основной эфир'!$A:$A, 'Основной эфир'!$B:$B=$A702,'Основной эфир'!$C:$C=$B702,'Основной эфир'!$I:$I=$C702)), ""\d+"", """"),"""")"),"")</f>
        <v/>
      </c>
      <c r="L702" s="91" t="str">
        <f>IFERROR(__xludf.DUMMYFUNCTION("IFERROR(unique(filter('Основной эфир'!$F:$F, 'Основной эфир'!$B:$B=$A702,'Основной эфир'!$C:$C=$B702,'Основной эфир'!$I:$I=$C702)),"""")"),"")</f>
        <v/>
      </c>
      <c r="M702" s="92" t="str">
        <f t="shared" si="1"/>
        <v/>
      </c>
      <c r="N702" s="93">
        <f>IFERROR(__xludf.DUMMYFUNCTION("IFERROR(SWITCH(lower(join("" "",L702:M702)),""а миллионник"", 62.5,""б миллионник"", 75,""а мск"", 50, ""б мск"", 62.5, ""a остальное"", 70, ""б остальное"", 80)/100,0)"),0.0)</f>
        <v>0</v>
      </c>
      <c r="O702" s="91">
        <f t="shared" si="2"/>
        <v>0</v>
      </c>
      <c r="P702" s="91">
        <f>IFERROR(__xludf.DUMMYFUNCTION("IFERROR(sum(filter('Генеральный баннер'!$O:$O, 'Генеральный баннер'!$B:$B=$A702,'Генеральный баннер'!$C:$C=$B702,'Генеральный баннер'!$I:$I=$C702)), 0) "),0.0)</f>
        <v>0</v>
      </c>
      <c r="Q702" s="91">
        <f>IFERROR(__xludf.DUMMYFUNCTION("IFERROR(sum(filter('Генеральный баннер'!$Q:$Q, 'Генеральный баннер'!$B:$B=$A702,'Генеральный баннер'!$C:$C=$B702,'Генеральный баннер'!$I:$I=$C702)), 0) "),0.0)</f>
        <v>0</v>
      </c>
      <c r="R702" s="91">
        <f>IFERROR(__xludf.DUMMYFUNCTION("IFERROR(AVERAGE(filter('Генеральный баннер'!$AA:$AA, 'Генеральный баннер'!$B:$B=$A702,'Генеральный баннер'!$C:$C=$B702,'Генеральный баннер'!$I:$I=$C702)), 0) "),0.0)</f>
        <v>0</v>
      </c>
      <c r="S702" s="91">
        <f>IFERROR(__xludf.DUMMYFUNCTION("IFERROR(SUM(filter('Генеральный баннер'!$AH:$AH, 'Генеральный баннер'!$B:$B=$A702,'Генеральный баннер'!$C:$C=$B702,'Генеральный баннер'!$I:$I=$C702)), 0) "),0.0)</f>
        <v>0</v>
      </c>
      <c r="T702" s="91" t="str">
        <f>IFERROR(__xludf.DUMMYFUNCTION("IFERROR(REGEXREPLACE(unique(filter('Генеральный баннер'!$A:$A, 'Генеральный баннер'!$B:$B=$A702,'Генеральный баннер'!$C:$C=$B702,'Генеральный баннер'!$I:$I=$C702)), ""\d+"", """"),"""")"),"")</f>
        <v/>
      </c>
      <c r="U702" s="91" t="str">
        <f>IFERROR(__xludf.DUMMYFUNCTION("IFERROR(unique(filter('Генеральный баннер'!$F:$F, 'Генеральный баннер'!$B:$B=$A702,'Генеральный баннер'!$C:$C=$B702,'Генеральный баннер'!$I:$I=$C702)),"""")"),"")</f>
        <v/>
      </c>
      <c r="V702" s="92" t="str">
        <f t="shared" si="3"/>
        <v/>
      </c>
      <c r="W702" s="93">
        <f>IFERROR(__xludf.DUMMYFUNCTION("IFERROR(SWITCH(lower(join("" "",U702:V702)),""а миллионник"", 62.5,""б миллионник"", 75,""а мск"", 50, ""б мск"", 62.5, ""a остальное"", 70, ""б остальное"", 80)/100,0)"),0.0)</f>
        <v>0</v>
      </c>
      <c r="X702" s="91">
        <f t="shared" si="4"/>
        <v>0</v>
      </c>
    </row>
    <row r="703">
      <c r="A703" s="12"/>
      <c r="B703" s="12"/>
      <c r="C703" s="12"/>
      <c r="D703" s="91">
        <f>IFERROR(__xludf.DUMMYFUNCTION("IFERROR(sum(filter('Основной эфир'!$AA:$AA, 'Основной эфир'!$B:$B=$A703,'Основной эфир'!$C:$C=$B703,'Основной эфир'!$I:$I=$C703)), 0) "),0.0)</f>
        <v>0</v>
      </c>
      <c r="E703" s="91">
        <f>IFERROR(__xludf.DUMMYFUNCTION("IFERROR(sum(filter('Основной эфир'!$AC:$AC, 'Основной эфир'!$B:$B=$A703,'Основной эфир'!$C:$C=$B703,'Основной эфир'!$I:$I=$C703)), 0) "),0.0)</f>
        <v>0</v>
      </c>
      <c r="F703" s="91">
        <f>IFERROR(__xludf.DUMMYFUNCTION("IFERROR(sum(filter('Основной эфир'!$O:$O, 'Основной эфир'!$B:$B=$A703,'Основной эфир'!$C:$C=$B703,'Основной эфир'!$I:$I=$C703)), 0) "),0.0)</f>
        <v>0</v>
      </c>
      <c r="G703" s="91">
        <f>IFERROR(__xludf.DUMMYFUNCTION("IFERROR(sum(filter('Основной эфир'!$Q:$Q, 'Основной эфир'!$B:$B=$A703,'Основной эфир'!$C:$C=$B703,'Основной эфир'!$I:$I=$C703)), 0) "),0.0)</f>
        <v>0</v>
      </c>
      <c r="H703" s="91">
        <f>IFERROR(__xludf.DUMMYFUNCTION("IFERROR(AVERAGE(filter('Основной эфир'!$Y:$Y, 'Основной эфир'!$B:$B=$A703,'Основной эфир'!$C:$C=$B703,'Основной эфир'!$I:$I=$C703)), 0) "),0.0)</f>
        <v>0</v>
      </c>
      <c r="I703" s="91">
        <f>IFERROR(__xludf.DUMMYFUNCTION("IFERROR(AVERAGE(filter('Основной эфир'!$AE:$AE, 'Основной эфир'!$B:$B=$A703,'Основной эфир'!$C:$C=$B703,'Основной эфир'!$I:$I=$C703)), 0) "),0.0)</f>
        <v>0</v>
      </c>
      <c r="J703" s="91">
        <f>IFERROR(__xludf.DUMMYFUNCTION("IFERROR(SUM(filter('Основной эфир'!$AL:$AL, 'Основной эфир'!$B:$B=$A703,'Основной эфир'!$C:$C=$B703,'Основной эфир'!$I:$I=$C703)), 0) "),0.0)</f>
        <v>0</v>
      </c>
      <c r="K703" s="91" t="str">
        <f>IFERROR(__xludf.DUMMYFUNCTION("IFERROR(REGEXREPLACE(unique(filter('Основной эфир'!$A:$A, 'Основной эфир'!$B:$B=$A703,'Основной эфир'!$C:$C=$B703,'Основной эфир'!$I:$I=$C703)), ""\d+"", """"),"""")"),"")</f>
        <v/>
      </c>
      <c r="L703" s="91" t="str">
        <f>IFERROR(__xludf.DUMMYFUNCTION("IFERROR(unique(filter('Основной эфир'!$F:$F, 'Основной эфир'!$B:$B=$A703,'Основной эфир'!$C:$C=$B703,'Основной эфир'!$I:$I=$C703)),"""")"),"")</f>
        <v/>
      </c>
      <c r="M703" s="92" t="str">
        <f t="shared" si="1"/>
        <v/>
      </c>
      <c r="N703" s="93">
        <f>IFERROR(__xludf.DUMMYFUNCTION("IFERROR(SWITCH(lower(join("" "",L703:M703)),""а миллионник"", 62.5,""б миллионник"", 75,""а мск"", 50, ""б мск"", 62.5, ""a остальное"", 70, ""б остальное"", 80)/100,0)"),0.0)</f>
        <v>0</v>
      </c>
      <c r="O703" s="91">
        <f t="shared" si="2"/>
        <v>0</v>
      </c>
      <c r="P703" s="91">
        <f>IFERROR(__xludf.DUMMYFUNCTION("IFERROR(sum(filter('Генеральный баннер'!$O:$O, 'Генеральный баннер'!$B:$B=$A703,'Генеральный баннер'!$C:$C=$B703,'Генеральный баннер'!$I:$I=$C703)), 0) "),0.0)</f>
        <v>0</v>
      </c>
      <c r="Q703" s="91">
        <f>IFERROR(__xludf.DUMMYFUNCTION("IFERROR(sum(filter('Генеральный баннер'!$Q:$Q, 'Генеральный баннер'!$B:$B=$A703,'Генеральный баннер'!$C:$C=$B703,'Генеральный баннер'!$I:$I=$C703)), 0) "),0.0)</f>
        <v>0</v>
      </c>
      <c r="R703" s="91">
        <f>IFERROR(__xludf.DUMMYFUNCTION("IFERROR(AVERAGE(filter('Генеральный баннер'!$AA:$AA, 'Генеральный баннер'!$B:$B=$A703,'Генеральный баннер'!$C:$C=$B703,'Генеральный баннер'!$I:$I=$C703)), 0) "),0.0)</f>
        <v>0</v>
      </c>
      <c r="S703" s="91">
        <f>IFERROR(__xludf.DUMMYFUNCTION("IFERROR(SUM(filter('Генеральный баннер'!$AH:$AH, 'Генеральный баннер'!$B:$B=$A703,'Генеральный баннер'!$C:$C=$B703,'Генеральный баннер'!$I:$I=$C703)), 0) "),0.0)</f>
        <v>0</v>
      </c>
      <c r="T703" s="91" t="str">
        <f>IFERROR(__xludf.DUMMYFUNCTION("IFERROR(REGEXREPLACE(unique(filter('Генеральный баннер'!$A:$A, 'Генеральный баннер'!$B:$B=$A703,'Генеральный баннер'!$C:$C=$B703,'Генеральный баннер'!$I:$I=$C703)), ""\d+"", """"),"""")"),"")</f>
        <v/>
      </c>
      <c r="U703" s="91" t="str">
        <f>IFERROR(__xludf.DUMMYFUNCTION("IFERROR(unique(filter('Генеральный баннер'!$F:$F, 'Генеральный баннер'!$B:$B=$A703,'Генеральный баннер'!$C:$C=$B703,'Генеральный баннер'!$I:$I=$C703)),"""")"),"")</f>
        <v/>
      </c>
      <c r="V703" s="92" t="str">
        <f t="shared" si="3"/>
        <v/>
      </c>
      <c r="W703" s="93">
        <f>IFERROR(__xludf.DUMMYFUNCTION("IFERROR(SWITCH(lower(join("" "",U703:V703)),""а миллионник"", 62.5,""б миллионник"", 75,""а мск"", 50, ""б мск"", 62.5, ""a остальное"", 70, ""б остальное"", 80)/100,0)"),0.0)</f>
        <v>0</v>
      </c>
      <c r="X703" s="91">
        <f t="shared" si="4"/>
        <v>0</v>
      </c>
    </row>
    <row r="704">
      <c r="A704" s="12"/>
      <c r="B704" s="12"/>
      <c r="C704" s="12"/>
      <c r="D704" s="91">
        <f>IFERROR(__xludf.DUMMYFUNCTION("IFERROR(sum(filter('Основной эфир'!$AA:$AA, 'Основной эфир'!$B:$B=$A704,'Основной эфир'!$C:$C=$B704,'Основной эфир'!$I:$I=$C704)), 0) "),0.0)</f>
        <v>0</v>
      </c>
      <c r="E704" s="91">
        <f>IFERROR(__xludf.DUMMYFUNCTION("IFERROR(sum(filter('Основной эфир'!$AC:$AC, 'Основной эфир'!$B:$B=$A704,'Основной эфир'!$C:$C=$B704,'Основной эфир'!$I:$I=$C704)), 0) "),0.0)</f>
        <v>0</v>
      </c>
      <c r="F704" s="91">
        <f>IFERROR(__xludf.DUMMYFUNCTION("IFERROR(sum(filter('Основной эфир'!$O:$O, 'Основной эфир'!$B:$B=$A704,'Основной эфир'!$C:$C=$B704,'Основной эфир'!$I:$I=$C704)), 0) "),0.0)</f>
        <v>0</v>
      </c>
      <c r="G704" s="91">
        <f>IFERROR(__xludf.DUMMYFUNCTION("IFERROR(sum(filter('Основной эфир'!$Q:$Q, 'Основной эфир'!$B:$B=$A704,'Основной эфир'!$C:$C=$B704,'Основной эфир'!$I:$I=$C704)), 0) "),0.0)</f>
        <v>0</v>
      </c>
      <c r="H704" s="91">
        <f>IFERROR(__xludf.DUMMYFUNCTION("IFERROR(AVERAGE(filter('Основной эфир'!$Y:$Y, 'Основной эфир'!$B:$B=$A704,'Основной эфир'!$C:$C=$B704,'Основной эфир'!$I:$I=$C704)), 0) "),0.0)</f>
        <v>0</v>
      </c>
      <c r="I704" s="91">
        <f>IFERROR(__xludf.DUMMYFUNCTION("IFERROR(AVERAGE(filter('Основной эфир'!$AE:$AE, 'Основной эфир'!$B:$B=$A704,'Основной эфир'!$C:$C=$B704,'Основной эфир'!$I:$I=$C704)), 0) "),0.0)</f>
        <v>0</v>
      </c>
      <c r="J704" s="91">
        <f>IFERROR(__xludf.DUMMYFUNCTION("IFERROR(SUM(filter('Основной эфир'!$AL:$AL, 'Основной эфир'!$B:$B=$A704,'Основной эфир'!$C:$C=$B704,'Основной эфир'!$I:$I=$C704)), 0) "),0.0)</f>
        <v>0</v>
      </c>
      <c r="K704" s="91" t="str">
        <f>IFERROR(__xludf.DUMMYFUNCTION("IFERROR(REGEXREPLACE(unique(filter('Основной эфир'!$A:$A, 'Основной эфир'!$B:$B=$A704,'Основной эфир'!$C:$C=$B704,'Основной эфир'!$I:$I=$C704)), ""\d+"", """"),"""")"),"")</f>
        <v/>
      </c>
      <c r="L704" s="91" t="str">
        <f>IFERROR(__xludf.DUMMYFUNCTION("IFERROR(unique(filter('Основной эфир'!$F:$F, 'Основной эфир'!$B:$B=$A704,'Основной эфир'!$C:$C=$B704,'Основной эфир'!$I:$I=$C704)),"""")"),"")</f>
        <v/>
      </c>
      <c r="M704" s="92" t="str">
        <f t="shared" si="1"/>
        <v/>
      </c>
      <c r="N704" s="93">
        <f>IFERROR(__xludf.DUMMYFUNCTION("IFERROR(SWITCH(lower(join("" "",L704:M704)),""а миллионник"", 62.5,""б миллионник"", 75,""а мск"", 50, ""б мск"", 62.5, ""a остальное"", 70, ""б остальное"", 80)/100,0)"),0.0)</f>
        <v>0</v>
      </c>
      <c r="O704" s="91">
        <f t="shared" si="2"/>
        <v>0</v>
      </c>
      <c r="P704" s="91">
        <f>IFERROR(__xludf.DUMMYFUNCTION("IFERROR(sum(filter('Генеральный баннер'!$O:$O, 'Генеральный баннер'!$B:$B=$A704,'Генеральный баннер'!$C:$C=$B704,'Генеральный баннер'!$I:$I=$C704)), 0) "),0.0)</f>
        <v>0</v>
      </c>
      <c r="Q704" s="91">
        <f>IFERROR(__xludf.DUMMYFUNCTION("IFERROR(sum(filter('Генеральный баннер'!$Q:$Q, 'Генеральный баннер'!$B:$B=$A704,'Генеральный баннер'!$C:$C=$B704,'Генеральный баннер'!$I:$I=$C704)), 0) "),0.0)</f>
        <v>0</v>
      </c>
      <c r="R704" s="91">
        <f>IFERROR(__xludf.DUMMYFUNCTION("IFERROR(AVERAGE(filter('Генеральный баннер'!$AA:$AA, 'Генеральный баннер'!$B:$B=$A704,'Генеральный баннер'!$C:$C=$B704,'Генеральный баннер'!$I:$I=$C704)), 0) "),0.0)</f>
        <v>0</v>
      </c>
      <c r="S704" s="91">
        <f>IFERROR(__xludf.DUMMYFUNCTION("IFERROR(SUM(filter('Генеральный баннер'!$AH:$AH, 'Генеральный баннер'!$B:$B=$A704,'Генеральный баннер'!$C:$C=$B704,'Генеральный баннер'!$I:$I=$C704)), 0) "),0.0)</f>
        <v>0</v>
      </c>
      <c r="T704" s="91" t="str">
        <f>IFERROR(__xludf.DUMMYFUNCTION("IFERROR(REGEXREPLACE(unique(filter('Генеральный баннер'!$A:$A, 'Генеральный баннер'!$B:$B=$A704,'Генеральный баннер'!$C:$C=$B704,'Генеральный баннер'!$I:$I=$C704)), ""\d+"", """"),"""")"),"")</f>
        <v/>
      </c>
      <c r="U704" s="91" t="str">
        <f>IFERROR(__xludf.DUMMYFUNCTION("IFERROR(unique(filter('Генеральный баннер'!$F:$F, 'Генеральный баннер'!$B:$B=$A704,'Генеральный баннер'!$C:$C=$B704,'Генеральный баннер'!$I:$I=$C704)),"""")"),"")</f>
        <v/>
      </c>
      <c r="V704" s="92" t="str">
        <f t="shared" si="3"/>
        <v/>
      </c>
      <c r="W704" s="93">
        <f>IFERROR(__xludf.DUMMYFUNCTION("IFERROR(SWITCH(lower(join("" "",U704:V704)),""а миллионник"", 62.5,""б миллионник"", 75,""а мск"", 50, ""б мск"", 62.5, ""a остальное"", 70, ""б остальное"", 80)/100,0)"),0.0)</f>
        <v>0</v>
      </c>
      <c r="X704" s="91">
        <f t="shared" si="4"/>
        <v>0</v>
      </c>
    </row>
    <row r="705">
      <c r="A705" s="12"/>
      <c r="B705" s="12"/>
      <c r="C705" s="12"/>
      <c r="D705" s="91">
        <f>IFERROR(__xludf.DUMMYFUNCTION("IFERROR(sum(filter('Основной эфир'!$AA:$AA, 'Основной эфир'!$B:$B=$A705,'Основной эфир'!$C:$C=$B705,'Основной эфир'!$I:$I=$C705)), 0) "),0.0)</f>
        <v>0</v>
      </c>
      <c r="E705" s="91">
        <f>IFERROR(__xludf.DUMMYFUNCTION("IFERROR(sum(filter('Основной эфир'!$AC:$AC, 'Основной эфир'!$B:$B=$A705,'Основной эфир'!$C:$C=$B705,'Основной эфир'!$I:$I=$C705)), 0) "),0.0)</f>
        <v>0</v>
      </c>
      <c r="F705" s="91">
        <f>IFERROR(__xludf.DUMMYFUNCTION("IFERROR(sum(filter('Основной эфир'!$O:$O, 'Основной эфир'!$B:$B=$A705,'Основной эфир'!$C:$C=$B705,'Основной эфир'!$I:$I=$C705)), 0) "),0.0)</f>
        <v>0</v>
      </c>
      <c r="G705" s="91">
        <f>IFERROR(__xludf.DUMMYFUNCTION("IFERROR(sum(filter('Основной эфир'!$Q:$Q, 'Основной эфир'!$B:$B=$A705,'Основной эфир'!$C:$C=$B705,'Основной эфир'!$I:$I=$C705)), 0) "),0.0)</f>
        <v>0</v>
      </c>
      <c r="H705" s="91">
        <f>IFERROR(__xludf.DUMMYFUNCTION("IFERROR(AVERAGE(filter('Основной эфир'!$Y:$Y, 'Основной эфир'!$B:$B=$A705,'Основной эфир'!$C:$C=$B705,'Основной эфир'!$I:$I=$C705)), 0) "),0.0)</f>
        <v>0</v>
      </c>
      <c r="I705" s="91">
        <f>IFERROR(__xludf.DUMMYFUNCTION("IFERROR(AVERAGE(filter('Основной эфир'!$AE:$AE, 'Основной эфир'!$B:$B=$A705,'Основной эфир'!$C:$C=$B705,'Основной эфир'!$I:$I=$C705)), 0) "),0.0)</f>
        <v>0</v>
      </c>
      <c r="J705" s="91">
        <f>IFERROR(__xludf.DUMMYFUNCTION("IFERROR(SUM(filter('Основной эфир'!$AL:$AL, 'Основной эфир'!$B:$B=$A705,'Основной эфир'!$C:$C=$B705,'Основной эфир'!$I:$I=$C705)), 0) "),0.0)</f>
        <v>0</v>
      </c>
      <c r="K705" s="91" t="str">
        <f>IFERROR(__xludf.DUMMYFUNCTION("IFERROR(REGEXREPLACE(unique(filter('Основной эфир'!$A:$A, 'Основной эфир'!$B:$B=$A705,'Основной эфир'!$C:$C=$B705,'Основной эфир'!$I:$I=$C705)), ""\d+"", """"),"""")"),"")</f>
        <v/>
      </c>
      <c r="L705" s="91" t="str">
        <f>IFERROR(__xludf.DUMMYFUNCTION("IFERROR(unique(filter('Основной эфир'!$F:$F, 'Основной эфир'!$B:$B=$A705,'Основной эфир'!$C:$C=$B705,'Основной эфир'!$I:$I=$C705)),"""")"),"")</f>
        <v/>
      </c>
      <c r="M705" s="92" t="str">
        <f t="shared" si="1"/>
        <v/>
      </c>
      <c r="N705" s="93">
        <f>IFERROR(__xludf.DUMMYFUNCTION("IFERROR(SWITCH(lower(join("" "",L705:M705)),""а миллионник"", 62.5,""б миллионник"", 75,""а мск"", 50, ""б мск"", 62.5, ""a остальное"", 70, ""б остальное"", 80)/100,0)"),0.0)</f>
        <v>0</v>
      </c>
      <c r="O705" s="91">
        <f t="shared" si="2"/>
        <v>0</v>
      </c>
      <c r="P705" s="91">
        <f>IFERROR(__xludf.DUMMYFUNCTION("IFERROR(sum(filter('Генеральный баннер'!$O:$O, 'Генеральный баннер'!$B:$B=$A705,'Генеральный баннер'!$C:$C=$B705,'Генеральный баннер'!$I:$I=$C705)), 0) "),0.0)</f>
        <v>0</v>
      </c>
      <c r="Q705" s="91">
        <f>IFERROR(__xludf.DUMMYFUNCTION("IFERROR(sum(filter('Генеральный баннер'!$Q:$Q, 'Генеральный баннер'!$B:$B=$A705,'Генеральный баннер'!$C:$C=$B705,'Генеральный баннер'!$I:$I=$C705)), 0) "),0.0)</f>
        <v>0</v>
      </c>
      <c r="R705" s="91">
        <f>IFERROR(__xludf.DUMMYFUNCTION("IFERROR(AVERAGE(filter('Генеральный баннер'!$AA:$AA, 'Генеральный баннер'!$B:$B=$A705,'Генеральный баннер'!$C:$C=$B705,'Генеральный баннер'!$I:$I=$C705)), 0) "),0.0)</f>
        <v>0</v>
      </c>
      <c r="S705" s="91">
        <f>IFERROR(__xludf.DUMMYFUNCTION("IFERROR(SUM(filter('Генеральный баннер'!$AH:$AH, 'Генеральный баннер'!$B:$B=$A705,'Генеральный баннер'!$C:$C=$B705,'Генеральный баннер'!$I:$I=$C705)), 0) "),0.0)</f>
        <v>0</v>
      </c>
      <c r="T705" s="91" t="str">
        <f>IFERROR(__xludf.DUMMYFUNCTION("IFERROR(REGEXREPLACE(unique(filter('Генеральный баннер'!$A:$A, 'Генеральный баннер'!$B:$B=$A705,'Генеральный баннер'!$C:$C=$B705,'Генеральный баннер'!$I:$I=$C705)), ""\d+"", """"),"""")"),"")</f>
        <v/>
      </c>
      <c r="U705" s="91" t="str">
        <f>IFERROR(__xludf.DUMMYFUNCTION("IFERROR(unique(filter('Генеральный баннер'!$F:$F, 'Генеральный баннер'!$B:$B=$A705,'Генеральный баннер'!$C:$C=$B705,'Генеральный баннер'!$I:$I=$C705)),"""")"),"")</f>
        <v/>
      </c>
      <c r="V705" s="92" t="str">
        <f t="shared" si="3"/>
        <v/>
      </c>
      <c r="W705" s="93">
        <f>IFERROR(__xludf.DUMMYFUNCTION("IFERROR(SWITCH(lower(join("" "",U705:V705)),""а миллионник"", 62.5,""б миллионник"", 75,""а мск"", 50, ""б мск"", 62.5, ""a остальное"", 70, ""б остальное"", 80)/100,0)"),0.0)</f>
        <v>0</v>
      </c>
      <c r="X705" s="91">
        <f t="shared" si="4"/>
        <v>0</v>
      </c>
    </row>
    <row r="706">
      <c r="A706" s="12"/>
      <c r="B706" s="12"/>
      <c r="C706" s="12"/>
      <c r="D706" s="91">
        <f>IFERROR(__xludf.DUMMYFUNCTION("IFERROR(sum(filter('Основной эфир'!$AA:$AA, 'Основной эфир'!$B:$B=$A706,'Основной эфир'!$C:$C=$B706,'Основной эфир'!$I:$I=$C706)), 0) "),0.0)</f>
        <v>0</v>
      </c>
      <c r="E706" s="91">
        <f>IFERROR(__xludf.DUMMYFUNCTION("IFERROR(sum(filter('Основной эфир'!$AC:$AC, 'Основной эфир'!$B:$B=$A706,'Основной эфир'!$C:$C=$B706,'Основной эфир'!$I:$I=$C706)), 0) "),0.0)</f>
        <v>0</v>
      </c>
      <c r="F706" s="91">
        <f>IFERROR(__xludf.DUMMYFUNCTION("IFERROR(sum(filter('Основной эфир'!$O:$O, 'Основной эфир'!$B:$B=$A706,'Основной эфир'!$C:$C=$B706,'Основной эфир'!$I:$I=$C706)), 0) "),0.0)</f>
        <v>0</v>
      </c>
      <c r="G706" s="91">
        <f>IFERROR(__xludf.DUMMYFUNCTION("IFERROR(sum(filter('Основной эфир'!$Q:$Q, 'Основной эфир'!$B:$B=$A706,'Основной эфир'!$C:$C=$B706,'Основной эфир'!$I:$I=$C706)), 0) "),0.0)</f>
        <v>0</v>
      </c>
      <c r="H706" s="91">
        <f>IFERROR(__xludf.DUMMYFUNCTION("IFERROR(AVERAGE(filter('Основной эфир'!$Y:$Y, 'Основной эфир'!$B:$B=$A706,'Основной эфир'!$C:$C=$B706,'Основной эфир'!$I:$I=$C706)), 0) "),0.0)</f>
        <v>0</v>
      </c>
      <c r="I706" s="91">
        <f>IFERROR(__xludf.DUMMYFUNCTION("IFERROR(AVERAGE(filter('Основной эфир'!$AE:$AE, 'Основной эфир'!$B:$B=$A706,'Основной эфир'!$C:$C=$B706,'Основной эфир'!$I:$I=$C706)), 0) "),0.0)</f>
        <v>0</v>
      </c>
      <c r="J706" s="91">
        <f>IFERROR(__xludf.DUMMYFUNCTION("IFERROR(SUM(filter('Основной эфир'!$AL:$AL, 'Основной эфир'!$B:$B=$A706,'Основной эфир'!$C:$C=$B706,'Основной эфир'!$I:$I=$C706)), 0) "),0.0)</f>
        <v>0</v>
      </c>
      <c r="K706" s="91" t="str">
        <f>IFERROR(__xludf.DUMMYFUNCTION("IFERROR(REGEXREPLACE(unique(filter('Основной эфир'!$A:$A, 'Основной эфир'!$B:$B=$A706,'Основной эфир'!$C:$C=$B706,'Основной эфир'!$I:$I=$C706)), ""\d+"", """"),"""")"),"")</f>
        <v/>
      </c>
      <c r="L706" s="91" t="str">
        <f>IFERROR(__xludf.DUMMYFUNCTION("IFERROR(unique(filter('Основной эфир'!$F:$F, 'Основной эфир'!$B:$B=$A706,'Основной эфир'!$C:$C=$B706,'Основной эфир'!$I:$I=$C706)),"""")"),"")</f>
        <v/>
      </c>
      <c r="M706" s="92" t="str">
        <f t="shared" si="1"/>
        <v/>
      </c>
      <c r="N706" s="93">
        <f>IFERROR(__xludf.DUMMYFUNCTION("IFERROR(SWITCH(lower(join("" "",L706:M706)),""а миллионник"", 62.5,""б миллионник"", 75,""а мск"", 50, ""б мск"", 62.5, ""a остальное"", 70, ""б остальное"", 80)/100,0)"),0.0)</f>
        <v>0</v>
      </c>
      <c r="O706" s="91">
        <f t="shared" si="2"/>
        <v>0</v>
      </c>
      <c r="P706" s="91">
        <f>IFERROR(__xludf.DUMMYFUNCTION("IFERROR(sum(filter('Генеральный баннер'!$O:$O, 'Генеральный баннер'!$B:$B=$A706,'Генеральный баннер'!$C:$C=$B706,'Генеральный баннер'!$I:$I=$C706)), 0) "),0.0)</f>
        <v>0</v>
      </c>
      <c r="Q706" s="91">
        <f>IFERROR(__xludf.DUMMYFUNCTION("IFERROR(sum(filter('Генеральный баннер'!$Q:$Q, 'Генеральный баннер'!$B:$B=$A706,'Генеральный баннер'!$C:$C=$B706,'Генеральный баннер'!$I:$I=$C706)), 0) "),0.0)</f>
        <v>0</v>
      </c>
      <c r="R706" s="91">
        <f>IFERROR(__xludf.DUMMYFUNCTION("IFERROR(AVERAGE(filter('Генеральный баннер'!$AA:$AA, 'Генеральный баннер'!$B:$B=$A706,'Генеральный баннер'!$C:$C=$B706,'Генеральный баннер'!$I:$I=$C706)), 0) "),0.0)</f>
        <v>0</v>
      </c>
      <c r="S706" s="91">
        <f>IFERROR(__xludf.DUMMYFUNCTION("IFERROR(SUM(filter('Генеральный баннер'!$AH:$AH, 'Генеральный баннер'!$B:$B=$A706,'Генеральный баннер'!$C:$C=$B706,'Генеральный баннер'!$I:$I=$C706)), 0) "),0.0)</f>
        <v>0</v>
      </c>
      <c r="T706" s="91" t="str">
        <f>IFERROR(__xludf.DUMMYFUNCTION("IFERROR(REGEXREPLACE(unique(filter('Генеральный баннер'!$A:$A, 'Генеральный баннер'!$B:$B=$A706,'Генеральный баннер'!$C:$C=$B706,'Генеральный баннер'!$I:$I=$C706)), ""\d+"", """"),"""")"),"")</f>
        <v/>
      </c>
      <c r="U706" s="91" t="str">
        <f>IFERROR(__xludf.DUMMYFUNCTION("IFERROR(unique(filter('Генеральный баннер'!$F:$F, 'Генеральный баннер'!$B:$B=$A706,'Генеральный баннер'!$C:$C=$B706,'Генеральный баннер'!$I:$I=$C706)),"""")"),"")</f>
        <v/>
      </c>
      <c r="V706" s="92" t="str">
        <f t="shared" si="3"/>
        <v/>
      </c>
      <c r="W706" s="93">
        <f>IFERROR(__xludf.DUMMYFUNCTION("IFERROR(SWITCH(lower(join("" "",U706:V706)),""а миллионник"", 62.5,""б миллионник"", 75,""а мск"", 50, ""б мск"", 62.5, ""a остальное"", 70, ""б остальное"", 80)/100,0)"),0.0)</f>
        <v>0</v>
      </c>
      <c r="X706" s="91">
        <f t="shared" si="4"/>
        <v>0</v>
      </c>
    </row>
    <row r="707">
      <c r="A707" s="12"/>
      <c r="B707" s="12"/>
      <c r="C707" s="12"/>
      <c r="D707" s="91">
        <f>IFERROR(__xludf.DUMMYFUNCTION("IFERROR(sum(filter('Основной эфир'!$AA:$AA, 'Основной эфир'!$B:$B=$A707,'Основной эфир'!$C:$C=$B707,'Основной эфир'!$I:$I=$C707)), 0) "),0.0)</f>
        <v>0</v>
      </c>
      <c r="E707" s="91">
        <f>IFERROR(__xludf.DUMMYFUNCTION("IFERROR(sum(filter('Основной эфир'!$AC:$AC, 'Основной эфир'!$B:$B=$A707,'Основной эфир'!$C:$C=$B707,'Основной эфир'!$I:$I=$C707)), 0) "),0.0)</f>
        <v>0</v>
      </c>
      <c r="F707" s="91">
        <f>IFERROR(__xludf.DUMMYFUNCTION("IFERROR(sum(filter('Основной эфир'!$O:$O, 'Основной эфир'!$B:$B=$A707,'Основной эфир'!$C:$C=$B707,'Основной эфир'!$I:$I=$C707)), 0) "),0.0)</f>
        <v>0</v>
      </c>
      <c r="G707" s="91">
        <f>IFERROR(__xludf.DUMMYFUNCTION("IFERROR(sum(filter('Основной эфир'!$Q:$Q, 'Основной эфир'!$B:$B=$A707,'Основной эфир'!$C:$C=$B707,'Основной эфир'!$I:$I=$C707)), 0) "),0.0)</f>
        <v>0</v>
      </c>
      <c r="H707" s="91">
        <f>IFERROR(__xludf.DUMMYFUNCTION("IFERROR(AVERAGE(filter('Основной эфир'!$Y:$Y, 'Основной эфир'!$B:$B=$A707,'Основной эфир'!$C:$C=$B707,'Основной эфир'!$I:$I=$C707)), 0) "),0.0)</f>
        <v>0</v>
      </c>
      <c r="I707" s="91">
        <f>IFERROR(__xludf.DUMMYFUNCTION("IFERROR(AVERAGE(filter('Основной эфир'!$AE:$AE, 'Основной эфир'!$B:$B=$A707,'Основной эфир'!$C:$C=$B707,'Основной эфир'!$I:$I=$C707)), 0) "),0.0)</f>
        <v>0</v>
      </c>
      <c r="J707" s="91">
        <f>IFERROR(__xludf.DUMMYFUNCTION("IFERROR(SUM(filter('Основной эфир'!$AL:$AL, 'Основной эфир'!$B:$B=$A707,'Основной эфир'!$C:$C=$B707,'Основной эфир'!$I:$I=$C707)), 0) "),0.0)</f>
        <v>0</v>
      </c>
      <c r="K707" s="91" t="str">
        <f>IFERROR(__xludf.DUMMYFUNCTION("IFERROR(REGEXREPLACE(unique(filter('Основной эфир'!$A:$A, 'Основной эфир'!$B:$B=$A707,'Основной эфир'!$C:$C=$B707,'Основной эфир'!$I:$I=$C707)), ""\d+"", """"),"""")"),"")</f>
        <v/>
      </c>
      <c r="L707" s="91" t="str">
        <f>IFERROR(__xludf.DUMMYFUNCTION("IFERROR(unique(filter('Основной эфир'!$F:$F, 'Основной эфир'!$B:$B=$A707,'Основной эфир'!$C:$C=$B707,'Основной эфир'!$I:$I=$C707)),"""")"),"")</f>
        <v/>
      </c>
      <c r="M707" s="92" t="str">
        <f t="shared" si="1"/>
        <v/>
      </c>
      <c r="N707" s="93">
        <f>IFERROR(__xludf.DUMMYFUNCTION("IFERROR(SWITCH(lower(join("" "",L707:M707)),""а миллионник"", 62.5,""б миллионник"", 75,""а мск"", 50, ""б мск"", 62.5, ""a остальное"", 70, ""б остальное"", 80)/100,0)"),0.0)</f>
        <v>0</v>
      </c>
      <c r="O707" s="91">
        <f t="shared" si="2"/>
        <v>0</v>
      </c>
      <c r="P707" s="91">
        <f>IFERROR(__xludf.DUMMYFUNCTION("IFERROR(sum(filter('Генеральный баннер'!$O:$O, 'Генеральный баннер'!$B:$B=$A707,'Генеральный баннер'!$C:$C=$B707,'Генеральный баннер'!$I:$I=$C707)), 0) "),0.0)</f>
        <v>0</v>
      </c>
      <c r="Q707" s="91">
        <f>IFERROR(__xludf.DUMMYFUNCTION("IFERROR(sum(filter('Генеральный баннер'!$Q:$Q, 'Генеральный баннер'!$B:$B=$A707,'Генеральный баннер'!$C:$C=$B707,'Генеральный баннер'!$I:$I=$C707)), 0) "),0.0)</f>
        <v>0</v>
      </c>
      <c r="R707" s="91">
        <f>IFERROR(__xludf.DUMMYFUNCTION("IFERROR(AVERAGE(filter('Генеральный баннер'!$AA:$AA, 'Генеральный баннер'!$B:$B=$A707,'Генеральный баннер'!$C:$C=$B707,'Генеральный баннер'!$I:$I=$C707)), 0) "),0.0)</f>
        <v>0</v>
      </c>
      <c r="S707" s="91">
        <f>IFERROR(__xludf.DUMMYFUNCTION("IFERROR(SUM(filter('Генеральный баннер'!$AH:$AH, 'Генеральный баннер'!$B:$B=$A707,'Генеральный баннер'!$C:$C=$B707,'Генеральный баннер'!$I:$I=$C707)), 0) "),0.0)</f>
        <v>0</v>
      </c>
      <c r="T707" s="91" t="str">
        <f>IFERROR(__xludf.DUMMYFUNCTION("IFERROR(REGEXREPLACE(unique(filter('Генеральный баннер'!$A:$A, 'Генеральный баннер'!$B:$B=$A707,'Генеральный баннер'!$C:$C=$B707,'Генеральный баннер'!$I:$I=$C707)), ""\d+"", """"),"""")"),"")</f>
        <v/>
      </c>
      <c r="U707" s="91" t="str">
        <f>IFERROR(__xludf.DUMMYFUNCTION("IFERROR(unique(filter('Генеральный баннер'!$F:$F, 'Генеральный баннер'!$B:$B=$A707,'Генеральный баннер'!$C:$C=$B707,'Генеральный баннер'!$I:$I=$C707)),"""")"),"")</f>
        <v/>
      </c>
      <c r="V707" s="92" t="str">
        <f t="shared" si="3"/>
        <v/>
      </c>
      <c r="W707" s="93">
        <f>IFERROR(__xludf.DUMMYFUNCTION("IFERROR(SWITCH(lower(join("" "",U707:V707)),""а миллионник"", 62.5,""б миллионник"", 75,""а мск"", 50, ""б мск"", 62.5, ""a остальное"", 70, ""б остальное"", 80)/100,0)"),0.0)</f>
        <v>0</v>
      </c>
      <c r="X707" s="91">
        <f t="shared" si="4"/>
        <v>0</v>
      </c>
    </row>
    <row r="708">
      <c r="A708" s="12"/>
      <c r="B708" s="12"/>
      <c r="C708" s="12"/>
      <c r="D708" s="91">
        <f>IFERROR(__xludf.DUMMYFUNCTION("IFERROR(sum(filter('Основной эфир'!$AA:$AA, 'Основной эфир'!$B:$B=$A708,'Основной эфир'!$C:$C=$B708,'Основной эфир'!$I:$I=$C708)), 0) "),0.0)</f>
        <v>0</v>
      </c>
      <c r="E708" s="91">
        <f>IFERROR(__xludf.DUMMYFUNCTION("IFERROR(sum(filter('Основной эфир'!$AC:$AC, 'Основной эфир'!$B:$B=$A708,'Основной эфир'!$C:$C=$B708,'Основной эфир'!$I:$I=$C708)), 0) "),0.0)</f>
        <v>0</v>
      </c>
      <c r="F708" s="91">
        <f>IFERROR(__xludf.DUMMYFUNCTION("IFERROR(sum(filter('Основной эфир'!$O:$O, 'Основной эфир'!$B:$B=$A708,'Основной эфир'!$C:$C=$B708,'Основной эфир'!$I:$I=$C708)), 0) "),0.0)</f>
        <v>0</v>
      </c>
      <c r="G708" s="91">
        <f>IFERROR(__xludf.DUMMYFUNCTION("IFERROR(sum(filter('Основной эфир'!$Q:$Q, 'Основной эфир'!$B:$B=$A708,'Основной эфир'!$C:$C=$B708,'Основной эфир'!$I:$I=$C708)), 0) "),0.0)</f>
        <v>0</v>
      </c>
      <c r="H708" s="91">
        <f>IFERROR(__xludf.DUMMYFUNCTION("IFERROR(AVERAGE(filter('Основной эфир'!$Y:$Y, 'Основной эфир'!$B:$B=$A708,'Основной эфир'!$C:$C=$B708,'Основной эфир'!$I:$I=$C708)), 0) "),0.0)</f>
        <v>0</v>
      </c>
      <c r="I708" s="91">
        <f>IFERROR(__xludf.DUMMYFUNCTION("IFERROR(AVERAGE(filter('Основной эфир'!$AE:$AE, 'Основной эфир'!$B:$B=$A708,'Основной эфир'!$C:$C=$B708,'Основной эфир'!$I:$I=$C708)), 0) "),0.0)</f>
        <v>0</v>
      </c>
      <c r="J708" s="91">
        <f>IFERROR(__xludf.DUMMYFUNCTION("IFERROR(SUM(filter('Основной эфир'!$AL:$AL, 'Основной эфир'!$B:$B=$A708,'Основной эфир'!$C:$C=$B708,'Основной эфир'!$I:$I=$C708)), 0) "),0.0)</f>
        <v>0</v>
      </c>
      <c r="K708" s="91" t="str">
        <f>IFERROR(__xludf.DUMMYFUNCTION("IFERROR(REGEXREPLACE(unique(filter('Основной эфир'!$A:$A, 'Основной эфир'!$B:$B=$A708,'Основной эфир'!$C:$C=$B708,'Основной эфир'!$I:$I=$C708)), ""\d+"", """"),"""")"),"")</f>
        <v/>
      </c>
      <c r="L708" s="91" t="str">
        <f>IFERROR(__xludf.DUMMYFUNCTION("IFERROR(unique(filter('Основной эфир'!$F:$F, 'Основной эфир'!$B:$B=$A708,'Основной эфир'!$C:$C=$B708,'Основной эфир'!$I:$I=$C708)),"""")"),"")</f>
        <v/>
      </c>
      <c r="M708" s="92" t="str">
        <f t="shared" si="1"/>
        <v/>
      </c>
      <c r="N708" s="93">
        <f>IFERROR(__xludf.DUMMYFUNCTION("IFERROR(SWITCH(lower(join("" "",L708:M708)),""а миллионник"", 62.5,""б миллионник"", 75,""а мск"", 50, ""б мск"", 62.5, ""a остальное"", 70, ""б остальное"", 80)/100,0)"),0.0)</f>
        <v>0</v>
      </c>
      <c r="O708" s="91">
        <f t="shared" si="2"/>
        <v>0</v>
      </c>
      <c r="P708" s="91">
        <f>IFERROR(__xludf.DUMMYFUNCTION("IFERROR(sum(filter('Генеральный баннер'!$O:$O, 'Генеральный баннер'!$B:$B=$A708,'Генеральный баннер'!$C:$C=$B708,'Генеральный баннер'!$I:$I=$C708)), 0) "),0.0)</f>
        <v>0</v>
      </c>
      <c r="Q708" s="91">
        <f>IFERROR(__xludf.DUMMYFUNCTION("IFERROR(sum(filter('Генеральный баннер'!$Q:$Q, 'Генеральный баннер'!$B:$B=$A708,'Генеральный баннер'!$C:$C=$B708,'Генеральный баннер'!$I:$I=$C708)), 0) "),0.0)</f>
        <v>0</v>
      </c>
      <c r="R708" s="91">
        <f>IFERROR(__xludf.DUMMYFUNCTION("IFERROR(AVERAGE(filter('Генеральный баннер'!$AA:$AA, 'Генеральный баннер'!$B:$B=$A708,'Генеральный баннер'!$C:$C=$B708,'Генеральный баннер'!$I:$I=$C708)), 0) "),0.0)</f>
        <v>0</v>
      </c>
      <c r="S708" s="91">
        <f>IFERROR(__xludf.DUMMYFUNCTION("IFERROR(SUM(filter('Генеральный баннер'!$AH:$AH, 'Генеральный баннер'!$B:$B=$A708,'Генеральный баннер'!$C:$C=$B708,'Генеральный баннер'!$I:$I=$C708)), 0) "),0.0)</f>
        <v>0</v>
      </c>
      <c r="T708" s="91" t="str">
        <f>IFERROR(__xludf.DUMMYFUNCTION("IFERROR(REGEXREPLACE(unique(filter('Генеральный баннер'!$A:$A, 'Генеральный баннер'!$B:$B=$A708,'Генеральный баннер'!$C:$C=$B708,'Генеральный баннер'!$I:$I=$C708)), ""\d+"", """"),"""")"),"")</f>
        <v/>
      </c>
      <c r="U708" s="91" t="str">
        <f>IFERROR(__xludf.DUMMYFUNCTION("IFERROR(unique(filter('Генеральный баннер'!$F:$F, 'Генеральный баннер'!$B:$B=$A708,'Генеральный баннер'!$C:$C=$B708,'Генеральный баннер'!$I:$I=$C708)),"""")"),"")</f>
        <v/>
      </c>
      <c r="V708" s="92" t="str">
        <f t="shared" si="3"/>
        <v/>
      </c>
      <c r="W708" s="93">
        <f>IFERROR(__xludf.DUMMYFUNCTION("IFERROR(SWITCH(lower(join("" "",U708:V708)),""а миллионник"", 62.5,""б миллионник"", 75,""а мск"", 50, ""б мск"", 62.5, ""a остальное"", 70, ""б остальное"", 80)/100,0)"),0.0)</f>
        <v>0</v>
      </c>
      <c r="X708" s="91">
        <f t="shared" si="4"/>
        <v>0</v>
      </c>
    </row>
    <row r="709">
      <c r="A709" s="12"/>
      <c r="B709" s="12"/>
      <c r="C709" s="12"/>
      <c r="D709" s="91">
        <f>IFERROR(__xludf.DUMMYFUNCTION("IFERROR(sum(filter('Основной эфир'!$AA:$AA, 'Основной эфир'!$B:$B=$A709,'Основной эфир'!$C:$C=$B709,'Основной эфир'!$I:$I=$C709)), 0) "),0.0)</f>
        <v>0</v>
      </c>
      <c r="E709" s="91">
        <f>IFERROR(__xludf.DUMMYFUNCTION("IFERROR(sum(filter('Основной эфир'!$AC:$AC, 'Основной эфир'!$B:$B=$A709,'Основной эфир'!$C:$C=$B709,'Основной эфир'!$I:$I=$C709)), 0) "),0.0)</f>
        <v>0</v>
      </c>
      <c r="F709" s="91">
        <f>IFERROR(__xludf.DUMMYFUNCTION("IFERROR(sum(filter('Основной эфир'!$O:$O, 'Основной эфир'!$B:$B=$A709,'Основной эфир'!$C:$C=$B709,'Основной эфир'!$I:$I=$C709)), 0) "),0.0)</f>
        <v>0</v>
      </c>
      <c r="G709" s="91">
        <f>IFERROR(__xludf.DUMMYFUNCTION("IFERROR(sum(filter('Основной эфир'!$Q:$Q, 'Основной эфир'!$B:$B=$A709,'Основной эфир'!$C:$C=$B709,'Основной эфир'!$I:$I=$C709)), 0) "),0.0)</f>
        <v>0</v>
      </c>
      <c r="H709" s="91">
        <f>IFERROR(__xludf.DUMMYFUNCTION("IFERROR(AVERAGE(filter('Основной эфир'!$Y:$Y, 'Основной эфир'!$B:$B=$A709,'Основной эфир'!$C:$C=$B709,'Основной эфир'!$I:$I=$C709)), 0) "),0.0)</f>
        <v>0</v>
      </c>
      <c r="I709" s="91">
        <f>IFERROR(__xludf.DUMMYFUNCTION("IFERROR(AVERAGE(filter('Основной эфир'!$AE:$AE, 'Основной эфир'!$B:$B=$A709,'Основной эфир'!$C:$C=$B709,'Основной эфир'!$I:$I=$C709)), 0) "),0.0)</f>
        <v>0</v>
      </c>
      <c r="J709" s="91">
        <f>IFERROR(__xludf.DUMMYFUNCTION("IFERROR(SUM(filter('Основной эфир'!$AL:$AL, 'Основной эфир'!$B:$B=$A709,'Основной эфир'!$C:$C=$B709,'Основной эфир'!$I:$I=$C709)), 0) "),0.0)</f>
        <v>0</v>
      </c>
      <c r="K709" s="91" t="str">
        <f>IFERROR(__xludf.DUMMYFUNCTION("IFERROR(REGEXREPLACE(unique(filter('Основной эфир'!$A:$A, 'Основной эфир'!$B:$B=$A709,'Основной эфир'!$C:$C=$B709,'Основной эфир'!$I:$I=$C709)), ""\d+"", """"),"""")"),"")</f>
        <v/>
      </c>
      <c r="L709" s="91" t="str">
        <f>IFERROR(__xludf.DUMMYFUNCTION("IFERROR(unique(filter('Основной эфир'!$F:$F, 'Основной эфир'!$B:$B=$A709,'Основной эфир'!$C:$C=$B709,'Основной эфир'!$I:$I=$C709)),"""")"),"")</f>
        <v/>
      </c>
      <c r="M709" s="92" t="str">
        <f t="shared" si="1"/>
        <v/>
      </c>
      <c r="N709" s="93">
        <f>IFERROR(__xludf.DUMMYFUNCTION("IFERROR(SWITCH(lower(join("" "",L709:M709)),""а миллионник"", 62.5,""б миллионник"", 75,""а мск"", 50, ""б мск"", 62.5, ""a остальное"", 70, ""б остальное"", 80)/100,0)"),0.0)</f>
        <v>0</v>
      </c>
      <c r="O709" s="91">
        <f t="shared" si="2"/>
        <v>0</v>
      </c>
      <c r="P709" s="91">
        <f>IFERROR(__xludf.DUMMYFUNCTION("IFERROR(sum(filter('Генеральный баннер'!$O:$O, 'Генеральный баннер'!$B:$B=$A709,'Генеральный баннер'!$C:$C=$B709,'Генеральный баннер'!$I:$I=$C709)), 0) "),0.0)</f>
        <v>0</v>
      </c>
      <c r="Q709" s="91">
        <f>IFERROR(__xludf.DUMMYFUNCTION("IFERROR(sum(filter('Генеральный баннер'!$Q:$Q, 'Генеральный баннер'!$B:$B=$A709,'Генеральный баннер'!$C:$C=$B709,'Генеральный баннер'!$I:$I=$C709)), 0) "),0.0)</f>
        <v>0</v>
      </c>
      <c r="R709" s="91">
        <f>IFERROR(__xludf.DUMMYFUNCTION("IFERROR(AVERAGE(filter('Генеральный баннер'!$AA:$AA, 'Генеральный баннер'!$B:$B=$A709,'Генеральный баннер'!$C:$C=$B709,'Генеральный баннер'!$I:$I=$C709)), 0) "),0.0)</f>
        <v>0</v>
      </c>
      <c r="S709" s="91">
        <f>IFERROR(__xludf.DUMMYFUNCTION("IFERROR(SUM(filter('Генеральный баннер'!$AH:$AH, 'Генеральный баннер'!$B:$B=$A709,'Генеральный баннер'!$C:$C=$B709,'Генеральный баннер'!$I:$I=$C709)), 0) "),0.0)</f>
        <v>0</v>
      </c>
      <c r="T709" s="91" t="str">
        <f>IFERROR(__xludf.DUMMYFUNCTION("IFERROR(REGEXREPLACE(unique(filter('Генеральный баннер'!$A:$A, 'Генеральный баннер'!$B:$B=$A709,'Генеральный баннер'!$C:$C=$B709,'Генеральный баннер'!$I:$I=$C709)), ""\d+"", """"),"""")"),"")</f>
        <v/>
      </c>
      <c r="U709" s="91" t="str">
        <f>IFERROR(__xludf.DUMMYFUNCTION("IFERROR(unique(filter('Генеральный баннер'!$F:$F, 'Генеральный баннер'!$B:$B=$A709,'Генеральный баннер'!$C:$C=$B709,'Генеральный баннер'!$I:$I=$C709)),"""")"),"")</f>
        <v/>
      </c>
      <c r="V709" s="92" t="str">
        <f t="shared" si="3"/>
        <v/>
      </c>
      <c r="W709" s="93">
        <f>IFERROR(__xludf.DUMMYFUNCTION("IFERROR(SWITCH(lower(join("" "",U709:V709)),""а миллионник"", 62.5,""б миллионник"", 75,""а мск"", 50, ""б мск"", 62.5, ""a остальное"", 70, ""б остальное"", 80)/100,0)"),0.0)</f>
        <v>0</v>
      </c>
      <c r="X709" s="91">
        <f t="shared" si="4"/>
        <v>0</v>
      </c>
    </row>
    <row r="710">
      <c r="A710" s="12"/>
      <c r="B710" s="12"/>
      <c r="C710" s="12"/>
      <c r="D710" s="91">
        <f>IFERROR(__xludf.DUMMYFUNCTION("IFERROR(sum(filter('Основной эфир'!$AA:$AA, 'Основной эфир'!$B:$B=$A710,'Основной эфир'!$C:$C=$B710,'Основной эфир'!$I:$I=$C710)), 0) "),0.0)</f>
        <v>0</v>
      </c>
      <c r="E710" s="91">
        <f>IFERROR(__xludf.DUMMYFUNCTION("IFERROR(sum(filter('Основной эфир'!$AC:$AC, 'Основной эфир'!$B:$B=$A710,'Основной эфир'!$C:$C=$B710,'Основной эфир'!$I:$I=$C710)), 0) "),0.0)</f>
        <v>0</v>
      </c>
      <c r="F710" s="91">
        <f>IFERROR(__xludf.DUMMYFUNCTION("IFERROR(sum(filter('Основной эфир'!$O:$O, 'Основной эфир'!$B:$B=$A710,'Основной эфир'!$C:$C=$B710,'Основной эфир'!$I:$I=$C710)), 0) "),0.0)</f>
        <v>0</v>
      </c>
      <c r="G710" s="91">
        <f>IFERROR(__xludf.DUMMYFUNCTION("IFERROR(sum(filter('Основной эфир'!$Q:$Q, 'Основной эфир'!$B:$B=$A710,'Основной эфир'!$C:$C=$B710,'Основной эфир'!$I:$I=$C710)), 0) "),0.0)</f>
        <v>0</v>
      </c>
      <c r="H710" s="91">
        <f>IFERROR(__xludf.DUMMYFUNCTION("IFERROR(AVERAGE(filter('Основной эфир'!$Y:$Y, 'Основной эфир'!$B:$B=$A710,'Основной эфир'!$C:$C=$B710,'Основной эфир'!$I:$I=$C710)), 0) "),0.0)</f>
        <v>0</v>
      </c>
      <c r="I710" s="91">
        <f>IFERROR(__xludf.DUMMYFUNCTION("IFERROR(AVERAGE(filter('Основной эфир'!$AE:$AE, 'Основной эфир'!$B:$B=$A710,'Основной эфир'!$C:$C=$B710,'Основной эфир'!$I:$I=$C710)), 0) "),0.0)</f>
        <v>0</v>
      </c>
      <c r="J710" s="91">
        <f>IFERROR(__xludf.DUMMYFUNCTION("IFERROR(SUM(filter('Основной эфир'!$AL:$AL, 'Основной эфир'!$B:$B=$A710,'Основной эфир'!$C:$C=$B710,'Основной эфир'!$I:$I=$C710)), 0) "),0.0)</f>
        <v>0</v>
      </c>
      <c r="K710" s="91" t="str">
        <f>IFERROR(__xludf.DUMMYFUNCTION("IFERROR(REGEXREPLACE(unique(filter('Основной эфир'!$A:$A, 'Основной эфир'!$B:$B=$A710,'Основной эфир'!$C:$C=$B710,'Основной эфир'!$I:$I=$C710)), ""\d+"", """"),"""")"),"")</f>
        <v/>
      </c>
      <c r="L710" s="91" t="str">
        <f>IFERROR(__xludf.DUMMYFUNCTION("IFERROR(unique(filter('Основной эфир'!$F:$F, 'Основной эфир'!$B:$B=$A710,'Основной эфир'!$C:$C=$B710,'Основной эфир'!$I:$I=$C710)),"""")"),"")</f>
        <v/>
      </c>
      <c r="M710" s="92" t="str">
        <f t="shared" si="1"/>
        <v/>
      </c>
      <c r="N710" s="93">
        <f>IFERROR(__xludf.DUMMYFUNCTION("IFERROR(SWITCH(lower(join("" "",L710:M710)),""а миллионник"", 62.5,""б миллионник"", 75,""а мск"", 50, ""б мск"", 62.5, ""a остальное"", 70, ""б остальное"", 80)/100,0)"),0.0)</f>
        <v>0</v>
      </c>
      <c r="O710" s="91">
        <f t="shared" si="2"/>
        <v>0</v>
      </c>
      <c r="P710" s="91">
        <f>IFERROR(__xludf.DUMMYFUNCTION("IFERROR(sum(filter('Генеральный баннер'!$O:$O, 'Генеральный баннер'!$B:$B=$A710,'Генеральный баннер'!$C:$C=$B710,'Генеральный баннер'!$I:$I=$C710)), 0) "),0.0)</f>
        <v>0</v>
      </c>
      <c r="Q710" s="91">
        <f>IFERROR(__xludf.DUMMYFUNCTION("IFERROR(sum(filter('Генеральный баннер'!$Q:$Q, 'Генеральный баннер'!$B:$B=$A710,'Генеральный баннер'!$C:$C=$B710,'Генеральный баннер'!$I:$I=$C710)), 0) "),0.0)</f>
        <v>0</v>
      </c>
      <c r="R710" s="91">
        <f>IFERROR(__xludf.DUMMYFUNCTION("IFERROR(AVERAGE(filter('Генеральный баннер'!$AA:$AA, 'Генеральный баннер'!$B:$B=$A710,'Генеральный баннер'!$C:$C=$B710,'Генеральный баннер'!$I:$I=$C710)), 0) "),0.0)</f>
        <v>0</v>
      </c>
      <c r="S710" s="91">
        <f>IFERROR(__xludf.DUMMYFUNCTION("IFERROR(SUM(filter('Генеральный баннер'!$AH:$AH, 'Генеральный баннер'!$B:$B=$A710,'Генеральный баннер'!$C:$C=$B710,'Генеральный баннер'!$I:$I=$C710)), 0) "),0.0)</f>
        <v>0</v>
      </c>
      <c r="T710" s="91" t="str">
        <f>IFERROR(__xludf.DUMMYFUNCTION("IFERROR(REGEXREPLACE(unique(filter('Генеральный баннер'!$A:$A, 'Генеральный баннер'!$B:$B=$A710,'Генеральный баннер'!$C:$C=$B710,'Генеральный баннер'!$I:$I=$C710)), ""\d+"", """"),"""")"),"")</f>
        <v/>
      </c>
      <c r="U710" s="91" t="str">
        <f>IFERROR(__xludf.DUMMYFUNCTION("IFERROR(unique(filter('Генеральный баннер'!$F:$F, 'Генеральный баннер'!$B:$B=$A710,'Генеральный баннер'!$C:$C=$B710,'Генеральный баннер'!$I:$I=$C710)),"""")"),"")</f>
        <v/>
      </c>
      <c r="V710" s="92" t="str">
        <f t="shared" si="3"/>
        <v/>
      </c>
      <c r="W710" s="93">
        <f>IFERROR(__xludf.DUMMYFUNCTION("IFERROR(SWITCH(lower(join("" "",U710:V710)),""а миллионник"", 62.5,""б миллионник"", 75,""а мск"", 50, ""б мск"", 62.5, ""a остальное"", 70, ""б остальное"", 80)/100,0)"),0.0)</f>
        <v>0</v>
      </c>
      <c r="X710" s="91">
        <f t="shared" si="4"/>
        <v>0</v>
      </c>
    </row>
    <row r="711">
      <c r="A711" s="12"/>
      <c r="B711" s="12"/>
      <c r="C711" s="12"/>
      <c r="D711" s="91">
        <f>IFERROR(__xludf.DUMMYFUNCTION("IFERROR(sum(filter('Основной эфир'!$AA:$AA, 'Основной эфир'!$B:$B=$A711,'Основной эфир'!$C:$C=$B711,'Основной эфир'!$I:$I=$C711)), 0) "),0.0)</f>
        <v>0</v>
      </c>
      <c r="E711" s="91">
        <f>IFERROR(__xludf.DUMMYFUNCTION("IFERROR(sum(filter('Основной эфир'!$AC:$AC, 'Основной эфир'!$B:$B=$A711,'Основной эфир'!$C:$C=$B711,'Основной эфир'!$I:$I=$C711)), 0) "),0.0)</f>
        <v>0</v>
      </c>
      <c r="F711" s="91">
        <f>IFERROR(__xludf.DUMMYFUNCTION("IFERROR(sum(filter('Основной эфир'!$O:$O, 'Основной эфир'!$B:$B=$A711,'Основной эфир'!$C:$C=$B711,'Основной эфир'!$I:$I=$C711)), 0) "),0.0)</f>
        <v>0</v>
      </c>
      <c r="G711" s="91">
        <f>IFERROR(__xludf.DUMMYFUNCTION("IFERROR(sum(filter('Основной эфир'!$Q:$Q, 'Основной эфир'!$B:$B=$A711,'Основной эфир'!$C:$C=$B711,'Основной эфир'!$I:$I=$C711)), 0) "),0.0)</f>
        <v>0</v>
      </c>
      <c r="H711" s="91">
        <f>IFERROR(__xludf.DUMMYFUNCTION("IFERROR(AVERAGE(filter('Основной эфир'!$Y:$Y, 'Основной эфир'!$B:$B=$A711,'Основной эфир'!$C:$C=$B711,'Основной эфир'!$I:$I=$C711)), 0) "),0.0)</f>
        <v>0</v>
      </c>
      <c r="I711" s="91">
        <f>IFERROR(__xludf.DUMMYFUNCTION("IFERROR(AVERAGE(filter('Основной эфир'!$AE:$AE, 'Основной эфир'!$B:$B=$A711,'Основной эфир'!$C:$C=$B711,'Основной эфир'!$I:$I=$C711)), 0) "),0.0)</f>
        <v>0</v>
      </c>
      <c r="J711" s="91">
        <f>IFERROR(__xludf.DUMMYFUNCTION("IFERROR(SUM(filter('Основной эфир'!$AL:$AL, 'Основной эфир'!$B:$B=$A711,'Основной эфир'!$C:$C=$B711,'Основной эфир'!$I:$I=$C711)), 0) "),0.0)</f>
        <v>0</v>
      </c>
      <c r="K711" s="91" t="str">
        <f>IFERROR(__xludf.DUMMYFUNCTION("IFERROR(REGEXREPLACE(unique(filter('Основной эфир'!$A:$A, 'Основной эфир'!$B:$B=$A711,'Основной эфир'!$C:$C=$B711,'Основной эфир'!$I:$I=$C711)), ""\d+"", """"),"""")"),"")</f>
        <v/>
      </c>
      <c r="L711" s="91" t="str">
        <f>IFERROR(__xludf.DUMMYFUNCTION("IFERROR(unique(filter('Основной эфир'!$F:$F, 'Основной эфир'!$B:$B=$A711,'Основной эфир'!$C:$C=$B711,'Основной эфир'!$I:$I=$C711)),"""")"),"")</f>
        <v/>
      </c>
      <c r="M711" s="92" t="str">
        <f t="shared" si="1"/>
        <v/>
      </c>
      <c r="N711" s="93">
        <f>IFERROR(__xludf.DUMMYFUNCTION("IFERROR(SWITCH(lower(join("" "",L711:M711)),""а миллионник"", 62.5,""б миллионник"", 75,""а мск"", 50, ""б мск"", 62.5, ""a остальное"", 70, ""б остальное"", 80)/100,0)"),0.0)</f>
        <v>0</v>
      </c>
      <c r="O711" s="91">
        <f t="shared" si="2"/>
        <v>0</v>
      </c>
      <c r="P711" s="91">
        <f>IFERROR(__xludf.DUMMYFUNCTION("IFERROR(sum(filter('Генеральный баннер'!$O:$O, 'Генеральный баннер'!$B:$B=$A711,'Генеральный баннер'!$C:$C=$B711,'Генеральный баннер'!$I:$I=$C711)), 0) "),0.0)</f>
        <v>0</v>
      </c>
      <c r="Q711" s="91">
        <f>IFERROR(__xludf.DUMMYFUNCTION("IFERROR(sum(filter('Генеральный баннер'!$Q:$Q, 'Генеральный баннер'!$B:$B=$A711,'Генеральный баннер'!$C:$C=$B711,'Генеральный баннер'!$I:$I=$C711)), 0) "),0.0)</f>
        <v>0</v>
      </c>
      <c r="R711" s="91">
        <f>IFERROR(__xludf.DUMMYFUNCTION("IFERROR(AVERAGE(filter('Генеральный баннер'!$AA:$AA, 'Генеральный баннер'!$B:$B=$A711,'Генеральный баннер'!$C:$C=$B711,'Генеральный баннер'!$I:$I=$C711)), 0) "),0.0)</f>
        <v>0</v>
      </c>
      <c r="S711" s="91">
        <f>IFERROR(__xludf.DUMMYFUNCTION("IFERROR(SUM(filter('Генеральный баннер'!$AH:$AH, 'Генеральный баннер'!$B:$B=$A711,'Генеральный баннер'!$C:$C=$B711,'Генеральный баннер'!$I:$I=$C711)), 0) "),0.0)</f>
        <v>0</v>
      </c>
      <c r="T711" s="91" t="str">
        <f>IFERROR(__xludf.DUMMYFUNCTION("IFERROR(REGEXREPLACE(unique(filter('Генеральный баннер'!$A:$A, 'Генеральный баннер'!$B:$B=$A711,'Генеральный баннер'!$C:$C=$B711,'Генеральный баннер'!$I:$I=$C711)), ""\d+"", """"),"""")"),"")</f>
        <v/>
      </c>
      <c r="U711" s="91" t="str">
        <f>IFERROR(__xludf.DUMMYFUNCTION("IFERROR(unique(filter('Генеральный баннер'!$F:$F, 'Генеральный баннер'!$B:$B=$A711,'Генеральный баннер'!$C:$C=$B711,'Генеральный баннер'!$I:$I=$C711)),"""")"),"")</f>
        <v/>
      </c>
      <c r="V711" s="92" t="str">
        <f t="shared" si="3"/>
        <v/>
      </c>
      <c r="W711" s="93">
        <f>IFERROR(__xludf.DUMMYFUNCTION("IFERROR(SWITCH(lower(join("" "",U711:V711)),""а миллионник"", 62.5,""б миллионник"", 75,""а мск"", 50, ""б мск"", 62.5, ""a остальное"", 70, ""б остальное"", 80)/100,0)"),0.0)</f>
        <v>0</v>
      </c>
      <c r="X711" s="91">
        <f t="shared" si="4"/>
        <v>0</v>
      </c>
    </row>
    <row r="712">
      <c r="A712" s="12"/>
      <c r="B712" s="12"/>
      <c r="C712" s="12"/>
      <c r="D712" s="91">
        <f>IFERROR(__xludf.DUMMYFUNCTION("IFERROR(sum(filter('Основной эфир'!$AA:$AA, 'Основной эфир'!$B:$B=$A712,'Основной эфир'!$C:$C=$B712,'Основной эфир'!$I:$I=$C712)), 0) "),0.0)</f>
        <v>0</v>
      </c>
      <c r="E712" s="91">
        <f>IFERROR(__xludf.DUMMYFUNCTION("IFERROR(sum(filter('Основной эфир'!$AC:$AC, 'Основной эфир'!$B:$B=$A712,'Основной эфир'!$C:$C=$B712,'Основной эфир'!$I:$I=$C712)), 0) "),0.0)</f>
        <v>0</v>
      </c>
      <c r="F712" s="91">
        <f>IFERROR(__xludf.DUMMYFUNCTION("IFERROR(sum(filter('Основной эфир'!$O:$O, 'Основной эфир'!$B:$B=$A712,'Основной эфир'!$C:$C=$B712,'Основной эфир'!$I:$I=$C712)), 0) "),0.0)</f>
        <v>0</v>
      </c>
      <c r="G712" s="91">
        <f>IFERROR(__xludf.DUMMYFUNCTION("IFERROR(sum(filter('Основной эфир'!$Q:$Q, 'Основной эфир'!$B:$B=$A712,'Основной эфир'!$C:$C=$B712,'Основной эфир'!$I:$I=$C712)), 0) "),0.0)</f>
        <v>0</v>
      </c>
      <c r="H712" s="91">
        <f>IFERROR(__xludf.DUMMYFUNCTION("IFERROR(AVERAGE(filter('Основной эфир'!$Y:$Y, 'Основной эфир'!$B:$B=$A712,'Основной эфир'!$C:$C=$B712,'Основной эфир'!$I:$I=$C712)), 0) "),0.0)</f>
        <v>0</v>
      </c>
      <c r="I712" s="91">
        <f>IFERROR(__xludf.DUMMYFUNCTION("IFERROR(AVERAGE(filter('Основной эфир'!$AE:$AE, 'Основной эфир'!$B:$B=$A712,'Основной эфир'!$C:$C=$B712,'Основной эфир'!$I:$I=$C712)), 0) "),0.0)</f>
        <v>0</v>
      </c>
      <c r="J712" s="91">
        <f>IFERROR(__xludf.DUMMYFUNCTION("IFERROR(SUM(filter('Основной эфир'!$AL:$AL, 'Основной эфир'!$B:$B=$A712,'Основной эфир'!$C:$C=$B712,'Основной эфир'!$I:$I=$C712)), 0) "),0.0)</f>
        <v>0</v>
      </c>
      <c r="K712" s="91" t="str">
        <f>IFERROR(__xludf.DUMMYFUNCTION("IFERROR(REGEXREPLACE(unique(filter('Основной эфир'!$A:$A, 'Основной эфир'!$B:$B=$A712,'Основной эфир'!$C:$C=$B712,'Основной эфир'!$I:$I=$C712)), ""\d+"", """"),"""")"),"")</f>
        <v/>
      </c>
      <c r="L712" s="91" t="str">
        <f>IFERROR(__xludf.DUMMYFUNCTION("IFERROR(unique(filter('Основной эфир'!$F:$F, 'Основной эфир'!$B:$B=$A712,'Основной эфир'!$C:$C=$B712,'Основной эфир'!$I:$I=$C712)),"""")"),"")</f>
        <v/>
      </c>
      <c r="M712" s="92" t="str">
        <f t="shared" si="1"/>
        <v/>
      </c>
      <c r="N712" s="93">
        <f>IFERROR(__xludf.DUMMYFUNCTION("IFERROR(SWITCH(lower(join("" "",L712:M712)),""а миллионник"", 62.5,""б миллионник"", 75,""а мск"", 50, ""б мск"", 62.5, ""a остальное"", 70, ""б остальное"", 80)/100,0)"),0.0)</f>
        <v>0</v>
      </c>
      <c r="O712" s="91">
        <f t="shared" si="2"/>
        <v>0</v>
      </c>
      <c r="P712" s="91">
        <f>IFERROR(__xludf.DUMMYFUNCTION("IFERROR(sum(filter('Генеральный баннер'!$O:$O, 'Генеральный баннер'!$B:$B=$A712,'Генеральный баннер'!$C:$C=$B712,'Генеральный баннер'!$I:$I=$C712)), 0) "),0.0)</f>
        <v>0</v>
      </c>
      <c r="Q712" s="91">
        <f>IFERROR(__xludf.DUMMYFUNCTION("IFERROR(sum(filter('Генеральный баннер'!$Q:$Q, 'Генеральный баннер'!$B:$B=$A712,'Генеральный баннер'!$C:$C=$B712,'Генеральный баннер'!$I:$I=$C712)), 0) "),0.0)</f>
        <v>0</v>
      </c>
      <c r="R712" s="91">
        <f>IFERROR(__xludf.DUMMYFUNCTION("IFERROR(AVERAGE(filter('Генеральный баннер'!$AA:$AA, 'Генеральный баннер'!$B:$B=$A712,'Генеральный баннер'!$C:$C=$B712,'Генеральный баннер'!$I:$I=$C712)), 0) "),0.0)</f>
        <v>0</v>
      </c>
      <c r="S712" s="91">
        <f>IFERROR(__xludf.DUMMYFUNCTION("IFERROR(SUM(filter('Генеральный баннер'!$AH:$AH, 'Генеральный баннер'!$B:$B=$A712,'Генеральный баннер'!$C:$C=$B712,'Генеральный баннер'!$I:$I=$C712)), 0) "),0.0)</f>
        <v>0</v>
      </c>
      <c r="T712" s="91" t="str">
        <f>IFERROR(__xludf.DUMMYFUNCTION("IFERROR(REGEXREPLACE(unique(filter('Генеральный баннер'!$A:$A, 'Генеральный баннер'!$B:$B=$A712,'Генеральный баннер'!$C:$C=$B712,'Генеральный баннер'!$I:$I=$C712)), ""\d+"", """"),"""")"),"")</f>
        <v/>
      </c>
      <c r="U712" s="91" t="str">
        <f>IFERROR(__xludf.DUMMYFUNCTION("IFERROR(unique(filter('Генеральный баннер'!$F:$F, 'Генеральный баннер'!$B:$B=$A712,'Генеральный баннер'!$C:$C=$B712,'Генеральный баннер'!$I:$I=$C712)),"""")"),"")</f>
        <v/>
      </c>
      <c r="V712" s="92" t="str">
        <f t="shared" si="3"/>
        <v/>
      </c>
      <c r="W712" s="93">
        <f>IFERROR(__xludf.DUMMYFUNCTION("IFERROR(SWITCH(lower(join("" "",U712:V712)),""а миллионник"", 62.5,""б миллионник"", 75,""а мск"", 50, ""б мск"", 62.5, ""a остальное"", 70, ""б остальное"", 80)/100,0)"),0.0)</f>
        <v>0</v>
      </c>
      <c r="X712" s="91">
        <f t="shared" si="4"/>
        <v>0</v>
      </c>
    </row>
    <row r="713">
      <c r="A713" s="12"/>
      <c r="B713" s="12"/>
      <c r="C713" s="12"/>
      <c r="D713" s="91">
        <f>IFERROR(__xludf.DUMMYFUNCTION("IFERROR(sum(filter('Основной эфир'!$AA:$AA, 'Основной эфир'!$B:$B=$A713,'Основной эфир'!$C:$C=$B713,'Основной эфир'!$I:$I=$C713)), 0) "),0.0)</f>
        <v>0</v>
      </c>
      <c r="E713" s="91">
        <f>IFERROR(__xludf.DUMMYFUNCTION("IFERROR(sum(filter('Основной эфир'!$AC:$AC, 'Основной эфир'!$B:$B=$A713,'Основной эфир'!$C:$C=$B713,'Основной эфир'!$I:$I=$C713)), 0) "),0.0)</f>
        <v>0</v>
      </c>
      <c r="F713" s="91">
        <f>IFERROR(__xludf.DUMMYFUNCTION("IFERROR(sum(filter('Основной эфир'!$O:$O, 'Основной эфир'!$B:$B=$A713,'Основной эфир'!$C:$C=$B713,'Основной эфир'!$I:$I=$C713)), 0) "),0.0)</f>
        <v>0</v>
      </c>
      <c r="G713" s="91">
        <f>IFERROR(__xludf.DUMMYFUNCTION("IFERROR(sum(filter('Основной эфир'!$Q:$Q, 'Основной эфир'!$B:$B=$A713,'Основной эфир'!$C:$C=$B713,'Основной эфир'!$I:$I=$C713)), 0) "),0.0)</f>
        <v>0</v>
      </c>
      <c r="H713" s="91">
        <f>IFERROR(__xludf.DUMMYFUNCTION("IFERROR(AVERAGE(filter('Основной эфир'!$Y:$Y, 'Основной эфир'!$B:$B=$A713,'Основной эфир'!$C:$C=$B713,'Основной эфир'!$I:$I=$C713)), 0) "),0.0)</f>
        <v>0</v>
      </c>
      <c r="I713" s="91">
        <f>IFERROR(__xludf.DUMMYFUNCTION("IFERROR(AVERAGE(filter('Основной эфир'!$AE:$AE, 'Основной эфир'!$B:$B=$A713,'Основной эфир'!$C:$C=$B713,'Основной эфир'!$I:$I=$C713)), 0) "),0.0)</f>
        <v>0</v>
      </c>
      <c r="J713" s="91">
        <f>IFERROR(__xludf.DUMMYFUNCTION("IFERROR(SUM(filter('Основной эфир'!$AL:$AL, 'Основной эфир'!$B:$B=$A713,'Основной эфир'!$C:$C=$B713,'Основной эфир'!$I:$I=$C713)), 0) "),0.0)</f>
        <v>0</v>
      </c>
      <c r="K713" s="91" t="str">
        <f>IFERROR(__xludf.DUMMYFUNCTION("IFERROR(REGEXREPLACE(unique(filter('Основной эфир'!$A:$A, 'Основной эфир'!$B:$B=$A713,'Основной эфир'!$C:$C=$B713,'Основной эфир'!$I:$I=$C713)), ""\d+"", """"),"""")"),"")</f>
        <v/>
      </c>
      <c r="L713" s="91" t="str">
        <f>IFERROR(__xludf.DUMMYFUNCTION("IFERROR(unique(filter('Основной эфир'!$F:$F, 'Основной эфир'!$B:$B=$A713,'Основной эфир'!$C:$C=$B713,'Основной эфир'!$I:$I=$C713)),"""")"),"")</f>
        <v/>
      </c>
      <c r="M713" s="92" t="str">
        <f t="shared" si="1"/>
        <v/>
      </c>
      <c r="N713" s="93">
        <f>IFERROR(__xludf.DUMMYFUNCTION("IFERROR(SWITCH(lower(join("" "",L713:M713)),""а миллионник"", 62.5,""б миллионник"", 75,""а мск"", 50, ""б мск"", 62.5, ""a остальное"", 70, ""б остальное"", 80)/100,0)"),0.0)</f>
        <v>0</v>
      </c>
      <c r="O713" s="91">
        <f t="shared" si="2"/>
        <v>0</v>
      </c>
      <c r="P713" s="91">
        <f>IFERROR(__xludf.DUMMYFUNCTION("IFERROR(sum(filter('Генеральный баннер'!$O:$O, 'Генеральный баннер'!$B:$B=$A713,'Генеральный баннер'!$C:$C=$B713,'Генеральный баннер'!$I:$I=$C713)), 0) "),0.0)</f>
        <v>0</v>
      </c>
      <c r="Q713" s="91">
        <f>IFERROR(__xludf.DUMMYFUNCTION("IFERROR(sum(filter('Генеральный баннер'!$Q:$Q, 'Генеральный баннер'!$B:$B=$A713,'Генеральный баннер'!$C:$C=$B713,'Генеральный баннер'!$I:$I=$C713)), 0) "),0.0)</f>
        <v>0</v>
      </c>
      <c r="R713" s="91">
        <f>IFERROR(__xludf.DUMMYFUNCTION("IFERROR(AVERAGE(filter('Генеральный баннер'!$AA:$AA, 'Генеральный баннер'!$B:$B=$A713,'Генеральный баннер'!$C:$C=$B713,'Генеральный баннер'!$I:$I=$C713)), 0) "),0.0)</f>
        <v>0</v>
      </c>
      <c r="S713" s="91">
        <f>IFERROR(__xludf.DUMMYFUNCTION("IFERROR(SUM(filter('Генеральный баннер'!$AH:$AH, 'Генеральный баннер'!$B:$B=$A713,'Генеральный баннер'!$C:$C=$B713,'Генеральный баннер'!$I:$I=$C713)), 0) "),0.0)</f>
        <v>0</v>
      </c>
      <c r="T713" s="91" t="str">
        <f>IFERROR(__xludf.DUMMYFUNCTION("IFERROR(REGEXREPLACE(unique(filter('Генеральный баннер'!$A:$A, 'Генеральный баннер'!$B:$B=$A713,'Генеральный баннер'!$C:$C=$B713,'Генеральный баннер'!$I:$I=$C713)), ""\d+"", """"),"""")"),"")</f>
        <v/>
      </c>
      <c r="U713" s="91" t="str">
        <f>IFERROR(__xludf.DUMMYFUNCTION("IFERROR(unique(filter('Генеральный баннер'!$F:$F, 'Генеральный баннер'!$B:$B=$A713,'Генеральный баннер'!$C:$C=$B713,'Генеральный баннер'!$I:$I=$C713)),"""")"),"")</f>
        <v/>
      </c>
      <c r="V713" s="92" t="str">
        <f t="shared" si="3"/>
        <v/>
      </c>
      <c r="W713" s="93">
        <f>IFERROR(__xludf.DUMMYFUNCTION("IFERROR(SWITCH(lower(join("" "",U713:V713)),""а миллионник"", 62.5,""б миллионник"", 75,""а мск"", 50, ""б мск"", 62.5, ""a остальное"", 70, ""б остальное"", 80)/100,0)"),0.0)</f>
        <v>0</v>
      </c>
      <c r="X713" s="91">
        <f t="shared" si="4"/>
        <v>0</v>
      </c>
    </row>
    <row r="714">
      <c r="A714" s="12"/>
      <c r="B714" s="12"/>
      <c r="C714" s="12"/>
      <c r="D714" s="91">
        <f>IFERROR(__xludf.DUMMYFUNCTION("IFERROR(sum(filter('Основной эфир'!$AA:$AA, 'Основной эфир'!$B:$B=$A714,'Основной эфир'!$C:$C=$B714,'Основной эфир'!$I:$I=$C714)), 0) "),0.0)</f>
        <v>0</v>
      </c>
      <c r="E714" s="91">
        <f>IFERROR(__xludf.DUMMYFUNCTION("IFERROR(sum(filter('Основной эфир'!$AC:$AC, 'Основной эфир'!$B:$B=$A714,'Основной эфир'!$C:$C=$B714,'Основной эфир'!$I:$I=$C714)), 0) "),0.0)</f>
        <v>0</v>
      </c>
      <c r="F714" s="91">
        <f>IFERROR(__xludf.DUMMYFUNCTION("IFERROR(sum(filter('Основной эфир'!$O:$O, 'Основной эфир'!$B:$B=$A714,'Основной эфир'!$C:$C=$B714,'Основной эфир'!$I:$I=$C714)), 0) "),0.0)</f>
        <v>0</v>
      </c>
      <c r="G714" s="91">
        <f>IFERROR(__xludf.DUMMYFUNCTION("IFERROR(sum(filter('Основной эфир'!$Q:$Q, 'Основной эфир'!$B:$B=$A714,'Основной эфир'!$C:$C=$B714,'Основной эфир'!$I:$I=$C714)), 0) "),0.0)</f>
        <v>0</v>
      </c>
      <c r="H714" s="91">
        <f>IFERROR(__xludf.DUMMYFUNCTION("IFERROR(AVERAGE(filter('Основной эфир'!$Y:$Y, 'Основной эфир'!$B:$B=$A714,'Основной эфир'!$C:$C=$B714,'Основной эфир'!$I:$I=$C714)), 0) "),0.0)</f>
        <v>0</v>
      </c>
      <c r="I714" s="91">
        <f>IFERROR(__xludf.DUMMYFUNCTION("IFERROR(AVERAGE(filter('Основной эфир'!$AE:$AE, 'Основной эфир'!$B:$B=$A714,'Основной эфир'!$C:$C=$B714,'Основной эфир'!$I:$I=$C714)), 0) "),0.0)</f>
        <v>0</v>
      </c>
      <c r="J714" s="91">
        <f>IFERROR(__xludf.DUMMYFUNCTION("IFERROR(SUM(filter('Основной эфир'!$AL:$AL, 'Основной эфир'!$B:$B=$A714,'Основной эфир'!$C:$C=$B714,'Основной эфир'!$I:$I=$C714)), 0) "),0.0)</f>
        <v>0</v>
      </c>
      <c r="K714" s="91" t="str">
        <f>IFERROR(__xludf.DUMMYFUNCTION("IFERROR(REGEXREPLACE(unique(filter('Основной эфир'!$A:$A, 'Основной эфир'!$B:$B=$A714,'Основной эфир'!$C:$C=$B714,'Основной эфир'!$I:$I=$C714)), ""\d+"", """"),"""")"),"")</f>
        <v/>
      </c>
      <c r="L714" s="91" t="str">
        <f>IFERROR(__xludf.DUMMYFUNCTION("IFERROR(unique(filter('Основной эфир'!$F:$F, 'Основной эфир'!$B:$B=$A714,'Основной эфир'!$C:$C=$B714,'Основной эфир'!$I:$I=$C714)),"""")"),"")</f>
        <v/>
      </c>
      <c r="M714" s="92" t="str">
        <f t="shared" si="1"/>
        <v/>
      </c>
      <c r="N714" s="93">
        <f>IFERROR(__xludf.DUMMYFUNCTION("IFERROR(SWITCH(lower(join("" "",L714:M714)),""а миллионник"", 62.5,""б миллионник"", 75,""а мск"", 50, ""б мск"", 62.5, ""a остальное"", 70, ""б остальное"", 80)/100,0)"),0.0)</f>
        <v>0</v>
      </c>
      <c r="O714" s="91">
        <f t="shared" si="2"/>
        <v>0</v>
      </c>
      <c r="P714" s="91">
        <f>IFERROR(__xludf.DUMMYFUNCTION("IFERROR(sum(filter('Генеральный баннер'!$O:$O, 'Генеральный баннер'!$B:$B=$A714,'Генеральный баннер'!$C:$C=$B714,'Генеральный баннер'!$I:$I=$C714)), 0) "),0.0)</f>
        <v>0</v>
      </c>
      <c r="Q714" s="91">
        <f>IFERROR(__xludf.DUMMYFUNCTION("IFERROR(sum(filter('Генеральный баннер'!$Q:$Q, 'Генеральный баннер'!$B:$B=$A714,'Генеральный баннер'!$C:$C=$B714,'Генеральный баннер'!$I:$I=$C714)), 0) "),0.0)</f>
        <v>0</v>
      </c>
      <c r="R714" s="91">
        <f>IFERROR(__xludf.DUMMYFUNCTION("IFERROR(AVERAGE(filter('Генеральный баннер'!$AA:$AA, 'Генеральный баннер'!$B:$B=$A714,'Генеральный баннер'!$C:$C=$B714,'Генеральный баннер'!$I:$I=$C714)), 0) "),0.0)</f>
        <v>0</v>
      </c>
      <c r="S714" s="91">
        <f>IFERROR(__xludf.DUMMYFUNCTION("IFERROR(SUM(filter('Генеральный баннер'!$AH:$AH, 'Генеральный баннер'!$B:$B=$A714,'Генеральный баннер'!$C:$C=$B714,'Генеральный баннер'!$I:$I=$C714)), 0) "),0.0)</f>
        <v>0</v>
      </c>
      <c r="T714" s="91" t="str">
        <f>IFERROR(__xludf.DUMMYFUNCTION("IFERROR(REGEXREPLACE(unique(filter('Генеральный баннер'!$A:$A, 'Генеральный баннер'!$B:$B=$A714,'Генеральный баннер'!$C:$C=$B714,'Генеральный баннер'!$I:$I=$C714)), ""\d+"", """"),"""")"),"")</f>
        <v/>
      </c>
      <c r="U714" s="91" t="str">
        <f>IFERROR(__xludf.DUMMYFUNCTION("IFERROR(unique(filter('Генеральный баннер'!$F:$F, 'Генеральный баннер'!$B:$B=$A714,'Генеральный баннер'!$C:$C=$B714,'Генеральный баннер'!$I:$I=$C714)),"""")"),"")</f>
        <v/>
      </c>
      <c r="V714" s="92" t="str">
        <f t="shared" si="3"/>
        <v/>
      </c>
      <c r="W714" s="93">
        <f>IFERROR(__xludf.DUMMYFUNCTION("IFERROR(SWITCH(lower(join("" "",U714:V714)),""а миллионник"", 62.5,""б миллионник"", 75,""а мск"", 50, ""б мск"", 62.5, ""a остальное"", 70, ""б остальное"", 80)/100,0)"),0.0)</f>
        <v>0</v>
      </c>
      <c r="X714" s="91">
        <f t="shared" si="4"/>
        <v>0</v>
      </c>
    </row>
    <row r="715">
      <c r="A715" s="12"/>
      <c r="B715" s="12"/>
      <c r="C715" s="12"/>
      <c r="D715" s="91">
        <f>IFERROR(__xludf.DUMMYFUNCTION("IFERROR(sum(filter('Основной эфир'!$AA:$AA, 'Основной эфир'!$B:$B=$A715,'Основной эфир'!$C:$C=$B715,'Основной эфир'!$I:$I=$C715)), 0) "),0.0)</f>
        <v>0</v>
      </c>
      <c r="E715" s="91">
        <f>IFERROR(__xludf.DUMMYFUNCTION("IFERROR(sum(filter('Основной эфир'!$AC:$AC, 'Основной эфир'!$B:$B=$A715,'Основной эфир'!$C:$C=$B715,'Основной эфир'!$I:$I=$C715)), 0) "),0.0)</f>
        <v>0</v>
      </c>
      <c r="F715" s="91">
        <f>IFERROR(__xludf.DUMMYFUNCTION("IFERROR(sum(filter('Основной эфир'!$O:$O, 'Основной эфир'!$B:$B=$A715,'Основной эфир'!$C:$C=$B715,'Основной эфир'!$I:$I=$C715)), 0) "),0.0)</f>
        <v>0</v>
      </c>
      <c r="G715" s="91">
        <f>IFERROR(__xludf.DUMMYFUNCTION("IFERROR(sum(filter('Основной эфир'!$Q:$Q, 'Основной эфир'!$B:$B=$A715,'Основной эфир'!$C:$C=$B715,'Основной эфир'!$I:$I=$C715)), 0) "),0.0)</f>
        <v>0</v>
      </c>
      <c r="H715" s="91">
        <f>IFERROR(__xludf.DUMMYFUNCTION("IFERROR(AVERAGE(filter('Основной эфир'!$Y:$Y, 'Основной эфир'!$B:$B=$A715,'Основной эфир'!$C:$C=$B715,'Основной эфир'!$I:$I=$C715)), 0) "),0.0)</f>
        <v>0</v>
      </c>
      <c r="I715" s="91">
        <f>IFERROR(__xludf.DUMMYFUNCTION("IFERROR(AVERAGE(filter('Основной эфир'!$AE:$AE, 'Основной эфир'!$B:$B=$A715,'Основной эфир'!$C:$C=$B715,'Основной эфир'!$I:$I=$C715)), 0) "),0.0)</f>
        <v>0</v>
      </c>
      <c r="J715" s="91">
        <f>IFERROR(__xludf.DUMMYFUNCTION("IFERROR(SUM(filter('Основной эфир'!$AL:$AL, 'Основной эфир'!$B:$B=$A715,'Основной эфир'!$C:$C=$B715,'Основной эфир'!$I:$I=$C715)), 0) "),0.0)</f>
        <v>0</v>
      </c>
      <c r="K715" s="91" t="str">
        <f>IFERROR(__xludf.DUMMYFUNCTION("IFERROR(REGEXREPLACE(unique(filter('Основной эфир'!$A:$A, 'Основной эфир'!$B:$B=$A715,'Основной эфир'!$C:$C=$B715,'Основной эфир'!$I:$I=$C715)), ""\d+"", """"),"""")"),"")</f>
        <v/>
      </c>
      <c r="L715" s="91" t="str">
        <f>IFERROR(__xludf.DUMMYFUNCTION("IFERROR(unique(filter('Основной эфир'!$F:$F, 'Основной эфир'!$B:$B=$A715,'Основной эфир'!$C:$C=$B715,'Основной эфир'!$I:$I=$C715)),"""")"),"")</f>
        <v/>
      </c>
      <c r="M715" s="92" t="str">
        <f t="shared" si="1"/>
        <v/>
      </c>
      <c r="N715" s="93">
        <f>IFERROR(__xludf.DUMMYFUNCTION("IFERROR(SWITCH(lower(join("" "",L715:M715)),""а миллионник"", 62.5,""б миллионник"", 75,""а мск"", 50, ""б мск"", 62.5, ""a остальное"", 70, ""б остальное"", 80)/100,0)"),0.0)</f>
        <v>0</v>
      </c>
      <c r="O715" s="91">
        <f t="shared" si="2"/>
        <v>0</v>
      </c>
      <c r="P715" s="91">
        <f>IFERROR(__xludf.DUMMYFUNCTION("IFERROR(sum(filter('Генеральный баннер'!$O:$O, 'Генеральный баннер'!$B:$B=$A715,'Генеральный баннер'!$C:$C=$B715,'Генеральный баннер'!$I:$I=$C715)), 0) "),0.0)</f>
        <v>0</v>
      </c>
      <c r="Q715" s="91">
        <f>IFERROR(__xludf.DUMMYFUNCTION("IFERROR(sum(filter('Генеральный баннер'!$Q:$Q, 'Генеральный баннер'!$B:$B=$A715,'Генеральный баннер'!$C:$C=$B715,'Генеральный баннер'!$I:$I=$C715)), 0) "),0.0)</f>
        <v>0</v>
      </c>
      <c r="R715" s="91">
        <f>IFERROR(__xludf.DUMMYFUNCTION("IFERROR(AVERAGE(filter('Генеральный баннер'!$AA:$AA, 'Генеральный баннер'!$B:$B=$A715,'Генеральный баннер'!$C:$C=$B715,'Генеральный баннер'!$I:$I=$C715)), 0) "),0.0)</f>
        <v>0</v>
      </c>
      <c r="S715" s="91">
        <f>IFERROR(__xludf.DUMMYFUNCTION("IFERROR(SUM(filter('Генеральный баннер'!$AH:$AH, 'Генеральный баннер'!$B:$B=$A715,'Генеральный баннер'!$C:$C=$B715,'Генеральный баннер'!$I:$I=$C715)), 0) "),0.0)</f>
        <v>0</v>
      </c>
      <c r="T715" s="91" t="str">
        <f>IFERROR(__xludf.DUMMYFUNCTION("IFERROR(REGEXREPLACE(unique(filter('Генеральный баннер'!$A:$A, 'Генеральный баннер'!$B:$B=$A715,'Генеральный баннер'!$C:$C=$B715,'Генеральный баннер'!$I:$I=$C715)), ""\d+"", """"),"""")"),"")</f>
        <v/>
      </c>
      <c r="U715" s="91" t="str">
        <f>IFERROR(__xludf.DUMMYFUNCTION("IFERROR(unique(filter('Генеральный баннер'!$F:$F, 'Генеральный баннер'!$B:$B=$A715,'Генеральный баннер'!$C:$C=$B715,'Генеральный баннер'!$I:$I=$C715)),"""")"),"")</f>
        <v/>
      </c>
      <c r="V715" s="92" t="str">
        <f t="shared" si="3"/>
        <v/>
      </c>
      <c r="W715" s="93">
        <f>IFERROR(__xludf.DUMMYFUNCTION("IFERROR(SWITCH(lower(join("" "",U715:V715)),""а миллионник"", 62.5,""б миллионник"", 75,""а мск"", 50, ""б мск"", 62.5, ""a остальное"", 70, ""б остальное"", 80)/100,0)"),0.0)</f>
        <v>0</v>
      </c>
      <c r="X715" s="91">
        <f t="shared" si="4"/>
        <v>0</v>
      </c>
    </row>
    <row r="716">
      <c r="A716" s="12"/>
      <c r="B716" s="12"/>
      <c r="C716" s="12"/>
      <c r="D716" s="91">
        <f>IFERROR(__xludf.DUMMYFUNCTION("IFERROR(sum(filter('Основной эфир'!$AA:$AA, 'Основной эфир'!$B:$B=$A716,'Основной эфир'!$C:$C=$B716,'Основной эфир'!$I:$I=$C716)), 0) "),0.0)</f>
        <v>0</v>
      </c>
      <c r="E716" s="91">
        <f>IFERROR(__xludf.DUMMYFUNCTION("IFERROR(sum(filter('Основной эфир'!$AC:$AC, 'Основной эфир'!$B:$B=$A716,'Основной эфир'!$C:$C=$B716,'Основной эфир'!$I:$I=$C716)), 0) "),0.0)</f>
        <v>0</v>
      </c>
      <c r="F716" s="91">
        <f>IFERROR(__xludf.DUMMYFUNCTION("IFERROR(sum(filter('Основной эфир'!$O:$O, 'Основной эфир'!$B:$B=$A716,'Основной эфир'!$C:$C=$B716,'Основной эфир'!$I:$I=$C716)), 0) "),0.0)</f>
        <v>0</v>
      </c>
      <c r="G716" s="91">
        <f>IFERROR(__xludf.DUMMYFUNCTION("IFERROR(sum(filter('Основной эфир'!$Q:$Q, 'Основной эфир'!$B:$B=$A716,'Основной эфир'!$C:$C=$B716,'Основной эфир'!$I:$I=$C716)), 0) "),0.0)</f>
        <v>0</v>
      </c>
      <c r="H716" s="91">
        <f>IFERROR(__xludf.DUMMYFUNCTION("IFERROR(AVERAGE(filter('Основной эфир'!$Y:$Y, 'Основной эфир'!$B:$B=$A716,'Основной эфир'!$C:$C=$B716,'Основной эфир'!$I:$I=$C716)), 0) "),0.0)</f>
        <v>0</v>
      </c>
      <c r="I716" s="91">
        <f>IFERROR(__xludf.DUMMYFUNCTION("IFERROR(AVERAGE(filter('Основной эфир'!$AE:$AE, 'Основной эфир'!$B:$B=$A716,'Основной эфир'!$C:$C=$B716,'Основной эфир'!$I:$I=$C716)), 0) "),0.0)</f>
        <v>0</v>
      </c>
      <c r="J716" s="91">
        <f>IFERROR(__xludf.DUMMYFUNCTION("IFERROR(SUM(filter('Основной эфир'!$AL:$AL, 'Основной эфир'!$B:$B=$A716,'Основной эфир'!$C:$C=$B716,'Основной эфир'!$I:$I=$C716)), 0) "),0.0)</f>
        <v>0</v>
      </c>
      <c r="K716" s="91" t="str">
        <f>IFERROR(__xludf.DUMMYFUNCTION("IFERROR(REGEXREPLACE(unique(filter('Основной эфир'!$A:$A, 'Основной эфир'!$B:$B=$A716,'Основной эфир'!$C:$C=$B716,'Основной эфир'!$I:$I=$C716)), ""\d+"", """"),"""")"),"")</f>
        <v/>
      </c>
      <c r="L716" s="91" t="str">
        <f>IFERROR(__xludf.DUMMYFUNCTION("IFERROR(unique(filter('Основной эфир'!$F:$F, 'Основной эфир'!$B:$B=$A716,'Основной эфир'!$C:$C=$B716,'Основной эфир'!$I:$I=$C716)),"""")"),"")</f>
        <v/>
      </c>
      <c r="M716" s="92" t="str">
        <f t="shared" si="1"/>
        <v/>
      </c>
      <c r="N716" s="93">
        <f>IFERROR(__xludf.DUMMYFUNCTION("IFERROR(SWITCH(lower(join("" "",L716:M716)),""а миллионник"", 62.5,""б миллионник"", 75,""а мск"", 50, ""б мск"", 62.5, ""a остальное"", 70, ""б остальное"", 80)/100,0)"),0.0)</f>
        <v>0</v>
      </c>
      <c r="O716" s="91">
        <f t="shared" si="2"/>
        <v>0</v>
      </c>
      <c r="P716" s="91">
        <f>IFERROR(__xludf.DUMMYFUNCTION("IFERROR(sum(filter('Генеральный баннер'!$O:$O, 'Генеральный баннер'!$B:$B=$A716,'Генеральный баннер'!$C:$C=$B716,'Генеральный баннер'!$I:$I=$C716)), 0) "),0.0)</f>
        <v>0</v>
      </c>
      <c r="Q716" s="91">
        <f>IFERROR(__xludf.DUMMYFUNCTION("IFERROR(sum(filter('Генеральный баннер'!$Q:$Q, 'Генеральный баннер'!$B:$B=$A716,'Генеральный баннер'!$C:$C=$B716,'Генеральный баннер'!$I:$I=$C716)), 0) "),0.0)</f>
        <v>0</v>
      </c>
      <c r="R716" s="91">
        <f>IFERROR(__xludf.DUMMYFUNCTION("IFERROR(AVERAGE(filter('Генеральный баннер'!$AA:$AA, 'Генеральный баннер'!$B:$B=$A716,'Генеральный баннер'!$C:$C=$B716,'Генеральный баннер'!$I:$I=$C716)), 0) "),0.0)</f>
        <v>0</v>
      </c>
      <c r="S716" s="91">
        <f>IFERROR(__xludf.DUMMYFUNCTION("IFERROR(SUM(filter('Генеральный баннер'!$AH:$AH, 'Генеральный баннер'!$B:$B=$A716,'Генеральный баннер'!$C:$C=$B716,'Генеральный баннер'!$I:$I=$C716)), 0) "),0.0)</f>
        <v>0</v>
      </c>
      <c r="T716" s="91" t="str">
        <f>IFERROR(__xludf.DUMMYFUNCTION("IFERROR(REGEXREPLACE(unique(filter('Генеральный баннер'!$A:$A, 'Генеральный баннер'!$B:$B=$A716,'Генеральный баннер'!$C:$C=$B716,'Генеральный баннер'!$I:$I=$C716)), ""\d+"", """"),"""")"),"")</f>
        <v/>
      </c>
      <c r="U716" s="91" t="str">
        <f>IFERROR(__xludf.DUMMYFUNCTION("IFERROR(unique(filter('Генеральный баннер'!$F:$F, 'Генеральный баннер'!$B:$B=$A716,'Генеральный баннер'!$C:$C=$B716,'Генеральный баннер'!$I:$I=$C716)),"""")"),"")</f>
        <v/>
      </c>
      <c r="V716" s="92" t="str">
        <f t="shared" si="3"/>
        <v/>
      </c>
      <c r="W716" s="93">
        <f>IFERROR(__xludf.DUMMYFUNCTION("IFERROR(SWITCH(lower(join("" "",U716:V716)),""а миллионник"", 62.5,""б миллионник"", 75,""а мск"", 50, ""б мск"", 62.5, ""a остальное"", 70, ""б остальное"", 80)/100,0)"),0.0)</f>
        <v>0</v>
      </c>
      <c r="X716" s="91">
        <f t="shared" si="4"/>
        <v>0</v>
      </c>
    </row>
    <row r="717">
      <c r="A717" s="12"/>
      <c r="B717" s="12"/>
      <c r="C717" s="12"/>
      <c r="D717" s="91">
        <f>IFERROR(__xludf.DUMMYFUNCTION("IFERROR(sum(filter('Основной эфир'!$AA:$AA, 'Основной эфир'!$B:$B=$A717,'Основной эфир'!$C:$C=$B717,'Основной эфир'!$I:$I=$C717)), 0) "),0.0)</f>
        <v>0</v>
      </c>
      <c r="E717" s="91">
        <f>IFERROR(__xludf.DUMMYFUNCTION("IFERROR(sum(filter('Основной эфир'!$AC:$AC, 'Основной эфир'!$B:$B=$A717,'Основной эфир'!$C:$C=$B717,'Основной эфир'!$I:$I=$C717)), 0) "),0.0)</f>
        <v>0</v>
      </c>
      <c r="F717" s="91">
        <f>IFERROR(__xludf.DUMMYFUNCTION("IFERROR(sum(filter('Основной эфир'!$O:$O, 'Основной эфир'!$B:$B=$A717,'Основной эфир'!$C:$C=$B717,'Основной эфир'!$I:$I=$C717)), 0) "),0.0)</f>
        <v>0</v>
      </c>
      <c r="G717" s="91">
        <f>IFERROR(__xludf.DUMMYFUNCTION("IFERROR(sum(filter('Основной эфир'!$Q:$Q, 'Основной эфир'!$B:$B=$A717,'Основной эфир'!$C:$C=$B717,'Основной эфир'!$I:$I=$C717)), 0) "),0.0)</f>
        <v>0</v>
      </c>
      <c r="H717" s="91">
        <f>IFERROR(__xludf.DUMMYFUNCTION("IFERROR(AVERAGE(filter('Основной эфир'!$Y:$Y, 'Основной эфир'!$B:$B=$A717,'Основной эфир'!$C:$C=$B717,'Основной эфир'!$I:$I=$C717)), 0) "),0.0)</f>
        <v>0</v>
      </c>
      <c r="I717" s="91">
        <f>IFERROR(__xludf.DUMMYFUNCTION("IFERROR(AVERAGE(filter('Основной эфир'!$AE:$AE, 'Основной эфир'!$B:$B=$A717,'Основной эфир'!$C:$C=$B717,'Основной эфир'!$I:$I=$C717)), 0) "),0.0)</f>
        <v>0</v>
      </c>
      <c r="J717" s="91">
        <f>IFERROR(__xludf.DUMMYFUNCTION("IFERROR(SUM(filter('Основной эфир'!$AL:$AL, 'Основной эфир'!$B:$B=$A717,'Основной эфир'!$C:$C=$B717,'Основной эфир'!$I:$I=$C717)), 0) "),0.0)</f>
        <v>0</v>
      </c>
      <c r="K717" s="91" t="str">
        <f>IFERROR(__xludf.DUMMYFUNCTION("IFERROR(REGEXREPLACE(unique(filter('Основной эфир'!$A:$A, 'Основной эфир'!$B:$B=$A717,'Основной эфир'!$C:$C=$B717,'Основной эфир'!$I:$I=$C717)), ""\d+"", """"),"""")"),"")</f>
        <v/>
      </c>
      <c r="L717" s="91" t="str">
        <f>IFERROR(__xludf.DUMMYFUNCTION("IFERROR(unique(filter('Основной эфир'!$F:$F, 'Основной эфир'!$B:$B=$A717,'Основной эфир'!$C:$C=$B717,'Основной эфир'!$I:$I=$C717)),"""")"),"")</f>
        <v/>
      </c>
      <c r="M717" s="92" t="str">
        <f t="shared" si="1"/>
        <v/>
      </c>
      <c r="N717" s="93">
        <f>IFERROR(__xludf.DUMMYFUNCTION("IFERROR(SWITCH(lower(join("" "",L717:M717)),""а миллионник"", 62.5,""б миллионник"", 75,""а мск"", 50, ""б мск"", 62.5, ""a остальное"", 70, ""б остальное"", 80)/100,0)"),0.0)</f>
        <v>0</v>
      </c>
      <c r="O717" s="91">
        <f t="shared" si="2"/>
        <v>0</v>
      </c>
      <c r="P717" s="91">
        <f>IFERROR(__xludf.DUMMYFUNCTION("IFERROR(sum(filter('Генеральный баннер'!$O:$O, 'Генеральный баннер'!$B:$B=$A717,'Генеральный баннер'!$C:$C=$B717,'Генеральный баннер'!$I:$I=$C717)), 0) "),0.0)</f>
        <v>0</v>
      </c>
      <c r="Q717" s="91">
        <f>IFERROR(__xludf.DUMMYFUNCTION("IFERROR(sum(filter('Генеральный баннер'!$Q:$Q, 'Генеральный баннер'!$B:$B=$A717,'Генеральный баннер'!$C:$C=$B717,'Генеральный баннер'!$I:$I=$C717)), 0) "),0.0)</f>
        <v>0</v>
      </c>
      <c r="R717" s="91">
        <f>IFERROR(__xludf.DUMMYFUNCTION("IFERROR(AVERAGE(filter('Генеральный баннер'!$AA:$AA, 'Генеральный баннер'!$B:$B=$A717,'Генеральный баннер'!$C:$C=$B717,'Генеральный баннер'!$I:$I=$C717)), 0) "),0.0)</f>
        <v>0</v>
      </c>
      <c r="S717" s="91">
        <f>IFERROR(__xludf.DUMMYFUNCTION("IFERROR(SUM(filter('Генеральный баннер'!$AH:$AH, 'Генеральный баннер'!$B:$B=$A717,'Генеральный баннер'!$C:$C=$B717,'Генеральный баннер'!$I:$I=$C717)), 0) "),0.0)</f>
        <v>0</v>
      </c>
      <c r="T717" s="91" t="str">
        <f>IFERROR(__xludf.DUMMYFUNCTION("IFERROR(REGEXREPLACE(unique(filter('Генеральный баннер'!$A:$A, 'Генеральный баннер'!$B:$B=$A717,'Генеральный баннер'!$C:$C=$B717,'Генеральный баннер'!$I:$I=$C717)), ""\d+"", """"),"""")"),"")</f>
        <v/>
      </c>
      <c r="U717" s="91" t="str">
        <f>IFERROR(__xludf.DUMMYFUNCTION("IFERROR(unique(filter('Генеральный баннер'!$F:$F, 'Генеральный баннер'!$B:$B=$A717,'Генеральный баннер'!$C:$C=$B717,'Генеральный баннер'!$I:$I=$C717)),"""")"),"")</f>
        <v/>
      </c>
      <c r="V717" s="92" t="str">
        <f t="shared" si="3"/>
        <v/>
      </c>
      <c r="W717" s="93">
        <f>IFERROR(__xludf.DUMMYFUNCTION("IFERROR(SWITCH(lower(join("" "",U717:V717)),""а миллионник"", 62.5,""б миллионник"", 75,""а мск"", 50, ""б мск"", 62.5, ""a остальное"", 70, ""б остальное"", 80)/100,0)"),0.0)</f>
        <v>0</v>
      </c>
      <c r="X717" s="91">
        <f t="shared" si="4"/>
        <v>0</v>
      </c>
    </row>
    <row r="718">
      <c r="A718" s="12"/>
      <c r="B718" s="12"/>
      <c r="C718" s="12"/>
      <c r="D718" s="91">
        <f>IFERROR(__xludf.DUMMYFUNCTION("IFERROR(sum(filter('Основной эфир'!$AA:$AA, 'Основной эфир'!$B:$B=$A718,'Основной эфир'!$C:$C=$B718,'Основной эфир'!$I:$I=$C718)), 0) "),0.0)</f>
        <v>0</v>
      </c>
      <c r="E718" s="91">
        <f>IFERROR(__xludf.DUMMYFUNCTION("IFERROR(sum(filter('Основной эфир'!$AC:$AC, 'Основной эфир'!$B:$B=$A718,'Основной эфир'!$C:$C=$B718,'Основной эфир'!$I:$I=$C718)), 0) "),0.0)</f>
        <v>0</v>
      </c>
      <c r="F718" s="91">
        <f>IFERROR(__xludf.DUMMYFUNCTION("IFERROR(sum(filter('Основной эфир'!$O:$O, 'Основной эфир'!$B:$B=$A718,'Основной эфир'!$C:$C=$B718,'Основной эфир'!$I:$I=$C718)), 0) "),0.0)</f>
        <v>0</v>
      </c>
      <c r="G718" s="91">
        <f>IFERROR(__xludf.DUMMYFUNCTION("IFERROR(sum(filter('Основной эфир'!$Q:$Q, 'Основной эфир'!$B:$B=$A718,'Основной эфир'!$C:$C=$B718,'Основной эфир'!$I:$I=$C718)), 0) "),0.0)</f>
        <v>0</v>
      </c>
      <c r="H718" s="91">
        <f>IFERROR(__xludf.DUMMYFUNCTION("IFERROR(AVERAGE(filter('Основной эфир'!$Y:$Y, 'Основной эфир'!$B:$B=$A718,'Основной эфир'!$C:$C=$B718,'Основной эфир'!$I:$I=$C718)), 0) "),0.0)</f>
        <v>0</v>
      </c>
      <c r="I718" s="91">
        <f>IFERROR(__xludf.DUMMYFUNCTION("IFERROR(AVERAGE(filter('Основной эфир'!$AE:$AE, 'Основной эфир'!$B:$B=$A718,'Основной эфир'!$C:$C=$B718,'Основной эфир'!$I:$I=$C718)), 0) "),0.0)</f>
        <v>0</v>
      </c>
      <c r="J718" s="91">
        <f>IFERROR(__xludf.DUMMYFUNCTION("IFERROR(SUM(filter('Основной эфир'!$AL:$AL, 'Основной эфир'!$B:$B=$A718,'Основной эфир'!$C:$C=$B718,'Основной эфир'!$I:$I=$C718)), 0) "),0.0)</f>
        <v>0</v>
      </c>
      <c r="K718" s="91" t="str">
        <f>IFERROR(__xludf.DUMMYFUNCTION("IFERROR(REGEXREPLACE(unique(filter('Основной эфир'!$A:$A, 'Основной эфир'!$B:$B=$A718,'Основной эфир'!$C:$C=$B718,'Основной эфир'!$I:$I=$C718)), ""\d+"", """"),"""")"),"")</f>
        <v/>
      </c>
      <c r="L718" s="91" t="str">
        <f>IFERROR(__xludf.DUMMYFUNCTION("IFERROR(unique(filter('Основной эфир'!$F:$F, 'Основной эфир'!$B:$B=$A718,'Основной эфир'!$C:$C=$B718,'Основной эфир'!$I:$I=$C718)),"""")"),"")</f>
        <v/>
      </c>
      <c r="M718" s="92" t="str">
        <f t="shared" si="1"/>
        <v/>
      </c>
      <c r="N718" s="93">
        <f>IFERROR(__xludf.DUMMYFUNCTION("IFERROR(SWITCH(lower(join("" "",L718:M718)),""а миллионник"", 62.5,""б миллионник"", 75,""а мск"", 50, ""б мск"", 62.5, ""a остальное"", 70, ""б остальное"", 80)/100,0)"),0.0)</f>
        <v>0</v>
      </c>
      <c r="O718" s="91">
        <f t="shared" si="2"/>
        <v>0</v>
      </c>
      <c r="P718" s="91">
        <f>IFERROR(__xludf.DUMMYFUNCTION("IFERROR(sum(filter('Генеральный баннер'!$O:$O, 'Генеральный баннер'!$B:$B=$A718,'Генеральный баннер'!$C:$C=$B718,'Генеральный баннер'!$I:$I=$C718)), 0) "),0.0)</f>
        <v>0</v>
      </c>
      <c r="Q718" s="91">
        <f>IFERROR(__xludf.DUMMYFUNCTION("IFERROR(sum(filter('Генеральный баннер'!$Q:$Q, 'Генеральный баннер'!$B:$B=$A718,'Генеральный баннер'!$C:$C=$B718,'Генеральный баннер'!$I:$I=$C718)), 0) "),0.0)</f>
        <v>0</v>
      </c>
      <c r="R718" s="91">
        <f>IFERROR(__xludf.DUMMYFUNCTION("IFERROR(AVERAGE(filter('Генеральный баннер'!$AA:$AA, 'Генеральный баннер'!$B:$B=$A718,'Генеральный баннер'!$C:$C=$B718,'Генеральный баннер'!$I:$I=$C718)), 0) "),0.0)</f>
        <v>0</v>
      </c>
      <c r="S718" s="91">
        <f>IFERROR(__xludf.DUMMYFUNCTION("IFERROR(SUM(filter('Генеральный баннер'!$AH:$AH, 'Генеральный баннер'!$B:$B=$A718,'Генеральный баннер'!$C:$C=$B718,'Генеральный баннер'!$I:$I=$C718)), 0) "),0.0)</f>
        <v>0</v>
      </c>
      <c r="T718" s="91" t="str">
        <f>IFERROR(__xludf.DUMMYFUNCTION("IFERROR(REGEXREPLACE(unique(filter('Генеральный баннер'!$A:$A, 'Генеральный баннер'!$B:$B=$A718,'Генеральный баннер'!$C:$C=$B718,'Генеральный баннер'!$I:$I=$C718)), ""\d+"", """"),"""")"),"")</f>
        <v/>
      </c>
      <c r="U718" s="91" t="str">
        <f>IFERROR(__xludf.DUMMYFUNCTION("IFERROR(unique(filter('Генеральный баннер'!$F:$F, 'Генеральный баннер'!$B:$B=$A718,'Генеральный баннер'!$C:$C=$B718,'Генеральный баннер'!$I:$I=$C718)),"""")"),"")</f>
        <v/>
      </c>
      <c r="V718" s="92" t="str">
        <f t="shared" si="3"/>
        <v/>
      </c>
      <c r="W718" s="93">
        <f>IFERROR(__xludf.DUMMYFUNCTION("IFERROR(SWITCH(lower(join("" "",U718:V718)),""а миллионник"", 62.5,""б миллионник"", 75,""а мск"", 50, ""б мск"", 62.5, ""a остальное"", 70, ""б остальное"", 80)/100,0)"),0.0)</f>
        <v>0</v>
      </c>
      <c r="X718" s="91">
        <f t="shared" si="4"/>
        <v>0</v>
      </c>
    </row>
    <row r="719">
      <c r="A719" s="12"/>
      <c r="B719" s="12"/>
      <c r="C719" s="12"/>
      <c r="D719" s="91">
        <f>IFERROR(__xludf.DUMMYFUNCTION("IFERROR(sum(filter('Основной эфир'!$AA:$AA, 'Основной эфир'!$B:$B=$A719,'Основной эфир'!$C:$C=$B719,'Основной эфир'!$I:$I=$C719)), 0) "),0.0)</f>
        <v>0</v>
      </c>
      <c r="E719" s="91">
        <f>IFERROR(__xludf.DUMMYFUNCTION("IFERROR(sum(filter('Основной эфир'!$AC:$AC, 'Основной эфир'!$B:$B=$A719,'Основной эфир'!$C:$C=$B719,'Основной эфир'!$I:$I=$C719)), 0) "),0.0)</f>
        <v>0</v>
      </c>
      <c r="F719" s="91">
        <f>IFERROR(__xludf.DUMMYFUNCTION("IFERROR(sum(filter('Основной эфир'!$O:$O, 'Основной эфир'!$B:$B=$A719,'Основной эфир'!$C:$C=$B719,'Основной эфир'!$I:$I=$C719)), 0) "),0.0)</f>
        <v>0</v>
      </c>
      <c r="G719" s="91">
        <f>IFERROR(__xludf.DUMMYFUNCTION("IFERROR(sum(filter('Основной эфир'!$Q:$Q, 'Основной эфир'!$B:$B=$A719,'Основной эфир'!$C:$C=$B719,'Основной эфир'!$I:$I=$C719)), 0) "),0.0)</f>
        <v>0</v>
      </c>
      <c r="H719" s="91">
        <f>IFERROR(__xludf.DUMMYFUNCTION("IFERROR(AVERAGE(filter('Основной эфир'!$Y:$Y, 'Основной эфир'!$B:$B=$A719,'Основной эфир'!$C:$C=$B719,'Основной эфир'!$I:$I=$C719)), 0) "),0.0)</f>
        <v>0</v>
      </c>
      <c r="I719" s="91">
        <f>IFERROR(__xludf.DUMMYFUNCTION("IFERROR(AVERAGE(filter('Основной эфир'!$AE:$AE, 'Основной эфир'!$B:$B=$A719,'Основной эфир'!$C:$C=$B719,'Основной эфир'!$I:$I=$C719)), 0) "),0.0)</f>
        <v>0</v>
      </c>
      <c r="J719" s="91">
        <f>IFERROR(__xludf.DUMMYFUNCTION("IFERROR(SUM(filter('Основной эфир'!$AL:$AL, 'Основной эфир'!$B:$B=$A719,'Основной эфир'!$C:$C=$B719,'Основной эфир'!$I:$I=$C719)), 0) "),0.0)</f>
        <v>0</v>
      </c>
      <c r="K719" s="91" t="str">
        <f>IFERROR(__xludf.DUMMYFUNCTION("IFERROR(REGEXREPLACE(unique(filter('Основной эфир'!$A:$A, 'Основной эфир'!$B:$B=$A719,'Основной эфир'!$C:$C=$B719,'Основной эфир'!$I:$I=$C719)), ""\d+"", """"),"""")"),"")</f>
        <v/>
      </c>
      <c r="L719" s="91" t="str">
        <f>IFERROR(__xludf.DUMMYFUNCTION("IFERROR(unique(filter('Основной эфир'!$F:$F, 'Основной эфир'!$B:$B=$A719,'Основной эфир'!$C:$C=$B719,'Основной эфир'!$I:$I=$C719)),"""")"),"")</f>
        <v/>
      </c>
      <c r="M719" s="92" t="str">
        <f t="shared" si="1"/>
        <v/>
      </c>
      <c r="N719" s="93">
        <f>IFERROR(__xludf.DUMMYFUNCTION("IFERROR(SWITCH(lower(join("" "",L719:M719)),""а миллионник"", 62.5,""б миллионник"", 75,""а мск"", 50, ""б мск"", 62.5, ""a остальное"", 70, ""б остальное"", 80)/100,0)"),0.0)</f>
        <v>0</v>
      </c>
      <c r="O719" s="91">
        <f t="shared" si="2"/>
        <v>0</v>
      </c>
      <c r="P719" s="91">
        <f>IFERROR(__xludf.DUMMYFUNCTION("IFERROR(sum(filter('Генеральный баннер'!$O:$O, 'Генеральный баннер'!$B:$B=$A719,'Генеральный баннер'!$C:$C=$B719,'Генеральный баннер'!$I:$I=$C719)), 0) "),0.0)</f>
        <v>0</v>
      </c>
      <c r="Q719" s="91">
        <f>IFERROR(__xludf.DUMMYFUNCTION("IFERROR(sum(filter('Генеральный баннер'!$Q:$Q, 'Генеральный баннер'!$B:$B=$A719,'Генеральный баннер'!$C:$C=$B719,'Генеральный баннер'!$I:$I=$C719)), 0) "),0.0)</f>
        <v>0</v>
      </c>
      <c r="R719" s="91">
        <f>IFERROR(__xludf.DUMMYFUNCTION("IFERROR(AVERAGE(filter('Генеральный баннер'!$AA:$AA, 'Генеральный баннер'!$B:$B=$A719,'Генеральный баннер'!$C:$C=$B719,'Генеральный баннер'!$I:$I=$C719)), 0) "),0.0)</f>
        <v>0</v>
      </c>
      <c r="S719" s="91">
        <f>IFERROR(__xludf.DUMMYFUNCTION("IFERROR(SUM(filter('Генеральный баннер'!$AH:$AH, 'Генеральный баннер'!$B:$B=$A719,'Генеральный баннер'!$C:$C=$B719,'Генеральный баннер'!$I:$I=$C719)), 0) "),0.0)</f>
        <v>0</v>
      </c>
      <c r="T719" s="91" t="str">
        <f>IFERROR(__xludf.DUMMYFUNCTION("IFERROR(REGEXREPLACE(unique(filter('Генеральный баннер'!$A:$A, 'Генеральный баннер'!$B:$B=$A719,'Генеральный баннер'!$C:$C=$B719,'Генеральный баннер'!$I:$I=$C719)), ""\d+"", """"),"""")"),"")</f>
        <v/>
      </c>
      <c r="U719" s="91" t="str">
        <f>IFERROR(__xludf.DUMMYFUNCTION("IFERROR(unique(filter('Генеральный баннер'!$F:$F, 'Генеральный баннер'!$B:$B=$A719,'Генеральный баннер'!$C:$C=$B719,'Генеральный баннер'!$I:$I=$C719)),"""")"),"")</f>
        <v/>
      </c>
      <c r="V719" s="92" t="str">
        <f t="shared" si="3"/>
        <v/>
      </c>
      <c r="W719" s="93">
        <f>IFERROR(__xludf.DUMMYFUNCTION("IFERROR(SWITCH(lower(join("" "",U719:V719)),""а миллионник"", 62.5,""б миллионник"", 75,""а мск"", 50, ""б мск"", 62.5, ""a остальное"", 70, ""б остальное"", 80)/100,0)"),0.0)</f>
        <v>0</v>
      </c>
      <c r="X719" s="91">
        <f t="shared" si="4"/>
        <v>0</v>
      </c>
    </row>
    <row r="720">
      <c r="A720" s="12"/>
      <c r="B720" s="12"/>
      <c r="C720" s="12"/>
      <c r="D720" s="91">
        <f>IFERROR(__xludf.DUMMYFUNCTION("IFERROR(sum(filter('Основной эфир'!$AA:$AA, 'Основной эфир'!$B:$B=$A720,'Основной эфир'!$C:$C=$B720,'Основной эфир'!$I:$I=$C720)), 0) "),0.0)</f>
        <v>0</v>
      </c>
      <c r="E720" s="91">
        <f>IFERROR(__xludf.DUMMYFUNCTION("IFERROR(sum(filter('Основной эфир'!$AC:$AC, 'Основной эфир'!$B:$B=$A720,'Основной эфир'!$C:$C=$B720,'Основной эфир'!$I:$I=$C720)), 0) "),0.0)</f>
        <v>0</v>
      </c>
      <c r="F720" s="91">
        <f>IFERROR(__xludf.DUMMYFUNCTION("IFERROR(sum(filter('Основной эфир'!$O:$O, 'Основной эфир'!$B:$B=$A720,'Основной эфир'!$C:$C=$B720,'Основной эфир'!$I:$I=$C720)), 0) "),0.0)</f>
        <v>0</v>
      </c>
      <c r="G720" s="91">
        <f>IFERROR(__xludf.DUMMYFUNCTION("IFERROR(sum(filter('Основной эфир'!$Q:$Q, 'Основной эфир'!$B:$B=$A720,'Основной эфир'!$C:$C=$B720,'Основной эфир'!$I:$I=$C720)), 0) "),0.0)</f>
        <v>0</v>
      </c>
      <c r="H720" s="91">
        <f>IFERROR(__xludf.DUMMYFUNCTION("IFERROR(AVERAGE(filter('Основной эфир'!$Y:$Y, 'Основной эфир'!$B:$B=$A720,'Основной эфир'!$C:$C=$B720,'Основной эфир'!$I:$I=$C720)), 0) "),0.0)</f>
        <v>0</v>
      </c>
      <c r="I720" s="91">
        <f>IFERROR(__xludf.DUMMYFUNCTION("IFERROR(AVERAGE(filter('Основной эфир'!$AE:$AE, 'Основной эфир'!$B:$B=$A720,'Основной эфир'!$C:$C=$B720,'Основной эфир'!$I:$I=$C720)), 0) "),0.0)</f>
        <v>0</v>
      </c>
      <c r="J720" s="91">
        <f>IFERROR(__xludf.DUMMYFUNCTION("IFERROR(SUM(filter('Основной эфир'!$AL:$AL, 'Основной эфир'!$B:$B=$A720,'Основной эфир'!$C:$C=$B720,'Основной эфир'!$I:$I=$C720)), 0) "),0.0)</f>
        <v>0</v>
      </c>
      <c r="K720" s="91" t="str">
        <f>IFERROR(__xludf.DUMMYFUNCTION("IFERROR(REGEXREPLACE(unique(filter('Основной эфир'!$A:$A, 'Основной эфир'!$B:$B=$A720,'Основной эфир'!$C:$C=$B720,'Основной эфир'!$I:$I=$C720)), ""\d+"", """"),"""")"),"")</f>
        <v/>
      </c>
      <c r="L720" s="91" t="str">
        <f>IFERROR(__xludf.DUMMYFUNCTION("IFERROR(unique(filter('Основной эфир'!$F:$F, 'Основной эфир'!$B:$B=$A720,'Основной эфир'!$C:$C=$B720,'Основной эфир'!$I:$I=$C720)),"""")"),"")</f>
        <v/>
      </c>
      <c r="M720" s="92" t="str">
        <f t="shared" si="1"/>
        <v/>
      </c>
      <c r="N720" s="93">
        <f>IFERROR(__xludf.DUMMYFUNCTION("IFERROR(SWITCH(lower(join("" "",L720:M720)),""а миллионник"", 62.5,""б миллионник"", 75,""а мск"", 50, ""б мск"", 62.5, ""a остальное"", 70, ""б остальное"", 80)/100,0)"),0.0)</f>
        <v>0</v>
      </c>
      <c r="O720" s="91">
        <f t="shared" si="2"/>
        <v>0</v>
      </c>
      <c r="P720" s="91">
        <f>IFERROR(__xludf.DUMMYFUNCTION("IFERROR(sum(filter('Генеральный баннер'!$O:$O, 'Генеральный баннер'!$B:$B=$A720,'Генеральный баннер'!$C:$C=$B720,'Генеральный баннер'!$I:$I=$C720)), 0) "),0.0)</f>
        <v>0</v>
      </c>
      <c r="Q720" s="91">
        <f>IFERROR(__xludf.DUMMYFUNCTION("IFERROR(sum(filter('Генеральный баннер'!$Q:$Q, 'Генеральный баннер'!$B:$B=$A720,'Генеральный баннер'!$C:$C=$B720,'Генеральный баннер'!$I:$I=$C720)), 0) "),0.0)</f>
        <v>0</v>
      </c>
      <c r="R720" s="91">
        <f>IFERROR(__xludf.DUMMYFUNCTION("IFERROR(AVERAGE(filter('Генеральный баннер'!$AA:$AA, 'Генеральный баннер'!$B:$B=$A720,'Генеральный баннер'!$C:$C=$B720,'Генеральный баннер'!$I:$I=$C720)), 0) "),0.0)</f>
        <v>0</v>
      </c>
      <c r="S720" s="91">
        <f>IFERROR(__xludf.DUMMYFUNCTION("IFERROR(SUM(filter('Генеральный баннер'!$AH:$AH, 'Генеральный баннер'!$B:$B=$A720,'Генеральный баннер'!$C:$C=$B720,'Генеральный баннер'!$I:$I=$C720)), 0) "),0.0)</f>
        <v>0</v>
      </c>
      <c r="T720" s="91" t="str">
        <f>IFERROR(__xludf.DUMMYFUNCTION("IFERROR(REGEXREPLACE(unique(filter('Генеральный баннер'!$A:$A, 'Генеральный баннер'!$B:$B=$A720,'Генеральный баннер'!$C:$C=$B720,'Генеральный баннер'!$I:$I=$C720)), ""\d+"", """"),"""")"),"")</f>
        <v/>
      </c>
      <c r="U720" s="91" t="str">
        <f>IFERROR(__xludf.DUMMYFUNCTION("IFERROR(unique(filter('Генеральный баннер'!$F:$F, 'Генеральный баннер'!$B:$B=$A720,'Генеральный баннер'!$C:$C=$B720,'Генеральный баннер'!$I:$I=$C720)),"""")"),"")</f>
        <v/>
      </c>
      <c r="V720" s="92" t="str">
        <f t="shared" si="3"/>
        <v/>
      </c>
      <c r="W720" s="93">
        <f>IFERROR(__xludf.DUMMYFUNCTION("IFERROR(SWITCH(lower(join("" "",U720:V720)),""а миллионник"", 62.5,""б миллионник"", 75,""а мск"", 50, ""б мск"", 62.5, ""a остальное"", 70, ""б остальное"", 80)/100,0)"),0.0)</f>
        <v>0</v>
      </c>
      <c r="X720" s="91">
        <f t="shared" si="4"/>
        <v>0</v>
      </c>
    </row>
    <row r="721">
      <c r="A721" s="12"/>
      <c r="B721" s="12"/>
      <c r="C721" s="12"/>
      <c r="D721" s="91">
        <f>IFERROR(__xludf.DUMMYFUNCTION("IFERROR(sum(filter('Основной эфир'!$AA:$AA, 'Основной эфир'!$B:$B=$A721,'Основной эфир'!$C:$C=$B721,'Основной эфир'!$I:$I=$C721)), 0) "),0.0)</f>
        <v>0</v>
      </c>
      <c r="E721" s="91">
        <f>IFERROR(__xludf.DUMMYFUNCTION("IFERROR(sum(filter('Основной эфир'!$AC:$AC, 'Основной эфир'!$B:$B=$A721,'Основной эфир'!$C:$C=$B721,'Основной эфир'!$I:$I=$C721)), 0) "),0.0)</f>
        <v>0</v>
      </c>
      <c r="F721" s="91">
        <f>IFERROR(__xludf.DUMMYFUNCTION("IFERROR(sum(filter('Основной эфир'!$O:$O, 'Основной эфир'!$B:$B=$A721,'Основной эфир'!$C:$C=$B721,'Основной эфир'!$I:$I=$C721)), 0) "),0.0)</f>
        <v>0</v>
      </c>
      <c r="G721" s="91">
        <f>IFERROR(__xludf.DUMMYFUNCTION("IFERROR(sum(filter('Основной эфир'!$Q:$Q, 'Основной эфир'!$B:$B=$A721,'Основной эфир'!$C:$C=$B721,'Основной эфир'!$I:$I=$C721)), 0) "),0.0)</f>
        <v>0</v>
      </c>
      <c r="H721" s="91">
        <f>IFERROR(__xludf.DUMMYFUNCTION("IFERROR(AVERAGE(filter('Основной эфир'!$Y:$Y, 'Основной эфир'!$B:$B=$A721,'Основной эфир'!$C:$C=$B721,'Основной эфир'!$I:$I=$C721)), 0) "),0.0)</f>
        <v>0</v>
      </c>
      <c r="I721" s="91">
        <f>IFERROR(__xludf.DUMMYFUNCTION("IFERROR(AVERAGE(filter('Основной эфир'!$AE:$AE, 'Основной эфир'!$B:$B=$A721,'Основной эфир'!$C:$C=$B721,'Основной эфир'!$I:$I=$C721)), 0) "),0.0)</f>
        <v>0</v>
      </c>
      <c r="J721" s="91">
        <f>IFERROR(__xludf.DUMMYFUNCTION("IFERROR(SUM(filter('Основной эфир'!$AL:$AL, 'Основной эфир'!$B:$B=$A721,'Основной эфир'!$C:$C=$B721,'Основной эфир'!$I:$I=$C721)), 0) "),0.0)</f>
        <v>0</v>
      </c>
      <c r="K721" s="91" t="str">
        <f>IFERROR(__xludf.DUMMYFUNCTION("IFERROR(REGEXREPLACE(unique(filter('Основной эфир'!$A:$A, 'Основной эфир'!$B:$B=$A721,'Основной эфир'!$C:$C=$B721,'Основной эфир'!$I:$I=$C721)), ""\d+"", """"),"""")"),"")</f>
        <v/>
      </c>
      <c r="L721" s="91" t="str">
        <f>IFERROR(__xludf.DUMMYFUNCTION("IFERROR(unique(filter('Основной эфир'!$F:$F, 'Основной эфир'!$B:$B=$A721,'Основной эфир'!$C:$C=$B721,'Основной эфир'!$I:$I=$C721)),"""")"),"")</f>
        <v/>
      </c>
      <c r="M721" s="92" t="str">
        <f t="shared" si="1"/>
        <v/>
      </c>
      <c r="N721" s="93">
        <f>IFERROR(__xludf.DUMMYFUNCTION("IFERROR(SWITCH(lower(join("" "",L721:M721)),""а миллионник"", 62.5,""б миллионник"", 75,""а мск"", 50, ""б мск"", 62.5, ""a остальное"", 70, ""б остальное"", 80)/100,0)"),0.0)</f>
        <v>0</v>
      </c>
      <c r="O721" s="91">
        <f t="shared" si="2"/>
        <v>0</v>
      </c>
      <c r="P721" s="91">
        <f>IFERROR(__xludf.DUMMYFUNCTION("IFERROR(sum(filter('Генеральный баннер'!$O:$O, 'Генеральный баннер'!$B:$B=$A721,'Генеральный баннер'!$C:$C=$B721,'Генеральный баннер'!$I:$I=$C721)), 0) "),0.0)</f>
        <v>0</v>
      </c>
      <c r="Q721" s="91">
        <f>IFERROR(__xludf.DUMMYFUNCTION("IFERROR(sum(filter('Генеральный баннер'!$Q:$Q, 'Генеральный баннер'!$B:$B=$A721,'Генеральный баннер'!$C:$C=$B721,'Генеральный баннер'!$I:$I=$C721)), 0) "),0.0)</f>
        <v>0</v>
      </c>
      <c r="R721" s="91">
        <f>IFERROR(__xludf.DUMMYFUNCTION("IFERROR(AVERAGE(filter('Генеральный баннер'!$AA:$AA, 'Генеральный баннер'!$B:$B=$A721,'Генеральный баннер'!$C:$C=$B721,'Генеральный баннер'!$I:$I=$C721)), 0) "),0.0)</f>
        <v>0</v>
      </c>
      <c r="S721" s="91">
        <f>IFERROR(__xludf.DUMMYFUNCTION("IFERROR(SUM(filter('Генеральный баннер'!$AH:$AH, 'Генеральный баннер'!$B:$B=$A721,'Генеральный баннер'!$C:$C=$B721,'Генеральный баннер'!$I:$I=$C721)), 0) "),0.0)</f>
        <v>0</v>
      </c>
      <c r="T721" s="91" t="str">
        <f>IFERROR(__xludf.DUMMYFUNCTION("IFERROR(REGEXREPLACE(unique(filter('Генеральный баннер'!$A:$A, 'Генеральный баннер'!$B:$B=$A721,'Генеральный баннер'!$C:$C=$B721,'Генеральный баннер'!$I:$I=$C721)), ""\d+"", """"),"""")"),"")</f>
        <v/>
      </c>
      <c r="U721" s="91" t="str">
        <f>IFERROR(__xludf.DUMMYFUNCTION("IFERROR(unique(filter('Генеральный баннер'!$F:$F, 'Генеральный баннер'!$B:$B=$A721,'Генеральный баннер'!$C:$C=$B721,'Генеральный баннер'!$I:$I=$C721)),"""")"),"")</f>
        <v/>
      </c>
      <c r="V721" s="92" t="str">
        <f t="shared" si="3"/>
        <v/>
      </c>
      <c r="W721" s="93">
        <f>IFERROR(__xludf.DUMMYFUNCTION("IFERROR(SWITCH(lower(join("" "",U721:V721)),""а миллионник"", 62.5,""б миллионник"", 75,""а мск"", 50, ""б мск"", 62.5, ""a остальное"", 70, ""б остальное"", 80)/100,0)"),0.0)</f>
        <v>0</v>
      </c>
      <c r="X721" s="91">
        <f t="shared" si="4"/>
        <v>0</v>
      </c>
    </row>
    <row r="722">
      <c r="A722" s="12"/>
      <c r="B722" s="12"/>
      <c r="C722" s="12"/>
      <c r="D722" s="91">
        <f>IFERROR(__xludf.DUMMYFUNCTION("IFERROR(sum(filter('Основной эфир'!$AA:$AA, 'Основной эфир'!$B:$B=$A722,'Основной эфир'!$C:$C=$B722,'Основной эфир'!$I:$I=$C722)), 0) "),0.0)</f>
        <v>0</v>
      </c>
      <c r="E722" s="91">
        <f>IFERROR(__xludf.DUMMYFUNCTION("IFERROR(sum(filter('Основной эфир'!$AC:$AC, 'Основной эфир'!$B:$B=$A722,'Основной эфир'!$C:$C=$B722,'Основной эфир'!$I:$I=$C722)), 0) "),0.0)</f>
        <v>0</v>
      </c>
      <c r="F722" s="91">
        <f>IFERROR(__xludf.DUMMYFUNCTION("IFERROR(sum(filter('Основной эфир'!$O:$O, 'Основной эфир'!$B:$B=$A722,'Основной эфир'!$C:$C=$B722,'Основной эфир'!$I:$I=$C722)), 0) "),0.0)</f>
        <v>0</v>
      </c>
      <c r="G722" s="91">
        <f>IFERROR(__xludf.DUMMYFUNCTION("IFERROR(sum(filter('Основной эфир'!$Q:$Q, 'Основной эфир'!$B:$B=$A722,'Основной эфир'!$C:$C=$B722,'Основной эфир'!$I:$I=$C722)), 0) "),0.0)</f>
        <v>0</v>
      </c>
      <c r="H722" s="91">
        <f>IFERROR(__xludf.DUMMYFUNCTION("IFERROR(AVERAGE(filter('Основной эфир'!$Y:$Y, 'Основной эфир'!$B:$B=$A722,'Основной эфир'!$C:$C=$B722,'Основной эфир'!$I:$I=$C722)), 0) "),0.0)</f>
        <v>0</v>
      </c>
      <c r="I722" s="91">
        <f>IFERROR(__xludf.DUMMYFUNCTION("IFERROR(AVERAGE(filter('Основной эфир'!$AE:$AE, 'Основной эфир'!$B:$B=$A722,'Основной эфир'!$C:$C=$B722,'Основной эфир'!$I:$I=$C722)), 0) "),0.0)</f>
        <v>0</v>
      </c>
      <c r="J722" s="91">
        <f>IFERROR(__xludf.DUMMYFUNCTION("IFERROR(SUM(filter('Основной эфир'!$AL:$AL, 'Основной эфир'!$B:$B=$A722,'Основной эфир'!$C:$C=$B722,'Основной эфир'!$I:$I=$C722)), 0) "),0.0)</f>
        <v>0</v>
      </c>
      <c r="K722" s="91" t="str">
        <f>IFERROR(__xludf.DUMMYFUNCTION("IFERROR(REGEXREPLACE(unique(filter('Основной эфир'!$A:$A, 'Основной эфир'!$B:$B=$A722,'Основной эфир'!$C:$C=$B722,'Основной эфир'!$I:$I=$C722)), ""\d+"", """"),"""")"),"")</f>
        <v/>
      </c>
      <c r="L722" s="91" t="str">
        <f>IFERROR(__xludf.DUMMYFUNCTION("IFERROR(unique(filter('Основной эфир'!$F:$F, 'Основной эфир'!$B:$B=$A722,'Основной эфир'!$C:$C=$B722,'Основной эфир'!$I:$I=$C722)),"""")"),"")</f>
        <v/>
      </c>
      <c r="M722" s="92" t="str">
        <f t="shared" si="1"/>
        <v/>
      </c>
      <c r="N722" s="93">
        <f>IFERROR(__xludf.DUMMYFUNCTION("IFERROR(SWITCH(lower(join("" "",L722:M722)),""а миллионник"", 62.5,""б миллионник"", 75,""а мск"", 50, ""б мск"", 62.5, ""a остальное"", 70, ""б остальное"", 80)/100,0)"),0.0)</f>
        <v>0</v>
      </c>
      <c r="O722" s="91">
        <f t="shared" si="2"/>
        <v>0</v>
      </c>
      <c r="P722" s="91">
        <f>IFERROR(__xludf.DUMMYFUNCTION("IFERROR(sum(filter('Генеральный баннер'!$O:$O, 'Генеральный баннер'!$B:$B=$A722,'Генеральный баннер'!$C:$C=$B722,'Генеральный баннер'!$I:$I=$C722)), 0) "),0.0)</f>
        <v>0</v>
      </c>
      <c r="Q722" s="91">
        <f>IFERROR(__xludf.DUMMYFUNCTION("IFERROR(sum(filter('Генеральный баннер'!$Q:$Q, 'Генеральный баннер'!$B:$B=$A722,'Генеральный баннер'!$C:$C=$B722,'Генеральный баннер'!$I:$I=$C722)), 0) "),0.0)</f>
        <v>0</v>
      </c>
      <c r="R722" s="91">
        <f>IFERROR(__xludf.DUMMYFUNCTION("IFERROR(AVERAGE(filter('Генеральный баннер'!$AA:$AA, 'Генеральный баннер'!$B:$B=$A722,'Генеральный баннер'!$C:$C=$B722,'Генеральный баннер'!$I:$I=$C722)), 0) "),0.0)</f>
        <v>0</v>
      </c>
      <c r="S722" s="91">
        <f>IFERROR(__xludf.DUMMYFUNCTION("IFERROR(SUM(filter('Генеральный баннер'!$AH:$AH, 'Генеральный баннер'!$B:$B=$A722,'Генеральный баннер'!$C:$C=$B722,'Генеральный баннер'!$I:$I=$C722)), 0) "),0.0)</f>
        <v>0</v>
      </c>
      <c r="T722" s="91" t="str">
        <f>IFERROR(__xludf.DUMMYFUNCTION("IFERROR(REGEXREPLACE(unique(filter('Генеральный баннер'!$A:$A, 'Генеральный баннер'!$B:$B=$A722,'Генеральный баннер'!$C:$C=$B722,'Генеральный баннер'!$I:$I=$C722)), ""\d+"", """"),"""")"),"")</f>
        <v/>
      </c>
      <c r="U722" s="91" t="str">
        <f>IFERROR(__xludf.DUMMYFUNCTION("IFERROR(unique(filter('Генеральный баннер'!$F:$F, 'Генеральный баннер'!$B:$B=$A722,'Генеральный баннер'!$C:$C=$B722,'Генеральный баннер'!$I:$I=$C722)),"""")"),"")</f>
        <v/>
      </c>
      <c r="V722" s="92" t="str">
        <f t="shared" si="3"/>
        <v/>
      </c>
      <c r="W722" s="93">
        <f>IFERROR(__xludf.DUMMYFUNCTION("IFERROR(SWITCH(lower(join("" "",U722:V722)),""а миллионник"", 62.5,""б миллионник"", 75,""а мск"", 50, ""б мск"", 62.5, ""a остальное"", 70, ""б остальное"", 80)/100,0)"),0.0)</f>
        <v>0</v>
      </c>
      <c r="X722" s="91">
        <f t="shared" si="4"/>
        <v>0</v>
      </c>
    </row>
    <row r="723">
      <c r="A723" s="12"/>
      <c r="B723" s="12"/>
      <c r="C723" s="12"/>
      <c r="D723" s="91">
        <f>IFERROR(__xludf.DUMMYFUNCTION("IFERROR(sum(filter('Основной эфир'!$AA:$AA, 'Основной эфир'!$B:$B=$A723,'Основной эфир'!$C:$C=$B723,'Основной эфир'!$I:$I=$C723)), 0) "),0.0)</f>
        <v>0</v>
      </c>
      <c r="E723" s="91">
        <f>IFERROR(__xludf.DUMMYFUNCTION("IFERROR(sum(filter('Основной эфир'!$AC:$AC, 'Основной эфир'!$B:$B=$A723,'Основной эфир'!$C:$C=$B723,'Основной эфир'!$I:$I=$C723)), 0) "),0.0)</f>
        <v>0</v>
      </c>
      <c r="F723" s="91">
        <f>IFERROR(__xludf.DUMMYFUNCTION("IFERROR(sum(filter('Основной эфир'!$O:$O, 'Основной эфир'!$B:$B=$A723,'Основной эфир'!$C:$C=$B723,'Основной эфир'!$I:$I=$C723)), 0) "),0.0)</f>
        <v>0</v>
      </c>
      <c r="G723" s="91">
        <f>IFERROR(__xludf.DUMMYFUNCTION("IFERROR(sum(filter('Основной эфир'!$Q:$Q, 'Основной эфир'!$B:$B=$A723,'Основной эфир'!$C:$C=$B723,'Основной эфир'!$I:$I=$C723)), 0) "),0.0)</f>
        <v>0</v>
      </c>
      <c r="H723" s="91">
        <f>IFERROR(__xludf.DUMMYFUNCTION("IFERROR(AVERAGE(filter('Основной эфир'!$Y:$Y, 'Основной эфир'!$B:$B=$A723,'Основной эфир'!$C:$C=$B723,'Основной эфир'!$I:$I=$C723)), 0) "),0.0)</f>
        <v>0</v>
      </c>
      <c r="I723" s="91">
        <f>IFERROR(__xludf.DUMMYFUNCTION("IFERROR(AVERAGE(filter('Основной эфир'!$AE:$AE, 'Основной эфир'!$B:$B=$A723,'Основной эфир'!$C:$C=$B723,'Основной эфир'!$I:$I=$C723)), 0) "),0.0)</f>
        <v>0</v>
      </c>
      <c r="J723" s="91">
        <f>IFERROR(__xludf.DUMMYFUNCTION("IFERROR(SUM(filter('Основной эфир'!$AL:$AL, 'Основной эфир'!$B:$B=$A723,'Основной эфир'!$C:$C=$B723,'Основной эфир'!$I:$I=$C723)), 0) "),0.0)</f>
        <v>0</v>
      </c>
      <c r="K723" s="91" t="str">
        <f>IFERROR(__xludf.DUMMYFUNCTION("IFERROR(REGEXREPLACE(unique(filter('Основной эфир'!$A:$A, 'Основной эфир'!$B:$B=$A723,'Основной эфир'!$C:$C=$B723,'Основной эфир'!$I:$I=$C723)), ""\d+"", """"),"""")"),"")</f>
        <v/>
      </c>
      <c r="L723" s="91" t="str">
        <f>IFERROR(__xludf.DUMMYFUNCTION("IFERROR(unique(filter('Основной эфир'!$F:$F, 'Основной эфир'!$B:$B=$A723,'Основной эфир'!$C:$C=$B723,'Основной эфир'!$I:$I=$C723)),"""")"),"")</f>
        <v/>
      </c>
      <c r="M723" s="92" t="str">
        <f t="shared" si="1"/>
        <v/>
      </c>
      <c r="N723" s="93">
        <f>IFERROR(__xludf.DUMMYFUNCTION("IFERROR(SWITCH(lower(join("" "",L723:M723)),""а миллионник"", 62.5,""б миллионник"", 75,""а мск"", 50, ""б мск"", 62.5, ""a остальное"", 70, ""б остальное"", 80)/100,0)"),0.0)</f>
        <v>0</v>
      </c>
      <c r="O723" s="91">
        <f t="shared" si="2"/>
        <v>0</v>
      </c>
      <c r="P723" s="91">
        <f>IFERROR(__xludf.DUMMYFUNCTION("IFERROR(sum(filter('Генеральный баннер'!$O:$O, 'Генеральный баннер'!$B:$B=$A723,'Генеральный баннер'!$C:$C=$B723,'Генеральный баннер'!$I:$I=$C723)), 0) "),0.0)</f>
        <v>0</v>
      </c>
      <c r="Q723" s="91">
        <f>IFERROR(__xludf.DUMMYFUNCTION("IFERROR(sum(filter('Генеральный баннер'!$Q:$Q, 'Генеральный баннер'!$B:$B=$A723,'Генеральный баннер'!$C:$C=$B723,'Генеральный баннер'!$I:$I=$C723)), 0) "),0.0)</f>
        <v>0</v>
      </c>
      <c r="R723" s="91">
        <f>IFERROR(__xludf.DUMMYFUNCTION("IFERROR(AVERAGE(filter('Генеральный баннер'!$AA:$AA, 'Генеральный баннер'!$B:$B=$A723,'Генеральный баннер'!$C:$C=$B723,'Генеральный баннер'!$I:$I=$C723)), 0) "),0.0)</f>
        <v>0</v>
      </c>
      <c r="S723" s="91">
        <f>IFERROR(__xludf.DUMMYFUNCTION("IFERROR(SUM(filter('Генеральный баннер'!$AH:$AH, 'Генеральный баннер'!$B:$B=$A723,'Генеральный баннер'!$C:$C=$B723,'Генеральный баннер'!$I:$I=$C723)), 0) "),0.0)</f>
        <v>0</v>
      </c>
      <c r="T723" s="91" t="str">
        <f>IFERROR(__xludf.DUMMYFUNCTION("IFERROR(REGEXREPLACE(unique(filter('Генеральный баннер'!$A:$A, 'Генеральный баннер'!$B:$B=$A723,'Генеральный баннер'!$C:$C=$B723,'Генеральный баннер'!$I:$I=$C723)), ""\d+"", """"),"""")"),"")</f>
        <v/>
      </c>
      <c r="U723" s="91" t="str">
        <f>IFERROR(__xludf.DUMMYFUNCTION("IFERROR(unique(filter('Генеральный баннер'!$F:$F, 'Генеральный баннер'!$B:$B=$A723,'Генеральный баннер'!$C:$C=$B723,'Генеральный баннер'!$I:$I=$C723)),"""")"),"")</f>
        <v/>
      </c>
      <c r="V723" s="92" t="str">
        <f t="shared" si="3"/>
        <v/>
      </c>
      <c r="W723" s="93">
        <f>IFERROR(__xludf.DUMMYFUNCTION("IFERROR(SWITCH(lower(join("" "",U723:V723)),""а миллионник"", 62.5,""б миллионник"", 75,""а мск"", 50, ""б мск"", 62.5, ""a остальное"", 70, ""б остальное"", 80)/100,0)"),0.0)</f>
        <v>0</v>
      </c>
      <c r="X723" s="91">
        <f t="shared" si="4"/>
        <v>0</v>
      </c>
    </row>
    <row r="724">
      <c r="A724" s="12"/>
      <c r="B724" s="12"/>
      <c r="C724" s="12"/>
      <c r="D724" s="91">
        <f>IFERROR(__xludf.DUMMYFUNCTION("IFERROR(sum(filter('Основной эфир'!$AA:$AA, 'Основной эфир'!$B:$B=$A724,'Основной эфир'!$C:$C=$B724,'Основной эфир'!$I:$I=$C724)), 0) "),0.0)</f>
        <v>0</v>
      </c>
      <c r="E724" s="91">
        <f>IFERROR(__xludf.DUMMYFUNCTION("IFERROR(sum(filter('Основной эфир'!$AC:$AC, 'Основной эфир'!$B:$B=$A724,'Основной эфир'!$C:$C=$B724,'Основной эфир'!$I:$I=$C724)), 0) "),0.0)</f>
        <v>0</v>
      </c>
      <c r="F724" s="91">
        <f>IFERROR(__xludf.DUMMYFUNCTION("IFERROR(sum(filter('Основной эфир'!$O:$O, 'Основной эфир'!$B:$B=$A724,'Основной эфир'!$C:$C=$B724,'Основной эфир'!$I:$I=$C724)), 0) "),0.0)</f>
        <v>0</v>
      </c>
      <c r="G724" s="91">
        <f>IFERROR(__xludf.DUMMYFUNCTION("IFERROR(sum(filter('Основной эфир'!$Q:$Q, 'Основной эфир'!$B:$B=$A724,'Основной эфир'!$C:$C=$B724,'Основной эфир'!$I:$I=$C724)), 0) "),0.0)</f>
        <v>0</v>
      </c>
      <c r="H724" s="91">
        <f>IFERROR(__xludf.DUMMYFUNCTION("IFERROR(AVERAGE(filter('Основной эфир'!$Y:$Y, 'Основной эфир'!$B:$B=$A724,'Основной эфир'!$C:$C=$B724,'Основной эфир'!$I:$I=$C724)), 0) "),0.0)</f>
        <v>0</v>
      </c>
      <c r="I724" s="91">
        <f>IFERROR(__xludf.DUMMYFUNCTION("IFERROR(AVERAGE(filter('Основной эфир'!$AE:$AE, 'Основной эфир'!$B:$B=$A724,'Основной эфир'!$C:$C=$B724,'Основной эфир'!$I:$I=$C724)), 0) "),0.0)</f>
        <v>0</v>
      </c>
      <c r="J724" s="91">
        <f>IFERROR(__xludf.DUMMYFUNCTION("IFERROR(SUM(filter('Основной эфир'!$AL:$AL, 'Основной эфир'!$B:$B=$A724,'Основной эфир'!$C:$C=$B724,'Основной эфир'!$I:$I=$C724)), 0) "),0.0)</f>
        <v>0</v>
      </c>
      <c r="K724" s="91" t="str">
        <f>IFERROR(__xludf.DUMMYFUNCTION("IFERROR(REGEXREPLACE(unique(filter('Основной эфир'!$A:$A, 'Основной эфир'!$B:$B=$A724,'Основной эфир'!$C:$C=$B724,'Основной эфир'!$I:$I=$C724)), ""\d+"", """"),"""")"),"")</f>
        <v/>
      </c>
      <c r="L724" s="91" t="str">
        <f>IFERROR(__xludf.DUMMYFUNCTION("IFERROR(unique(filter('Основной эфир'!$F:$F, 'Основной эфир'!$B:$B=$A724,'Основной эфир'!$C:$C=$B724,'Основной эфир'!$I:$I=$C724)),"""")"),"")</f>
        <v/>
      </c>
      <c r="M724" s="92" t="str">
        <f t="shared" si="1"/>
        <v/>
      </c>
      <c r="N724" s="93">
        <f>IFERROR(__xludf.DUMMYFUNCTION("IFERROR(SWITCH(lower(join("" "",L724:M724)),""а миллионник"", 62.5,""б миллионник"", 75,""а мск"", 50, ""б мск"", 62.5, ""a остальное"", 70, ""б остальное"", 80)/100,0)"),0.0)</f>
        <v>0</v>
      </c>
      <c r="O724" s="91">
        <f t="shared" si="2"/>
        <v>0</v>
      </c>
      <c r="P724" s="91">
        <f>IFERROR(__xludf.DUMMYFUNCTION("IFERROR(sum(filter('Генеральный баннер'!$O:$O, 'Генеральный баннер'!$B:$B=$A724,'Генеральный баннер'!$C:$C=$B724,'Генеральный баннер'!$I:$I=$C724)), 0) "),0.0)</f>
        <v>0</v>
      </c>
      <c r="Q724" s="91">
        <f>IFERROR(__xludf.DUMMYFUNCTION("IFERROR(sum(filter('Генеральный баннер'!$Q:$Q, 'Генеральный баннер'!$B:$B=$A724,'Генеральный баннер'!$C:$C=$B724,'Генеральный баннер'!$I:$I=$C724)), 0) "),0.0)</f>
        <v>0</v>
      </c>
      <c r="R724" s="91">
        <f>IFERROR(__xludf.DUMMYFUNCTION("IFERROR(AVERAGE(filter('Генеральный баннер'!$AA:$AA, 'Генеральный баннер'!$B:$B=$A724,'Генеральный баннер'!$C:$C=$B724,'Генеральный баннер'!$I:$I=$C724)), 0) "),0.0)</f>
        <v>0</v>
      </c>
      <c r="S724" s="91">
        <f>IFERROR(__xludf.DUMMYFUNCTION("IFERROR(SUM(filter('Генеральный баннер'!$AH:$AH, 'Генеральный баннер'!$B:$B=$A724,'Генеральный баннер'!$C:$C=$B724,'Генеральный баннер'!$I:$I=$C724)), 0) "),0.0)</f>
        <v>0</v>
      </c>
      <c r="T724" s="91" t="str">
        <f>IFERROR(__xludf.DUMMYFUNCTION("IFERROR(REGEXREPLACE(unique(filter('Генеральный баннер'!$A:$A, 'Генеральный баннер'!$B:$B=$A724,'Генеральный баннер'!$C:$C=$B724,'Генеральный баннер'!$I:$I=$C724)), ""\d+"", """"),"""")"),"")</f>
        <v/>
      </c>
      <c r="U724" s="91" t="str">
        <f>IFERROR(__xludf.DUMMYFUNCTION("IFERROR(unique(filter('Генеральный баннер'!$F:$F, 'Генеральный баннер'!$B:$B=$A724,'Генеральный баннер'!$C:$C=$B724,'Генеральный баннер'!$I:$I=$C724)),"""")"),"")</f>
        <v/>
      </c>
      <c r="V724" s="92" t="str">
        <f t="shared" si="3"/>
        <v/>
      </c>
      <c r="W724" s="93">
        <f>IFERROR(__xludf.DUMMYFUNCTION("IFERROR(SWITCH(lower(join("" "",U724:V724)),""а миллионник"", 62.5,""б миллионник"", 75,""а мск"", 50, ""б мск"", 62.5, ""a остальное"", 70, ""б остальное"", 80)/100,0)"),0.0)</f>
        <v>0</v>
      </c>
      <c r="X724" s="91">
        <f t="shared" si="4"/>
        <v>0</v>
      </c>
    </row>
    <row r="725">
      <c r="A725" s="12"/>
      <c r="B725" s="12"/>
      <c r="C725" s="12"/>
      <c r="D725" s="91">
        <f>IFERROR(__xludf.DUMMYFUNCTION("IFERROR(sum(filter('Основной эфир'!$AA:$AA, 'Основной эфир'!$B:$B=$A725,'Основной эфир'!$C:$C=$B725,'Основной эфир'!$I:$I=$C725)), 0) "),0.0)</f>
        <v>0</v>
      </c>
      <c r="E725" s="91">
        <f>IFERROR(__xludf.DUMMYFUNCTION("IFERROR(sum(filter('Основной эфир'!$AC:$AC, 'Основной эфир'!$B:$B=$A725,'Основной эфир'!$C:$C=$B725,'Основной эфир'!$I:$I=$C725)), 0) "),0.0)</f>
        <v>0</v>
      </c>
      <c r="F725" s="91">
        <f>IFERROR(__xludf.DUMMYFUNCTION("IFERROR(sum(filter('Основной эфир'!$O:$O, 'Основной эфир'!$B:$B=$A725,'Основной эфир'!$C:$C=$B725,'Основной эфир'!$I:$I=$C725)), 0) "),0.0)</f>
        <v>0</v>
      </c>
      <c r="G725" s="91">
        <f>IFERROR(__xludf.DUMMYFUNCTION("IFERROR(sum(filter('Основной эфир'!$Q:$Q, 'Основной эфир'!$B:$B=$A725,'Основной эфир'!$C:$C=$B725,'Основной эфир'!$I:$I=$C725)), 0) "),0.0)</f>
        <v>0</v>
      </c>
      <c r="H725" s="91">
        <f>IFERROR(__xludf.DUMMYFUNCTION("IFERROR(AVERAGE(filter('Основной эфир'!$Y:$Y, 'Основной эфир'!$B:$B=$A725,'Основной эфир'!$C:$C=$B725,'Основной эфир'!$I:$I=$C725)), 0) "),0.0)</f>
        <v>0</v>
      </c>
      <c r="I725" s="91">
        <f>IFERROR(__xludf.DUMMYFUNCTION("IFERROR(AVERAGE(filter('Основной эфир'!$AE:$AE, 'Основной эфир'!$B:$B=$A725,'Основной эфир'!$C:$C=$B725,'Основной эфир'!$I:$I=$C725)), 0) "),0.0)</f>
        <v>0</v>
      </c>
      <c r="J725" s="91">
        <f>IFERROR(__xludf.DUMMYFUNCTION("IFERROR(SUM(filter('Основной эфир'!$AL:$AL, 'Основной эфир'!$B:$B=$A725,'Основной эфир'!$C:$C=$B725,'Основной эфир'!$I:$I=$C725)), 0) "),0.0)</f>
        <v>0</v>
      </c>
      <c r="K725" s="91" t="str">
        <f>IFERROR(__xludf.DUMMYFUNCTION("IFERROR(REGEXREPLACE(unique(filter('Основной эфир'!$A:$A, 'Основной эфир'!$B:$B=$A725,'Основной эфир'!$C:$C=$B725,'Основной эфир'!$I:$I=$C725)), ""\d+"", """"),"""")"),"")</f>
        <v/>
      </c>
      <c r="L725" s="91" t="str">
        <f>IFERROR(__xludf.DUMMYFUNCTION("IFERROR(unique(filter('Основной эфир'!$F:$F, 'Основной эфир'!$B:$B=$A725,'Основной эфир'!$C:$C=$B725,'Основной эфир'!$I:$I=$C725)),"""")"),"")</f>
        <v/>
      </c>
      <c r="M725" s="92" t="str">
        <f t="shared" si="1"/>
        <v/>
      </c>
      <c r="N725" s="93">
        <f>IFERROR(__xludf.DUMMYFUNCTION("IFERROR(SWITCH(lower(join("" "",L725:M725)),""а миллионник"", 62.5,""б миллионник"", 75,""а мск"", 50, ""б мск"", 62.5, ""a остальное"", 70, ""б остальное"", 80)/100,0)"),0.0)</f>
        <v>0</v>
      </c>
      <c r="O725" s="91">
        <f t="shared" si="2"/>
        <v>0</v>
      </c>
      <c r="P725" s="91">
        <f>IFERROR(__xludf.DUMMYFUNCTION("IFERROR(sum(filter('Генеральный баннер'!$O:$O, 'Генеральный баннер'!$B:$B=$A725,'Генеральный баннер'!$C:$C=$B725,'Генеральный баннер'!$I:$I=$C725)), 0) "),0.0)</f>
        <v>0</v>
      </c>
      <c r="Q725" s="91">
        <f>IFERROR(__xludf.DUMMYFUNCTION("IFERROR(sum(filter('Генеральный баннер'!$Q:$Q, 'Генеральный баннер'!$B:$B=$A725,'Генеральный баннер'!$C:$C=$B725,'Генеральный баннер'!$I:$I=$C725)), 0) "),0.0)</f>
        <v>0</v>
      </c>
      <c r="R725" s="91">
        <f>IFERROR(__xludf.DUMMYFUNCTION("IFERROR(AVERAGE(filter('Генеральный баннер'!$AA:$AA, 'Генеральный баннер'!$B:$B=$A725,'Генеральный баннер'!$C:$C=$B725,'Генеральный баннер'!$I:$I=$C725)), 0) "),0.0)</f>
        <v>0</v>
      </c>
      <c r="S725" s="91">
        <f>IFERROR(__xludf.DUMMYFUNCTION("IFERROR(SUM(filter('Генеральный баннер'!$AH:$AH, 'Генеральный баннер'!$B:$B=$A725,'Генеральный баннер'!$C:$C=$B725,'Генеральный баннер'!$I:$I=$C725)), 0) "),0.0)</f>
        <v>0</v>
      </c>
      <c r="T725" s="91" t="str">
        <f>IFERROR(__xludf.DUMMYFUNCTION("IFERROR(REGEXREPLACE(unique(filter('Генеральный баннер'!$A:$A, 'Генеральный баннер'!$B:$B=$A725,'Генеральный баннер'!$C:$C=$B725,'Генеральный баннер'!$I:$I=$C725)), ""\d+"", """"),"""")"),"")</f>
        <v/>
      </c>
      <c r="U725" s="91" t="str">
        <f>IFERROR(__xludf.DUMMYFUNCTION("IFERROR(unique(filter('Генеральный баннер'!$F:$F, 'Генеральный баннер'!$B:$B=$A725,'Генеральный баннер'!$C:$C=$B725,'Генеральный баннер'!$I:$I=$C725)),"""")"),"")</f>
        <v/>
      </c>
      <c r="V725" s="92" t="str">
        <f t="shared" si="3"/>
        <v/>
      </c>
      <c r="W725" s="93">
        <f>IFERROR(__xludf.DUMMYFUNCTION("IFERROR(SWITCH(lower(join("" "",U725:V725)),""а миллионник"", 62.5,""б миллионник"", 75,""а мск"", 50, ""б мск"", 62.5, ""a остальное"", 70, ""б остальное"", 80)/100,0)"),0.0)</f>
        <v>0</v>
      </c>
      <c r="X725" s="91">
        <f t="shared" si="4"/>
        <v>0</v>
      </c>
    </row>
    <row r="726">
      <c r="A726" s="12"/>
      <c r="B726" s="12"/>
      <c r="C726" s="12"/>
      <c r="D726" s="91">
        <f>IFERROR(__xludf.DUMMYFUNCTION("IFERROR(sum(filter('Основной эфир'!$AA:$AA, 'Основной эфир'!$B:$B=$A726,'Основной эфир'!$C:$C=$B726,'Основной эфир'!$I:$I=$C726)), 0) "),0.0)</f>
        <v>0</v>
      </c>
      <c r="E726" s="91">
        <f>IFERROR(__xludf.DUMMYFUNCTION("IFERROR(sum(filter('Основной эфир'!$AC:$AC, 'Основной эфир'!$B:$B=$A726,'Основной эфир'!$C:$C=$B726,'Основной эфир'!$I:$I=$C726)), 0) "),0.0)</f>
        <v>0</v>
      </c>
      <c r="F726" s="91">
        <f>IFERROR(__xludf.DUMMYFUNCTION("IFERROR(sum(filter('Основной эфир'!$O:$O, 'Основной эфир'!$B:$B=$A726,'Основной эфир'!$C:$C=$B726,'Основной эфир'!$I:$I=$C726)), 0) "),0.0)</f>
        <v>0</v>
      </c>
      <c r="G726" s="91">
        <f>IFERROR(__xludf.DUMMYFUNCTION("IFERROR(sum(filter('Основной эфир'!$Q:$Q, 'Основной эфир'!$B:$B=$A726,'Основной эфир'!$C:$C=$B726,'Основной эфир'!$I:$I=$C726)), 0) "),0.0)</f>
        <v>0</v>
      </c>
      <c r="H726" s="91">
        <f>IFERROR(__xludf.DUMMYFUNCTION("IFERROR(AVERAGE(filter('Основной эфир'!$Y:$Y, 'Основной эфир'!$B:$B=$A726,'Основной эфир'!$C:$C=$B726,'Основной эфир'!$I:$I=$C726)), 0) "),0.0)</f>
        <v>0</v>
      </c>
      <c r="I726" s="91">
        <f>IFERROR(__xludf.DUMMYFUNCTION("IFERROR(AVERAGE(filter('Основной эфир'!$AE:$AE, 'Основной эфир'!$B:$B=$A726,'Основной эфир'!$C:$C=$B726,'Основной эфир'!$I:$I=$C726)), 0) "),0.0)</f>
        <v>0</v>
      </c>
      <c r="J726" s="91">
        <f>IFERROR(__xludf.DUMMYFUNCTION("IFERROR(SUM(filter('Основной эфир'!$AL:$AL, 'Основной эфир'!$B:$B=$A726,'Основной эфир'!$C:$C=$B726,'Основной эфир'!$I:$I=$C726)), 0) "),0.0)</f>
        <v>0</v>
      </c>
      <c r="K726" s="91" t="str">
        <f>IFERROR(__xludf.DUMMYFUNCTION("IFERROR(REGEXREPLACE(unique(filter('Основной эфир'!$A:$A, 'Основной эфир'!$B:$B=$A726,'Основной эфир'!$C:$C=$B726,'Основной эфир'!$I:$I=$C726)), ""\d+"", """"),"""")"),"")</f>
        <v/>
      </c>
      <c r="L726" s="91" t="str">
        <f>IFERROR(__xludf.DUMMYFUNCTION("IFERROR(unique(filter('Основной эфир'!$F:$F, 'Основной эфир'!$B:$B=$A726,'Основной эфир'!$C:$C=$B726,'Основной эфир'!$I:$I=$C726)),"""")"),"")</f>
        <v/>
      </c>
      <c r="M726" s="92" t="str">
        <f t="shared" si="1"/>
        <v/>
      </c>
      <c r="N726" s="93">
        <f>IFERROR(__xludf.DUMMYFUNCTION("IFERROR(SWITCH(lower(join("" "",L726:M726)),""а миллионник"", 62.5,""б миллионник"", 75,""а мск"", 50, ""б мск"", 62.5, ""a остальное"", 70, ""б остальное"", 80)/100,0)"),0.0)</f>
        <v>0</v>
      </c>
      <c r="O726" s="91">
        <f t="shared" si="2"/>
        <v>0</v>
      </c>
      <c r="P726" s="91">
        <f>IFERROR(__xludf.DUMMYFUNCTION("IFERROR(sum(filter('Генеральный баннер'!$O:$O, 'Генеральный баннер'!$B:$B=$A726,'Генеральный баннер'!$C:$C=$B726,'Генеральный баннер'!$I:$I=$C726)), 0) "),0.0)</f>
        <v>0</v>
      </c>
      <c r="Q726" s="91">
        <f>IFERROR(__xludf.DUMMYFUNCTION("IFERROR(sum(filter('Генеральный баннер'!$Q:$Q, 'Генеральный баннер'!$B:$B=$A726,'Генеральный баннер'!$C:$C=$B726,'Генеральный баннер'!$I:$I=$C726)), 0) "),0.0)</f>
        <v>0</v>
      </c>
      <c r="R726" s="91">
        <f>IFERROR(__xludf.DUMMYFUNCTION("IFERROR(AVERAGE(filter('Генеральный баннер'!$AA:$AA, 'Генеральный баннер'!$B:$B=$A726,'Генеральный баннер'!$C:$C=$B726,'Генеральный баннер'!$I:$I=$C726)), 0) "),0.0)</f>
        <v>0</v>
      </c>
      <c r="S726" s="91">
        <f>IFERROR(__xludf.DUMMYFUNCTION("IFERROR(SUM(filter('Генеральный баннер'!$AH:$AH, 'Генеральный баннер'!$B:$B=$A726,'Генеральный баннер'!$C:$C=$B726,'Генеральный баннер'!$I:$I=$C726)), 0) "),0.0)</f>
        <v>0</v>
      </c>
      <c r="T726" s="91" t="str">
        <f>IFERROR(__xludf.DUMMYFUNCTION("IFERROR(REGEXREPLACE(unique(filter('Генеральный баннер'!$A:$A, 'Генеральный баннер'!$B:$B=$A726,'Генеральный баннер'!$C:$C=$B726,'Генеральный баннер'!$I:$I=$C726)), ""\d+"", """"),"""")"),"")</f>
        <v/>
      </c>
      <c r="U726" s="91" t="str">
        <f>IFERROR(__xludf.DUMMYFUNCTION("IFERROR(unique(filter('Генеральный баннер'!$F:$F, 'Генеральный баннер'!$B:$B=$A726,'Генеральный баннер'!$C:$C=$B726,'Генеральный баннер'!$I:$I=$C726)),"""")"),"")</f>
        <v/>
      </c>
      <c r="V726" s="92" t="str">
        <f t="shared" si="3"/>
        <v/>
      </c>
      <c r="W726" s="93">
        <f>IFERROR(__xludf.DUMMYFUNCTION("IFERROR(SWITCH(lower(join("" "",U726:V726)),""а миллионник"", 62.5,""б миллионник"", 75,""а мск"", 50, ""б мск"", 62.5, ""a остальное"", 70, ""б остальное"", 80)/100,0)"),0.0)</f>
        <v>0</v>
      </c>
      <c r="X726" s="91">
        <f t="shared" si="4"/>
        <v>0</v>
      </c>
    </row>
    <row r="727">
      <c r="A727" s="12"/>
      <c r="B727" s="12"/>
      <c r="C727" s="12"/>
      <c r="D727" s="91">
        <f>IFERROR(__xludf.DUMMYFUNCTION("IFERROR(sum(filter('Основной эфир'!$AA:$AA, 'Основной эфир'!$B:$B=$A727,'Основной эфир'!$C:$C=$B727,'Основной эфир'!$I:$I=$C727)), 0) "),0.0)</f>
        <v>0</v>
      </c>
      <c r="E727" s="91">
        <f>IFERROR(__xludf.DUMMYFUNCTION("IFERROR(sum(filter('Основной эфир'!$AC:$AC, 'Основной эфир'!$B:$B=$A727,'Основной эфир'!$C:$C=$B727,'Основной эфир'!$I:$I=$C727)), 0) "),0.0)</f>
        <v>0</v>
      </c>
      <c r="F727" s="91">
        <f>IFERROR(__xludf.DUMMYFUNCTION("IFERROR(sum(filter('Основной эфир'!$O:$O, 'Основной эфир'!$B:$B=$A727,'Основной эфир'!$C:$C=$B727,'Основной эфир'!$I:$I=$C727)), 0) "),0.0)</f>
        <v>0</v>
      </c>
      <c r="G727" s="91">
        <f>IFERROR(__xludf.DUMMYFUNCTION("IFERROR(sum(filter('Основной эфир'!$Q:$Q, 'Основной эфир'!$B:$B=$A727,'Основной эфир'!$C:$C=$B727,'Основной эфир'!$I:$I=$C727)), 0) "),0.0)</f>
        <v>0</v>
      </c>
      <c r="H727" s="91">
        <f>IFERROR(__xludf.DUMMYFUNCTION("IFERROR(AVERAGE(filter('Основной эфир'!$Y:$Y, 'Основной эфир'!$B:$B=$A727,'Основной эфир'!$C:$C=$B727,'Основной эфир'!$I:$I=$C727)), 0) "),0.0)</f>
        <v>0</v>
      </c>
      <c r="I727" s="91">
        <f>IFERROR(__xludf.DUMMYFUNCTION("IFERROR(AVERAGE(filter('Основной эфир'!$AE:$AE, 'Основной эфир'!$B:$B=$A727,'Основной эфир'!$C:$C=$B727,'Основной эфир'!$I:$I=$C727)), 0) "),0.0)</f>
        <v>0</v>
      </c>
      <c r="J727" s="91">
        <f>IFERROR(__xludf.DUMMYFUNCTION("IFERROR(SUM(filter('Основной эфир'!$AL:$AL, 'Основной эфир'!$B:$B=$A727,'Основной эфир'!$C:$C=$B727,'Основной эфир'!$I:$I=$C727)), 0) "),0.0)</f>
        <v>0</v>
      </c>
      <c r="K727" s="91" t="str">
        <f>IFERROR(__xludf.DUMMYFUNCTION("IFERROR(REGEXREPLACE(unique(filter('Основной эфир'!$A:$A, 'Основной эфир'!$B:$B=$A727,'Основной эфир'!$C:$C=$B727,'Основной эфир'!$I:$I=$C727)), ""\d+"", """"),"""")"),"")</f>
        <v/>
      </c>
      <c r="L727" s="91" t="str">
        <f>IFERROR(__xludf.DUMMYFUNCTION("IFERROR(unique(filter('Основной эфир'!$F:$F, 'Основной эфир'!$B:$B=$A727,'Основной эфир'!$C:$C=$B727,'Основной эфир'!$I:$I=$C727)),"""")"),"")</f>
        <v/>
      </c>
      <c r="M727" s="92" t="str">
        <f t="shared" si="1"/>
        <v/>
      </c>
      <c r="N727" s="93">
        <f>IFERROR(__xludf.DUMMYFUNCTION("IFERROR(SWITCH(lower(join("" "",L727:M727)),""а миллионник"", 62.5,""б миллионник"", 75,""а мск"", 50, ""б мск"", 62.5, ""a остальное"", 70, ""б остальное"", 80)/100,0)"),0.0)</f>
        <v>0</v>
      </c>
      <c r="O727" s="91">
        <f t="shared" si="2"/>
        <v>0</v>
      </c>
      <c r="P727" s="91">
        <f>IFERROR(__xludf.DUMMYFUNCTION("IFERROR(sum(filter('Генеральный баннер'!$O:$O, 'Генеральный баннер'!$B:$B=$A727,'Генеральный баннер'!$C:$C=$B727,'Генеральный баннер'!$I:$I=$C727)), 0) "),0.0)</f>
        <v>0</v>
      </c>
      <c r="Q727" s="91">
        <f>IFERROR(__xludf.DUMMYFUNCTION("IFERROR(sum(filter('Генеральный баннер'!$Q:$Q, 'Генеральный баннер'!$B:$B=$A727,'Генеральный баннер'!$C:$C=$B727,'Генеральный баннер'!$I:$I=$C727)), 0) "),0.0)</f>
        <v>0</v>
      </c>
      <c r="R727" s="91">
        <f>IFERROR(__xludf.DUMMYFUNCTION("IFERROR(AVERAGE(filter('Генеральный баннер'!$AA:$AA, 'Генеральный баннер'!$B:$B=$A727,'Генеральный баннер'!$C:$C=$B727,'Генеральный баннер'!$I:$I=$C727)), 0) "),0.0)</f>
        <v>0</v>
      </c>
      <c r="S727" s="91">
        <f>IFERROR(__xludf.DUMMYFUNCTION("IFERROR(SUM(filter('Генеральный баннер'!$AH:$AH, 'Генеральный баннер'!$B:$B=$A727,'Генеральный баннер'!$C:$C=$B727,'Генеральный баннер'!$I:$I=$C727)), 0) "),0.0)</f>
        <v>0</v>
      </c>
      <c r="T727" s="91" t="str">
        <f>IFERROR(__xludf.DUMMYFUNCTION("IFERROR(REGEXREPLACE(unique(filter('Генеральный баннер'!$A:$A, 'Генеральный баннер'!$B:$B=$A727,'Генеральный баннер'!$C:$C=$B727,'Генеральный баннер'!$I:$I=$C727)), ""\d+"", """"),"""")"),"")</f>
        <v/>
      </c>
      <c r="U727" s="91" t="str">
        <f>IFERROR(__xludf.DUMMYFUNCTION("IFERROR(unique(filter('Генеральный баннер'!$F:$F, 'Генеральный баннер'!$B:$B=$A727,'Генеральный баннер'!$C:$C=$B727,'Генеральный баннер'!$I:$I=$C727)),"""")"),"")</f>
        <v/>
      </c>
      <c r="V727" s="92" t="str">
        <f t="shared" si="3"/>
        <v/>
      </c>
      <c r="W727" s="93">
        <f>IFERROR(__xludf.DUMMYFUNCTION("IFERROR(SWITCH(lower(join("" "",U727:V727)),""а миллионник"", 62.5,""б миллионник"", 75,""а мск"", 50, ""б мск"", 62.5, ""a остальное"", 70, ""б остальное"", 80)/100,0)"),0.0)</f>
        <v>0</v>
      </c>
      <c r="X727" s="91">
        <f t="shared" si="4"/>
        <v>0</v>
      </c>
    </row>
    <row r="728">
      <c r="A728" s="12"/>
      <c r="B728" s="12"/>
      <c r="C728" s="12"/>
      <c r="D728" s="91">
        <f>IFERROR(__xludf.DUMMYFUNCTION("IFERROR(sum(filter('Основной эфир'!$AA:$AA, 'Основной эфир'!$B:$B=$A728,'Основной эфир'!$C:$C=$B728,'Основной эфир'!$I:$I=$C728)), 0) "),0.0)</f>
        <v>0</v>
      </c>
      <c r="E728" s="91">
        <f>IFERROR(__xludf.DUMMYFUNCTION("IFERROR(sum(filter('Основной эфир'!$AC:$AC, 'Основной эфир'!$B:$B=$A728,'Основной эфир'!$C:$C=$B728,'Основной эфир'!$I:$I=$C728)), 0) "),0.0)</f>
        <v>0</v>
      </c>
      <c r="F728" s="91">
        <f>IFERROR(__xludf.DUMMYFUNCTION("IFERROR(sum(filter('Основной эфир'!$O:$O, 'Основной эфир'!$B:$B=$A728,'Основной эфир'!$C:$C=$B728,'Основной эфир'!$I:$I=$C728)), 0) "),0.0)</f>
        <v>0</v>
      </c>
      <c r="G728" s="91">
        <f>IFERROR(__xludf.DUMMYFUNCTION("IFERROR(sum(filter('Основной эфир'!$Q:$Q, 'Основной эфир'!$B:$B=$A728,'Основной эфир'!$C:$C=$B728,'Основной эфир'!$I:$I=$C728)), 0) "),0.0)</f>
        <v>0</v>
      </c>
      <c r="H728" s="91">
        <f>IFERROR(__xludf.DUMMYFUNCTION("IFERROR(AVERAGE(filter('Основной эфир'!$Y:$Y, 'Основной эфир'!$B:$B=$A728,'Основной эфир'!$C:$C=$B728,'Основной эфир'!$I:$I=$C728)), 0) "),0.0)</f>
        <v>0</v>
      </c>
      <c r="I728" s="91">
        <f>IFERROR(__xludf.DUMMYFUNCTION("IFERROR(AVERAGE(filter('Основной эфир'!$AE:$AE, 'Основной эфир'!$B:$B=$A728,'Основной эфир'!$C:$C=$B728,'Основной эфир'!$I:$I=$C728)), 0) "),0.0)</f>
        <v>0</v>
      </c>
      <c r="J728" s="91">
        <f>IFERROR(__xludf.DUMMYFUNCTION("IFERROR(SUM(filter('Основной эфир'!$AL:$AL, 'Основной эфир'!$B:$B=$A728,'Основной эфир'!$C:$C=$B728,'Основной эфир'!$I:$I=$C728)), 0) "),0.0)</f>
        <v>0</v>
      </c>
      <c r="K728" s="91" t="str">
        <f>IFERROR(__xludf.DUMMYFUNCTION("IFERROR(REGEXREPLACE(unique(filter('Основной эфир'!$A:$A, 'Основной эфир'!$B:$B=$A728,'Основной эфир'!$C:$C=$B728,'Основной эфир'!$I:$I=$C728)), ""\d+"", """"),"""")"),"")</f>
        <v/>
      </c>
      <c r="L728" s="91" t="str">
        <f>IFERROR(__xludf.DUMMYFUNCTION("IFERROR(unique(filter('Основной эфир'!$F:$F, 'Основной эфир'!$B:$B=$A728,'Основной эфир'!$C:$C=$B728,'Основной эфир'!$I:$I=$C728)),"""")"),"")</f>
        <v/>
      </c>
      <c r="M728" s="92" t="str">
        <f t="shared" si="1"/>
        <v/>
      </c>
      <c r="N728" s="93">
        <f>IFERROR(__xludf.DUMMYFUNCTION("IFERROR(SWITCH(lower(join("" "",L728:M728)),""а миллионник"", 62.5,""б миллионник"", 75,""а мск"", 50, ""б мск"", 62.5, ""a остальное"", 70, ""б остальное"", 80)/100,0)"),0.0)</f>
        <v>0</v>
      </c>
      <c r="O728" s="91">
        <f t="shared" si="2"/>
        <v>0</v>
      </c>
      <c r="P728" s="91">
        <f>IFERROR(__xludf.DUMMYFUNCTION("IFERROR(sum(filter('Генеральный баннер'!$O:$O, 'Генеральный баннер'!$B:$B=$A728,'Генеральный баннер'!$C:$C=$B728,'Генеральный баннер'!$I:$I=$C728)), 0) "),0.0)</f>
        <v>0</v>
      </c>
      <c r="Q728" s="91">
        <f>IFERROR(__xludf.DUMMYFUNCTION("IFERROR(sum(filter('Генеральный баннер'!$Q:$Q, 'Генеральный баннер'!$B:$B=$A728,'Генеральный баннер'!$C:$C=$B728,'Генеральный баннер'!$I:$I=$C728)), 0) "),0.0)</f>
        <v>0</v>
      </c>
      <c r="R728" s="91">
        <f>IFERROR(__xludf.DUMMYFUNCTION("IFERROR(AVERAGE(filter('Генеральный баннер'!$AA:$AA, 'Генеральный баннер'!$B:$B=$A728,'Генеральный баннер'!$C:$C=$B728,'Генеральный баннер'!$I:$I=$C728)), 0) "),0.0)</f>
        <v>0</v>
      </c>
      <c r="S728" s="91">
        <f>IFERROR(__xludf.DUMMYFUNCTION("IFERROR(SUM(filter('Генеральный баннер'!$AH:$AH, 'Генеральный баннер'!$B:$B=$A728,'Генеральный баннер'!$C:$C=$B728,'Генеральный баннер'!$I:$I=$C728)), 0) "),0.0)</f>
        <v>0</v>
      </c>
      <c r="T728" s="91" t="str">
        <f>IFERROR(__xludf.DUMMYFUNCTION("IFERROR(REGEXREPLACE(unique(filter('Генеральный баннер'!$A:$A, 'Генеральный баннер'!$B:$B=$A728,'Генеральный баннер'!$C:$C=$B728,'Генеральный баннер'!$I:$I=$C728)), ""\d+"", """"),"""")"),"")</f>
        <v/>
      </c>
      <c r="U728" s="91" t="str">
        <f>IFERROR(__xludf.DUMMYFUNCTION("IFERROR(unique(filter('Генеральный баннер'!$F:$F, 'Генеральный баннер'!$B:$B=$A728,'Генеральный баннер'!$C:$C=$B728,'Генеральный баннер'!$I:$I=$C728)),"""")"),"")</f>
        <v/>
      </c>
      <c r="V728" s="92" t="str">
        <f t="shared" si="3"/>
        <v/>
      </c>
      <c r="W728" s="93">
        <f>IFERROR(__xludf.DUMMYFUNCTION("IFERROR(SWITCH(lower(join("" "",U728:V728)),""а миллионник"", 62.5,""б миллионник"", 75,""а мск"", 50, ""б мск"", 62.5, ""a остальное"", 70, ""б остальное"", 80)/100,0)"),0.0)</f>
        <v>0</v>
      </c>
      <c r="X728" s="91">
        <f t="shared" si="4"/>
        <v>0</v>
      </c>
    </row>
    <row r="729">
      <c r="A729" s="12"/>
      <c r="B729" s="12"/>
      <c r="C729" s="12"/>
      <c r="D729" s="91">
        <f>IFERROR(__xludf.DUMMYFUNCTION("IFERROR(sum(filter('Основной эфир'!$AA:$AA, 'Основной эфир'!$B:$B=$A729,'Основной эфир'!$C:$C=$B729,'Основной эфир'!$I:$I=$C729)), 0) "),0.0)</f>
        <v>0</v>
      </c>
      <c r="E729" s="91">
        <f>IFERROR(__xludf.DUMMYFUNCTION("IFERROR(sum(filter('Основной эфир'!$AC:$AC, 'Основной эфир'!$B:$B=$A729,'Основной эфир'!$C:$C=$B729,'Основной эфир'!$I:$I=$C729)), 0) "),0.0)</f>
        <v>0</v>
      </c>
      <c r="F729" s="91">
        <f>IFERROR(__xludf.DUMMYFUNCTION("IFERROR(sum(filter('Основной эфир'!$O:$O, 'Основной эфир'!$B:$B=$A729,'Основной эфир'!$C:$C=$B729,'Основной эфир'!$I:$I=$C729)), 0) "),0.0)</f>
        <v>0</v>
      </c>
      <c r="G729" s="91">
        <f>IFERROR(__xludf.DUMMYFUNCTION("IFERROR(sum(filter('Основной эфир'!$Q:$Q, 'Основной эфир'!$B:$B=$A729,'Основной эфир'!$C:$C=$B729,'Основной эфир'!$I:$I=$C729)), 0) "),0.0)</f>
        <v>0</v>
      </c>
      <c r="H729" s="91">
        <f>IFERROR(__xludf.DUMMYFUNCTION("IFERROR(AVERAGE(filter('Основной эфир'!$Y:$Y, 'Основной эфир'!$B:$B=$A729,'Основной эфир'!$C:$C=$B729,'Основной эфир'!$I:$I=$C729)), 0) "),0.0)</f>
        <v>0</v>
      </c>
      <c r="I729" s="91">
        <f>IFERROR(__xludf.DUMMYFUNCTION("IFERROR(AVERAGE(filter('Основной эфир'!$AE:$AE, 'Основной эфир'!$B:$B=$A729,'Основной эфир'!$C:$C=$B729,'Основной эфир'!$I:$I=$C729)), 0) "),0.0)</f>
        <v>0</v>
      </c>
      <c r="J729" s="91">
        <f>IFERROR(__xludf.DUMMYFUNCTION("IFERROR(SUM(filter('Основной эфир'!$AL:$AL, 'Основной эфир'!$B:$B=$A729,'Основной эфир'!$C:$C=$B729,'Основной эфир'!$I:$I=$C729)), 0) "),0.0)</f>
        <v>0</v>
      </c>
      <c r="K729" s="91" t="str">
        <f>IFERROR(__xludf.DUMMYFUNCTION("IFERROR(REGEXREPLACE(unique(filter('Основной эфир'!$A:$A, 'Основной эфир'!$B:$B=$A729,'Основной эфир'!$C:$C=$B729,'Основной эфир'!$I:$I=$C729)), ""\d+"", """"),"""")"),"")</f>
        <v/>
      </c>
      <c r="L729" s="91" t="str">
        <f>IFERROR(__xludf.DUMMYFUNCTION("IFERROR(unique(filter('Основной эфир'!$F:$F, 'Основной эфир'!$B:$B=$A729,'Основной эфир'!$C:$C=$B729,'Основной эфир'!$I:$I=$C729)),"""")"),"")</f>
        <v/>
      </c>
      <c r="M729" s="92" t="str">
        <f t="shared" si="1"/>
        <v/>
      </c>
      <c r="N729" s="93">
        <f>IFERROR(__xludf.DUMMYFUNCTION("IFERROR(SWITCH(lower(join("" "",L729:M729)),""а миллионник"", 62.5,""б миллионник"", 75,""а мск"", 50, ""б мск"", 62.5, ""a остальное"", 70, ""б остальное"", 80)/100,0)"),0.0)</f>
        <v>0</v>
      </c>
      <c r="O729" s="91">
        <f t="shared" si="2"/>
        <v>0</v>
      </c>
      <c r="P729" s="91">
        <f>IFERROR(__xludf.DUMMYFUNCTION("IFERROR(sum(filter('Генеральный баннер'!$O:$O, 'Генеральный баннер'!$B:$B=$A729,'Генеральный баннер'!$C:$C=$B729,'Генеральный баннер'!$I:$I=$C729)), 0) "),0.0)</f>
        <v>0</v>
      </c>
      <c r="Q729" s="91">
        <f>IFERROR(__xludf.DUMMYFUNCTION("IFERROR(sum(filter('Генеральный баннер'!$Q:$Q, 'Генеральный баннер'!$B:$B=$A729,'Генеральный баннер'!$C:$C=$B729,'Генеральный баннер'!$I:$I=$C729)), 0) "),0.0)</f>
        <v>0</v>
      </c>
      <c r="R729" s="91">
        <f>IFERROR(__xludf.DUMMYFUNCTION("IFERROR(AVERAGE(filter('Генеральный баннер'!$AA:$AA, 'Генеральный баннер'!$B:$B=$A729,'Генеральный баннер'!$C:$C=$B729,'Генеральный баннер'!$I:$I=$C729)), 0) "),0.0)</f>
        <v>0</v>
      </c>
      <c r="S729" s="91">
        <f>IFERROR(__xludf.DUMMYFUNCTION("IFERROR(SUM(filter('Генеральный баннер'!$AH:$AH, 'Генеральный баннер'!$B:$B=$A729,'Генеральный баннер'!$C:$C=$B729,'Генеральный баннер'!$I:$I=$C729)), 0) "),0.0)</f>
        <v>0</v>
      </c>
      <c r="T729" s="91" t="str">
        <f>IFERROR(__xludf.DUMMYFUNCTION("IFERROR(REGEXREPLACE(unique(filter('Генеральный баннер'!$A:$A, 'Генеральный баннер'!$B:$B=$A729,'Генеральный баннер'!$C:$C=$B729,'Генеральный баннер'!$I:$I=$C729)), ""\d+"", """"),"""")"),"")</f>
        <v/>
      </c>
      <c r="U729" s="91" t="str">
        <f>IFERROR(__xludf.DUMMYFUNCTION("IFERROR(unique(filter('Генеральный баннер'!$F:$F, 'Генеральный баннер'!$B:$B=$A729,'Генеральный баннер'!$C:$C=$B729,'Генеральный баннер'!$I:$I=$C729)),"""")"),"")</f>
        <v/>
      </c>
      <c r="V729" s="92" t="str">
        <f t="shared" si="3"/>
        <v/>
      </c>
      <c r="W729" s="93">
        <f>IFERROR(__xludf.DUMMYFUNCTION("IFERROR(SWITCH(lower(join("" "",U729:V729)),""а миллионник"", 62.5,""б миллионник"", 75,""а мск"", 50, ""б мск"", 62.5, ""a остальное"", 70, ""б остальное"", 80)/100,0)"),0.0)</f>
        <v>0</v>
      </c>
      <c r="X729" s="91">
        <f t="shared" si="4"/>
        <v>0</v>
      </c>
    </row>
    <row r="730">
      <c r="A730" s="12"/>
      <c r="B730" s="12"/>
      <c r="C730" s="12"/>
      <c r="D730" s="91">
        <f>IFERROR(__xludf.DUMMYFUNCTION("IFERROR(sum(filter('Основной эфир'!$AA:$AA, 'Основной эфир'!$B:$B=$A730,'Основной эфир'!$C:$C=$B730,'Основной эфир'!$I:$I=$C730)), 0) "),0.0)</f>
        <v>0</v>
      </c>
      <c r="E730" s="91">
        <f>IFERROR(__xludf.DUMMYFUNCTION("IFERROR(sum(filter('Основной эфир'!$AC:$AC, 'Основной эфир'!$B:$B=$A730,'Основной эфир'!$C:$C=$B730,'Основной эфир'!$I:$I=$C730)), 0) "),0.0)</f>
        <v>0</v>
      </c>
      <c r="F730" s="91">
        <f>IFERROR(__xludf.DUMMYFUNCTION("IFERROR(sum(filter('Основной эфир'!$O:$O, 'Основной эфир'!$B:$B=$A730,'Основной эфир'!$C:$C=$B730,'Основной эфир'!$I:$I=$C730)), 0) "),0.0)</f>
        <v>0</v>
      </c>
      <c r="G730" s="91">
        <f>IFERROR(__xludf.DUMMYFUNCTION("IFERROR(sum(filter('Основной эфир'!$Q:$Q, 'Основной эфир'!$B:$B=$A730,'Основной эфир'!$C:$C=$B730,'Основной эфир'!$I:$I=$C730)), 0) "),0.0)</f>
        <v>0</v>
      </c>
      <c r="H730" s="91">
        <f>IFERROR(__xludf.DUMMYFUNCTION("IFERROR(AVERAGE(filter('Основной эфир'!$Y:$Y, 'Основной эфир'!$B:$B=$A730,'Основной эфир'!$C:$C=$B730,'Основной эфир'!$I:$I=$C730)), 0) "),0.0)</f>
        <v>0</v>
      </c>
      <c r="I730" s="91">
        <f>IFERROR(__xludf.DUMMYFUNCTION("IFERROR(AVERAGE(filter('Основной эфир'!$AE:$AE, 'Основной эфир'!$B:$B=$A730,'Основной эфир'!$C:$C=$B730,'Основной эфир'!$I:$I=$C730)), 0) "),0.0)</f>
        <v>0</v>
      </c>
      <c r="J730" s="91">
        <f>IFERROR(__xludf.DUMMYFUNCTION("IFERROR(SUM(filter('Основной эфир'!$AL:$AL, 'Основной эфир'!$B:$B=$A730,'Основной эфир'!$C:$C=$B730,'Основной эфир'!$I:$I=$C730)), 0) "),0.0)</f>
        <v>0</v>
      </c>
      <c r="K730" s="91" t="str">
        <f>IFERROR(__xludf.DUMMYFUNCTION("IFERROR(REGEXREPLACE(unique(filter('Основной эфир'!$A:$A, 'Основной эфир'!$B:$B=$A730,'Основной эфир'!$C:$C=$B730,'Основной эфир'!$I:$I=$C730)), ""\d+"", """"),"""")"),"")</f>
        <v/>
      </c>
      <c r="L730" s="91" t="str">
        <f>IFERROR(__xludf.DUMMYFUNCTION("IFERROR(unique(filter('Основной эфир'!$F:$F, 'Основной эфир'!$B:$B=$A730,'Основной эфир'!$C:$C=$B730,'Основной эфир'!$I:$I=$C730)),"""")"),"")</f>
        <v/>
      </c>
      <c r="M730" s="92" t="str">
        <f t="shared" si="1"/>
        <v/>
      </c>
      <c r="N730" s="93">
        <f>IFERROR(__xludf.DUMMYFUNCTION("IFERROR(SWITCH(lower(join("" "",L730:M730)),""а миллионник"", 62.5,""б миллионник"", 75,""а мск"", 50, ""б мск"", 62.5, ""a остальное"", 70, ""б остальное"", 80)/100,0)"),0.0)</f>
        <v>0</v>
      </c>
      <c r="O730" s="91">
        <f t="shared" si="2"/>
        <v>0</v>
      </c>
      <c r="P730" s="91">
        <f>IFERROR(__xludf.DUMMYFUNCTION("IFERROR(sum(filter('Генеральный баннер'!$O:$O, 'Генеральный баннер'!$B:$B=$A730,'Генеральный баннер'!$C:$C=$B730,'Генеральный баннер'!$I:$I=$C730)), 0) "),0.0)</f>
        <v>0</v>
      </c>
      <c r="Q730" s="91">
        <f>IFERROR(__xludf.DUMMYFUNCTION("IFERROR(sum(filter('Генеральный баннер'!$Q:$Q, 'Генеральный баннер'!$B:$B=$A730,'Генеральный баннер'!$C:$C=$B730,'Генеральный баннер'!$I:$I=$C730)), 0) "),0.0)</f>
        <v>0</v>
      </c>
      <c r="R730" s="91">
        <f>IFERROR(__xludf.DUMMYFUNCTION("IFERROR(AVERAGE(filter('Генеральный баннер'!$AA:$AA, 'Генеральный баннер'!$B:$B=$A730,'Генеральный баннер'!$C:$C=$B730,'Генеральный баннер'!$I:$I=$C730)), 0) "),0.0)</f>
        <v>0</v>
      </c>
      <c r="S730" s="91">
        <f>IFERROR(__xludf.DUMMYFUNCTION("IFERROR(SUM(filter('Генеральный баннер'!$AH:$AH, 'Генеральный баннер'!$B:$B=$A730,'Генеральный баннер'!$C:$C=$B730,'Генеральный баннер'!$I:$I=$C730)), 0) "),0.0)</f>
        <v>0</v>
      </c>
      <c r="T730" s="91" t="str">
        <f>IFERROR(__xludf.DUMMYFUNCTION("IFERROR(REGEXREPLACE(unique(filter('Генеральный баннер'!$A:$A, 'Генеральный баннер'!$B:$B=$A730,'Генеральный баннер'!$C:$C=$B730,'Генеральный баннер'!$I:$I=$C730)), ""\d+"", """"),"""")"),"")</f>
        <v/>
      </c>
      <c r="U730" s="91" t="str">
        <f>IFERROR(__xludf.DUMMYFUNCTION("IFERROR(unique(filter('Генеральный баннер'!$F:$F, 'Генеральный баннер'!$B:$B=$A730,'Генеральный баннер'!$C:$C=$B730,'Генеральный баннер'!$I:$I=$C730)),"""")"),"")</f>
        <v/>
      </c>
      <c r="V730" s="92" t="str">
        <f t="shared" si="3"/>
        <v/>
      </c>
      <c r="W730" s="93">
        <f>IFERROR(__xludf.DUMMYFUNCTION("IFERROR(SWITCH(lower(join("" "",U730:V730)),""а миллионник"", 62.5,""б миллионник"", 75,""а мск"", 50, ""б мск"", 62.5, ""a остальное"", 70, ""б остальное"", 80)/100,0)"),0.0)</f>
        <v>0</v>
      </c>
      <c r="X730" s="91">
        <f t="shared" si="4"/>
        <v>0</v>
      </c>
    </row>
    <row r="731">
      <c r="A731" s="12"/>
      <c r="B731" s="12"/>
      <c r="C731" s="12"/>
      <c r="D731" s="91">
        <f>IFERROR(__xludf.DUMMYFUNCTION("IFERROR(sum(filter('Основной эфир'!$AA:$AA, 'Основной эфир'!$B:$B=$A731,'Основной эфир'!$C:$C=$B731,'Основной эфир'!$I:$I=$C731)), 0) "),0.0)</f>
        <v>0</v>
      </c>
      <c r="E731" s="91">
        <f>IFERROR(__xludf.DUMMYFUNCTION("IFERROR(sum(filter('Основной эфир'!$AC:$AC, 'Основной эфир'!$B:$B=$A731,'Основной эфир'!$C:$C=$B731,'Основной эфир'!$I:$I=$C731)), 0) "),0.0)</f>
        <v>0</v>
      </c>
      <c r="F731" s="91">
        <f>IFERROR(__xludf.DUMMYFUNCTION("IFERROR(sum(filter('Основной эфир'!$O:$O, 'Основной эфир'!$B:$B=$A731,'Основной эфир'!$C:$C=$B731,'Основной эфир'!$I:$I=$C731)), 0) "),0.0)</f>
        <v>0</v>
      </c>
      <c r="G731" s="91">
        <f>IFERROR(__xludf.DUMMYFUNCTION("IFERROR(sum(filter('Основной эфир'!$Q:$Q, 'Основной эфир'!$B:$B=$A731,'Основной эфир'!$C:$C=$B731,'Основной эфир'!$I:$I=$C731)), 0) "),0.0)</f>
        <v>0</v>
      </c>
      <c r="H731" s="91">
        <f>IFERROR(__xludf.DUMMYFUNCTION("IFERROR(AVERAGE(filter('Основной эфир'!$Y:$Y, 'Основной эфир'!$B:$B=$A731,'Основной эфир'!$C:$C=$B731,'Основной эфир'!$I:$I=$C731)), 0) "),0.0)</f>
        <v>0</v>
      </c>
      <c r="I731" s="91">
        <f>IFERROR(__xludf.DUMMYFUNCTION("IFERROR(AVERAGE(filter('Основной эфир'!$AE:$AE, 'Основной эфир'!$B:$B=$A731,'Основной эфир'!$C:$C=$B731,'Основной эфир'!$I:$I=$C731)), 0) "),0.0)</f>
        <v>0</v>
      </c>
      <c r="J731" s="91">
        <f>IFERROR(__xludf.DUMMYFUNCTION("IFERROR(SUM(filter('Основной эфир'!$AL:$AL, 'Основной эфир'!$B:$B=$A731,'Основной эфир'!$C:$C=$B731,'Основной эфир'!$I:$I=$C731)), 0) "),0.0)</f>
        <v>0</v>
      </c>
      <c r="K731" s="91" t="str">
        <f>IFERROR(__xludf.DUMMYFUNCTION("IFERROR(REGEXREPLACE(unique(filter('Основной эфир'!$A:$A, 'Основной эфир'!$B:$B=$A731,'Основной эфир'!$C:$C=$B731,'Основной эфир'!$I:$I=$C731)), ""\d+"", """"),"""")"),"")</f>
        <v/>
      </c>
      <c r="L731" s="91" t="str">
        <f>IFERROR(__xludf.DUMMYFUNCTION("IFERROR(unique(filter('Основной эфир'!$F:$F, 'Основной эфир'!$B:$B=$A731,'Основной эфир'!$C:$C=$B731,'Основной эфир'!$I:$I=$C731)),"""")"),"")</f>
        <v/>
      </c>
      <c r="M731" s="92" t="str">
        <f t="shared" si="1"/>
        <v/>
      </c>
      <c r="N731" s="93">
        <f>IFERROR(__xludf.DUMMYFUNCTION("IFERROR(SWITCH(lower(join("" "",L731:M731)),""а миллионник"", 62.5,""б миллионник"", 75,""а мск"", 50, ""б мск"", 62.5, ""a остальное"", 70, ""б остальное"", 80)/100,0)"),0.0)</f>
        <v>0</v>
      </c>
      <c r="O731" s="91">
        <f t="shared" si="2"/>
        <v>0</v>
      </c>
      <c r="P731" s="91">
        <f>IFERROR(__xludf.DUMMYFUNCTION("IFERROR(sum(filter('Генеральный баннер'!$O:$O, 'Генеральный баннер'!$B:$B=$A731,'Генеральный баннер'!$C:$C=$B731,'Генеральный баннер'!$I:$I=$C731)), 0) "),0.0)</f>
        <v>0</v>
      </c>
      <c r="Q731" s="91">
        <f>IFERROR(__xludf.DUMMYFUNCTION("IFERROR(sum(filter('Генеральный баннер'!$Q:$Q, 'Генеральный баннер'!$B:$B=$A731,'Генеральный баннер'!$C:$C=$B731,'Генеральный баннер'!$I:$I=$C731)), 0) "),0.0)</f>
        <v>0</v>
      </c>
      <c r="R731" s="91">
        <f>IFERROR(__xludf.DUMMYFUNCTION("IFERROR(AVERAGE(filter('Генеральный баннер'!$AA:$AA, 'Генеральный баннер'!$B:$B=$A731,'Генеральный баннер'!$C:$C=$B731,'Генеральный баннер'!$I:$I=$C731)), 0) "),0.0)</f>
        <v>0</v>
      </c>
      <c r="S731" s="91">
        <f>IFERROR(__xludf.DUMMYFUNCTION("IFERROR(SUM(filter('Генеральный баннер'!$AH:$AH, 'Генеральный баннер'!$B:$B=$A731,'Генеральный баннер'!$C:$C=$B731,'Генеральный баннер'!$I:$I=$C731)), 0) "),0.0)</f>
        <v>0</v>
      </c>
      <c r="T731" s="91" t="str">
        <f>IFERROR(__xludf.DUMMYFUNCTION("IFERROR(REGEXREPLACE(unique(filter('Генеральный баннер'!$A:$A, 'Генеральный баннер'!$B:$B=$A731,'Генеральный баннер'!$C:$C=$B731,'Генеральный баннер'!$I:$I=$C731)), ""\d+"", """"),"""")"),"")</f>
        <v/>
      </c>
      <c r="U731" s="91" t="str">
        <f>IFERROR(__xludf.DUMMYFUNCTION("IFERROR(unique(filter('Генеральный баннер'!$F:$F, 'Генеральный баннер'!$B:$B=$A731,'Генеральный баннер'!$C:$C=$B731,'Генеральный баннер'!$I:$I=$C731)),"""")"),"")</f>
        <v/>
      </c>
      <c r="V731" s="92" t="str">
        <f t="shared" si="3"/>
        <v/>
      </c>
      <c r="W731" s="93">
        <f>IFERROR(__xludf.DUMMYFUNCTION("IFERROR(SWITCH(lower(join("" "",U731:V731)),""а миллионник"", 62.5,""б миллионник"", 75,""а мск"", 50, ""б мск"", 62.5, ""a остальное"", 70, ""б остальное"", 80)/100,0)"),0.0)</f>
        <v>0</v>
      </c>
      <c r="X731" s="91">
        <f t="shared" si="4"/>
        <v>0</v>
      </c>
    </row>
    <row r="732">
      <c r="A732" s="12"/>
      <c r="B732" s="12"/>
      <c r="C732" s="12"/>
      <c r="D732" s="91">
        <f>IFERROR(__xludf.DUMMYFUNCTION("IFERROR(sum(filter('Основной эфир'!$AA:$AA, 'Основной эфир'!$B:$B=$A732,'Основной эфир'!$C:$C=$B732,'Основной эфир'!$I:$I=$C732)), 0) "),0.0)</f>
        <v>0</v>
      </c>
      <c r="E732" s="91">
        <f>IFERROR(__xludf.DUMMYFUNCTION("IFERROR(sum(filter('Основной эфир'!$AC:$AC, 'Основной эфир'!$B:$B=$A732,'Основной эфир'!$C:$C=$B732,'Основной эфир'!$I:$I=$C732)), 0) "),0.0)</f>
        <v>0</v>
      </c>
      <c r="F732" s="91">
        <f>IFERROR(__xludf.DUMMYFUNCTION("IFERROR(sum(filter('Основной эфир'!$O:$O, 'Основной эфир'!$B:$B=$A732,'Основной эфир'!$C:$C=$B732,'Основной эфир'!$I:$I=$C732)), 0) "),0.0)</f>
        <v>0</v>
      </c>
      <c r="G732" s="91">
        <f>IFERROR(__xludf.DUMMYFUNCTION("IFERROR(sum(filter('Основной эфир'!$Q:$Q, 'Основной эфир'!$B:$B=$A732,'Основной эфир'!$C:$C=$B732,'Основной эфир'!$I:$I=$C732)), 0) "),0.0)</f>
        <v>0</v>
      </c>
      <c r="H732" s="91">
        <f>IFERROR(__xludf.DUMMYFUNCTION("IFERROR(AVERAGE(filter('Основной эфир'!$Y:$Y, 'Основной эфир'!$B:$B=$A732,'Основной эфир'!$C:$C=$B732,'Основной эфир'!$I:$I=$C732)), 0) "),0.0)</f>
        <v>0</v>
      </c>
      <c r="I732" s="91">
        <f>IFERROR(__xludf.DUMMYFUNCTION("IFERROR(AVERAGE(filter('Основной эфир'!$AE:$AE, 'Основной эфир'!$B:$B=$A732,'Основной эфир'!$C:$C=$B732,'Основной эфир'!$I:$I=$C732)), 0) "),0.0)</f>
        <v>0</v>
      </c>
      <c r="J732" s="91">
        <f>IFERROR(__xludf.DUMMYFUNCTION("IFERROR(SUM(filter('Основной эфир'!$AL:$AL, 'Основной эфир'!$B:$B=$A732,'Основной эфир'!$C:$C=$B732,'Основной эфир'!$I:$I=$C732)), 0) "),0.0)</f>
        <v>0</v>
      </c>
      <c r="K732" s="91" t="str">
        <f>IFERROR(__xludf.DUMMYFUNCTION("IFERROR(REGEXREPLACE(unique(filter('Основной эфир'!$A:$A, 'Основной эфир'!$B:$B=$A732,'Основной эфир'!$C:$C=$B732,'Основной эфир'!$I:$I=$C732)), ""\d+"", """"),"""")"),"")</f>
        <v/>
      </c>
      <c r="L732" s="91" t="str">
        <f>IFERROR(__xludf.DUMMYFUNCTION("IFERROR(unique(filter('Основной эфир'!$F:$F, 'Основной эфир'!$B:$B=$A732,'Основной эфир'!$C:$C=$B732,'Основной эфир'!$I:$I=$C732)),"""")"),"")</f>
        <v/>
      </c>
      <c r="M732" s="92" t="str">
        <f t="shared" si="1"/>
        <v/>
      </c>
      <c r="N732" s="93">
        <f>IFERROR(__xludf.DUMMYFUNCTION("IFERROR(SWITCH(lower(join("" "",L732:M732)),""а миллионник"", 62.5,""б миллионник"", 75,""а мск"", 50, ""б мск"", 62.5, ""a остальное"", 70, ""б остальное"", 80)/100,0)"),0.0)</f>
        <v>0</v>
      </c>
      <c r="O732" s="91">
        <f t="shared" si="2"/>
        <v>0</v>
      </c>
      <c r="P732" s="91">
        <f>IFERROR(__xludf.DUMMYFUNCTION("IFERROR(sum(filter('Генеральный баннер'!$O:$O, 'Генеральный баннер'!$B:$B=$A732,'Генеральный баннер'!$C:$C=$B732,'Генеральный баннер'!$I:$I=$C732)), 0) "),0.0)</f>
        <v>0</v>
      </c>
      <c r="Q732" s="91">
        <f>IFERROR(__xludf.DUMMYFUNCTION("IFERROR(sum(filter('Генеральный баннер'!$Q:$Q, 'Генеральный баннер'!$B:$B=$A732,'Генеральный баннер'!$C:$C=$B732,'Генеральный баннер'!$I:$I=$C732)), 0) "),0.0)</f>
        <v>0</v>
      </c>
      <c r="R732" s="91">
        <f>IFERROR(__xludf.DUMMYFUNCTION("IFERROR(AVERAGE(filter('Генеральный баннер'!$AA:$AA, 'Генеральный баннер'!$B:$B=$A732,'Генеральный баннер'!$C:$C=$B732,'Генеральный баннер'!$I:$I=$C732)), 0) "),0.0)</f>
        <v>0</v>
      </c>
      <c r="S732" s="91">
        <f>IFERROR(__xludf.DUMMYFUNCTION("IFERROR(SUM(filter('Генеральный баннер'!$AH:$AH, 'Генеральный баннер'!$B:$B=$A732,'Генеральный баннер'!$C:$C=$B732,'Генеральный баннер'!$I:$I=$C732)), 0) "),0.0)</f>
        <v>0</v>
      </c>
      <c r="T732" s="91" t="str">
        <f>IFERROR(__xludf.DUMMYFUNCTION("IFERROR(REGEXREPLACE(unique(filter('Генеральный баннер'!$A:$A, 'Генеральный баннер'!$B:$B=$A732,'Генеральный баннер'!$C:$C=$B732,'Генеральный баннер'!$I:$I=$C732)), ""\d+"", """"),"""")"),"")</f>
        <v/>
      </c>
      <c r="U732" s="91" t="str">
        <f>IFERROR(__xludf.DUMMYFUNCTION("IFERROR(unique(filter('Генеральный баннер'!$F:$F, 'Генеральный баннер'!$B:$B=$A732,'Генеральный баннер'!$C:$C=$B732,'Генеральный баннер'!$I:$I=$C732)),"""")"),"")</f>
        <v/>
      </c>
      <c r="V732" s="92" t="str">
        <f t="shared" si="3"/>
        <v/>
      </c>
      <c r="W732" s="93">
        <f>IFERROR(__xludf.DUMMYFUNCTION("IFERROR(SWITCH(lower(join("" "",U732:V732)),""а миллионник"", 62.5,""б миллионник"", 75,""а мск"", 50, ""б мск"", 62.5, ""a остальное"", 70, ""б остальное"", 80)/100,0)"),0.0)</f>
        <v>0</v>
      </c>
      <c r="X732" s="91">
        <f t="shared" si="4"/>
        <v>0</v>
      </c>
    </row>
    <row r="733">
      <c r="A733" s="12"/>
      <c r="B733" s="12"/>
      <c r="C733" s="12"/>
      <c r="D733" s="91">
        <f>IFERROR(__xludf.DUMMYFUNCTION("IFERROR(sum(filter('Основной эфир'!$AA:$AA, 'Основной эфир'!$B:$B=$A733,'Основной эфир'!$C:$C=$B733,'Основной эфир'!$I:$I=$C733)), 0) "),0.0)</f>
        <v>0</v>
      </c>
      <c r="E733" s="91">
        <f>IFERROR(__xludf.DUMMYFUNCTION("IFERROR(sum(filter('Основной эфир'!$AC:$AC, 'Основной эфир'!$B:$B=$A733,'Основной эфир'!$C:$C=$B733,'Основной эфир'!$I:$I=$C733)), 0) "),0.0)</f>
        <v>0</v>
      </c>
      <c r="F733" s="91">
        <f>IFERROR(__xludf.DUMMYFUNCTION("IFERROR(sum(filter('Основной эфир'!$O:$O, 'Основной эфир'!$B:$B=$A733,'Основной эфир'!$C:$C=$B733,'Основной эфир'!$I:$I=$C733)), 0) "),0.0)</f>
        <v>0</v>
      </c>
      <c r="G733" s="91">
        <f>IFERROR(__xludf.DUMMYFUNCTION("IFERROR(sum(filter('Основной эфир'!$Q:$Q, 'Основной эфир'!$B:$B=$A733,'Основной эфир'!$C:$C=$B733,'Основной эфир'!$I:$I=$C733)), 0) "),0.0)</f>
        <v>0</v>
      </c>
      <c r="H733" s="91">
        <f>IFERROR(__xludf.DUMMYFUNCTION("IFERROR(AVERAGE(filter('Основной эфир'!$Y:$Y, 'Основной эфир'!$B:$B=$A733,'Основной эфир'!$C:$C=$B733,'Основной эфир'!$I:$I=$C733)), 0) "),0.0)</f>
        <v>0</v>
      </c>
      <c r="I733" s="91">
        <f>IFERROR(__xludf.DUMMYFUNCTION("IFERROR(AVERAGE(filter('Основной эфир'!$AE:$AE, 'Основной эфир'!$B:$B=$A733,'Основной эфир'!$C:$C=$B733,'Основной эфир'!$I:$I=$C733)), 0) "),0.0)</f>
        <v>0</v>
      </c>
      <c r="J733" s="91">
        <f>IFERROR(__xludf.DUMMYFUNCTION("IFERROR(SUM(filter('Основной эфир'!$AL:$AL, 'Основной эфир'!$B:$B=$A733,'Основной эфир'!$C:$C=$B733,'Основной эфир'!$I:$I=$C733)), 0) "),0.0)</f>
        <v>0</v>
      </c>
      <c r="K733" s="91" t="str">
        <f>IFERROR(__xludf.DUMMYFUNCTION("IFERROR(REGEXREPLACE(unique(filter('Основной эфир'!$A:$A, 'Основной эфир'!$B:$B=$A733,'Основной эфир'!$C:$C=$B733,'Основной эфир'!$I:$I=$C733)), ""\d+"", """"),"""")"),"")</f>
        <v/>
      </c>
      <c r="L733" s="91" t="str">
        <f>IFERROR(__xludf.DUMMYFUNCTION("IFERROR(unique(filter('Основной эфир'!$F:$F, 'Основной эфир'!$B:$B=$A733,'Основной эфир'!$C:$C=$B733,'Основной эфир'!$I:$I=$C733)),"""")"),"")</f>
        <v/>
      </c>
      <c r="M733" s="92" t="str">
        <f t="shared" si="1"/>
        <v/>
      </c>
      <c r="N733" s="93">
        <f>IFERROR(__xludf.DUMMYFUNCTION("IFERROR(SWITCH(lower(join("" "",L733:M733)),""а миллионник"", 62.5,""б миллионник"", 75,""а мск"", 50, ""б мск"", 62.5, ""a остальное"", 70, ""б остальное"", 80)/100,0)"),0.0)</f>
        <v>0</v>
      </c>
      <c r="O733" s="91">
        <f t="shared" si="2"/>
        <v>0</v>
      </c>
      <c r="P733" s="91">
        <f>IFERROR(__xludf.DUMMYFUNCTION("IFERROR(sum(filter('Генеральный баннер'!$O:$O, 'Генеральный баннер'!$B:$B=$A733,'Генеральный баннер'!$C:$C=$B733,'Генеральный баннер'!$I:$I=$C733)), 0) "),0.0)</f>
        <v>0</v>
      </c>
      <c r="Q733" s="91">
        <f>IFERROR(__xludf.DUMMYFUNCTION("IFERROR(sum(filter('Генеральный баннер'!$Q:$Q, 'Генеральный баннер'!$B:$B=$A733,'Генеральный баннер'!$C:$C=$B733,'Генеральный баннер'!$I:$I=$C733)), 0) "),0.0)</f>
        <v>0</v>
      </c>
      <c r="R733" s="91">
        <f>IFERROR(__xludf.DUMMYFUNCTION("IFERROR(AVERAGE(filter('Генеральный баннер'!$AA:$AA, 'Генеральный баннер'!$B:$B=$A733,'Генеральный баннер'!$C:$C=$B733,'Генеральный баннер'!$I:$I=$C733)), 0) "),0.0)</f>
        <v>0</v>
      </c>
      <c r="S733" s="91">
        <f>IFERROR(__xludf.DUMMYFUNCTION("IFERROR(SUM(filter('Генеральный баннер'!$AH:$AH, 'Генеральный баннер'!$B:$B=$A733,'Генеральный баннер'!$C:$C=$B733,'Генеральный баннер'!$I:$I=$C733)), 0) "),0.0)</f>
        <v>0</v>
      </c>
      <c r="T733" s="91" t="str">
        <f>IFERROR(__xludf.DUMMYFUNCTION("IFERROR(REGEXREPLACE(unique(filter('Генеральный баннер'!$A:$A, 'Генеральный баннер'!$B:$B=$A733,'Генеральный баннер'!$C:$C=$B733,'Генеральный баннер'!$I:$I=$C733)), ""\d+"", """"),"""")"),"")</f>
        <v/>
      </c>
      <c r="U733" s="91" t="str">
        <f>IFERROR(__xludf.DUMMYFUNCTION("IFERROR(unique(filter('Генеральный баннер'!$F:$F, 'Генеральный баннер'!$B:$B=$A733,'Генеральный баннер'!$C:$C=$B733,'Генеральный баннер'!$I:$I=$C733)),"""")"),"")</f>
        <v/>
      </c>
      <c r="V733" s="92" t="str">
        <f t="shared" si="3"/>
        <v/>
      </c>
      <c r="W733" s="93">
        <f>IFERROR(__xludf.DUMMYFUNCTION("IFERROR(SWITCH(lower(join("" "",U733:V733)),""а миллионник"", 62.5,""б миллионник"", 75,""а мск"", 50, ""б мск"", 62.5, ""a остальное"", 70, ""б остальное"", 80)/100,0)"),0.0)</f>
        <v>0</v>
      </c>
      <c r="X733" s="91">
        <f t="shared" si="4"/>
        <v>0</v>
      </c>
    </row>
    <row r="734">
      <c r="A734" s="12"/>
      <c r="B734" s="12"/>
      <c r="C734" s="12"/>
      <c r="D734" s="91">
        <f>IFERROR(__xludf.DUMMYFUNCTION("IFERROR(sum(filter('Основной эфир'!$AA:$AA, 'Основной эфир'!$B:$B=$A734,'Основной эфир'!$C:$C=$B734,'Основной эфир'!$I:$I=$C734)), 0) "),0.0)</f>
        <v>0</v>
      </c>
      <c r="E734" s="91">
        <f>IFERROR(__xludf.DUMMYFUNCTION("IFERROR(sum(filter('Основной эфир'!$AC:$AC, 'Основной эфир'!$B:$B=$A734,'Основной эфир'!$C:$C=$B734,'Основной эфир'!$I:$I=$C734)), 0) "),0.0)</f>
        <v>0</v>
      </c>
      <c r="F734" s="91">
        <f>IFERROR(__xludf.DUMMYFUNCTION("IFERROR(sum(filter('Основной эфир'!$O:$O, 'Основной эфир'!$B:$B=$A734,'Основной эфир'!$C:$C=$B734,'Основной эфир'!$I:$I=$C734)), 0) "),0.0)</f>
        <v>0</v>
      </c>
      <c r="G734" s="91">
        <f>IFERROR(__xludf.DUMMYFUNCTION("IFERROR(sum(filter('Основной эфир'!$Q:$Q, 'Основной эфир'!$B:$B=$A734,'Основной эфир'!$C:$C=$B734,'Основной эфир'!$I:$I=$C734)), 0) "),0.0)</f>
        <v>0</v>
      </c>
      <c r="H734" s="91">
        <f>IFERROR(__xludf.DUMMYFUNCTION("IFERROR(AVERAGE(filter('Основной эфир'!$Y:$Y, 'Основной эфир'!$B:$B=$A734,'Основной эфир'!$C:$C=$B734,'Основной эфир'!$I:$I=$C734)), 0) "),0.0)</f>
        <v>0</v>
      </c>
      <c r="I734" s="91">
        <f>IFERROR(__xludf.DUMMYFUNCTION("IFERROR(AVERAGE(filter('Основной эфир'!$AE:$AE, 'Основной эфир'!$B:$B=$A734,'Основной эфир'!$C:$C=$B734,'Основной эфир'!$I:$I=$C734)), 0) "),0.0)</f>
        <v>0</v>
      </c>
      <c r="J734" s="91">
        <f>IFERROR(__xludf.DUMMYFUNCTION("IFERROR(SUM(filter('Основной эфир'!$AL:$AL, 'Основной эфир'!$B:$B=$A734,'Основной эфир'!$C:$C=$B734,'Основной эфир'!$I:$I=$C734)), 0) "),0.0)</f>
        <v>0</v>
      </c>
      <c r="K734" s="91" t="str">
        <f>IFERROR(__xludf.DUMMYFUNCTION("IFERROR(REGEXREPLACE(unique(filter('Основной эфир'!$A:$A, 'Основной эфир'!$B:$B=$A734,'Основной эфир'!$C:$C=$B734,'Основной эфир'!$I:$I=$C734)), ""\d+"", """"),"""")"),"")</f>
        <v/>
      </c>
      <c r="L734" s="91" t="str">
        <f>IFERROR(__xludf.DUMMYFUNCTION("IFERROR(unique(filter('Основной эфир'!$F:$F, 'Основной эфир'!$B:$B=$A734,'Основной эфир'!$C:$C=$B734,'Основной эфир'!$I:$I=$C734)),"""")"),"")</f>
        <v/>
      </c>
      <c r="M734" s="92" t="str">
        <f t="shared" si="1"/>
        <v/>
      </c>
      <c r="N734" s="93">
        <f>IFERROR(__xludf.DUMMYFUNCTION("IFERROR(SWITCH(lower(join("" "",L734:M734)),""а миллионник"", 62.5,""б миллионник"", 75,""а мск"", 50, ""б мск"", 62.5, ""a остальное"", 70, ""б остальное"", 80)/100,0)"),0.0)</f>
        <v>0</v>
      </c>
      <c r="O734" s="91">
        <f t="shared" si="2"/>
        <v>0</v>
      </c>
      <c r="P734" s="91">
        <f>IFERROR(__xludf.DUMMYFUNCTION("IFERROR(sum(filter('Генеральный баннер'!$O:$O, 'Генеральный баннер'!$B:$B=$A734,'Генеральный баннер'!$C:$C=$B734,'Генеральный баннер'!$I:$I=$C734)), 0) "),0.0)</f>
        <v>0</v>
      </c>
      <c r="Q734" s="91">
        <f>IFERROR(__xludf.DUMMYFUNCTION("IFERROR(sum(filter('Генеральный баннер'!$Q:$Q, 'Генеральный баннер'!$B:$B=$A734,'Генеральный баннер'!$C:$C=$B734,'Генеральный баннер'!$I:$I=$C734)), 0) "),0.0)</f>
        <v>0</v>
      </c>
      <c r="R734" s="91">
        <f>IFERROR(__xludf.DUMMYFUNCTION("IFERROR(AVERAGE(filter('Генеральный баннер'!$AA:$AA, 'Генеральный баннер'!$B:$B=$A734,'Генеральный баннер'!$C:$C=$B734,'Генеральный баннер'!$I:$I=$C734)), 0) "),0.0)</f>
        <v>0</v>
      </c>
      <c r="S734" s="91">
        <f>IFERROR(__xludf.DUMMYFUNCTION("IFERROR(SUM(filter('Генеральный баннер'!$AH:$AH, 'Генеральный баннер'!$B:$B=$A734,'Генеральный баннер'!$C:$C=$B734,'Генеральный баннер'!$I:$I=$C734)), 0) "),0.0)</f>
        <v>0</v>
      </c>
      <c r="T734" s="91" t="str">
        <f>IFERROR(__xludf.DUMMYFUNCTION("IFERROR(REGEXREPLACE(unique(filter('Генеральный баннер'!$A:$A, 'Генеральный баннер'!$B:$B=$A734,'Генеральный баннер'!$C:$C=$B734,'Генеральный баннер'!$I:$I=$C734)), ""\d+"", """"),"""")"),"")</f>
        <v/>
      </c>
      <c r="U734" s="91" t="str">
        <f>IFERROR(__xludf.DUMMYFUNCTION("IFERROR(unique(filter('Генеральный баннер'!$F:$F, 'Генеральный баннер'!$B:$B=$A734,'Генеральный баннер'!$C:$C=$B734,'Генеральный баннер'!$I:$I=$C734)),"""")"),"")</f>
        <v/>
      </c>
      <c r="V734" s="92" t="str">
        <f t="shared" si="3"/>
        <v/>
      </c>
      <c r="W734" s="93">
        <f>IFERROR(__xludf.DUMMYFUNCTION("IFERROR(SWITCH(lower(join("" "",U734:V734)),""а миллионник"", 62.5,""б миллионник"", 75,""а мск"", 50, ""б мск"", 62.5, ""a остальное"", 70, ""б остальное"", 80)/100,0)"),0.0)</f>
        <v>0</v>
      </c>
      <c r="X734" s="91">
        <f t="shared" si="4"/>
        <v>0</v>
      </c>
    </row>
    <row r="735">
      <c r="A735" s="12"/>
      <c r="B735" s="12"/>
      <c r="C735" s="12"/>
      <c r="D735" s="91">
        <f>IFERROR(__xludf.DUMMYFUNCTION("IFERROR(sum(filter('Основной эфир'!$AA:$AA, 'Основной эфир'!$B:$B=$A735,'Основной эфир'!$C:$C=$B735,'Основной эфир'!$I:$I=$C735)), 0) "),0.0)</f>
        <v>0</v>
      </c>
      <c r="E735" s="91">
        <f>IFERROR(__xludf.DUMMYFUNCTION("IFERROR(sum(filter('Основной эфир'!$AC:$AC, 'Основной эфир'!$B:$B=$A735,'Основной эфир'!$C:$C=$B735,'Основной эфир'!$I:$I=$C735)), 0) "),0.0)</f>
        <v>0</v>
      </c>
      <c r="F735" s="91">
        <f>IFERROR(__xludf.DUMMYFUNCTION("IFERROR(sum(filter('Основной эфир'!$O:$O, 'Основной эфир'!$B:$B=$A735,'Основной эфир'!$C:$C=$B735,'Основной эфир'!$I:$I=$C735)), 0) "),0.0)</f>
        <v>0</v>
      </c>
      <c r="G735" s="91">
        <f>IFERROR(__xludf.DUMMYFUNCTION("IFERROR(sum(filter('Основной эфир'!$Q:$Q, 'Основной эфир'!$B:$B=$A735,'Основной эфир'!$C:$C=$B735,'Основной эфир'!$I:$I=$C735)), 0) "),0.0)</f>
        <v>0</v>
      </c>
      <c r="H735" s="91">
        <f>IFERROR(__xludf.DUMMYFUNCTION("IFERROR(AVERAGE(filter('Основной эфир'!$Y:$Y, 'Основной эфир'!$B:$B=$A735,'Основной эфир'!$C:$C=$B735,'Основной эфир'!$I:$I=$C735)), 0) "),0.0)</f>
        <v>0</v>
      </c>
      <c r="I735" s="91">
        <f>IFERROR(__xludf.DUMMYFUNCTION("IFERROR(AVERAGE(filter('Основной эфир'!$AE:$AE, 'Основной эфир'!$B:$B=$A735,'Основной эфир'!$C:$C=$B735,'Основной эфир'!$I:$I=$C735)), 0) "),0.0)</f>
        <v>0</v>
      </c>
      <c r="J735" s="91">
        <f>IFERROR(__xludf.DUMMYFUNCTION("IFERROR(SUM(filter('Основной эфир'!$AL:$AL, 'Основной эфир'!$B:$B=$A735,'Основной эфир'!$C:$C=$B735,'Основной эфир'!$I:$I=$C735)), 0) "),0.0)</f>
        <v>0</v>
      </c>
      <c r="K735" s="91" t="str">
        <f>IFERROR(__xludf.DUMMYFUNCTION("IFERROR(REGEXREPLACE(unique(filter('Основной эфир'!$A:$A, 'Основной эфир'!$B:$B=$A735,'Основной эфир'!$C:$C=$B735,'Основной эфир'!$I:$I=$C735)), ""\d+"", """"),"""")"),"")</f>
        <v/>
      </c>
      <c r="L735" s="91" t="str">
        <f>IFERROR(__xludf.DUMMYFUNCTION("IFERROR(unique(filter('Основной эфир'!$F:$F, 'Основной эфир'!$B:$B=$A735,'Основной эфир'!$C:$C=$B735,'Основной эфир'!$I:$I=$C735)),"""")"),"")</f>
        <v/>
      </c>
      <c r="M735" s="92" t="str">
        <f t="shared" si="1"/>
        <v/>
      </c>
      <c r="N735" s="93">
        <f>IFERROR(__xludf.DUMMYFUNCTION("IFERROR(SWITCH(lower(join("" "",L735:M735)),""а миллионник"", 62.5,""б миллионник"", 75,""а мск"", 50, ""б мск"", 62.5, ""a остальное"", 70, ""б остальное"", 80)/100,0)"),0.0)</f>
        <v>0</v>
      </c>
      <c r="O735" s="91">
        <f t="shared" si="2"/>
        <v>0</v>
      </c>
      <c r="P735" s="91">
        <f>IFERROR(__xludf.DUMMYFUNCTION("IFERROR(sum(filter('Генеральный баннер'!$O:$O, 'Генеральный баннер'!$B:$B=$A735,'Генеральный баннер'!$C:$C=$B735,'Генеральный баннер'!$I:$I=$C735)), 0) "),0.0)</f>
        <v>0</v>
      </c>
      <c r="Q735" s="91">
        <f>IFERROR(__xludf.DUMMYFUNCTION("IFERROR(sum(filter('Генеральный баннер'!$Q:$Q, 'Генеральный баннер'!$B:$B=$A735,'Генеральный баннер'!$C:$C=$B735,'Генеральный баннер'!$I:$I=$C735)), 0) "),0.0)</f>
        <v>0</v>
      </c>
      <c r="R735" s="91">
        <f>IFERROR(__xludf.DUMMYFUNCTION("IFERROR(AVERAGE(filter('Генеральный баннер'!$AA:$AA, 'Генеральный баннер'!$B:$B=$A735,'Генеральный баннер'!$C:$C=$B735,'Генеральный баннер'!$I:$I=$C735)), 0) "),0.0)</f>
        <v>0</v>
      </c>
      <c r="S735" s="91">
        <f>IFERROR(__xludf.DUMMYFUNCTION("IFERROR(SUM(filter('Генеральный баннер'!$AH:$AH, 'Генеральный баннер'!$B:$B=$A735,'Генеральный баннер'!$C:$C=$B735,'Генеральный баннер'!$I:$I=$C735)), 0) "),0.0)</f>
        <v>0</v>
      </c>
      <c r="T735" s="91" t="str">
        <f>IFERROR(__xludf.DUMMYFUNCTION("IFERROR(REGEXREPLACE(unique(filter('Генеральный баннер'!$A:$A, 'Генеральный баннер'!$B:$B=$A735,'Генеральный баннер'!$C:$C=$B735,'Генеральный баннер'!$I:$I=$C735)), ""\d+"", """"),"""")"),"")</f>
        <v/>
      </c>
      <c r="U735" s="91" t="str">
        <f>IFERROR(__xludf.DUMMYFUNCTION("IFERROR(unique(filter('Генеральный баннер'!$F:$F, 'Генеральный баннер'!$B:$B=$A735,'Генеральный баннер'!$C:$C=$B735,'Генеральный баннер'!$I:$I=$C735)),"""")"),"")</f>
        <v/>
      </c>
      <c r="V735" s="92" t="str">
        <f t="shared" si="3"/>
        <v/>
      </c>
      <c r="W735" s="93">
        <f>IFERROR(__xludf.DUMMYFUNCTION("IFERROR(SWITCH(lower(join("" "",U735:V735)),""а миллионник"", 62.5,""б миллионник"", 75,""а мск"", 50, ""б мск"", 62.5, ""a остальное"", 70, ""б остальное"", 80)/100,0)"),0.0)</f>
        <v>0</v>
      </c>
      <c r="X735" s="91">
        <f t="shared" si="4"/>
        <v>0</v>
      </c>
    </row>
    <row r="736">
      <c r="A736" s="12"/>
      <c r="B736" s="12"/>
      <c r="C736" s="12"/>
      <c r="D736" s="91">
        <f>IFERROR(__xludf.DUMMYFUNCTION("IFERROR(sum(filter('Основной эфир'!$AA:$AA, 'Основной эфир'!$B:$B=$A736,'Основной эфир'!$C:$C=$B736,'Основной эфир'!$I:$I=$C736)), 0) "),0.0)</f>
        <v>0</v>
      </c>
      <c r="E736" s="91">
        <f>IFERROR(__xludf.DUMMYFUNCTION("IFERROR(sum(filter('Основной эфир'!$AC:$AC, 'Основной эфир'!$B:$B=$A736,'Основной эфир'!$C:$C=$B736,'Основной эфир'!$I:$I=$C736)), 0) "),0.0)</f>
        <v>0</v>
      </c>
      <c r="F736" s="91">
        <f>IFERROR(__xludf.DUMMYFUNCTION("IFERROR(sum(filter('Основной эфир'!$O:$O, 'Основной эфир'!$B:$B=$A736,'Основной эфир'!$C:$C=$B736,'Основной эфир'!$I:$I=$C736)), 0) "),0.0)</f>
        <v>0</v>
      </c>
      <c r="G736" s="91">
        <f>IFERROR(__xludf.DUMMYFUNCTION("IFERROR(sum(filter('Основной эфир'!$Q:$Q, 'Основной эфир'!$B:$B=$A736,'Основной эфир'!$C:$C=$B736,'Основной эфир'!$I:$I=$C736)), 0) "),0.0)</f>
        <v>0</v>
      </c>
      <c r="H736" s="91">
        <f>IFERROR(__xludf.DUMMYFUNCTION("IFERROR(AVERAGE(filter('Основной эфир'!$Y:$Y, 'Основной эфир'!$B:$B=$A736,'Основной эфир'!$C:$C=$B736,'Основной эфир'!$I:$I=$C736)), 0) "),0.0)</f>
        <v>0</v>
      </c>
      <c r="I736" s="91">
        <f>IFERROR(__xludf.DUMMYFUNCTION("IFERROR(AVERAGE(filter('Основной эфир'!$AE:$AE, 'Основной эфир'!$B:$B=$A736,'Основной эфир'!$C:$C=$B736,'Основной эфир'!$I:$I=$C736)), 0) "),0.0)</f>
        <v>0</v>
      </c>
      <c r="J736" s="91">
        <f>IFERROR(__xludf.DUMMYFUNCTION("IFERROR(SUM(filter('Основной эфир'!$AL:$AL, 'Основной эфир'!$B:$B=$A736,'Основной эфир'!$C:$C=$B736,'Основной эфир'!$I:$I=$C736)), 0) "),0.0)</f>
        <v>0</v>
      </c>
      <c r="K736" s="91" t="str">
        <f>IFERROR(__xludf.DUMMYFUNCTION("IFERROR(REGEXREPLACE(unique(filter('Основной эфир'!$A:$A, 'Основной эфир'!$B:$B=$A736,'Основной эфир'!$C:$C=$B736,'Основной эфир'!$I:$I=$C736)), ""\d+"", """"),"""")"),"")</f>
        <v/>
      </c>
      <c r="L736" s="91" t="str">
        <f>IFERROR(__xludf.DUMMYFUNCTION("IFERROR(unique(filter('Основной эфир'!$F:$F, 'Основной эфир'!$B:$B=$A736,'Основной эфир'!$C:$C=$B736,'Основной эфир'!$I:$I=$C736)),"""")"),"")</f>
        <v/>
      </c>
      <c r="M736" s="92" t="str">
        <f t="shared" si="1"/>
        <v/>
      </c>
      <c r="N736" s="93">
        <f>IFERROR(__xludf.DUMMYFUNCTION("IFERROR(SWITCH(lower(join("" "",L736:M736)),""а миллионник"", 62.5,""б миллионник"", 75,""а мск"", 50, ""б мск"", 62.5, ""a остальное"", 70, ""б остальное"", 80)/100,0)"),0.0)</f>
        <v>0</v>
      </c>
      <c r="O736" s="91">
        <f t="shared" si="2"/>
        <v>0</v>
      </c>
      <c r="P736" s="91">
        <f>IFERROR(__xludf.DUMMYFUNCTION("IFERROR(sum(filter('Генеральный баннер'!$O:$O, 'Генеральный баннер'!$B:$B=$A736,'Генеральный баннер'!$C:$C=$B736,'Генеральный баннер'!$I:$I=$C736)), 0) "),0.0)</f>
        <v>0</v>
      </c>
      <c r="Q736" s="91">
        <f>IFERROR(__xludf.DUMMYFUNCTION("IFERROR(sum(filter('Генеральный баннер'!$Q:$Q, 'Генеральный баннер'!$B:$B=$A736,'Генеральный баннер'!$C:$C=$B736,'Генеральный баннер'!$I:$I=$C736)), 0) "),0.0)</f>
        <v>0</v>
      </c>
      <c r="R736" s="91">
        <f>IFERROR(__xludf.DUMMYFUNCTION("IFERROR(AVERAGE(filter('Генеральный баннер'!$AA:$AA, 'Генеральный баннер'!$B:$B=$A736,'Генеральный баннер'!$C:$C=$B736,'Генеральный баннер'!$I:$I=$C736)), 0) "),0.0)</f>
        <v>0</v>
      </c>
      <c r="S736" s="91">
        <f>IFERROR(__xludf.DUMMYFUNCTION("IFERROR(SUM(filter('Генеральный баннер'!$AH:$AH, 'Генеральный баннер'!$B:$B=$A736,'Генеральный баннер'!$C:$C=$B736,'Генеральный баннер'!$I:$I=$C736)), 0) "),0.0)</f>
        <v>0</v>
      </c>
      <c r="T736" s="91" t="str">
        <f>IFERROR(__xludf.DUMMYFUNCTION("IFERROR(REGEXREPLACE(unique(filter('Генеральный баннер'!$A:$A, 'Генеральный баннер'!$B:$B=$A736,'Генеральный баннер'!$C:$C=$B736,'Генеральный баннер'!$I:$I=$C736)), ""\d+"", """"),"""")"),"")</f>
        <v/>
      </c>
      <c r="U736" s="91" t="str">
        <f>IFERROR(__xludf.DUMMYFUNCTION("IFERROR(unique(filter('Генеральный баннер'!$F:$F, 'Генеральный баннер'!$B:$B=$A736,'Генеральный баннер'!$C:$C=$B736,'Генеральный баннер'!$I:$I=$C736)),"""")"),"")</f>
        <v/>
      </c>
      <c r="V736" s="92" t="str">
        <f t="shared" si="3"/>
        <v/>
      </c>
      <c r="W736" s="93">
        <f>IFERROR(__xludf.DUMMYFUNCTION("IFERROR(SWITCH(lower(join("" "",U736:V736)),""а миллионник"", 62.5,""б миллионник"", 75,""а мск"", 50, ""б мск"", 62.5, ""a остальное"", 70, ""б остальное"", 80)/100,0)"),0.0)</f>
        <v>0</v>
      </c>
      <c r="X736" s="91">
        <f t="shared" si="4"/>
        <v>0</v>
      </c>
    </row>
    <row r="737">
      <c r="A737" s="12"/>
      <c r="B737" s="12"/>
      <c r="C737" s="12"/>
      <c r="D737" s="91">
        <f>IFERROR(__xludf.DUMMYFUNCTION("IFERROR(sum(filter('Основной эфир'!$AA:$AA, 'Основной эфир'!$B:$B=$A737,'Основной эфир'!$C:$C=$B737,'Основной эфир'!$I:$I=$C737)), 0) "),0.0)</f>
        <v>0</v>
      </c>
      <c r="E737" s="91">
        <f>IFERROR(__xludf.DUMMYFUNCTION("IFERROR(sum(filter('Основной эфир'!$AC:$AC, 'Основной эфир'!$B:$B=$A737,'Основной эфир'!$C:$C=$B737,'Основной эфир'!$I:$I=$C737)), 0) "),0.0)</f>
        <v>0</v>
      </c>
      <c r="F737" s="91">
        <f>IFERROR(__xludf.DUMMYFUNCTION("IFERROR(sum(filter('Основной эфир'!$O:$O, 'Основной эфир'!$B:$B=$A737,'Основной эфир'!$C:$C=$B737,'Основной эфир'!$I:$I=$C737)), 0) "),0.0)</f>
        <v>0</v>
      </c>
      <c r="G737" s="91">
        <f>IFERROR(__xludf.DUMMYFUNCTION("IFERROR(sum(filter('Основной эфир'!$Q:$Q, 'Основной эфир'!$B:$B=$A737,'Основной эфир'!$C:$C=$B737,'Основной эфир'!$I:$I=$C737)), 0) "),0.0)</f>
        <v>0</v>
      </c>
      <c r="H737" s="91">
        <f>IFERROR(__xludf.DUMMYFUNCTION("IFERROR(AVERAGE(filter('Основной эфир'!$Y:$Y, 'Основной эфир'!$B:$B=$A737,'Основной эфир'!$C:$C=$B737,'Основной эфир'!$I:$I=$C737)), 0) "),0.0)</f>
        <v>0</v>
      </c>
      <c r="I737" s="91">
        <f>IFERROR(__xludf.DUMMYFUNCTION("IFERROR(AVERAGE(filter('Основной эфир'!$AE:$AE, 'Основной эфир'!$B:$B=$A737,'Основной эфир'!$C:$C=$B737,'Основной эфир'!$I:$I=$C737)), 0) "),0.0)</f>
        <v>0</v>
      </c>
      <c r="J737" s="91">
        <f>IFERROR(__xludf.DUMMYFUNCTION("IFERROR(SUM(filter('Основной эфир'!$AL:$AL, 'Основной эфир'!$B:$B=$A737,'Основной эфир'!$C:$C=$B737,'Основной эфир'!$I:$I=$C737)), 0) "),0.0)</f>
        <v>0</v>
      </c>
      <c r="K737" s="91" t="str">
        <f>IFERROR(__xludf.DUMMYFUNCTION("IFERROR(REGEXREPLACE(unique(filter('Основной эфир'!$A:$A, 'Основной эфир'!$B:$B=$A737,'Основной эфир'!$C:$C=$B737,'Основной эфир'!$I:$I=$C737)), ""\d+"", """"),"""")"),"")</f>
        <v/>
      </c>
      <c r="L737" s="91" t="str">
        <f>IFERROR(__xludf.DUMMYFUNCTION("IFERROR(unique(filter('Основной эфир'!$F:$F, 'Основной эфир'!$B:$B=$A737,'Основной эфир'!$C:$C=$B737,'Основной эфир'!$I:$I=$C737)),"""")"),"")</f>
        <v/>
      </c>
      <c r="M737" s="92" t="str">
        <f t="shared" si="1"/>
        <v/>
      </c>
      <c r="N737" s="93">
        <f>IFERROR(__xludf.DUMMYFUNCTION("IFERROR(SWITCH(lower(join("" "",L737:M737)),""а миллионник"", 62.5,""б миллионник"", 75,""а мск"", 50, ""б мск"", 62.5, ""a остальное"", 70, ""б остальное"", 80)/100,0)"),0.0)</f>
        <v>0</v>
      </c>
      <c r="O737" s="91">
        <f t="shared" si="2"/>
        <v>0</v>
      </c>
      <c r="P737" s="91">
        <f>IFERROR(__xludf.DUMMYFUNCTION("IFERROR(sum(filter('Генеральный баннер'!$O:$O, 'Генеральный баннер'!$B:$B=$A737,'Генеральный баннер'!$C:$C=$B737,'Генеральный баннер'!$I:$I=$C737)), 0) "),0.0)</f>
        <v>0</v>
      </c>
      <c r="Q737" s="91">
        <f>IFERROR(__xludf.DUMMYFUNCTION("IFERROR(sum(filter('Генеральный баннер'!$Q:$Q, 'Генеральный баннер'!$B:$B=$A737,'Генеральный баннер'!$C:$C=$B737,'Генеральный баннер'!$I:$I=$C737)), 0) "),0.0)</f>
        <v>0</v>
      </c>
      <c r="R737" s="91">
        <f>IFERROR(__xludf.DUMMYFUNCTION("IFERROR(AVERAGE(filter('Генеральный баннер'!$AA:$AA, 'Генеральный баннер'!$B:$B=$A737,'Генеральный баннер'!$C:$C=$B737,'Генеральный баннер'!$I:$I=$C737)), 0) "),0.0)</f>
        <v>0</v>
      </c>
      <c r="S737" s="91">
        <f>IFERROR(__xludf.DUMMYFUNCTION("IFERROR(SUM(filter('Генеральный баннер'!$AH:$AH, 'Генеральный баннер'!$B:$B=$A737,'Генеральный баннер'!$C:$C=$B737,'Генеральный баннер'!$I:$I=$C737)), 0) "),0.0)</f>
        <v>0</v>
      </c>
      <c r="T737" s="91" t="str">
        <f>IFERROR(__xludf.DUMMYFUNCTION("IFERROR(REGEXREPLACE(unique(filter('Генеральный баннер'!$A:$A, 'Генеральный баннер'!$B:$B=$A737,'Генеральный баннер'!$C:$C=$B737,'Генеральный баннер'!$I:$I=$C737)), ""\d+"", """"),"""")"),"")</f>
        <v/>
      </c>
      <c r="U737" s="91" t="str">
        <f>IFERROR(__xludf.DUMMYFUNCTION("IFERROR(unique(filter('Генеральный баннер'!$F:$F, 'Генеральный баннер'!$B:$B=$A737,'Генеральный баннер'!$C:$C=$B737,'Генеральный баннер'!$I:$I=$C737)),"""")"),"")</f>
        <v/>
      </c>
      <c r="V737" s="92" t="str">
        <f t="shared" si="3"/>
        <v/>
      </c>
      <c r="W737" s="93">
        <f>IFERROR(__xludf.DUMMYFUNCTION("IFERROR(SWITCH(lower(join("" "",U737:V737)),""а миллионник"", 62.5,""б миллионник"", 75,""а мск"", 50, ""б мск"", 62.5, ""a остальное"", 70, ""б остальное"", 80)/100,0)"),0.0)</f>
        <v>0</v>
      </c>
      <c r="X737" s="91">
        <f t="shared" si="4"/>
        <v>0</v>
      </c>
    </row>
    <row r="738">
      <c r="A738" s="12"/>
      <c r="B738" s="12"/>
      <c r="C738" s="12"/>
      <c r="D738" s="91">
        <f>IFERROR(__xludf.DUMMYFUNCTION("IFERROR(sum(filter('Основной эфир'!$AA:$AA, 'Основной эфир'!$B:$B=$A738,'Основной эфир'!$C:$C=$B738,'Основной эфир'!$I:$I=$C738)), 0) "),0.0)</f>
        <v>0</v>
      </c>
      <c r="E738" s="91">
        <f>IFERROR(__xludf.DUMMYFUNCTION("IFERROR(sum(filter('Основной эфир'!$AC:$AC, 'Основной эфир'!$B:$B=$A738,'Основной эфир'!$C:$C=$B738,'Основной эфир'!$I:$I=$C738)), 0) "),0.0)</f>
        <v>0</v>
      </c>
      <c r="F738" s="91">
        <f>IFERROR(__xludf.DUMMYFUNCTION("IFERROR(sum(filter('Основной эфир'!$O:$O, 'Основной эфир'!$B:$B=$A738,'Основной эфир'!$C:$C=$B738,'Основной эфир'!$I:$I=$C738)), 0) "),0.0)</f>
        <v>0</v>
      </c>
      <c r="G738" s="91">
        <f>IFERROR(__xludf.DUMMYFUNCTION("IFERROR(sum(filter('Основной эфир'!$Q:$Q, 'Основной эфир'!$B:$B=$A738,'Основной эфир'!$C:$C=$B738,'Основной эфир'!$I:$I=$C738)), 0) "),0.0)</f>
        <v>0</v>
      </c>
      <c r="H738" s="91">
        <f>IFERROR(__xludf.DUMMYFUNCTION("IFERROR(AVERAGE(filter('Основной эфир'!$Y:$Y, 'Основной эфир'!$B:$B=$A738,'Основной эфир'!$C:$C=$B738,'Основной эфир'!$I:$I=$C738)), 0) "),0.0)</f>
        <v>0</v>
      </c>
      <c r="I738" s="91">
        <f>IFERROR(__xludf.DUMMYFUNCTION("IFERROR(AVERAGE(filter('Основной эфир'!$AE:$AE, 'Основной эфир'!$B:$B=$A738,'Основной эфир'!$C:$C=$B738,'Основной эфир'!$I:$I=$C738)), 0) "),0.0)</f>
        <v>0</v>
      </c>
      <c r="J738" s="91">
        <f>IFERROR(__xludf.DUMMYFUNCTION("IFERROR(SUM(filter('Основной эфир'!$AL:$AL, 'Основной эфир'!$B:$B=$A738,'Основной эфир'!$C:$C=$B738,'Основной эфир'!$I:$I=$C738)), 0) "),0.0)</f>
        <v>0</v>
      </c>
      <c r="K738" s="91" t="str">
        <f>IFERROR(__xludf.DUMMYFUNCTION("IFERROR(REGEXREPLACE(unique(filter('Основной эфир'!$A:$A, 'Основной эфир'!$B:$B=$A738,'Основной эфир'!$C:$C=$B738,'Основной эфир'!$I:$I=$C738)), ""\d+"", """"),"""")"),"")</f>
        <v/>
      </c>
      <c r="L738" s="91" t="str">
        <f>IFERROR(__xludf.DUMMYFUNCTION("IFERROR(unique(filter('Основной эфир'!$F:$F, 'Основной эфир'!$B:$B=$A738,'Основной эфир'!$C:$C=$B738,'Основной эфир'!$I:$I=$C738)),"""")"),"")</f>
        <v/>
      </c>
      <c r="M738" s="92" t="str">
        <f t="shared" si="1"/>
        <v/>
      </c>
      <c r="N738" s="93">
        <f>IFERROR(__xludf.DUMMYFUNCTION("IFERROR(SWITCH(lower(join("" "",L738:M738)),""а миллионник"", 62.5,""б миллионник"", 75,""а мск"", 50, ""б мск"", 62.5, ""a остальное"", 70, ""б остальное"", 80)/100,0)"),0.0)</f>
        <v>0</v>
      </c>
      <c r="O738" s="91">
        <f t="shared" si="2"/>
        <v>0</v>
      </c>
      <c r="P738" s="91">
        <f>IFERROR(__xludf.DUMMYFUNCTION("IFERROR(sum(filter('Генеральный баннер'!$O:$O, 'Генеральный баннер'!$B:$B=$A738,'Генеральный баннер'!$C:$C=$B738,'Генеральный баннер'!$I:$I=$C738)), 0) "),0.0)</f>
        <v>0</v>
      </c>
      <c r="Q738" s="91">
        <f>IFERROR(__xludf.DUMMYFUNCTION("IFERROR(sum(filter('Генеральный баннер'!$Q:$Q, 'Генеральный баннер'!$B:$B=$A738,'Генеральный баннер'!$C:$C=$B738,'Генеральный баннер'!$I:$I=$C738)), 0) "),0.0)</f>
        <v>0</v>
      </c>
      <c r="R738" s="91">
        <f>IFERROR(__xludf.DUMMYFUNCTION("IFERROR(AVERAGE(filter('Генеральный баннер'!$AA:$AA, 'Генеральный баннер'!$B:$B=$A738,'Генеральный баннер'!$C:$C=$B738,'Генеральный баннер'!$I:$I=$C738)), 0) "),0.0)</f>
        <v>0</v>
      </c>
      <c r="S738" s="91">
        <f>IFERROR(__xludf.DUMMYFUNCTION("IFERROR(SUM(filter('Генеральный баннер'!$AH:$AH, 'Генеральный баннер'!$B:$B=$A738,'Генеральный баннер'!$C:$C=$B738,'Генеральный баннер'!$I:$I=$C738)), 0) "),0.0)</f>
        <v>0</v>
      </c>
      <c r="T738" s="91" t="str">
        <f>IFERROR(__xludf.DUMMYFUNCTION("IFERROR(REGEXREPLACE(unique(filter('Генеральный баннер'!$A:$A, 'Генеральный баннер'!$B:$B=$A738,'Генеральный баннер'!$C:$C=$B738,'Генеральный баннер'!$I:$I=$C738)), ""\d+"", """"),"""")"),"")</f>
        <v/>
      </c>
      <c r="U738" s="91" t="str">
        <f>IFERROR(__xludf.DUMMYFUNCTION("IFERROR(unique(filter('Генеральный баннер'!$F:$F, 'Генеральный баннер'!$B:$B=$A738,'Генеральный баннер'!$C:$C=$B738,'Генеральный баннер'!$I:$I=$C738)),"""")"),"")</f>
        <v/>
      </c>
      <c r="V738" s="92" t="str">
        <f t="shared" si="3"/>
        <v/>
      </c>
      <c r="W738" s="93">
        <f>IFERROR(__xludf.DUMMYFUNCTION("IFERROR(SWITCH(lower(join("" "",U738:V738)),""а миллионник"", 62.5,""б миллионник"", 75,""а мск"", 50, ""б мск"", 62.5, ""a остальное"", 70, ""б остальное"", 80)/100,0)"),0.0)</f>
        <v>0</v>
      </c>
      <c r="X738" s="91">
        <f t="shared" si="4"/>
        <v>0</v>
      </c>
    </row>
    <row r="739">
      <c r="A739" s="12"/>
      <c r="B739" s="12"/>
      <c r="C739" s="12"/>
      <c r="D739" s="91">
        <f>IFERROR(__xludf.DUMMYFUNCTION("IFERROR(sum(filter('Основной эфир'!$AA:$AA, 'Основной эфир'!$B:$B=$A739,'Основной эфир'!$C:$C=$B739,'Основной эфир'!$I:$I=$C739)), 0) "),0.0)</f>
        <v>0</v>
      </c>
      <c r="E739" s="91">
        <f>IFERROR(__xludf.DUMMYFUNCTION("IFERROR(sum(filter('Основной эфир'!$AC:$AC, 'Основной эфир'!$B:$B=$A739,'Основной эфир'!$C:$C=$B739,'Основной эфир'!$I:$I=$C739)), 0) "),0.0)</f>
        <v>0</v>
      </c>
      <c r="F739" s="91">
        <f>IFERROR(__xludf.DUMMYFUNCTION("IFERROR(sum(filter('Основной эфир'!$O:$O, 'Основной эфир'!$B:$B=$A739,'Основной эфир'!$C:$C=$B739,'Основной эфир'!$I:$I=$C739)), 0) "),0.0)</f>
        <v>0</v>
      </c>
      <c r="G739" s="91">
        <f>IFERROR(__xludf.DUMMYFUNCTION("IFERROR(sum(filter('Основной эфир'!$Q:$Q, 'Основной эфир'!$B:$B=$A739,'Основной эфир'!$C:$C=$B739,'Основной эфир'!$I:$I=$C739)), 0) "),0.0)</f>
        <v>0</v>
      </c>
      <c r="H739" s="91">
        <f>IFERROR(__xludf.DUMMYFUNCTION("IFERROR(AVERAGE(filter('Основной эфир'!$Y:$Y, 'Основной эфир'!$B:$B=$A739,'Основной эфир'!$C:$C=$B739,'Основной эфир'!$I:$I=$C739)), 0) "),0.0)</f>
        <v>0</v>
      </c>
      <c r="I739" s="91">
        <f>IFERROR(__xludf.DUMMYFUNCTION("IFERROR(AVERAGE(filter('Основной эфир'!$AE:$AE, 'Основной эфир'!$B:$B=$A739,'Основной эфир'!$C:$C=$B739,'Основной эфир'!$I:$I=$C739)), 0) "),0.0)</f>
        <v>0</v>
      </c>
      <c r="J739" s="91">
        <f>IFERROR(__xludf.DUMMYFUNCTION("IFERROR(SUM(filter('Основной эфир'!$AL:$AL, 'Основной эфир'!$B:$B=$A739,'Основной эфир'!$C:$C=$B739,'Основной эфир'!$I:$I=$C739)), 0) "),0.0)</f>
        <v>0</v>
      </c>
      <c r="K739" s="91" t="str">
        <f>IFERROR(__xludf.DUMMYFUNCTION("IFERROR(REGEXREPLACE(unique(filter('Основной эфир'!$A:$A, 'Основной эфир'!$B:$B=$A739,'Основной эфир'!$C:$C=$B739,'Основной эфир'!$I:$I=$C739)), ""\d+"", """"),"""")"),"")</f>
        <v/>
      </c>
      <c r="L739" s="91" t="str">
        <f>IFERROR(__xludf.DUMMYFUNCTION("IFERROR(unique(filter('Основной эфир'!$F:$F, 'Основной эфир'!$B:$B=$A739,'Основной эфир'!$C:$C=$B739,'Основной эфир'!$I:$I=$C739)),"""")"),"")</f>
        <v/>
      </c>
      <c r="M739" s="92" t="str">
        <f t="shared" si="1"/>
        <v/>
      </c>
      <c r="N739" s="93">
        <f>IFERROR(__xludf.DUMMYFUNCTION("IFERROR(SWITCH(lower(join("" "",L739:M739)),""а миллионник"", 62.5,""б миллионник"", 75,""а мск"", 50, ""б мск"", 62.5, ""a остальное"", 70, ""б остальное"", 80)/100,0)"),0.0)</f>
        <v>0</v>
      </c>
      <c r="O739" s="91">
        <f t="shared" si="2"/>
        <v>0</v>
      </c>
      <c r="P739" s="91">
        <f>IFERROR(__xludf.DUMMYFUNCTION("IFERROR(sum(filter('Генеральный баннер'!$O:$O, 'Генеральный баннер'!$B:$B=$A739,'Генеральный баннер'!$C:$C=$B739,'Генеральный баннер'!$I:$I=$C739)), 0) "),0.0)</f>
        <v>0</v>
      </c>
      <c r="Q739" s="91">
        <f>IFERROR(__xludf.DUMMYFUNCTION("IFERROR(sum(filter('Генеральный баннер'!$Q:$Q, 'Генеральный баннер'!$B:$B=$A739,'Генеральный баннер'!$C:$C=$B739,'Генеральный баннер'!$I:$I=$C739)), 0) "),0.0)</f>
        <v>0</v>
      </c>
      <c r="R739" s="91">
        <f>IFERROR(__xludf.DUMMYFUNCTION("IFERROR(AVERAGE(filter('Генеральный баннер'!$AA:$AA, 'Генеральный баннер'!$B:$B=$A739,'Генеральный баннер'!$C:$C=$B739,'Генеральный баннер'!$I:$I=$C739)), 0) "),0.0)</f>
        <v>0</v>
      </c>
      <c r="S739" s="91">
        <f>IFERROR(__xludf.DUMMYFUNCTION("IFERROR(SUM(filter('Генеральный баннер'!$AH:$AH, 'Генеральный баннер'!$B:$B=$A739,'Генеральный баннер'!$C:$C=$B739,'Генеральный баннер'!$I:$I=$C739)), 0) "),0.0)</f>
        <v>0</v>
      </c>
      <c r="T739" s="91" t="str">
        <f>IFERROR(__xludf.DUMMYFUNCTION("IFERROR(REGEXREPLACE(unique(filter('Генеральный баннер'!$A:$A, 'Генеральный баннер'!$B:$B=$A739,'Генеральный баннер'!$C:$C=$B739,'Генеральный баннер'!$I:$I=$C739)), ""\d+"", """"),"""")"),"")</f>
        <v/>
      </c>
      <c r="U739" s="91" t="str">
        <f>IFERROR(__xludf.DUMMYFUNCTION("IFERROR(unique(filter('Генеральный баннер'!$F:$F, 'Генеральный баннер'!$B:$B=$A739,'Генеральный баннер'!$C:$C=$B739,'Генеральный баннер'!$I:$I=$C739)),"""")"),"")</f>
        <v/>
      </c>
      <c r="V739" s="92" t="str">
        <f t="shared" si="3"/>
        <v/>
      </c>
      <c r="W739" s="93">
        <f>IFERROR(__xludf.DUMMYFUNCTION("IFERROR(SWITCH(lower(join("" "",U739:V739)),""а миллионник"", 62.5,""б миллионник"", 75,""а мск"", 50, ""б мск"", 62.5, ""a остальное"", 70, ""б остальное"", 80)/100,0)"),0.0)</f>
        <v>0</v>
      </c>
      <c r="X739" s="91">
        <f t="shared" si="4"/>
        <v>0</v>
      </c>
    </row>
    <row r="740">
      <c r="A740" s="12"/>
      <c r="B740" s="12"/>
      <c r="C740" s="12"/>
      <c r="D740" s="91">
        <f>IFERROR(__xludf.DUMMYFUNCTION("IFERROR(sum(filter('Основной эфир'!$AA:$AA, 'Основной эфир'!$B:$B=$A740,'Основной эфир'!$C:$C=$B740,'Основной эфир'!$I:$I=$C740)), 0) "),0.0)</f>
        <v>0</v>
      </c>
      <c r="E740" s="91">
        <f>IFERROR(__xludf.DUMMYFUNCTION("IFERROR(sum(filter('Основной эфир'!$AC:$AC, 'Основной эфир'!$B:$B=$A740,'Основной эфир'!$C:$C=$B740,'Основной эфир'!$I:$I=$C740)), 0) "),0.0)</f>
        <v>0</v>
      </c>
      <c r="F740" s="91">
        <f>IFERROR(__xludf.DUMMYFUNCTION("IFERROR(sum(filter('Основной эфир'!$O:$O, 'Основной эфир'!$B:$B=$A740,'Основной эфир'!$C:$C=$B740,'Основной эфир'!$I:$I=$C740)), 0) "),0.0)</f>
        <v>0</v>
      </c>
      <c r="G740" s="91">
        <f>IFERROR(__xludf.DUMMYFUNCTION("IFERROR(sum(filter('Основной эфир'!$Q:$Q, 'Основной эфир'!$B:$B=$A740,'Основной эфир'!$C:$C=$B740,'Основной эфир'!$I:$I=$C740)), 0) "),0.0)</f>
        <v>0</v>
      </c>
      <c r="H740" s="91">
        <f>IFERROR(__xludf.DUMMYFUNCTION("IFERROR(AVERAGE(filter('Основной эфир'!$Y:$Y, 'Основной эфир'!$B:$B=$A740,'Основной эфир'!$C:$C=$B740,'Основной эфир'!$I:$I=$C740)), 0) "),0.0)</f>
        <v>0</v>
      </c>
      <c r="I740" s="91">
        <f>IFERROR(__xludf.DUMMYFUNCTION("IFERROR(AVERAGE(filter('Основной эфир'!$AE:$AE, 'Основной эфир'!$B:$B=$A740,'Основной эфир'!$C:$C=$B740,'Основной эфир'!$I:$I=$C740)), 0) "),0.0)</f>
        <v>0</v>
      </c>
      <c r="J740" s="91">
        <f>IFERROR(__xludf.DUMMYFUNCTION("IFERROR(SUM(filter('Основной эфир'!$AL:$AL, 'Основной эфир'!$B:$B=$A740,'Основной эфир'!$C:$C=$B740,'Основной эфир'!$I:$I=$C740)), 0) "),0.0)</f>
        <v>0</v>
      </c>
      <c r="K740" s="91" t="str">
        <f>IFERROR(__xludf.DUMMYFUNCTION("IFERROR(REGEXREPLACE(unique(filter('Основной эфир'!$A:$A, 'Основной эфир'!$B:$B=$A740,'Основной эфир'!$C:$C=$B740,'Основной эфир'!$I:$I=$C740)), ""\d+"", """"),"""")"),"")</f>
        <v/>
      </c>
      <c r="L740" s="91" t="str">
        <f>IFERROR(__xludf.DUMMYFUNCTION("IFERROR(unique(filter('Основной эфир'!$F:$F, 'Основной эфир'!$B:$B=$A740,'Основной эфир'!$C:$C=$B740,'Основной эфир'!$I:$I=$C740)),"""")"),"")</f>
        <v/>
      </c>
      <c r="M740" s="92" t="str">
        <f t="shared" si="1"/>
        <v/>
      </c>
      <c r="N740" s="93">
        <f>IFERROR(__xludf.DUMMYFUNCTION("IFERROR(SWITCH(lower(join("" "",L740:M740)),""а миллионник"", 62.5,""б миллионник"", 75,""а мск"", 50, ""б мск"", 62.5, ""a остальное"", 70, ""б остальное"", 80)/100,0)"),0.0)</f>
        <v>0</v>
      </c>
      <c r="O740" s="91">
        <f t="shared" si="2"/>
        <v>0</v>
      </c>
      <c r="P740" s="91">
        <f>IFERROR(__xludf.DUMMYFUNCTION("IFERROR(sum(filter('Генеральный баннер'!$O:$O, 'Генеральный баннер'!$B:$B=$A740,'Генеральный баннер'!$C:$C=$B740,'Генеральный баннер'!$I:$I=$C740)), 0) "),0.0)</f>
        <v>0</v>
      </c>
      <c r="Q740" s="91">
        <f>IFERROR(__xludf.DUMMYFUNCTION("IFERROR(sum(filter('Генеральный баннер'!$Q:$Q, 'Генеральный баннер'!$B:$B=$A740,'Генеральный баннер'!$C:$C=$B740,'Генеральный баннер'!$I:$I=$C740)), 0) "),0.0)</f>
        <v>0</v>
      </c>
      <c r="R740" s="91">
        <f>IFERROR(__xludf.DUMMYFUNCTION("IFERROR(AVERAGE(filter('Генеральный баннер'!$AA:$AA, 'Генеральный баннер'!$B:$B=$A740,'Генеральный баннер'!$C:$C=$B740,'Генеральный баннер'!$I:$I=$C740)), 0) "),0.0)</f>
        <v>0</v>
      </c>
      <c r="S740" s="91">
        <f>IFERROR(__xludf.DUMMYFUNCTION("IFERROR(SUM(filter('Генеральный баннер'!$AH:$AH, 'Генеральный баннер'!$B:$B=$A740,'Генеральный баннер'!$C:$C=$B740,'Генеральный баннер'!$I:$I=$C740)), 0) "),0.0)</f>
        <v>0</v>
      </c>
      <c r="T740" s="91" t="str">
        <f>IFERROR(__xludf.DUMMYFUNCTION("IFERROR(REGEXREPLACE(unique(filter('Генеральный баннер'!$A:$A, 'Генеральный баннер'!$B:$B=$A740,'Генеральный баннер'!$C:$C=$B740,'Генеральный баннер'!$I:$I=$C740)), ""\d+"", """"),"""")"),"")</f>
        <v/>
      </c>
      <c r="U740" s="91" t="str">
        <f>IFERROR(__xludf.DUMMYFUNCTION("IFERROR(unique(filter('Генеральный баннер'!$F:$F, 'Генеральный баннер'!$B:$B=$A740,'Генеральный баннер'!$C:$C=$B740,'Генеральный баннер'!$I:$I=$C740)),"""")"),"")</f>
        <v/>
      </c>
      <c r="V740" s="92" t="str">
        <f t="shared" si="3"/>
        <v/>
      </c>
      <c r="W740" s="93">
        <f>IFERROR(__xludf.DUMMYFUNCTION("IFERROR(SWITCH(lower(join("" "",U740:V740)),""а миллионник"", 62.5,""б миллионник"", 75,""а мск"", 50, ""б мск"", 62.5, ""a остальное"", 70, ""б остальное"", 80)/100,0)"),0.0)</f>
        <v>0</v>
      </c>
      <c r="X740" s="91">
        <f t="shared" si="4"/>
        <v>0</v>
      </c>
    </row>
    <row r="741">
      <c r="A741" s="12"/>
      <c r="B741" s="12"/>
      <c r="C741" s="12"/>
      <c r="D741" s="91">
        <f>IFERROR(__xludf.DUMMYFUNCTION("IFERROR(sum(filter('Основной эфир'!$AA:$AA, 'Основной эфир'!$B:$B=$A741,'Основной эфир'!$C:$C=$B741,'Основной эфир'!$I:$I=$C741)), 0) "),0.0)</f>
        <v>0</v>
      </c>
      <c r="E741" s="91">
        <f>IFERROR(__xludf.DUMMYFUNCTION("IFERROR(sum(filter('Основной эфир'!$AC:$AC, 'Основной эфир'!$B:$B=$A741,'Основной эфир'!$C:$C=$B741,'Основной эфир'!$I:$I=$C741)), 0) "),0.0)</f>
        <v>0</v>
      </c>
      <c r="F741" s="91">
        <f>IFERROR(__xludf.DUMMYFUNCTION("IFERROR(sum(filter('Основной эфир'!$O:$O, 'Основной эфир'!$B:$B=$A741,'Основной эфир'!$C:$C=$B741,'Основной эфир'!$I:$I=$C741)), 0) "),0.0)</f>
        <v>0</v>
      </c>
      <c r="G741" s="91">
        <f>IFERROR(__xludf.DUMMYFUNCTION("IFERROR(sum(filter('Основной эфир'!$Q:$Q, 'Основной эфир'!$B:$B=$A741,'Основной эфир'!$C:$C=$B741,'Основной эфир'!$I:$I=$C741)), 0) "),0.0)</f>
        <v>0</v>
      </c>
      <c r="H741" s="91">
        <f>IFERROR(__xludf.DUMMYFUNCTION("IFERROR(AVERAGE(filter('Основной эфир'!$Y:$Y, 'Основной эфир'!$B:$B=$A741,'Основной эфир'!$C:$C=$B741,'Основной эфир'!$I:$I=$C741)), 0) "),0.0)</f>
        <v>0</v>
      </c>
      <c r="I741" s="91">
        <f>IFERROR(__xludf.DUMMYFUNCTION("IFERROR(AVERAGE(filter('Основной эфир'!$AE:$AE, 'Основной эфир'!$B:$B=$A741,'Основной эфир'!$C:$C=$B741,'Основной эфир'!$I:$I=$C741)), 0) "),0.0)</f>
        <v>0</v>
      </c>
      <c r="J741" s="91">
        <f>IFERROR(__xludf.DUMMYFUNCTION("IFERROR(SUM(filter('Основной эфир'!$AL:$AL, 'Основной эфир'!$B:$B=$A741,'Основной эфир'!$C:$C=$B741,'Основной эфир'!$I:$I=$C741)), 0) "),0.0)</f>
        <v>0</v>
      </c>
      <c r="K741" s="91" t="str">
        <f>IFERROR(__xludf.DUMMYFUNCTION("IFERROR(REGEXREPLACE(unique(filter('Основной эфир'!$A:$A, 'Основной эфир'!$B:$B=$A741,'Основной эфир'!$C:$C=$B741,'Основной эфир'!$I:$I=$C741)), ""\d+"", """"),"""")"),"")</f>
        <v/>
      </c>
      <c r="L741" s="91" t="str">
        <f>IFERROR(__xludf.DUMMYFUNCTION("IFERROR(unique(filter('Основной эфир'!$F:$F, 'Основной эфир'!$B:$B=$A741,'Основной эфир'!$C:$C=$B741,'Основной эфир'!$I:$I=$C741)),"""")"),"")</f>
        <v/>
      </c>
      <c r="M741" s="92" t="str">
        <f t="shared" si="1"/>
        <v/>
      </c>
      <c r="N741" s="93">
        <f>IFERROR(__xludf.DUMMYFUNCTION("IFERROR(SWITCH(lower(join("" "",L741:M741)),""а миллионник"", 62.5,""б миллионник"", 75,""а мск"", 50, ""б мск"", 62.5, ""a остальное"", 70, ""б остальное"", 80)/100,0)"),0.0)</f>
        <v>0</v>
      </c>
      <c r="O741" s="91">
        <f t="shared" si="2"/>
        <v>0</v>
      </c>
      <c r="P741" s="91">
        <f>IFERROR(__xludf.DUMMYFUNCTION("IFERROR(sum(filter('Генеральный баннер'!$O:$O, 'Генеральный баннер'!$B:$B=$A741,'Генеральный баннер'!$C:$C=$B741,'Генеральный баннер'!$I:$I=$C741)), 0) "),0.0)</f>
        <v>0</v>
      </c>
      <c r="Q741" s="91">
        <f>IFERROR(__xludf.DUMMYFUNCTION("IFERROR(sum(filter('Генеральный баннер'!$Q:$Q, 'Генеральный баннер'!$B:$B=$A741,'Генеральный баннер'!$C:$C=$B741,'Генеральный баннер'!$I:$I=$C741)), 0) "),0.0)</f>
        <v>0</v>
      </c>
      <c r="R741" s="91">
        <f>IFERROR(__xludf.DUMMYFUNCTION("IFERROR(AVERAGE(filter('Генеральный баннер'!$AA:$AA, 'Генеральный баннер'!$B:$B=$A741,'Генеральный баннер'!$C:$C=$B741,'Генеральный баннер'!$I:$I=$C741)), 0) "),0.0)</f>
        <v>0</v>
      </c>
      <c r="S741" s="91">
        <f>IFERROR(__xludf.DUMMYFUNCTION("IFERROR(SUM(filter('Генеральный баннер'!$AH:$AH, 'Генеральный баннер'!$B:$B=$A741,'Генеральный баннер'!$C:$C=$B741,'Генеральный баннер'!$I:$I=$C741)), 0) "),0.0)</f>
        <v>0</v>
      </c>
      <c r="T741" s="91" t="str">
        <f>IFERROR(__xludf.DUMMYFUNCTION("IFERROR(REGEXREPLACE(unique(filter('Генеральный баннер'!$A:$A, 'Генеральный баннер'!$B:$B=$A741,'Генеральный баннер'!$C:$C=$B741,'Генеральный баннер'!$I:$I=$C741)), ""\d+"", """"),"""")"),"")</f>
        <v/>
      </c>
      <c r="U741" s="91" t="str">
        <f>IFERROR(__xludf.DUMMYFUNCTION("IFERROR(unique(filter('Генеральный баннер'!$F:$F, 'Генеральный баннер'!$B:$B=$A741,'Генеральный баннер'!$C:$C=$B741,'Генеральный баннер'!$I:$I=$C741)),"""")"),"")</f>
        <v/>
      </c>
      <c r="V741" s="92" t="str">
        <f t="shared" si="3"/>
        <v/>
      </c>
      <c r="W741" s="93">
        <f>IFERROR(__xludf.DUMMYFUNCTION("IFERROR(SWITCH(lower(join("" "",U741:V741)),""а миллионник"", 62.5,""б миллионник"", 75,""а мск"", 50, ""б мск"", 62.5, ""a остальное"", 70, ""б остальное"", 80)/100,0)"),0.0)</f>
        <v>0</v>
      </c>
      <c r="X741" s="91">
        <f t="shared" si="4"/>
        <v>0</v>
      </c>
    </row>
    <row r="742">
      <c r="A742" s="12"/>
      <c r="B742" s="12"/>
      <c r="C742" s="12"/>
      <c r="D742" s="91">
        <f>IFERROR(__xludf.DUMMYFUNCTION("IFERROR(sum(filter('Основной эфир'!$AA:$AA, 'Основной эфир'!$B:$B=$A742,'Основной эфир'!$C:$C=$B742,'Основной эфир'!$I:$I=$C742)), 0) "),0.0)</f>
        <v>0</v>
      </c>
      <c r="E742" s="91">
        <f>IFERROR(__xludf.DUMMYFUNCTION("IFERROR(sum(filter('Основной эфир'!$AC:$AC, 'Основной эфир'!$B:$B=$A742,'Основной эфир'!$C:$C=$B742,'Основной эфир'!$I:$I=$C742)), 0) "),0.0)</f>
        <v>0</v>
      </c>
      <c r="F742" s="91">
        <f>IFERROR(__xludf.DUMMYFUNCTION("IFERROR(sum(filter('Основной эфир'!$O:$O, 'Основной эфир'!$B:$B=$A742,'Основной эфир'!$C:$C=$B742,'Основной эфир'!$I:$I=$C742)), 0) "),0.0)</f>
        <v>0</v>
      </c>
      <c r="G742" s="91">
        <f>IFERROR(__xludf.DUMMYFUNCTION("IFERROR(sum(filter('Основной эфир'!$Q:$Q, 'Основной эфир'!$B:$B=$A742,'Основной эфир'!$C:$C=$B742,'Основной эфир'!$I:$I=$C742)), 0) "),0.0)</f>
        <v>0</v>
      </c>
      <c r="H742" s="91">
        <f>IFERROR(__xludf.DUMMYFUNCTION("IFERROR(AVERAGE(filter('Основной эфир'!$Y:$Y, 'Основной эфир'!$B:$B=$A742,'Основной эфир'!$C:$C=$B742,'Основной эфир'!$I:$I=$C742)), 0) "),0.0)</f>
        <v>0</v>
      </c>
      <c r="I742" s="91">
        <f>IFERROR(__xludf.DUMMYFUNCTION("IFERROR(AVERAGE(filter('Основной эфир'!$AE:$AE, 'Основной эфир'!$B:$B=$A742,'Основной эфир'!$C:$C=$B742,'Основной эфир'!$I:$I=$C742)), 0) "),0.0)</f>
        <v>0</v>
      </c>
      <c r="J742" s="91">
        <f>IFERROR(__xludf.DUMMYFUNCTION("IFERROR(SUM(filter('Основной эфир'!$AL:$AL, 'Основной эфир'!$B:$B=$A742,'Основной эфир'!$C:$C=$B742,'Основной эфир'!$I:$I=$C742)), 0) "),0.0)</f>
        <v>0</v>
      </c>
      <c r="K742" s="91" t="str">
        <f>IFERROR(__xludf.DUMMYFUNCTION("IFERROR(REGEXREPLACE(unique(filter('Основной эфир'!$A:$A, 'Основной эфир'!$B:$B=$A742,'Основной эфир'!$C:$C=$B742,'Основной эфир'!$I:$I=$C742)), ""\d+"", """"),"""")"),"")</f>
        <v/>
      </c>
      <c r="L742" s="91" t="str">
        <f>IFERROR(__xludf.DUMMYFUNCTION("IFERROR(unique(filter('Основной эфир'!$F:$F, 'Основной эфир'!$B:$B=$A742,'Основной эфир'!$C:$C=$B742,'Основной эфир'!$I:$I=$C742)),"""")"),"")</f>
        <v/>
      </c>
      <c r="M742" s="92" t="str">
        <f t="shared" si="1"/>
        <v/>
      </c>
      <c r="N742" s="93">
        <f>IFERROR(__xludf.DUMMYFUNCTION("IFERROR(SWITCH(lower(join("" "",L742:M742)),""а миллионник"", 62.5,""б миллионник"", 75,""а мск"", 50, ""б мск"", 62.5, ""a остальное"", 70, ""б остальное"", 80)/100,0)"),0.0)</f>
        <v>0</v>
      </c>
      <c r="O742" s="91">
        <f t="shared" si="2"/>
        <v>0</v>
      </c>
      <c r="P742" s="91">
        <f>IFERROR(__xludf.DUMMYFUNCTION("IFERROR(sum(filter('Генеральный баннер'!$O:$O, 'Генеральный баннер'!$B:$B=$A742,'Генеральный баннер'!$C:$C=$B742,'Генеральный баннер'!$I:$I=$C742)), 0) "),0.0)</f>
        <v>0</v>
      </c>
      <c r="Q742" s="91">
        <f>IFERROR(__xludf.DUMMYFUNCTION("IFERROR(sum(filter('Генеральный баннер'!$Q:$Q, 'Генеральный баннер'!$B:$B=$A742,'Генеральный баннер'!$C:$C=$B742,'Генеральный баннер'!$I:$I=$C742)), 0) "),0.0)</f>
        <v>0</v>
      </c>
      <c r="R742" s="91">
        <f>IFERROR(__xludf.DUMMYFUNCTION("IFERROR(AVERAGE(filter('Генеральный баннер'!$AA:$AA, 'Генеральный баннер'!$B:$B=$A742,'Генеральный баннер'!$C:$C=$B742,'Генеральный баннер'!$I:$I=$C742)), 0) "),0.0)</f>
        <v>0</v>
      </c>
      <c r="S742" s="91">
        <f>IFERROR(__xludf.DUMMYFUNCTION("IFERROR(SUM(filter('Генеральный баннер'!$AH:$AH, 'Генеральный баннер'!$B:$B=$A742,'Генеральный баннер'!$C:$C=$B742,'Генеральный баннер'!$I:$I=$C742)), 0) "),0.0)</f>
        <v>0</v>
      </c>
      <c r="T742" s="91" t="str">
        <f>IFERROR(__xludf.DUMMYFUNCTION("IFERROR(REGEXREPLACE(unique(filter('Генеральный баннер'!$A:$A, 'Генеральный баннер'!$B:$B=$A742,'Генеральный баннер'!$C:$C=$B742,'Генеральный баннер'!$I:$I=$C742)), ""\d+"", """"),"""")"),"")</f>
        <v/>
      </c>
      <c r="U742" s="91" t="str">
        <f>IFERROR(__xludf.DUMMYFUNCTION("IFERROR(unique(filter('Генеральный баннер'!$F:$F, 'Генеральный баннер'!$B:$B=$A742,'Генеральный баннер'!$C:$C=$B742,'Генеральный баннер'!$I:$I=$C742)),"""")"),"")</f>
        <v/>
      </c>
      <c r="V742" s="92" t="str">
        <f t="shared" si="3"/>
        <v/>
      </c>
      <c r="W742" s="93">
        <f>IFERROR(__xludf.DUMMYFUNCTION("IFERROR(SWITCH(lower(join("" "",U742:V742)),""а миллионник"", 62.5,""б миллионник"", 75,""а мск"", 50, ""б мск"", 62.5, ""a остальное"", 70, ""б остальное"", 80)/100,0)"),0.0)</f>
        <v>0</v>
      </c>
      <c r="X742" s="91">
        <f t="shared" si="4"/>
        <v>0</v>
      </c>
    </row>
    <row r="743">
      <c r="A743" s="12"/>
      <c r="B743" s="12"/>
      <c r="C743" s="12"/>
      <c r="D743" s="91">
        <f>IFERROR(__xludf.DUMMYFUNCTION("IFERROR(sum(filter('Основной эфир'!$AA:$AA, 'Основной эфир'!$B:$B=$A743,'Основной эфир'!$C:$C=$B743,'Основной эфир'!$I:$I=$C743)), 0) "),0.0)</f>
        <v>0</v>
      </c>
      <c r="E743" s="91">
        <f>IFERROR(__xludf.DUMMYFUNCTION("IFERROR(sum(filter('Основной эфир'!$AC:$AC, 'Основной эфир'!$B:$B=$A743,'Основной эфир'!$C:$C=$B743,'Основной эфир'!$I:$I=$C743)), 0) "),0.0)</f>
        <v>0</v>
      </c>
      <c r="F743" s="91">
        <f>IFERROR(__xludf.DUMMYFUNCTION("IFERROR(sum(filter('Основной эфир'!$O:$O, 'Основной эфир'!$B:$B=$A743,'Основной эфир'!$C:$C=$B743,'Основной эфир'!$I:$I=$C743)), 0) "),0.0)</f>
        <v>0</v>
      </c>
      <c r="G743" s="91">
        <f>IFERROR(__xludf.DUMMYFUNCTION("IFERROR(sum(filter('Основной эфир'!$Q:$Q, 'Основной эфир'!$B:$B=$A743,'Основной эфир'!$C:$C=$B743,'Основной эфир'!$I:$I=$C743)), 0) "),0.0)</f>
        <v>0</v>
      </c>
      <c r="H743" s="91">
        <f>IFERROR(__xludf.DUMMYFUNCTION("IFERROR(AVERAGE(filter('Основной эфир'!$Y:$Y, 'Основной эфир'!$B:$B=$A743,'Основной эфир'!$C:$C=$B743,'Основной эфир'!$I:$I=$C743)), 0) "),0.0)</f>
        <v>0</v>
      </c>
      <c r="I743" s="91">
        <f>IFERROR(__xludf.DUMMYFUNCTION("IFERROR(AVERAGE(filter('Основной эфир'!$AE:$AE, 'Основной эфир'!$B:$B=$A743,'Основной эфир'!$C:$C=$B743,'Основной эфир'!$I:$I=$C743)), 0) "),0.0)</f>
        <v>0</v>
      </c>
      <c r="J743" s="91">
        <f>IFERROR(__xludf.DUMMYFUNCTION("IFERROR(SUM(filter('Основной эфир'!$AL:$AL, 'Основной эфир'!$B:$B=$A743,'Основной эфир'!$C:$C=$B743,'Основной эфир'!$I:$I=$C743)), 0) "),0.0)</f>
        <v>0</v>
      </c>
      <c r="K743" s="91" t="str">
        <f>IFERROR(__xludf.DUMMYFUNCTION("IFERROR(REGEXREPLACE(unique(filter('Основной эфир'!$A:$A, 'Основной эфир'!$B:$B=$A743,'Основной эфир'!$C:$C=$B743,'Основной эфир'!$I:$I=$C743)), ""\d+"", """"),"""")"),"")</f>
        <v/>
      </c>
      <c r="L743" s="91" t="str">
        <f>IFERROR(__xludf.DUMMYFUNCTION("IFERROR(unique(filter('Основной эфир'!$F:$F, 'Основной эфир'!$B:$B=$A743,'Основной эфир'!$C:$C=$B743,'Основной эфир'!$I:$I=$C743)),"""")"),"")</f>
        <v/>
      </c>
      <c r="M743" s="92" t="str">
        <f t="shared" si="1"/>
        <v/>
      </c>
      <c r="N743" s="93">
        <f>IFERROR(__xludf.DUMMYFUNCTION("IFERROR(SWITCH(lower(join("" "",L743:M743)),""а миллионник"", 62.5,""б миллионник"", 75,""а мск"", 50, ""б мск"", 62.5, ""a остальное"", 70, ""б остальное"", 80)/100,0)"),0.0)</f>
        <v>0</v>
      </c>
      <c r="O743" s="91">
        <f t="shared" si="2"/>
        <v>0</v>
      </c>
      <c r="P743" s="91">
        <f>IFERROR(__xludf.DUMMYFUNCTION("IFERROR(sum(filter('Генеральный баннер'!$O:$O, 'Генеральный баннер'!$B:$B=$A743,'Генеральный баннер'!$C:$C=$B743,'Генеральный баннер'!$I:$I=$C743)), 0) "),0.0)</f>
        <v>0</v>
      </c>
      <c r="Q743" s="91">
        <f>IFERROR(__xludf.DUMMYFUNCTION("IFERROR(sum(filter('Генеральный баннер'!$Q:$Q, 'Генеральный баннер'!$B:$B=$A743,'Генеральный баннер'!$C:$C=$B743,'Генеральный баннер'!$I:$I=$C743)), 0) "),0.0)</f>
        <v>0</v>
      </c>
      <c r="R743" s="91">
        <f>IFERROR(__xludf.DUMMYFUNCTION("IFERROR(AVERAGE(filter('Генеральный баннер'!$AA:$AA, 'Генеральный баннер'!$B:$B=$A743,'Генеральный баннер'!$C:$C=$B743,'Генеральный баннер'!$I:$I=$C743)), 0) "),0.0)</f>
        <v>0</v>
      </c>
      <c r="S743" s="91">
        <f>IFERROR(__xludf.DUMMYFUNCTION("IFERROR(SUM(filter('Генеральный баннер'!$AH:$AH, 'Генеральный баннер'!$B:$B=$A743,'Генеральный баннер'!$C:$C=$B743,'Генеральный баннер'!$I:$I=$C743)), 0) "),0.0)</f>
        <v>0</v>
      </c>
      <c r="T743" s="91" t="str">
        <f>IFERROR(__xludf.DUMMYFUNCTION("IFERROR(REGEXREPLACE(unique(filter('Генеральный баннер'!$A:$A, 'Генеральный баннер'!$B:$B=$A743,'Генеральный баннер'!$C:$C=$B743,'Генеральный баннер'!$I:$I=$C743)), ""\d+"", """"),"""")"),"")</f>
        <v/>
      </c>
      <c r="U743" s="91" t="str">
        <f>IFERROR(__xludf.DUMMYFUNCTION("IFERROR(unique(filter('Генеральный баннер'!$F:$F, 'Генеральный баннер'!$B:$B=$A743,'Генеральный баннер'!$C:$C=$B743,'Генеральный баннер'!$I:$I=$C743)),"""")"),"")</f>
        <v/>
      </c>
      <c r="V743" s="92" t="str">
        <f t="shared" si="3"/>
        <v/>
      </c>
      <c r="W743" s="93">
        <f>IFERROR(__xludf.DUMMYFUNCTION("IFERROR(SWITCH(lower(join("" "",U743:V743)),""а миллионник"", 62.5,""б миллионник"", 75,""а мск"", 50, ""б мск"", 62.5, ""a остальное"", 70, ""б остальное"", 80)/100,0)"),0.0)</f>
        <v>0</v>
      </c>
      <c r="X743" s="91">
        <f t="shared" si="4"/>
        <v>0</v>
      </c>
    </row>
    <row r="744">
      <c r="A744" s="12"/>
      <c r="B744" s="12"/>
      <c r="C744" s="12"/>
      <c r="D744" s="91">
        <f>IFERROR(__xludf.DUMMYFUNCTION("IFERROR(sum(filter('Основной эфир'!$AA:$AA, 'Основной эфир'!$B:$B=$A744,'Основной эфир'!$C:$C=$B744,'Основной эфир'!$I:$I=$C744)), 0) "),0.0)</f>
        <v>0</v>
      </c>
      <c r="E744" s="91">
        <f>IFERROR(__xludf.DUMMYFUNCTION("IFERROR(sum(filter('Основной эфир'!$AC:$AC, 'Основной эфир'!$B:$B=$A744,'Основной эфир'!$C:$C=$B744,'Основной эфир'!$I:$I=$C744)), 0) "),0.0)</f>
        <v>0</v>
      </c>
      <c r="F744" s="91">
        <f>IFERROR(__xludf.DUMMYFUNCTION("IFERROR(sum(filter('Основной эфир'!$O:$O, 'Основной эфир'!$B:$B=$A744,'Основной эфир'!$C:$C=$B744,'Основной эфир'!$I:$I=$C744)), 0) "),0.0)</f>
        <v>0</v>
      </c>
      <c r="G744" s="91">
        <f>IFERROR(__xludf.DUMMYFUNCTION("IFERROR(sum(filter('Основной эфир'!$Q:$Q, 'Основной эфир'!$B:$B=$A744,'Основной эфир'!$C:$C=$B744,'Основной эфир'!$I:$I=$C744)), 0) "),0.0)</f>
        <v>0</v>
      </c>
      <c r="H744" s="91">
        <f>IFERROR(__xludf.DUMMYFUNCTION("IFERROR(AVERAGE(filter('Основной эфир'!$Y:$Y, 'Основной эфир'!$B:$B=$A744,'Основной эфир'!$C:$C=$B744,'Основной эфир'!$I:$I=$C744)), 0) "),0.0)</f>
        <v>0</v>
      </c>
      <c r="I744" s="91">
        <f>IFERROR(__xludf.DUMMYFUNCTION("IFERROR(AVERAGE(filter('Основной эфир'!$AE:$AE, 'Основной эфир'!$B:$B=$A744,'Основной эфир'!$C:$C=$B744,'Основной эфир'!$I:$I=$C744)), 0) "),0.0)</f>
        <v>0</v>
      </c>
      <c r="J744" s="91">
        <f>IFERROR(__xludf.DUMMYFUNCTION("IFERROR(SUM(filter('Основной эфир'!$AL:$AL, 'Основной эфир'!$B:$B=$A744,'Основной эфир'!$C:$C=$B744,'Основной эфир'!$I:$I=$C744)), 0) "),0.0)</f>
        <v>0</v>
      </c>
      <c r="K744" s="91" t="str">
        <f>IFERROR(__xludf.DUMMYFUNCTION("IFERROR(REGEXREPLACE(unique(filter('Основной эфир'!$A:$A, 'Основной эфир'!$B:$B=$A744,'Основной эфир'!$C:$C=$B744,'Основной эфир'!$I:$I=$C744)), ""\d+"", """"),"""")"),"")</f>
        <v/>
      </c>
      <c r="L744" s="91" t="str">
        <f>IFERROR(__xludf.DUMMYFUNCTION("IFERROR(unique(filter('Основной эфир'!$F:$F, 'Основной эфир'!$B:$B=$A744,'Основной эфир'!$C:$C=$B744,'Основной эфир'!$I:$I=$C744)),"""")"),"")</f>
        <v/>
      </c>
      <c r="M744" s="92" t="str">
        <f t="shared" si="1"/>
        <v/>
      </c>
      <c r="N744" s="93">
        <f>IFERROR(__xludf.DUMMYFUNCTION("IFERROR(SWITCH(lower(join("" "",L744:M744)),""а миллионник"", 62.5,""б миллионник"", 75,""а мск"", 50, ""б мск"", 62.5, ""a остальное"", 70, ""б остальное"", 80)/100,0)"),0.0)</f>
        <v>0</v>
      </c>
      <c r="O744" s="91">
        <f t="shared" si="2"/>
        <v>0</v>
      </c>
      <c r="P744" s="91">
        <f>IFERROR(__xludf.DUMMYFUNCTION("IFERROR(sum(filter('Генеральный баннер'!$O:$O, 'Генеральный баннер'!$B:$B=$A744,'Генеральный баннер'!$C:$C=$B744,'Генеральный баннер'!$I:$I=$C744)), 0) "),0.0)</f>
        <v>0</v>
      </c>
      <c r="Q744" s="91">
        <f>IFERROR(__xludf.DUMMYFUNCTION("IFERROR(sum(filter('Генеральный баннер'!$Q:$Q, 'Генеральный баннер'!$B:$B=$A744,'Генеральный баннер'!$C:$C=$B744,'Генеральный баннер'!$I:$I=$C744)), 0) "),0.0)</f>
        <v>0</v>
      </c>
      <c r="R744" s="91">
        <f>IFERROR(__xludf.DUMMYFUNCTION("IFERROR(AVERAGE(filter('Генеральный баннер'!$AA:$AA, 'Генеральный баннер'!$B:$B=$A744,'Генеральный баннер'!$C:$C=$B744,'Генеральный баннер'!$I:$I=$C744)), 0) "),0.0)</f>
        <v>0</v>
      </c>
      <c r="S744" s="91">
        <f>IFERROR(__xludf.DUMMYFUNCTION("IFERROR(SUM(filter('Генеральный баннер'!$AH:$AH, 'Генеральный баннер'!$B:$B=$A744,'Генеральный баннер'!$C:$C=$B744,'Генеральный баннер'!$I:$I=$C744)), 0) "),0.0)</f>
        <v>0</v>
      </c>
      <c r="T744" s="91" t="str">
        <f>IFERROR(__xludf.DUMMYFUNCTION("IFERROR(REGEXREPLACE(unique(filter('Генеральный баннер'!$A:$A, 'Генеральный баннер'!$B:$B=$A744,'Генеральный баннер'!$C:$C=$B744,'Генеральный баннер'!$I:$I=$C744)), ""\d+"", """"),"""")"),"")</f>
        <v/>
      </c>
      <c r="U744" s="91" t="str">
        <f>IFERROR(__xludf.DUMMYFUNCTION("IFERROR(unique(filter('Генеральный баннер'!$F:$F, 'Генеральный баннер'!$B:$B=$A744,'Генеральный баннер'!$C:$C=$B744,'Генеральный баннер'!$I:$I=$C744)),"""")"),"")</f>
        <v/>
      </c>
      <c r="V744" s="92" t="str">
        <f t="shared" si="3"/>
        <v/>
      </c>
      <c r="W744" s="93">
        <f>IFERROR(__xludf.DUMMYFUNCTION("IFERROR(SWITCH(lower(join("" "",U744:V744)),""а миллионник"", 62.5,""б миллионник"", 75,""а мск"", 50, ""б мск"", 62.5, ""a остальное"", 70, ""б остальное"", 80)/100,0)"),0.0)</f>
        <v>0</v>
      </c>
      <c r="X744" s="91">
        <f t="shared" si="4"/>
        <v>0</v>
      </c>
    </row>
    <row r="745">
      <c r="A745" s="12"/>
      <c r="B745" s="12"/>
      <c r="C745" s="12"/>
      <c r="D745" s="91">
        <f>IFERROR(__xludf.DUMMYFUNCTION("IFERROR(sum(filter('Основной эфир'!$AA:$AA, 'Основной эфир'!$B:$B=$A745,'Основной эфир'!$C:$C=$B745,'Основной эфир'!$I:$I=$C745)), 0) "),0.0)</f>
        <v>0</v>
      </c>
      <c r="E745" s="91">
        <f>IFERROR(__xludf.DUMMYFUNCTION("IFERROR(sum(filter('Основной эфир'!$AC:$AC, 'Основной эфир'!$B:$B=$A745,'Основной эфир'!$C:$C=$B745,'Основной эфир'!$I:$I=$C745)), 0) "),0.0)</f>
        <v>0</v>
      </c>
      <c r="F745" s="91">
        <f>IFERROR(__xludf.DUMMYFUNCTION("IFERROR(sum(filter('Основной эфир'!$O:$O, 'Основной эфир'!$B:$B=$A745,'Основной эфир'!$C:$C=$B745,'Основной эфир'!$I:$I=$C745)), 0) "),0.0)</f>
        <v>0</v>
      </c>
      <c r="G745" s="91">
        <f>IFERROR(__xludf.DUMMYFUNCTION("IFERROR(sum(filter('Основной эфир'!$Q:$Q, 'Основной эфир'!$B:$B=$A745,'Основной эфир'!$C:$C=$B745,'Основной эфир'!$I:$I=$C745)), 0) "),0.0)</f>
        <v>0</v>
      </c>
      <c r="H745" s="91">
        <f>IFERROR(__xludf.DUMMYFUNCTION("IFERROR(AVERAGE(filter('Основной эфир'!$Y:$Y, 'Основной эфир'!$B:$B=$A745,'Основной эфир'!$C:$C=$B745,'Основной эфир'!$I:$I=$C745)), 0) "),0.0)</f>
        <v>0</v>
      </c>
      <c r="I745" s="91">
        <f>IFERROR(__xludf.DUMMYFUNCTION("IFERROR(AVERAGE(filter('Основной эфир'!$AE:$AE, 'Основной эфир'!$B:$B=$A745,'Основной эфир'!$C:$C=$B745,'Основной эфир'!$I:$I=$C745)), 0) "),0.0)</f>
        <v>0</v>
      </c>
      <c r="J745" s="91">
        <f>IFERROR(__xludf.DUMMYFUNCTION("IFERROR(SUM(filter('Основной эфир'!$AL:$AL, 'Основной эфир'!$B:$B=$A745,'Основной эфир'!$C:$C=$B745,'Основной эфир'!$I:$I=$C745)), 0) "),0.0)</f>
        <v>0</v>
      </c>
      <c r="K745" s="91" t="str">
        <f>IFERROR(__xludf.DUMMYFUNCTION("IFERROR(REGEXREPLACE(unique(filter('Основной эфир'!$A:$A, 'Основной эфир'!$B:$B=$A745,'Основной эфир'!$C:$C=$B745,'Основной эфир'!$I:$I=$C745)), ""\d+"", """"),"""")"),"")</f>
        <v/>
      </c>
      <c r="L745" s="91" t="str">
        <f>IFERROR(__xludf.DUMMYFUNCTION("IFERROR(unique(filter('Основной эфир'!$F:$F, 'Основной эфир'!$B:$B=$A745,'Основной эфир'!$C:$C=$B745,'Основной эфир'!$I:$I=$C745)),"""")"),"")</f>
        <v/>
      </c>
      <c r="M745" s="92" t="str">
        <f t="shared" si="1"/>
        <v/>
      </c>
      <c r="N745" s="93">
        <f>IFERROR(__xludf.DUMMYFUNCTION("IFERROR(SWITCH(lower(join("" "",L745:M745)),""а миллионник"", 62.5,""б миллионник"", 75,""а мск"", 50, ""б мск"", 62.5, ""a остальное"", 70, ""б остальное"", 80)/100,0)"),0.0)</f>
        <v>0</v>
      </c>
      <c r="O745" s="91">
        <f t="shared" si="2"/>
        <v>0</v>
      </c>
      <c r="P745" s="91">
        <f>IFERROR(__xludf.DUMMYFUNCTION("IFERROR(sum(filter('Генеральный баннер'!$O:$O, 'Генеральный баннер'!$B:$B=$A745,'Генеральный баннер'!$C:$C=$B745,'Генеральный баннер'!$I:$I=$C745)), 0) "),0.0)</f>
        <v>0</v>
      </c>
      <c r="Q745" s="91">
        <f>IFERROR(__xludf.DUMMYFUNCTION("IFERROR(sum(filter('Генеральный баннер'!$Q:$Q, 'Генеральный баннер'!$B:$B=$A745,'Генеральный баннер'!$C:$C=$B745,'Генеральный баннер'!$I:$I=$C745)), 0) "),0.0)</f>
        <v>0</v>
      </c>
      <c r="R745" s="91">
        <f>IFERROR(__xludf.DUMMYFUNCTION("IFERROR(AVERAGE(filter('Генеральный баннер'!$AA:$AA, 'Генеральный баннер'!$B:$B=$A745,'Генеральный баннер'!$C:$C=$B745,'Генеральный баннер'!$I:$I=$C745)), 0) "),0.0)</f>
        <v>0</v>
      </c>
      <c r="S745" s="91">
        <f>IFERROR(__xludf.DUMMYFUNCTION("IFERROR(SUM(filter('Генеральный баннер'!$AH:$AH, 'Генеральный баннер'!$B:$B=$A745,'Генеральный баннер'!$C:$C=$B745,'Генеральный баннер'!$I:$I=$C745)), 0) "),0.0)</f>
        <v>0</v>
      </c>
      <c r="T745" s="91" t="str">
        <f>IFERROR(__xludf.DUMMYFUNCTION("IFERROR(REGEXREPLACE(unique(filter('Генеральный баннер'!$A:$A, 'Генеральный баннер'!$B:$B=$A745,'Генеральный баннер'!$C:$C=$B745,'Генеральный баннер'!$I:$I=$C745)), ""\d+"", """"),"""")"),"")</f>
        <v/>
      </c>
      <c r="U745" s="91" t="str">
        <f>IFERROR(__xludf.DUMMYFUNCTION("IFERROR(unique(filter('Генеральный баннер'!$F:$F, 'Генеральный баннер'!$B:$B=$A745,'Генеральный баннер'!$C:$C=$B745,'Генеральный баннер'!$I:$I=$C745)),"""")"),"")</f>
        <v/>
      </c>
      <c r="V745" s="92" t="str">
        <f t="shared" si="3"/>
        <v/>
      </c>
      <c r="W745" s="93">
        <f>IFERROR(__xludf.DUMMYFUNCTION("IFERROR(SWITCH(lower(join("" "",U745:V745)),""а миллионник"", 62.5,""б миллионник"", 75,""а мск"", 50, ""б мск"", 62.5, ""a остальное"", 70, ""б остальное"", 80)/100,0)"),0.0)</f>
        <v>0</v>
      </c>
      <c r="X745" s="91">
        <f t="shared" si="4"/>
        <v>0</v>
      </c>
    </row>
    <row r="746">
      <c r="A746" s="12"/>
      <c r="B746" s="12"/>
      <c r="C746" s="12"/>
      <c r="D746" s="91">
        <f>IFERROR(__xludf.DUMMYFUNCTION("IFERROR(sum(filter('Основной эфир'!$AA:$AA, 'Основной эфир'!$B:$B=$A746,'Основной эфир'!$C:$C=$B746,'Основной эфир'!$I:$I=$C746)), 0) "),0.0)</f>
        <v>0</v>
      </c>
      <c r="E746" s="91">
        <f>IFERROR(__xludf.DUMMYFUNCTION("IFERROR(sum(filter('Основной эфир'!$AC:$AC, 'Основной эфир'!$B:$B=$A746,'Основной эфир'!$C:$C=$B746,'Основной эфир'!$I:$I=$C746)), 0) "),0.0)</f>
        <v>0</v>
      </c>
      <c r="F746" s="91">
        <f>IFERROR(__xludf.DUMMYFUNCTION("IFERROR(sum(filter('Основной эфир'!$O:$O, 'Основной эфир'!$B:$B=$A746,'Основной эфир'!$C:$C=$B746,'Основной эфир'!$I:$I=$C746)), 0) "),0.0)</f>
        <v>0</v>
      </c>
      <c r="G746" s="91">
        <f>IFERROR(__xludf.DUMMYFUNCTION("IFERROR(sum(filter('Основной эфир'!$Q:$Q, 'Основной эфир'!$B:$B=$A746,'Основной эфир'!$C:$C=$B746,'Основной эфир'!$I:$I=$C746)), 0) "),0.0)</f>
        <v>0</v>
      </c>
      <c r="H746" s="91">
        <f>IFERROR(__xludf.DUMMYFUNCTION("IFERROR(AVERAGE(filter('Основной эфир'!$Y:$Y, 'Основной эфир'!$B:$B=$A746,'Основной эфир'!$C:$C=$B746,'Основной эфир'!$I:$I=$C746)), 0) "),0.0)</f>
        <v>0</v>
      </c>
      <c r="I746" s="91">
        <f>IFERROR(__xludf.DUMMYFUNCTION("IFERROR(AVERAGE(filter('Основной эфир'!$AE:$AE, 'Основной эфир'!$B:$B=$A746,'Основной эфир'!$C:$C=$B746,'Основной эфир'!$I:$I=$C746)), 0) "),0.0)</f>
        <v>0</v>
      </c>
      <c r="J746" s="91">
        <f>IFERROR(__xludf.DUMMYFUNCTION("IFERROR(SUM(filter('Основной эфир'!$AL:$AL, 'Основной эфир'!$B:$B=$A746,'Основной эфир'!$C:$C=$B746,'Основной эфир'!$I:$I=$C746)), 0) "),0.0)</f>
        <v>0</v>
      </c>
      <c r="K746" s="91" t="str">
        <f>IFERROR(__xludf.DUMMYFUNCTION("IFERROR(REGEXREPLACE(unique(filter('Основной эфир'!$A:$A, 'Основной эфир'!$B:$B=$A746,'Основной эфир'!$C:$C=$B746,'Основной эфир'!$I:$I=$C746)), ""\d+"", """"),"""")"),"")</f>
        <v/>
      </c>
      <c r="L746" s="91" t="str">
        <f>IFERROR(__xludf.DUMMYFUNCTION("IFERROR(unique(filter('Основной эфир'!$F:$F, 'Основной эфир'!$B:$B=$A746,'Основной эфир'!$C:$C=$B746,'Основной эфир'!$I:$I=$C746)),"""")"),"")</f>
        <v/>
      </c>
      <c r="M746" s="92" t="str">
        <f t="shared" si="1"/>
        <v/>
      </c>
      <c r="N746" s="93">
        <f>IFERROR(__xludf.DUMMYFUNCTION("IFERROR(SWITCH(lower(join("" "",L746:M746)),""а миллионник"", 62.5,""б миллионник"", 75,""а мск"", 50, ""б мск"", 62.5, ""a остальное"", 70, ""б остальное"", 80)/100,0)"),0.0)</f>
        <v>0</v>
      </c>
      <c r="O746" s="91">
        <f t="shared" si="2"/>
        <v>0</v>
      </c>
      <c r="P746" s="91">
        <f>IFERROR(__xludf.DUMMYFUNCTION("IFERROR(sum(filter('Генеральный баннер'!$O:$O, 'Генеральный баннер'!$B:$B=$A746,'Генеральный баннер'!$C:$C=$B746,'Генеральный баннер'!$I:$I=$C746)), 0) "),0.0)</f>
        <v>0</v>
      </c>
      <c r="Q746" s="91">
        <f>IFERROR(__xludf.DUMMYFUNCTION("IFERROR(sum(filter('Генеральный баннер'!$Q:$Q, 'Генеральный баннер'!$B:$B=$A746,'Генеральный баннер'!$C:$C=$B746,'Генеральный баннер'!$I:$I=$C746)), 0) "),0.0)</f>
        <v>0</v>
      </c>
      <c r="R746" s="91">
        <f>IFERROR(__xludf.DUMMYFUNCTION("IFERROR(AVERAGE(filter('Генеральный баннер'!$AA:$AA, 'Генеральный баннер'!$B:$B=$A746,'Генеральный баннер'!$C:$C=$B746,'Генеральный баннер'!$I:$I=$C746)), 0) "),0.0)</f>
        <v>0</v>
      </c>
      <c r="S746" s="91">
        <f>IFERROR(__xludf.DUMMYFUNCTION("IFERROR(SUM(filter('Генеральный баннер'!$AH:$AH, 'Генеральный баннер'!$B:$B=$A746,'Генеральный баннер'!$C:$C=$B746,'Генеральный баннер'!$I:$I=$C746)), 0) "),0.0)</f>
        <v>0</v>
      </c>
      <c r="T746" s="91" t="str">
        <f>IFERROR(__xludf.DUMMYFUNCTION("IFERROR(REGEXREPLACE(unique(filter('Генеральный баннер'!$A:$A, 'Генеральный баннер'!$B:$B=$A746,'Генеральный баннер'!$C:$C=$B746,'Генеральный баннер'!$I:$I=$C746)), ""\d+"", """"),"""")"),"")</f>
        <v/>
      </c>
      <c r="U746" s="91" t="str">
        <f>IFERROR(__xludf.DUMMYFUNCTION("IFERROR(unique(filter('Генеральный баннер'!$F:$F, 'Генеральный баннер'!$B:$B=$A746,'Генеральный баннер'!$C:$C=$B746,'Генеральный баннер'!$I:$I=$C746)),"""")"),"")</f>
        <v/>
      </c>
      <c r="V746" s="92" t="str">
        <f t="shared" si="3"/>
        <v/>
      </c>
      <c r="W746" s="93">
        <f>IFERROR(__xludf.DUMMYFUNCTION("IFERROR(SWITCH(lower(join("" "",U746:V746)),""а миллионник"", 62.5,""б миллионник"", 75,""а мск"", 50, ""б мск"", 62.5, ""a остальное"", 70, ""б остальное"", 80)/100,0)"),0.0)</f>
        <v>0</v>
      </c>
      <c r="X746" s="91">
        <f t="shared" si="4"/>
        <v>0</v>
      </c>
    </row>
    <row r="747">
      <c r="A747" s="12"/>
      <c r="B747" s="12"/>
      <c r="C747" s="12"/>
      <c r="D747" s="91">
        <f>IFERROR(__xludf.DUMMYFUNCTION("IFERROR(sum(filter('Основной эфир'!$AA:$AA, 'Основной эфир'!$B:$B=$A747,'Основной эфир'!$C:$C=$B747,'Основной эфир'!$I:$I=$C747)), 0) "),0.0)</f>
        <v>0</v>
      </c>
      <c r="E747" s="91">
        <f>IFERROR(__xludf.DUMMYFUNCTION("IFERROR(sum(filter('Основной эфир'!$AC:$AC, 'Основной эфир'!$B:$B=$A747,'Основной эфир'!$C:$C=$B747,'Основной эфир'!$I:$I=$C747)), 0) "),0.0)</f>
        <v>0</v>
      </c>
      <c r="F747" s="91">
        <f>IFERROR(__xludf.DUMMYFUNCTION("IFERROR(sum(filter('Основной эфир'!$O:$O, 'Основной эфир'!$B:$B=$A747,'Основной эфир'!$C:$C=$B747,'Основной эфир'!$I:$I=$C747)), 0) "),0.0)</f>
        <v>0</v>
      </c>
      <c r="G747" s="91">
        <f>IFERROR(__xludf.DUMMYFUNCTION("IFERROR(sum(filter('Основной эфир'!$Q:$Q, 'Основной эфир'!$B:$B=$A747,'Основной эфир'!$C:$C=$B747,'Основной эфир'!$I:$I=$C747)), 0) "),0.0)</f>
        <v>0</v>
      </c>
      <c r="H747" s="91">
        <f>IFERROR(__xludf.DUMMYFUNCTION("IFERROR(AVERAGE(filter('Основной эфир'!$Y:$Y, 'Основной эфир'!$B:$B=$A747,'Основной эфир'!$C:$C=$B747,'Основной эфир'!$I:$I=$C747)), 0) "),0.0)</f>
        <v>0</v>
      </c>
      <c r="I747" s="91">
        <f>IFERROR(__xludf.DUMMYFUNCTION("IFERROR(AVERAGE(filter('Основной эфир'!$AE:$AE, 'Основной эфир'!$B:$B=$A747,'Основной эфир'!$C:$C=$B747,'Основной эфир'!$I:$I=$C747)), 0) "),0.0)</f>
        <v>0</v>
      </c>
      <c r="J747" s="91">
        <f>IFERROR(__xludf.DUMMYFUNCTION("IFERROR(SUM(filter('Основной эфир'!$AL:$AL, 'Основной эфир'!$B:$B=$A747,'Основной эфир'!$C:$C=$B747,'Основной эфир'!$I:$I=$C747)), 0) "),0.0)</f>
        <v>0</v>
      </c>
      <c r="K747" s="91" t="str">
        <f>IFERROR(__xludf.DUMMYFUNCTION("IFERROR(REGEXREPLACE(unique(filter('Основной эфир'!$A:$A, 'Основной эфир'!$B:$B=$A747,'Основной эфир'!$C:$C=$B747,'Основной эфир'!$I:$I=$C747)), ""\d+"", """"),"""")"),"")</f>
        <v/>
      </c>
      <c r="L747" s="91" t="str">
        <f>IFERROR(__xludf.DUMMYFUNCTION("IFERROR(unique(filter('Основной эфир'!$F:$F, 'Основной эфир'!$B:$B=$A747,'Основной эфир'!$C:$C=$B747,'Основной эфир'!$I:$I=$C747)),"""")"),"")</f>
        <v/>
      </c>
      <c r="M747" s="92" t="str">
        <f t="shared" si="1"/>
        <v/>
      </c>
      <c r="N747" s="93">
        <f>IFERROR(__xludf.DUMMYFUNCTION("IFERROR(SWITCH(lower(join("" "",L747:M747)),""а миллионник"", 62.5,""б миллионник"", 75,""а мск"", 50, ""б мск"", 62.5, ""a остальное"", 70, ""б остальное"", 80)/100,0)"),0.0)</f>
        <v>0</v>
      </c>
      <c r="O747" s="91">
        <f t="shared" si="2"/>
        <v>0</v>
      </c>
      <c r="P747" s="91">
        <f>IFERROR(__xludf.DUMMYFUNCTION("IFERROR(sum(filter('Генеральный баннер'!$O:$O, 'Генеральный баннер'!$B:$B=$A747,'Генеральный баннер'!$C:$C=$B747,'Генеральный баннер'!$I:$I=$C747)), 0) "),0.0)</f>
        <v>0</v>
      </c>
      <c r="Q747" s="91">
        <f>IFERROR(__xludf.DUMMYFUNCTION("IFERROR(sum(filter('Генеральный баннер'!$Q:$Q, 'Генеральный баннер'!$B:$B=$A747,'Генеральный баннер'!$C:$C=$B747,'Генеральный баннер'!$I:$I=$C747)), 0) "),0.0)</f>
        <v>0</v>
      </c>
      <c r="R747" s="91">
        <f>IFERROR(__xludf.DUMMYFUNCTION("IFERROR(AVERAGE(filter('Генеральный баннер'!$AA:$AA, 'Генеральный баннер'!$B:$B=$A747,'Генеральный баннер'!$C:$C=$B747,'Генеральный баннер'!$I:$I=$C747)), 0) "),0.0)</f>
        <v>0</v>
      </c>
      <c r="S747" s="91">
        <f>IFERROR(__xludf.DUMMYFUNCTION("IFERROR(SUM(filter('Генеральный баннер'!$AH:$AH, 'Генеральный баннер'!$B:$B=$A747,'Генеральный баннер'!$C:$C=$B747,'Генеральный баннер'!$I:$I=$C747)), 0) "),0.0)</f>
        <v>0</v>
      </c>
      <c r="T747" s="91" t="str">
        <f>IFERROR(__xludf.DUMMYFUNCTION("IFERROR(REGEXREPLACE(unique(filter('Генеральный баннер'!$A:$A, 'Генеральный баннер'!$B:$B=$A747,'Генеральный баннер'!$C:$C=$B747,'Генеральный баннер'!$I:$I=$C747)), ""\d+"", """"),"""")"),"")</f>
        <v/>
      </c>
      <c r="U747" s="91" t="str">
        <f>IFERROR(__xludf.DUMMYFUNCTION("IFERROR(unique(filter('Генеральный баннер'!$F:$F, 'Генеральный баннер'!$B:$B=$A747,'Генеральный баннер'!$C:$C=$B747,'Генеральный баннер'!$I:$I=$C747)),"""")"),"")</f>
        <v/>
      </c>
      <c r="V747" s="92" t="str">
        <f t="shared" si="3"/>
        <v/>
      </c>
      <c r="W747" s="93">
        <f>IFERROR(__xludf.DUMMYFUNCTION("IFERROR(SWITCH(lower(join("" "",U747:V747)),""а миллионник"", 62.5,""б миллионник"", 75,""а мск"", 50, ""б мск"", 62.5, ""a остальное"", 70, ""б остальное"", 80)/100,0)"),0.0)</f>
        <v>0</v>
      </c>
      <c r="X747" s="91">
        <f t="shared" si="4"/>
        <v>0</v>
      </c>
    </row>
    <row r="748">
      <c r="A748" s="12"/>
      <c r="B748" s="12"/>
      <c r="C748" s="12"/>
      <c r="D748" s="91">
        <f>IFERROR(__xludf.DUMMYFUNCTION("IFERROR(sum(filter('Основной эфир'!$AA:$AA, 'Основной эфир'!$B:$B=$A748,'Основной эфир'!$C:$C=$B748,'Основной эфир'!$I:$I=$C748)), 0) "),0.0)</f>
        <v>0</v>
      </c>
      <c r="E748" s="91">
        <f>IFERROR(__xludf.DUMMYFUNCTION("IFERROR(sum(filter('Основной эфир'!$AC:$AC, 'Основной эфир'!$B:$B=$A748,'Основной эфир'!$C:$C=$B748,'Основной эфир'!$I:$I=$C748)), 0) "),0.0)</f>
        <v>0</v>
      </c>
      <c r="F748" s="91">
        <f>IFERROR(__xludf.DUMMYFUNCTION("IFERROR(sum(filter('Основной эфир'!$O:$O, 'Основной эфир'!$B:$B=$A748,'Основной эфир'!$C:$C=$B748,'Основной эфир'!$I:$I=$C748)), 0) "),0.0)</f>
        <v>0</v>
      </c>
      <c r="G748" s="91">
        <f>IFERROR(__xludf.DUMMYFUNCTION("IFERROR(sum(filter('Основной эфир'!$Q:$Q, 'Основной эфир'!$B:$B=$A748,'Основной эфир'!$C:$C=$B748,'Основной эфир'!$I:$I=$C748)), 0) "),0.0)</f>
        <v>0</v>
      </c>
      <c r="H748" s="91">
        <f>IFERROR(__xludf.DUMMYFUNCTION("IFERROR(AVERAGE(filter('Основной эфир'!$Y:$Y, 'Основной эфир'!$B:$B=$A748,'Основной эфир'!$C:$C=$B748,'Основной эфир'!$I:$I=$C748)), 0) "),0.0)</f>
        <v>0</v>
      </c>
      <c r="I748" s="91">
        <f>IFERROR(__xludf.DUMMYFUNCTION("IFERROR(AVERAGE(filter('Основной эфир'!$AE:$AE, 'Основной эфир'!$B:$B=$A748,'Основной эфир'!$C:$C=$B748,'Основной эфир'!$I:$I=$C748)), 0) "),0.0)</f>
        <v>0</v>
      </c>
      <c r="J748" s="91">
        <f>IFERROR(__xludf.DUMMYFUNCTION("IFERROR(SUM(filter('Основной эфир'!$AL:$AL, 'Основной эфир'!$B:$B=$A748,'Основной эфир'!$C:$C=$B748,'Основной эфир'!$I:$I=$C748)), 0) "),0.0)</f>
        <v>0</v>
      </c>
      <c r="K748" s="91" t="str">
        <f>IFERROR(__xludf.DUMMYFUNCTION("IFERROR(REGEXREPLACE(unique(filter('Основной эфир'!$A:$A, 'Основной эфир'!$B:$B=$A748,'Основной эфир'!$C:$C=$B748,'Основной эфир'!$I:$I=$C748)), ""\d+"", """"),"""")"),"")</f>
        <v/>
      </c>
      <c r="L748" s="91" t="str">
        <f>IFERROR(__xludf.DUMMYFUNCTION("IFERROR(unique(filter('Основной эфир'!$F:$F, 'Основной эфир'!$B:$B=$A748,'Основной эфир'!$C:$C=$B748,'Основной эфир'!$I:$I=$C748)),"""")"),"")</f>
        <v/>
      </c>
      <c r="M748" s="92" t="str">
        <f t="shared" si="1"/>
        <v/>
      </c>
      <c r="N748" s="93">
        <f>IFERROR(__xludf.DUMMYFUNCTION("IFERROR(SWITCH(lower(join("" "",L748:M748)),""а миллионник"", 62.5,""б миллионник"", 75,""а мск"", 50, ""б мск"", 62.5, ""a остальное"", 70, ""б остальное"", 80)/100,0)"),0.0)</f>
        <v>0</v>
      </c>
      <c r="O748" s="91">
        <f t="shared" si="2"/>
        <v>0</v>
      </c>
      <c r="P748" s="91">
        <f>IFERROR(__xludf.DUMMYFUNCTION("IFERROR(sum(filter('Генеральный баннер'!$O:$O, 'Генеральный баннер'!$B:$B=$A748,'Генеральный баннер'!$C:$C=$B748,'Генеральный баннер'!$I:$I=$C748)), 0) "),0.0)</f>
        <v>0</v>
      </c>
      <c r="Q748" s="91">
        <f>IFERROR(__xludf.DUMMYFUNCTION("IFERROR(sum(filter('Генеральный баннер'!$Q:$Q, 'Генеральный баннер'!$B:$B=$A748,'Генеральный баннер'!$C:$C=$B748,'Генеральный баннер'!$I:$I=$C748)), 0) "),0.0)</f>
        <v>0</v>
      </c>
      <c r="R748" s="91">
        <f>IFERROR(__xludf.DUMMYFUNCTION("IFERROR(AVERAGE(filter('Генеральный баннер'!$AA:$AA, 'Генеральный баннер'!$B:$B=$A748,'Генеральный баннер'!$C:$C=$B748,'Генеральный баннер'!$I:$I=$C748)), 0) "),0.0)</f>
        <v>0</v>
      </c>
      <c r="S748" s="91">
        <f>IFERROR(__xludf.DUMMYFUNCTION("IFERROR(SUM(filter('Генеральный баннер'!$AH:$AH, 'Генеральный баннер'!$B:$B=$A748,'Генеральный баннер'!$C:$C=$B748,'Генеральный баннер'!$I:$I=$C748)), 0) "),0.0)</f>
        <v>0</v>
      </c>
      <c r="T748" s="91" t="str">
        <f>IFERROR(__xludf.DUMMYFUNCTION("IFERROR(REGEXREPLACE(unique(filter('Генеральный баннер'!$A:$A, 'Генеральный баннер'!$B:$B=$A748,'Генеральный баннер'!$C:$C=$B748,'Генеральный баннер'!$I:$I=$C748)), ""\d+"", """"),"""")"),"")</f>
        <v/>
      </c>
      <c r="U748" s="91" t="str">
        <f>IFERROR(__xludf.DUMMYFUNCTION("IFERROR(unique(filter('Генеральный баннер'!$F:$F, 'Генеральный баннер'!$B:$B=$A748,'Генеральный баннер'!$C:$C=$B748,'Генеральный баннер'!$I:$I=$C748)),"""")"),"")</f>
        <v/>
      </c>
      <c r="V748" s="92" t="str">
        <f t="shared" si="3"/>
        <v/>
      </c>
      <c r="W748" s="93">
        <f>IFERROR(__xludf.DUMMYFUNCTION("IFERROR(SWITCH(lower(join("" "",U748:V748)),""а миллионник"", 62.5,""б миллионник"", 75,""а мск"", 50, ""б мск"", 62.5, ""a остальное"", 70, ""б остальное"", 80)/100,0)"),0.0)</f>
        <v>0</v>
      </c>
      <c r="X748" s="91">
        <f t="shared" si="4"/>
        <v>0</v>
      </c>
    </row>
    <row r="749">
      <c r="A749" s="12"/>
      <c r="B749" s="12"/>
      <c r="C749" s="12"/>
      <c r="D749" s="91">
        <f>IFERROR(__xludf.DUMMYFUNCTION("IFERROR(sum(filter('Основной эфир'!$AA:$AA, 'Основной эфир'!$B:$B=$A749,'Основной эфир'!$C:$C=$B749,'Основной эфир'!$I:$I=$C749)), 0) "),0.0)</f>
        <v>0</v>
      </c>
      <c r="E749" s="91">
        <f>IFERROR(__xludf.DUMMYFUNCTION("IFERROR(sum(filter('Основной эфир'!$AC:$AC, 'Основной эфир'!$B:$B=$A749,'Основной эфир'!$C:$C=$B749,'Основной эфир'!$I:$I=$C749)), 0) "),0.0)</f>
        <v>0</v>
      </c>
      <c r="F749" s="91">
        <f>IFERROR(__xludf.DUMMYFUNCTION("IFERROR(sum(filter('Основной эфир'!$O:$O, 'Основной эфир'!$B:$B=$A749,'Основной эфир'!$C:$C=$B749,'Основной эфир'!$I:$I=$C749)), 0) "),0.0)</f>
        <v>0</v>
      </c>
      <c r="G749" s="91">
        <f>IFERROR(__xludf.DUMMYFUNCTION("IFERROR(sum(filter('Основной эфир'!$Q:$Q, 'Основной эфир'!$B:$B=$A749,'Основной эфир'!$C:$C=$B749,'Основной эфир'!$I:$I=$C749)), 0) "),0.0)</f>
        <v>0</v>
      </c>
      <c r="H749" s="91">
        <f>IFERROR(__xludf.DUMMYFUNCTION("IFERROR(AVERAGE(filter('Основной эфир'!$Y:$Y, 'Основной эфир'!$B:$B=$A749,'Основной эфир'!$C:$C=$B749,'Основной эфир'!$I:$I=$C749)), 0) "),0.0)</f>
        <v>0</v>
      </c>
      <c r="I749" s="91">
        <f>IFERROR(__xludf.DUMMYFUNCTION("IFERROR(AVERAGE(filter('Основной эфир'!$AE:$AE, 'Основной эфир'!$B:$B=$A749,'Основной эфир'!$C:$C=$B749,'Основной эфир'!$I:$I=$C749)), 0) "),0.0)</f>
        <v>0</v>
      </c>
      <c r="J749" s="91">
        <f>IFERROR(__xludf.DUMMYFUNCTION("IFERROR(SUM(filter('Основной эфир'!$AL:$AL, 'Основной эфир'!$B:$B=$A749,'Основной эфир'!$C:$C=$B749,'Основной эфир'!$I:$I=$C749)), 0) "),0.0)</f>
        <v>0</v>
      </c>
      <c r="K749" s="91" t="str">
        <f>IFERROR(__xludf.DUMMYFUNCTION("IFERROR(REGEXREPLACE(unique(filter('Основной эфир'!$A:$A, 'Основной эфир'!$B:$B=$A749,'Основной эфир'!$C:$C=$B749,'Основной эфир'!$I:$I=$C749)), ""\d+"", """"),"""")"),"")</f>
        <v/>
      </c>
      <c r="L749" s="91" t="str">
        <f>IFERROR(__xludf.DUMMYFUNCTION("IFERROR(unique(filter('Основной эфир'!$F:$F, 'Основной эфир'!$B:$B=$A749,'Основной эфир'!$C:$C=$B749,'Основной эфир'!$I:$I=$C749)),"""")"),"")</f>
        <v/>
      </c>
      <c r="M749" s="92" t="str">
        <f t="shared" si="1"/>
        <v/>
      </c>
      <c r="N749" s="93">
        <f>IFERROR(__xludf.DUMMYFUNCTION("IFERROR(SWITCH(lower(join("" "",L749:M749)),""а миллионник"", 62.5,""б миллионник"", 75,""а мск"", 50, ""б мск"", 62.5, ""a остальное"", 70, ""б остальное"", 80)/100,0)"),0.0)</f>
        <v>0</v>
      </c>
      <c r="O749" s="91">
        <f t="shared" si="2"/>
        <v>0</v>
      </c>
      <c r="P749" s="91">
        <f>IFERROR(__xludf.DUMMYFUNCTION("IFERROR(sum(filter('Генеральный баннер'!$O:$O, 'Генеральный баннер'!$B:$B=$A749,'Генеральный баннер'!$C:$C=$B749,'Генеральный баннер'!$I:$I=$C749)), 0) "),0.0)</f>
        <v>0</v>
      </c>
      <c r="Q749" s="91">
        <f>IFERROR(__xludf.DUMMYFUNCTION("IFERROR(sum(filter('Генеральный баннер'!$Q:$Q, 'Генеральный баннер'!$B:$B=$A749,'Генеральный баннер'!$C:$C=$B749,'Генеральный баннер'!$I:$I=$C749)), 0) "),0.0)</f>
        <v>0</v>
      </c>
      <c r="R749" s="91">
        <f>IFERROR(__xludf.DUMMYFUNCTION("IFERROR(AVERAGE(filter('Генеральный баннер'!$AA:$AA, 'Генеральный баннер'!$B:$B=$A749,'Генеральный баннер'!$C:$C=$B749,'Генеральный баннер'!$I:$I=$C749)), 0) "),0.0)</f>
        <v>0</v>
      </c>
      <c r="S749" s="91">
        <f>IFERROR(__xludf.DUMMYFUNCTION("IFERROR(SUM(filter('Генеральный баннер'!$AH:$AH, 'Генеральный баннер'!$B:$B=$A749,'Генеральный баннер'!$C:$C=$B749,'Генеральный баннер'!$I:$I=$C749)), 0) "),0.0)</f>
        <v>0</v>
      </c>
      <c r="T749" s="91" t="str">
        <f>IFERROR(__xludf.DUMMYFUNCTION("IFERROR(REGEXREPLACE(unique(filter('Генеральный баннер'!$A:$A, 'Генеральный баннер'!$B:$B=$A749,'Генеральный баннер'!$C:$C=$B749,'Генеральный баннер'!$I:$I=$C749)), ""\d+"", """"),"""")"),"")</f>
        <v/>
      </c>
      <c r="U749" s="91" t="str">
        <f>IFERROR(__xludf.DUMMYFUNCTION("IFERROR(unique(filter('Генеральный баннер'!$F:$F, 'Генеральный баннер'!$B:$B=$A749,'Генеральный баннер'!$C:$C=$B749,'Генеральный баннер'!$I:$I=$C749)),"""")"),"")</f>
        <v/>
      </c>
      <c r="V749" s="92" t="str">
        <f t="shared" si="3"/>
        <v/>
      </c>
      <c r="W749" s="93">
        <f>IFERROR(__xludf.DUMMYFUNCTION("IFERROR(SWITCH(lower(join("" "",U749:V749)),""а миллионник"", 62.5,""б миллионник"", 75,""а мск"", 50, ""б мск"", 62.5, ""a остальное"", 70, ""б остальное"", 80)/100,0)"),0.0)</f>
        <v>0</v>
      </c>
      <c r="X749" s="91">
        <f t="shared" si="4"/>
        <v>0</v>
      </c>
    </row>
    <row r="750">
      <c r="A750" s="12"/>
      <c r="B750" s="12"/>
      <c r="C750" s="12"/>
      <c r="D750" s="91">
        <f>IFERROR(__xludf.DUMMYFUNCTION("IFERROR(sum(filter('Основной эфир'!$AA:$AA, 'Основной эфир'!$B:$B=$A750,'Основной эфир'!$C:$C=$B750,'Основной эфир'!$I:$I=$C750)), 0) "),0.0)</f>
        <v>0</v>
      </c>
      <c r="E750" s="91">
        <f>IFERROR(__xludf.DUMMYFUNCTION("IFERROR(sum(filter('Основной эфир'!$AC:$AC, 'Основной эфир'!$B:$B=$A750,'Основной эфир'!$C:$C=$B750,'Основной эфир'!$I:$I=$C750)), 0) "),0.0)</f>
        <v>0</v>
      </c>
      <c r="F750" s="91">
        <f>IFERROR(__xludf.DUMMYFUNCTION("IFERROR(sum(filter('Основной эфир'!$O:$O, 'Основной эфир'!$B:$B=$A750,'Основной эфир'!$C:$C=$B750,'Основной эфир'!$I:$I=$C750)), 0) "),0.0)</f>
        <v>0</v>
      </c>
      <c r="G750" s="91">
        <f>IFERROR(__xludf.DUMMYFUNCTION("IFERROR(sum(filter('Основной эфир'!$Q:$Q, 'Основной эфир'!$B:$B=$A750,'Основной эфир'!$C:$C=$B750,'Основной эфир'!$I:$I=$C750)), 0) "),0.0)</f>
        <v>0</v>
      </c>
      <c r="H750" s="91">
        <f>IFERROR(__xludf.DUMMYFUNCTION("IFERROR(AVERAGE(filter('Основной эфир'!$Y:$Y, 'Основной эфир'!$B:$B=$A750,'Основной эфир'!$C:$C=$B750,'Основной эфир'!$I:$I=$C750)), 0) "),0.0)</f>
        <v>0</v>
      </c>
      <c r="I750" s="91">
        <f>IFERROR(__xludf.DUMMYFUNCTION("IFERROR(AVERAGE(filter('Основной эфир'!$AE:$AE, 'Основной эфир'!$B:$B=$A750,'Основной эфир'!$C:$C=$B750,'Основной эфир'!$I:$I=$C750)), 0) "),0.0)</f>
        <v>0</v>
      </c>
      <c r="J750" s="91">
        <f>IFERROR(__xludf.DUMMYFUNCTION("IFERROR(SUM(filter('Основной эфир'!$AL:$AL, 'Основной эфир'!$B:$B=$A750,'Основной эфир'!$C:$C=$B750,'Основной эфир'!$I:$I=$C750)), 0) "),0.0)</f>
        <v>0</v>
      </c>
      <c r="K750" s="91" t="str">
        <f>IFERROR(__xludf.DUMMYFUNCTION("IFERROR(REGEXREPLACE(unique(filter('Основной эфир'!$A:$A, 'Основной эфир'!$B:$B=$A750,'Основной эфир'!$C:$C=$B750,'Основной эфир'!$I:$I=$C750)), ""\d+"", """"),"""")"),"")</f>
        <v/>
      </c>
      <c r="L750" s="91" t="str">
        <f>IFERROR(__xludf.DUMMYFUNCTION("IFERROR(unique(filter('Основной эфир'!$F:$F, 'Основной эфир'!$B:$B=$A750,'Основной эфир'!$C:$C=$B750,'Основной эфир'!$I:$I=$C750)),"""")"),"")</f>
        <v/>
      </c>
      <c r="M750" s="92" t="str">
        <f t="shared" si="1"/>
        <v/>
      </c>
      <c r="N750" s="93">
        <f>IFERROR(__xludf.DUMMYFUNCTION("IFERROR(SWITCH(lower(join("" "",L750:M750)),""а миллионник"", 62.5,""б миллионник"", 75,""а мск"", 50, ""б мск"", 62.5, ""a остальное"", 70, ""б остальное"", 80)/100,0)"),0.0)</f>
        <v>0</v>
      </c>
      <c r="O750" s="91">
        <f t="shared" si="2"/>
        <v>0</v>
      </c>
      <c r="P750" s="91">
        <f>IFERROR(__xludf.DUMMYFUNCTION("IFERROR(sum(filter('Генеральный баннер'!$O:$O, 'Генеральный баннер'!$B:$B=$A750,'Генеральный баннер'!$C:$C=$B750,'Генеральный баннер'!$I:$I=$C750)), 0) "),0.0)</f>
        <v>0</v>
      </c>
      <c r="Q750" s="91">
        <f>IFERROR(__xludf.DUMMYFUNCTION("IFERROR(sum(filter('Генеральный баннер'!$Q:$Q, 'Генеральный баннер'!$B:$B=$A750,'Генеральный баннер'!$C:$C=$B750,'Генеральный баннер'!$I:$I=$C750)), 0) "),0.0)</f>
        <v>0</v>
      </c>
      <c r="R750" s="91">
        <f>IFERROR(__xludf.DUMMYFUNCTION("IFERROR(AVERAGE(filter('Генеральный баннер'!$AA:$AA, 'Генеральный баннер'!$B:$B=$A750,'Генеральный баннер'!$C:$C=$B750,'Генеральный баннер'!$I:$I=$C750)), 0) "),0.0)</f>
        <v>0</v>
      </c>
      <c r="S750" s="91">
        <f>IFERROR(__xludf.DUMMYFUNCTION("IFERROR(SUM(filter('Генеральный баннер'!$AH:$AH, 'Генеральный баннер'!$B:$B=$A750,'Генеральный баннер'!$C:$C=$B750,'Генеральный баннер'!$I:$I=$C750)), 0) "),0.0)</f>
        <v>0</v>
      </c>
      <c r="T750" s="91" t="str">
        <f>IFERROR(__xludf.DUMMYFUNCTION("IFERROR(REGEXREPLACE(unique(filter('Генеральный баннер'!$A:$A, 'Генеральный баннер'!$B:$B=$A750,'Генеральный баннер'!$C:$C=$B750,'Генеральный баннер'!$I:$I=$C750)), ""\d+"", """"),"""")"),"")</f>
        <v/>
      </c>
      <c r="U750" s="91" t="str">
        <f>IFERROR(__xludf.DUMMYFUNCTION("IFERROR(unique(filter('Генеральный баннер'!$F:$F, 'Генеральный баннер'!$B:$B=$A750,'Генеральный баннер'!$C:$C=$B750,'Генеральный баннер'!$I:$I=$C750)),"""")"),"")</f>
        <v/>
      </c>
      <c r="V750" s="92" t="str">
        <f t="shared" si="3"/>
        <v/>
      </c>
      <c r="W750" s="93">
        <f>IFERROR(__xludf.DUMMYFUNCTION("IFERROR(SWITCH(lower(join("" "",U750:V750)),""а миллионник"", 62.5,""б миллионник"", 75,""а мск"", 50, ""б мск"", 62.5, ""a остальное"", 70, ""б остальное"", 80)/100,0)"),0.0)</f>
        <v>0</v>
      </c>
      <c r="X750" s="91">
        <f t="shared" si="4"/>
        <v>0</v>
      </c>
    </row>
    <row r="751">
      <c r="A751" s="12"/>
      <c r="B751" s="12"/>
      <c r="C751" s="12"/>
      <c r="D751" s="91">
        <f>IFERROR(__xludf.DUMMYFUNCTION("IFERROR(sum(filter('Основной эфир'!$AA:$AA, 'Основной эфир'!$B:$B=$A751,'Основной эфир'!$C:$C=$B751,'Основной эфир'!$I:$I=$C751)), 0) "),0.0)</f>
        <v>0</v>
      </c>
      <c r="E751" s="91">
        <f>IFERROR(__xludf.DUMMYFUNCTION("IFERROR(sum(filter('Основной эфир'!$AC:$AC, 'Основной эфир'!$B:$B=$A751,'Основной эфир'!$C:$C=$B751,'Основной эфир'!$I:$I=$C751)), 0) "),0.0)</f>
        <v>0</v>
      </c>
      <c r="F751" s="91">
        <f>IFERROR(__xludf.DUMMYFUNCTION("IFERROR(sum(filter('Основной эфир'!$O:$O, 'Основной эфир'!$B:$B=$A751,'Основной эфир'!$C:$C=$B751,'Основной эфир'!$I:$I=$C751)), 0) "),0.0)</f>
        <v>0</v>
      </c>
      <c r="G751" s="91">
        <f>IFERROR(__xludf.DUMMYFUNCTION("IFERROR(sum(filter('Основной эфир'!$Q:$Q, 'Основной эфир'!$B:$B=$A751,'Основной эфир'!$C:$C=$B751,'Основной эфир'!$I:$I=$C751)), 0) "),0.0)</f>
        <v>0</v>
      </c>
      <c r="H751" s="91">
        <f>IFERROR(__xludf.DUMMYFUNCTION("IFERROR(AVERAGE(filter('Основной эфир'!$Y:$Y, 'Основной эфир'!$B:$B=$A751,'Основной эфир'!$C:$C=$B751,'Основной эфир'!$I:$I=$C751)), 0) "),0.0)</f>
        <v>0</v>
      </c>
      <c r="I751" s="91">
        <f>IFERROR(__xludf.DUMMYFUNCTION("IFERROR(AVERAGE(filter('Основной эфир'!$AE:$AE, 'Основной эфир'!$B:$B=$A751,'Основной эфир'!$C:$C=$B751,'Основной эфир'!$I:$I=$C751)), 0) "),0.0)</f>
        <v>0</v>
      </c>
      <c r="J751" s="91">
        <f>IFERROR(__xludf.DUMMYFUNCTION("IFERROR(SUM(filter('Основной эфир'!$AL:$AL, 'Основной эфир'!$B:$B=$A751,'Основной эфир'!$C:$C=$B751,'Основной эфир'!$I:$I=$C751)), 0) "),0.0)</f>
        <v>0</v>
      </c>
      <c r="K751" s="91" t="str">
        <f>IFERROR(__xludf.DUMMYFUNCTION("IFERROR(REGEXREPLACE(unique(filter('Основной эфир'!$A:$A, 'Основной эфир'!$B:$B=$A751,'Основной эфир'!$C:$C=$B751,'Основной эфир'!$I:$I=$C751)), ""\d+"", """"),"""")"),"")</f>
        <v/>
      </c>
      <c r="L751" s="91" t="str">
        <f>IFERROR(__xludf.DUMMYFUNCTION("IFERROR(unique(filter('Основной эфир'!$F:$F, 'Основной эфир'!$B:$B=$A751,'Основной эфир'!$C:$C=$B751,'Основной эфир'!$I:$I=$C751)),"""")"),"")</f>
        <v/>
      </c>
      <c r="M751" s="92" t="str">
        <f t="shared" si="1"/>
        <v/>
      </c>
      <c r="N751" s="93">
        <f>IFERROR(__xludf.DUMMYFUNCTION("IFERROR(SWITCH(lower(join("" "",L751:M751)),""а миллионник"", 62.5,""б миллионник"", 75,""а мск"", 50, ""б мск"", 62.5, ""a остальное"", 70, ""б остальное"", 80)/100,0)"),0.0)</f>
        <v>0</v>
      </c>
      <c r="O751" s="91">
        <f t="shared" si="2"/>
        <v>0</v>
      </c>
      <c r="P751" s="91">
        <f>IFERROR(__xludf.DUMMYFUNCTION("IFERROR(sum(filter('Генеральный баннер'!$O:$O, 'Генеральный баннер'!$B:$B=$A751,'Генеральный баннер'!$C:$C=$B751,'Генеральный баннер'!$I:$I=$C751)), 0) "),0.0)</f>
        <v>0</v>
      </c>
      <c r="Q751" s="91">
        <f>IFERROR(__xludf.DUMMYFUNCTION("IFERROR(sum(filter('Генеральный баннер'!$Q:$Q, 'Генеральный баннер'!$B:$B=$A751,'Генеральный баннер'!$C:$C=$B751,'Генеральный баннер'!$I:$I=$C751)), 0) "),0.0)</f>
        <v>0</v>
      </c>
      <c r="R751" s="91">
        <f>IFERROR(__xludf.DUMMYFUNCTION("IFERROR(AVERAGE(filter('Генеральный баннер'!$AA:$AA, 'Генеральный баннер'!$B:$B=$A751,'Генеральный баннер'!$C:$C=$B751,'Генеральный баннер'!$I:$I=$C751)), 0) "),0.0)</f>
        <v>0</v>
      </c>
      <c r="S751" s="91">
        <f>IFERROR(__xludf.DUMMYFUNCTION("IFERROR(SUM(filter('Генеральный баннер'!$AH:$AH, 'Генеральный баннер'!$B:$B=$A751,'Генеральный баннер'!$C:$C=$B751,'Генеральный баннер'!$I:$I=$C751)), 0) "),0.0)</f>
        <v>0</v>
      </c>
      <c r="T751" s="91" t="str">
        <f>IFERROR(__xludf.DUMMYFUNCTION("IFERROR(REGEXREPLACE(unique(filter('Генеральный баннер'!$A:$A, 'Генеральный баннер'!$B:$B=$A751,'Генеральный баннер'!$C:$C=$B751,'Генеральный баннер'!$I:$I=$C751)), ""\d+"", """"),"""")"),"")</f>
        <v/>
      </c>
      <c r="U751" s="91" t="str">
        <f>IFERROR(__xludf.DUMMYFUNCTION("IFERROR(unique(filter('Генеральный баннер'!$F:$F, 'Генеральный баннер'!$B:$B=$A751,'Генеральный баннер'!$C:$C=$B751,'Генеральный баннер'!$I:$I=$C751)),"""")"),"")</f>
        <v/>
      </c>
      <c r="V751" s="92" t="str">
        <f t="shared" si="3"/>
        <v/>
      </c>
      <c r="W751" s="93">
        <f>IFERROR(__xludf.DUMMYFUNCTION("IFERROR(SWITCH(lower(join("" "",U751:V751)),""а миллионник"", 62.5,""б миллионник"", 75,""а мск"", 50, ""б мск"", 62.5, ""a остальное"", 70, ""б остальное"", 80)/100,0)"),0.0)</f>
        <v>0</v>
      </c>
      <c r="X751" s="91">
        <f t="shared" si="4"/>
        <v>0</v>
      </c>
    </row>
    <row r="752">
      <c r="A752" s="12"/>
      <c r="B752" s="12"/>
      <c r="C752" s="12"/>
      <c r="D752" s="91">
        <f>IFERROR(__xludf.DUMMYFUNCTION("IFERROR(sum(filter('Основной эфир'!$AA:$AA, 'Основной эфир'!$B:$B=$A752,'Основной эфир'!$C:$C=$B752,'Основной эфир'!$I:$I=$C752)), 0) "),0.0)</f>
        <v>0</v>
      </c>
      <c r="E752" s="91">
        <f>IFERROR(__xludf.DUMMYFUNCTION("IFERROR(sum(filter('Основной эфир'!$AC:$AC, 'Основной эфир'!$B:$B=$A752,'Основной эфир'!$C:$C=$B752,'Основной эфир'!$I:$I=$C752)), 0) "),0.0)</f>
        <v>0</v>
      </c>
      <c r="F752" s="91">
        <f>IFERROR(__xludf.DUMMYFUNCTION("IFERROR(sum(filter('Основной эфир'!$O:$O, 'Основной эфир'!$B:$B=$A752,'Основной эфир'!$C:$C=$B752,'Основной эфир'!$I:$I=$C752)), 0) "),0.0)</f>
        <v>0</v>
      </c>
      <c r="G752" s="91">
        <f>IFERROR(__xludf.DUMMYFUNCTION("IFERROR(sum(filter('Основной эфир'!$Q:$Q, 'Основной эфир'!$B:$B=$A752,'Основной эфир'!$C:$C=$B752,'Основной эфир'!$I:$I=$C752)), 0) "),0.0)</f>
        <v>0</v>
      </c>
      <c r="H752" s="91">
        <f>IFERROR(__xludf.DUMMYFUNCTION("IFERROR(AVERAGE(filter('Основной эфир'!$Y:$Y, 'Основной эфир'!$B:$B=$A752,'Основной эфир'!$C:$C=$B752,'Основной эфир'!$I:$I=$C752)), 0) "),0.0)</f>
        <v>0</v>
      </c>
      <c r="I752" s="91">
        <f>IFERROR(__xludf.DUMMYFUNCTION("IFERROR(AVERAGE(filter('Основной эфир'!$AE:$AE, 'Основной эфир'!$B:$B=$A752,'Основной эфир'!$C:$C=$B752,'Основной эфир'!$I:$I=$C752)), 0) "),0.0)</f>
        <v>0</v>
      </c>
      <c r="J752" s="91">
        <f>IFERROR(__xludf.DUMMYFUNCTION("IFERROR(SUM(filter('Основной эфир'!$AL:$AL, 'Основной эфир'!$B:$B=$A752,'Основной эфир'!$C:$C=$B752,'Основной эфир'!$I:$I=$C752)), 0) "),0.0)</f>
        <v>0</v>
      </c>
      <c r="K752" s="91" t="str">
        <f>IFERROR(__xludf.DUMMYFUNCTION("IFERROR(REGEXREPLACE(unique(filter('Основной эфир'!$A:$A, 'Основной эфир'!$B:$B=$A752,'Основной эфир'!$C:$C=$B752,'Основной эфир'!$I:$I=$C752)), ""\d+"", """"),"""")"),"")</f>
        <v/>
      </c>
      <c r="L752" s="91" t="str">
        <f>IFERROR(__xludf.DUMMYFUNCTION("IFERROR(unique(filter('Основной эфир'!$F:$F, 'Основной эфир'!$B:$B=$A752,'Основной эфир'!$C:$C=$B752,'Основной эфир'!$I:$I=$C752)),"""")"),"")</f>
        <v/>
      </c>
      <c r="M752" s="92" t="str">
        <f t="shared" si="1"/>
        <v/>
      </c>
      <c r="N752" s="93">
        <f>IFERROR(__xludf.DUMMYFUNCTION("IFERROR(SWITCH(lower(join("" "",L752:M752)),""а миллионник"", 62.5,""б миллионник"", 75,""а мск"", 50, ""б мск"", 62.5, ""a остальное"", 70, ""б остальное"", 80)/100,0)"),0.0)</f>
        <v>0</v>
      </c>
      <c r="O752" s="91">
        <f t="shared" si="2"/>
        <v>0</v>
      </c>
      <c r="P752" s="91">
        <f>IFERROR(__xludf.DUMMYFUNCTION("IFERROR(sum(filter('Генеральный баннер'!$O:$O, 'Генеральный баннер'!$B:$B=$A752,'Генеральный баннер'!$C:$C=$B752,'Генеральный баннер'!$I:$I=$C752)), 0) "),0.0)</f>
        <v>0</v>
      </c>
      <c r="Q752" s="91">
        <f>IFERROR(__xludf.DUMMYFUNCTION("IFERROR(sum(filter('Генеральный баннер'!$Q:$Q, 'Генеральный баннер'!$B:$B=$A752,'Генеральный баннер'!$C:$C=$B752,'Генеральный баннер'!$I:$I=$C752)), 0) "),0.0)</f>
        <v>0</v>
      </c>
      <c r="R752" s="91">
        <f>IFERROR(__xludf.DUMMYFUNCTION("IFERROR(AVERAGE(filter('Генеральный баннер'!$AA:$AA, 'Генеральный баннер'!$B:$B=$A752,'Генеральный баннер'!$C:$C=$B752,'Генеральный баннер'!$I:$I=$C752)), 0) "),0.0)</f>
        <v>0</v>
      </c>
      <c r="S752" s="91">
        <f>IFERROR(__xludf.DUMMYFUNCTION("IFERROR(SUM(filter('Генеральный баннер'!$AH:$AH, 'Генеральный баннер'!$B:$B=$A752,'Генеральный баннер'!$C:$C=$B752,'Генеральный баннер'!$I:$I=$C752)), 0) "),0.0)</f>
        <v>0</v>
      </c>
      <c r="T752" s="91" t="str">
        <f>IFERROR(__xludf.DUMMYFUNCTION("IFERROR(REGEXREPLACE(unique(filter('Генеральный баннер'!$A:$A, 'Генеральный баннер'!$B:$B=$A752,'Генеральный баннер'!$C:$C=$B752,'Генеральный баннер'!$I:$I=$C752)), ""\d+"", """"),"""")"),"")</f>
        <v/>
      </c>
      <c r="U752" s="91" t="str">
        <f>IFERROR(__xludf.DUMMYFUNCTION("IFERROR(unique(filter('Генеральный баннер'!$F:$F, 'Генеральный баннер'!$B:$B=$A752,'Генеральный баннер'!$C:$C=$B752,'Генеральный баннер'!$I:$I=$C752)),"""")"),"")</f>
        <v/>
      </c>
      <c r="V752" s="92" t="str">
        <f t="shared" si="3"/>
        <v/>
      </c>
      <c r="W752" s="93">
        <f>IFERROR(__xludf.DUMMYFUNCTION("IFERROR(SWITCH(lower(join("" "",U752:V752)),""а миллионник"", 62.5,""б миллионник"", 75,""а мск"", 50, ""б мск"", 62.5, ""a остальное"", 70, ""б остальное"", 80)/100,0)"),0.0)</f>
        <v>0</v>
      </c>
      <c r="X752" s="91">
        <f t="shared" si="4"/>
        <v>0</v>
      </c>
    </row>
    <row r="753">
      <c r="A753" s="12"/>
      <c r="B753" s="12"/>
      <c r="C753" s="12"/>
      <c r="D753" s="91">
        <f>IFERROR(__xludf.DUMMYFUNCTION("IFERROR(sum(filter('Основной эфир'!$AA:$AA, 'Основной эфир'!$B:$B=$A753,'Основной эфир'!$C:$C=$B753,'Основной эфир'!$I:$I=$C753)), 0) "),0.0)</f>
        <v>0</v>
      </c>
      <c r="E753" s="91">
        <f>IFERROR(__xludf.DUMMYFUNCTION("IFERROR(sum(filter('Основной эфир'!$AC:$AC, 'Основной эфир'!$B:$B=$A753,'Основной эфир'!$C:$C=$B753,'Основной эфир'!$I:$I=$C753)), 0) "),0.0)</f>
        <v>0</v>
      </c>
      <c r="F753" s="91">
        <f>IFERROR(__xludf.DUMMYFUNCTION("IFERROR(sum(filter('Основной эфир'!$O:$O, 'Основной эфир'!$B:$B=$A753,'Основной эфир'!$C:$C=$B753,'Основной эфир'!$I:$I=$C753)), 0) "),0.0)</f>
        <v>0</v>
      </c>
      <c r="G753" s="91">
        <f>IFERROR(__xludf.DUMMYFUNCTION("IFERROR(sum(filter('Основной эфир'!$Q:$Q, 'Основной эфир'!$B:$B=$A753,'Основной эфир'!$C:$C=$B753,'Основной эфир'!$I:$I=$C753)), 0) "),0.0)</f>
        <v>0</v>
      </c>
      <c r="H753" s="91">
        <f>IFERROR(__xludf.DUMMYFUNCTION("IFERROR(AVERAGE(filter('Основной эфир'!$Y:$Y, 'Основной эфир'!$B:$B=$A753,'Основной эфир'!$C:$C=$B753,'Основной эфир'!$I:$I=$C753)), 0) "),0.0)</f>
        <v>0</v>
      </c>
      <c r="I753" s="91">
        <f>IFERROR(__xludf.DUMMYFUNCTION("IFERROR(AVERAGE(filter('Основной эфир'!$AE:$AE, 'Основной эфир'!$B:$B=$A753,'Основной эфир'!$C:$C=$B753,'Основной эфир'!$I:$I=$C753)), 0) "),0.0)</f>
        <v>0</v>
      </c>
      <c r="J753" s="91">
        <f>IFERROR(__xludf.DUMMYFUNCTION("IFERROR(SUM(filter('Основной эфир'!$AL:$AL, 'Основной эфир'!$B:$B=$A753,'Основной эфир'!$C:$C=$B753,'Основной эфир'!$I:$I=$C753)), 0) "),0.0)</f>
        <v>0</v>
      </c>
      <c r="K753" s="91" t="str">
        <f>IFERROR(__xludf.DUMMYFUNCTION("IFERROR(REGEXREPLACE(unique(filter('Основной эфир'!$A:$A, 'Основной эфир'!$B:$B=$A753,'Основной эфир'!$C:$C=$B753,'Основной эфир'!$I:$I=$C753)), ""\d+"", """"),"""")"),"")</f>
        <v/>
      </c>
      <c r="L753" s="91" t="str">
        <f>IFERROR(__xludf.DUMMYFUNCTION("IFERROR(unique(filter('Основной эфир'!$F:$F, 'Основной эфир'!$B:$B=$A753,'Основной эфир'!$C:$C=$B753,'Основной эфир'!$I:$I=$C753)),"""")"),"")</f>
        <v/>
      </c>
      <c r="M753" s="92" t="str">
        <f t="shared" si="1"/>
        <v/>
      </c>
      <c r="N753" s="93">
        <f>IFERROR(__xludf.DUMMYFUNCTION("IFERROR(SWITCH(lower(join("" "",L753:M753)),""а миллионник"", 62.5,""б миллионник"", 75,""а мск"", 50, ""б мск"", 62.5, ""a остальное"", 70, ""б остальное"", 80)/100,0)"),0.0)</f>
        <v>0</v>
      </c>
      <c r="O753" s="91">
        <f t="shared" si="2"/>
        <v>0</v>
      </c>
      <c r="P753" s="91">
        <f>IFERROR(__xludf.DUMMYFUNCTION("IFERROR(sum(filter('Генеральный баннер'!$O:$O, 'Генеральный баннер'!$B:$B=$A753,'Генеральный баннер'!$C:$C=$B753,'Генеральный баннер'!$I:$I=$C753)), 0) "),0.0)</f>
        <v>0</v>
      </c>
      <c r="Q753" s="91">
        <f>IFERROR(__xludf.DUMMYFUNCTION("IFERROR(sum(filter('Генеральный баннер'!$Q:$Q, 'Генеральный баннер'!$B:$B=$A753,'Генеральный баннер'!$C:$C=$B753,'Генеральный баннер'!$I:$I=$C753)), 0) "),0.0)</f>
        <v>0</v>
      </c>
      <c r="R753" s="91">
        <f>IFERROR(__xludf.DUMMYFUNCTION("IFERROR(AVERAGE(filter('Генеральный баннер'!$AA:$AA, 'Генеральный баннер'!$B:$B=$A753,'Генеральный баннер'!$C:$C=$B753,'Генеральный баннер'!$I:$I=$C753)), 0) "),0.0)</f>
        <v>0</v>
      </c>
      <c r="S753" s="91">
        <f>IFERROR(__xludf.DUMMYFUNCTION("IFERROR(SUM(filter('Генеральный баннер'!$AH:$AH, 'Генеральный баннер'!$B:$B=$A753,'Генеральный баннер'!$C:$C=$B753,'Генеральный баннер'!$I:$I=$C753)), 0) "),0.0)</f>
        <v>0</v>
      </c>
      <c r="T753" s="91" t="str">
        <f>IFERROR(__xludf.DUMMYFUNCTION("IFERROR(REGEXREPLACE(unique(filter('Генеральный баннер'!$A:$A, 'Генеральный баннер'!$B:$B=$A753,'Генеральный баннер'!$C:$C=$B753,'Генеральный баннер'!$I:$I=$C753)), ""\d+"", """"),"""")"),"")</f>
        <v/>
      </c>
      <c r="U753" s="91" t="str">
        <f>IFERROR(__xludf.DUMMYFUNCTION("IFERROR(unique(filter('Генеральный баннер'!$F:$F, 'Генеральный баннер'!$B:$B=$A753,'Генеральный баннер'!$C:$C=$B753,'Генеральный баннер'!$I:$I=$C753)),"""")"),"")</f>
        <v/>
      </c>
      <c r="V753" s="92" t="str">
        <f t="shared" si="3"/>
        <v/>
      </c>
      <c r="W753" s="93">
        <f>IFERROR(__xludf.DUMMYFUNCTION("IFERROR(SWITCH(lower(join("" "",U753:V753)),""а миллионник"", 62.5,""б миллионник"", 75,""а мск"", 50, ""б мск"", 62.5, ""a остальное"", 70, ""б остальное"", 80)/100,0)"),0.0)</f>
        <v>0</v>
      </c>
      <c r="X753" s="91">
        <f t="shared" si="4"/>
        <v>0</v>
      </c>
    </row>
    <row r="754">
      <c r="A754" s="12"/>
      <c r="B754" s="12"/>
      <c r="C754" s="12"/>
      <c r="D754" s="91">
        <f>IFERROR(__xludf.DUMMYFUNCTION("IFERROR(sum(filter('Основной эфир'!$AA:$AA, 'Основной эфир'!$B:$B=$A754,'Основной эфир'!$C:$C=$B754,'Основной эфир'!$I:$I=$C754)), 0) "),0.0)</f>
        <v>0</v>
      </c>
      <c r="E754" s="91">
        <f>IFERROR(__xludf.DUMMYFUNCTION("IFERROR(sum(filter('Основной эфир'!$AC:$AC, 'Основной эфир'!$B:$B=$A754,'Основной эфир'!$C:$C=$B754,'Основной эфир'!$I:$I=$C754)), 0) "),0.0)</f>
        <v>0</v>
      </c>
      <c r="F754" s="91">
        <f>IFERROR(__xludf.DUMMYFUNCTION("IFERROR(sum(filter('Основной эфир'!$O:$O, 'Основной эфир'!$B:$B=$A754,'Основной эфир'!$C:$C=$B754,'Основной эфир'!$I:$I=$C754)), 0) "),0.0)</f>
        <v>0</v>
      </c>
      <c r="G754" s="91">
        <f>IFERROR(__xludf.DUMMYFUNCTION("IFERROR(sum(filter('Основной эфир'!$Q:$Q, 'Основной эфир'!$B:$B=$A754,'Основной эфир'!$C:$C=$B754,'Основной эфир'!$I:$I=$C754)), 0) "),0.0)</f>
        <v>0</v>
      </c>
      <c r="H754" s="91">
        <f>IFERROR(__xludf.DUMMYFUNCTION("IFERROR(AVERAGE(filter('Основной эфир'!$Y:$Y, 'Основной эфир'!$B:$B=$A754,'Основной эфир'!$C:$C=$B754,'Основной эфир'!$I:$I=$C754)), 0) "),0.0)</f>
        <v>0</v>
      </c>
      <c r="I754" s="91">
        <f>IFERROR(__xludf.DUMMYFUNCTION("IFERROR(AVERAGE(filter('Основной эфир'!$AE:$AE, 'Основной эфир'!$B:$B=$A754,'Основной эфир'!$C:$C=$B754,'Основной эфир'!$I:$I=$C754)), 0) "),0.0)</f>
        <v>0</v>
      </c>
      <c r="J754" s="91">
        <f>IFERROR(__xludf.DUMMYFUNCTION("IFERROR(SUM(filter('Основной эфир'!$AL:$AL, 'Основной эфир'!$B:$B=$A754,'Основной эфир'!$C:$C=$B754,'Основной эфир'!$I:$I=$C754)), 0) "),0.0)</f>
        <v>0</v>
      </c>
      <c r="K754" s="91" t="str">
        <f>IFERROR(__xludf.DUMMYFUNCTION("IFERROR(REGEXREPLACE(unique(filter('Основной эфир'!$A:$A, 'Основной эфир'!$B:$B=$A754,'Основной эфир'!$C:$C=$B754,'Основной эфир'!$I:$I=$C754)), ""\d+"", """"),"""")"),"")</f>
        <v/>
      </c>
      <c r="L754" s="91" t="str">
        <f>IFERROR(__xludf.DUMMYFUNCTION("IFERROR(unique(filter('Основной эфир'!$F:$F, 'Основной эфир'!$B:$B=$A754,'Основной эфир'!$C:$C=$B754,'Основной эфир'!$I:$I=$C754)),"""")"),"")</f>
        <v/>
      </c>
      <c r="M754" s="92" t="str">
        <f t="shared" si="1"/>
        <v/>
      </c>
      <c r="N754" s="93">
        <f>IFERROR(__xludf.DUMMYFUNCTION("IFERROR(SWITCH(lower(join("" "",L754:M754)),""а миллионник"", 62.5,""б миллионник"", 75,""а мск"", 50, ""б мск"", 62.5, ""a остальное"", 70, ""б остальное"", 80)/100,0)"),0.0)</f>
        <v>0</v>
      </c>
      <c r="O754" s="91">
        <f t="shared" si="2"/>
        <v>0</v>
      </c>
      <c r="P754" s="91">
        <f>IFERROR(__xludf.DUMMYFUNCTION("IFERROR(sum(filter('Генеральный баннер'!$O:$O, 'Генеральный баннер'!$B:$B=$A754,'Генеральный баннер'!$C:$C=$B754,'Генеральный баннер'!$I:$I=$C754)), 0) "),0.0)</f>
        <v>0</v>
      </c>
      <c r="Q754" s="91">
        <f>IFERROR(__xludf.DUMMYFUNCTION("IFERROR(sum(filter('Генеральный баннер'!$Q:$Q, 'Генеральный баннер'!$B:$B=$A754,'Генеральный баннер'!$C:$C=$B754,'Генеральный баннер'!$I:$I=$C754)), 0) "),0.0)</f>
        <v>0</v>
      </c>
      <c r="R754" s="91">
        <f>IFERROR(__xludf.DUMMYFUNCTION("IFERROR(AVERAGE(filter('Генеральный баннер'!$AA:$AA, 'Генеральный баннер'!$B:$B=$A754,'Генеральный баннер'!$C:$C=$B754,'Генеральный баннер'!$I:$I=$C754)), 0) "),0.0)</f>
        <v>0</v>
      </c>
      <c r="S754" s="91">
        <f>IFERROR(__xludf.DUMMYFUNCTION("IFERROR(SUM(filter('Генеральный баннер'!$AH:$AH, 'Генеральный баннер'!$B:$B=$A754,'Генеральный баннер'!$C:$C=$B754,'Генеральный баннер'!$I:$I=$C754)), 0) "),0.0)</f>
        <v>0</v>
      </c>
      <c r="T754" s="91" t="str">
        <f>IFERROR(__xludf.DUMMYFUNCTION("IFERROR(REGEXREPLACE(unique(filter('Генеральный баннер'!$A:$A, 'Генеральный баннер'!$B:$B=$A754,'Генеральный баннер'!$C:$C=$B754,'Генеральный баннер'!$I:$I=$C754)), ""\d+"", """"),"""")"),"")</f>
        <v/>
      </c>
      <c r="U754" s="91" t="str">
        <f>IFERROR(__xludf.DUMMYFUNCTION("IFERROR(unique(filter('Генеральный баннер'!$F:$F, 'Генеральный баннер'!$B:$B=$A754,'Генеральный баннер'!$C:$C=$B754,'Генеральный баннер'!$I:$I=$C754)),"""")"),"")</f>
        <v/>
      </c>
      <c r="V754" s="92" t="str">
        <f t="shared" si="3"/>
        <v/>
      </c>
      <c r="W754" s="93">
        <f>IFERROR(__xludf.DUMMYFUNCTION("IFERROR(SWITCH(lower(join("" "",U754:V754)),""а миллионник"", 62.5,""б миллионник"", 75,""а мск"", 50, ""б мск"", 62.5, ""a остальное"", 70, ""б остальное"", 80)/100,0)"),0.0)</f>
        <v>0</v>
      </c>
      <c r="X754" s="91">
        <f t="shared" si="4"/>
        <v>0</v>
      </c>
    </row>
    <row r="755">
      <c r="A755" s="12"/>
      <c r="B755" s="12"/>
      <c r="C755" s="12"/>
      <c r="D755" s="91">
        <f>IFERROR(__xludf.DUMMYFUNCTION("IFERROR(sum(filter('Основной эфир'!$AA:$AA, 'Основной эфир'!$B:$B=$A755,'Основной эфир'!$C:$C=$B755,'Основной эфир'!$I:$I=$C755)), 0) "),0.0)</f>
        <v>0</v>
      </c>
      <c r="E755" s="91">
        <f>IFERROR(__xludf.DUMMYFUNCTION("IFERROR(sum(filter('Основной эфир'!$AC:$AC, 'Основной эфир'!$B:$B=$A755,'Основной эфир'!$C:$C=$B755,'Основной эфир'!$I:$I=$C755)), 0) "),0.0)</f>
        <v>0</v>
      </c>
      <c r="F755" s="91">
        <f>IFERROR(__xludf.DUMMYFUNCTION("IFERROR(sum(filter('Основной эфир'!$O:$O, 'Основной эфир'!$B:$B=$A755,'Основной эфир'!$C:$C=$B755,'Основной эфир'!$I:$I=$C755)), 0) "),0.0)</f>
        <v>0</v>
      </c>
      <c r="G755" s="91">
        <f>IFERROR(__xludf.DUMMYFUNCTION("IFERROR(sum(filter('Основной эфир'!$Q:$Q, 'Основной эфир'!$B:$B=$A755,'Основной эфир'!$C:$C=$B755,'Основной эфир'!$I:$I=$C755)), 0) "),0.0)</f>
        <v>0</v>
      </c>
      <c r="H755" s="91">
        <f>IFERROR(__xludf.DUMMYFUNCTION("IFERROR(AVERAGE(filter('Основной эфир'!$Y:$Y, 'Основной эфир'!$B:$B=$A755,'Основной эфир'!$C:$C=$B755,'Основной эфир'!$I:$I=$C755)), 0) "),0.0)</f>
        <v>0</v>
      </c>
      <c r="I755" s="91">
        <f>IFERROR(__xludf.DUMMYFUNCTION("IFERROR(AVERAGE(filter('Основной эфир'!$AE:$AE, 'Основной эфир'!$B:$B=$A755,'Основной эфир'!$C:$C=$B755,'Основной эфир'!$I:$I=$C755)), 0) "),0.0)</f>
        <v>0</v>
      </c>
      <c r="J755" s="91">
        <f>IFERROR(__xludf.DUMMYFUNCTION("IFERROR(SUM(filter('Основной эфир'!$AL:$AL, 'Основной эфир'!$B:$B=$A755,'Основной эфир'!$C:$C=$B755,'Основной эфир'!$I:$I=$C755)), 0) "),0.0)</f>
        <v>0</v>
      </c>
      <c r="K755" s="91" t="str">
        <f>IFERROR(__xludf.DUMMYFUNCTION("IFERROR(REGEXREPLACE(unique(filter('Основной эфир'!$A:$A, 'Основной эфир'!$B:$B=$A755,'Основной эфир'!$C:$C=$B755,'Основной эфир'!$I:$I=$C755)), ""\d+"", """"),"""")"),"")</f>
        <v/>
      </c>
      <c r="L755" s="91" t="str">
        <f>IFERROR(__xludf.DUMMYFUNCTION("IFERROR(unique(filter('Основной эфир'!$F:$F, 'Основной эфир'!$B:$B=$A755,'Основной эфир'!$C:$C=$B755,'Основной эфир'!$I:$I=$C755)),"""")"),"")</f>
        <v/>
      </c>
      <c r="M755" s="92" t="str">
        <f t="shared" si="1"/>
        <v/>
      </c>
      <c r="N755" s="93">
        <f>IFERROR(__xludf.DUMMYFUNCTION("IFERROR(SWITCH(lower(join("" "",L755:M755)),""а миллионник"", 62.5,""б миллионник"", 75,""а мск"", 50, ""б мск"", 62.5, ""a остальное"", 70, ""б остальное"", 80)/100,0)"),0.0)</f>
        <v>0</v>
      </c>
      <c r="O755" s="91">
        <f t="shared" si="2"/>
        <v>0</v>
      </c>
      <c r="P755" s="91">
        <f>IFERROR(__xludf.DUMMYFUNCTION("IFERROR(sum(filter('Генеральный баннер'!$O:$O, 'Генеральный баннер'!$B:$B=$A755,'Генеральный баннер'!$C:$C=$B755,'Генеральный баннер'!$I:$I=$C755)), 0) "),0.0)</f>
        <v>0</v>
      </c>
      <c r="Q755" s="91">
        <f>IFERROR(__xludf.DUMMYFUNCTION("IFERROR(sum(filter('Генеральный баннер'!$Q:$Q, 'Генеральный баннер'!$B:$B=$A755,'Генеральный баннер'!$C:$C=$B755,'Генеральный баннер'!$I:$I=$C755)), 0) "),0.0)</f>
        <v>0</v>
      </c>
      <c r="R755" s="91">
        <f>IFERROR(__xludf.DUMMYFUNCTION("IFERROR(AVERAGE(filter('Генеральный баннер'!$AA:$AA, 'Генеральный баннер'!$B:$B=$A755,'Генеральный баннер'!$C:$C=$B755,'Генеральный баннер'!$I:$I=$C755)), 0) "),0.0)</f>
        <v>0</v>
      </c>
      <c r="S755" s="91">
        <f>IFERROR(__xludf.DUMMYFUNCTION("IFERROR(SUM(filter('Генеральный баннер'!$AH:$AH, 'Генеральный баннер'!$B:$B=$A755,'Генеральный баннер'!$C:$C=$B755,'Генеральный баннер'!$I:$I=$C755)), 0) "),0.0)</f>
        <v>0</v>
      </c>
      <c r="T755" s="91" t="str">
        <f>IFERROR(__xludf.DUMMYFUNCTION("IFERROR(REGEXREPLACE(unique(filter('Генеральный баннер'!$A:$A, 'Генеральный баннер'!$B:$B=$A755,'Генеральный баннер'!$C:$C=$B755,'Генеральный баннер'!$I:$I=$C755)), ""\d+"", """"),"""")"),"")</f>
        <v/>
      </c>
      <c r="U755" s="91" t="str">
        <f>IFERROR(__xludf.DUMMYFUNCTION("IFERROR(unique(filter('Генеральный баннер'!$F:$F, 'Генеральный баннер'!$B:$B=$A755,'Генеральный баннер'!$C:$C=$B755,'Генеральный баннер'!$I:$I=$C755)),"""")"),"")</f>
        <v/>
      </c>
      <c r="V755" s="92" t="str">
        <f t="shared" si="3"/>
        <v/>
      </c>
      <c r="W755" s="93">
        <f>IFERROR(__xludf.DUMMYFUNCTION("IFERROR(SWITCH(lower(join("" "",U755:V755)),""а миллионник"", 62.5,""б миллионник"", 75,""а мск"", 50, ""б мск"", 62.5, ""a остальное"", 70, ""б остальное"", 80)/100,0)"),0.0)</f>
        <v>0</v>
      </c>
      <c r="X755" s="91">
        <f t="shared" si="4"/>
        <v>0</v>
      </c>
    </row>
    <row r="756">
      <c r="A756" s="12"/>
      <c r="B756" s="12"/>
      <c r="C756" s="12"/>
      <c r="D756" s="91">
        <f>IFERROR(__xludf.DUMMYFUNCTION("IFERROR(sum(filter('Основной эфир'!$AA:$AA, 'Основной эфир'!$B:$B=$A756,'Основной эфир'!$C:$C=$B756,'Основной эфир'!$I:$I=$C756)), 0) "),0.0)</f>
        <v>0</v>
      </c>
      <c r="E756" s="91">
        <f>IFERROR(__xludf.DUMMYFUNCTION("IFERROR(sum(filter('Основной эфир'!$AC:$AC, 'Основной эфир'!$B:$B=$A756,'Основной эфир'!$C:$C=$B756,'Основной эфир'!$I:$I=$C756)), 0) "),0.0)</f>
        <v>0</v>
      </c>
      <c r="F756" s="91">
        <f>IFERROR(__xludf.DUMMYFUNCTION("IFERROR(sum(filter('Основной эфир'!$O:$O, 'Основной эфир'!$B:$B=$A756,'Основной эфир'!$C:$C=$B756,'Основной эфир'!$I:$I=$C756)), 0) "),0.0)</f>
        <v>0</v>
      </c>
      <c r="G756" s="91">
        <f>IFERROR(__xludf.DUMMYFUNCTION("IFERROR(sum(filter('Основной эфир'!$Q:$Q, 'Основной эфир'!$B:$B=$A756,'Основной эфир'!$C:$C=$B756,'Основной эфир'!$I:$I=$C756)), 0) "),0.0)</f>
        <v>0</v>
      </c>
      <c r="H756" s="91">
        <f>IFERROR(__xludf.DUMMYFUNCTION("IFERROR(AVERAGE(filter('Основной эфир'!$Y:$Y, 'Основной эфир'!$B:$B=$A756,'Основной эфир'!$C:$C=$B756,'Основной эфир'!$I:$I=$C756)), 0) "),0.0)</f>
        <v>0</v>
      </c>
      <c r="I756" s="91">
        <f>IFERROR(__xludf.DUMMYFUNCTION("IFERROR(AVERAGE(filter('Основной эфир'!$AE:$AE, 'Основной эфир'!$B:$B=$A756,'Основной эфир'!$C:$C=$B756,'Основной эфир'!$I:$I=$C756)), 0) "),0.0)</f>
        <v>0</v>
      </c>
      <c r="J756" s="91">
        <f>IFERROR(__xludf.DUMMYFUNCTION("IFERROR(SUM(filter('Основной эфир'!$AL:$AL, 'Основной эфир'!$B:$B=$A756,'Основной эфир'!$C:$C=$B756,'Основной эфир'!$I:$I=$C756)), 0) "),0.0)</f>
        <v>0</v>
      </c>
      <c r="K756" s="91" t="str">
        <f>IFERROR(__xludf.DUMMYFUNCTION("IFERROR(REGEXREPLACE(unique(filter('Основной эфир'!$A:$A, 'Основной эфир'!$B:$B=$A756,'Основной эфир'!$C:$C=$B756,'Основной эфир'!$I:$I=$C756)), ""\d+"", """"),"""")"),"")</f>
        <v/>
      </c>
      <c r="L756" s="91" t="str">
        <f>IFERROR(__xludf.DUMMYFUNCTION("IFERROR(unique(filter('Основной эфир'!$F:$F, 'Основной эфир'!$B:$B=$A756,'Основной эфир'!$C:$C=$B756,'Основной эфир'!$I:$I=$C756)),"""")"),"")</f>
        <v/>
      </c>
      <c r="M756" s="92" t="str">
        <f t="shared" si="1"/>
        <v/>
      </c>
      <c r="N756" s="93">
        <f>IFERROR(__xludf.DUMMYFUNCTION("IFERROR(SWITCH(lower(join("" "",L756:M756)),""а миллионник"", 62.5,""б миллионник"", 75,""а мск"", 50, ""б мск"", 62.5, ""a остальное"", 70, ""б остальное"", 80)/100,0)"),0.0)</f>
        <v>0</v>
      </c>
      <c r="O756" s="91">
        <f t="shared" si="2"/>
        <v>0</v>
      </c>
      <c r="P756" s="91">
        <f>IFERROR(__xludf.DUMMYFUNCTION("IFERROR(sum(filter('Генеральный баннер'!$O:$O, 'Генеральный баннер'!$B:$B=$A756,'Генеральный баннер'!$C:$C=$B756,'Генеральный баннер'!$I:$I=$C756)), 0) "),0.0)</f>
        <v>0</v>
      </c>
      <c r="Q756" s="91">
        <f>IFERROR(__xludf.DUMMYFUNCTION("IFERROR(sum(filter('Генеральный баннер'!$Q:$Q, 'Генеральный баннер'!$B:$B=$A756,'Генеральный баннер'!$C:$C=$B756,'Генеральный баннер'!$I:$I=$C756)), 0) "),0.0)</f>
        <v>0</v>
      </c>
      <c r="R756" s="91">
        <f>IFERROR(__xludf.DUMMYFUNCTION("IFERROR(AVERAGE(filter('Генеральный баннер'!$AA:$AA, 'Генеральный баннер'!$B:$B=$A756,'Генеральный баннер'!$C:$C=$B756,'Генеральный баннер'!$I:$I=$C756)), 0) "),0.0)</f>
        <v>0</v>
      </c>
      <c r="S756" s="91">
        <f>IFERROR(__xludf.DUMMYFUNCTION("IFERROR(SUM(filter('Генеральный баннер'!$AH:$AH, 'Генеральный баннер'!$B:$B=$A756,'Генеральный баннер'!$C:$C=$B756,'Генеральный баннер'!$I:$I=$C756)), 0) "),0.0)</f>
        <v>0</v>
      </c>
      <c r="T756" s="91" t="str">
        <f>IFERROR(__xludf.DUMMYFUNCTION("IFERROR(REGEXREPLACE(unique(filter('Генеральный баннер'!$A:$A, 'Генеральный баннер'!$B:$B=$A756,'Генеральный баннер'!$C:$C=$B756,'Генеральный баннер'!$I:$I=$C756)), ""\d+"", """"),"""")"),"")</f>
        <v/>
      </c>
      <c r="U756" s="91" t="str">
        <f>IFERROR(__xludf.DUMMYFUNCTION("IFERROR(unique(filter('Генеральный баннер'!$F:$F, 'Генеральный баннер'!$B:$B=$A756,'Генеральный баннер'!$C:$C=$B756,'Генеральный баннер'!$I:$I=$C756)),"""")"),"")</f>
        <v/>
      </c>
      <c r="V756" s="92" t="str">
        <f t="shared" si="3"/>
        <v/>
      </c>
      <c r="W756" s="93">
        <f>IFERROR(__xludf.DUMMYFUNCTION("IFERROR(SWITCH(lower(join("" "",U756:V756)),""а миллионник"", 62.5,""б миллионник"", 75,""а мск"", 50, ""б мск"", 62.5, ""a остальное"", 70, ""б остальное"", 80)/100,0)"),0.0)</f>
        <v>0</v>
      </c>
      <c r="X756" s="91">
        <f t="shared" si="4"/>
        <v>0</v>
      </c>
    </row>
    <row r="757">
      <c r="A757" s="12"/>
      <c r="B757" s="12"/>
      <c r="C757" s="12"/>
      <c r="D757" s="91">
        <f>IFERROR(__xludf.DUMMYFUNCTION("IFERROR(sum(filter('Основной эфир'!$AA:$AA, 'Основной эфир'!$B:$B=$A757,'Основной эфир'!$C:$C=$B757,'Основной эфир'!$I:$I=$C757)), 0) "),0.0)</f>
        <v>0</v>
      </c>
      <c r="E757" s="91">
        <f>IFERROR(__xludf.DUMMYFUNCTION("IFERROR(sum(filter('Основной эфир'!$AC:$AC, 'Основной эфир'!$B:$B=$A757,'Основной эфир'!$C:$C=$B757,'Основной эфир'!$I:$I=$C757)), 0) "),0.0)</f>
        <v>0</v>
      </c>
      <c r="F757" s="91">
        <f>IFERROR(__xludf.DUMMYFUNCTION("IFERROR(sum(filter('Основной эфир'!$O:$O, 'Основной эфир'!$B:$B=$A757,'Основной эфир'!$C:$C=$B757,'Основной эфир'!$I:$I=$C757)), 0) "),0.0)</f>
        <v>0</v>
      </c>
      <c r="G757" s="91">
        <f>IFERROR(__xludf.DUMMYFUNCTION("IFERROR(sum(filter('Основной эфир'!$Q:$Q, 'Основной эфир'!$B:$B=$A757,'Основной эфир'!$C:$C=$B757,'Основной эфир'!$I:$I=$C757)), 0) "),0.0)</f>
        <v>0</v>
      </c>
      <c r="H757" s="91">
        <f>IFERROR(__xludf.DUMMYFUNCTION("IFERROR(AVERAGE(filter('Основной эфир'!$Y:$Y, 'Основной эфир'!$B:$B=$A757,'Основной эфир'!$C:$C=$B757,'Основной эфир'!$I:$I=$C757)), 0) "),0.0)</f>
        <v>0</v>
      </c>
      <c r="I757" s="91">
        <f>IFERROR(__xludf.DUMMYFUNCTION("IFERROR(AVERAGE(filter('Основной эфир'!$AE:$AE, 'Основной эфир'!$B:$B=$A757,'Основной эфир'!$C:$C=$B757,'Основной эфир'!$I:$I=$C757)), 0) "),0.0)</f>
        <v>0</v>
      </c>
      <c r="J757" s="91">
        <f>IFERROR(__xludf.DUMMYFUNCTION("IFERROR(SUM(filter('Основной эфир'!$AL:$AL, 'Основной эфир'!$B:$B=$A757,'Основной эфир'!$C:$C=$B757,'Основной эфир'!$I:$I=$C757)), 0) "),0.0)</f>
        <v>0</v>
      </c>
      <c r="K757" s="91" t="str">
        <f>IFERROR(__xludf.DUMMYFUNCTION("IFERROR(REGEXREPLACE(unique(filter('Основной эфир'!$A:$A, 'Основной эфир'!$B:$B=$A757,'Основной эфир'!$C:$C=$B757,'Основной эфир'!$I:$I=$C757)), ""\d+"", """"),"""")"),"")</f>
        <v/>
      </c>
      <c r="L757" s="91" t="str">
        <f>IFERROR(__xludf.DUMMYFUNCTION("IFERROR(unique(filter('Основной эфир'!$F:$F, 'Основной эфир'!$B:$B=$A757,'Основной эфир'!$C:$C=$B757,'Основной эфир'!$I:$I=$C757)),"""")"),"")</f>
        <v/>
      </c>
      <c r="M757" s="92" t="str">
        <f t="shared" si="1"/>
        <v/>
      </c>
      <c r="N757" s="93">
        <f>IFERROR(__xludf.DUMMYFUNCTION("IFERROR(SWITCH(lower(join("" "",L757:M757)),""а миллионник"", 62.5,""б миллионник"", 75,""а мск"", 50, ""б мск"", 62.5, ""a остальное"", 70, ""б остальное"", 80)/100,0)"),0.0)</f>
        <v>0</v>
      </c>
      <c r="O757" s="91">
        <f t="shared" si="2"/>
        <v>0</v>
      </c>
      <c r="P757" s="91">
        <f>IFERROR(__xludf.DUMMYFUNCTION("IFERROR(sum(filter('Генеральный баннер'!$O:$O, 'Генеральный баннер'!$B:$B=$A757,'Генеральный баннер'!$C:$C=$B757,'Генеральный баннер'!$I:$I=$C757)), 0) "),0.0)</f>
        <v>0</v>
      </c>
      <c r="Q757" s="91">
        <f>IFERROR(__xludf.DUMMYFUNCTION("IFERROR(sum(filter('Генеральный баннер'!$Q:$Q, 'Генеральный баннер'!$B:$B=$A757,'Генеральный баннер'!$C:$C=$B757,'Генеральный баннер'!$I:$I=$C757)), 0) "),0.0)</f>
        <v>0</v>
      </c>
      <c r="R757" s="91">
        <f>IFERROR(__xludf.DUMMYFUNCTION("IFERROR(AVERAGE(filter('Генеральный баннер'!$AA:$AA, 'Генеральный баннер'!$B:$B=$A757,'Генеральный баннер'!$C:$C=$B757,'Генеральный баннер'!$I:$I=$C757)), 0) "),0.0)</f>
        <v>0</v>
      </c>
      <c r="S757" s="91">
        <f>IFERROR(__xludf.DUMMYFUNCTION("IFERROR(SUM(filter('Генеральный баннер'!$AH:$AH, 'Генеральный баннер'!$B:$B=$A757,'Генеральный баннер'!$C:$C=$B757,'Генеральный баннер'!$I:$I=$C757)), 0) "),0.0)</f>
        <v>0</v>
      </c>
      <c r="T757" s="91" t="str">
        <f>IFERROR(__xludf.DUMMYFUNCTION("IFERROR(REGEXREPLACE(unique(filter('Генеральный баннер'!$A:$A, 'Генеральный баннер'!$B:$B=$A757,'Генеральный баннер'!$C:$C=$B757,'Генеральный баннер'!$I:$I=$C757)), ""\d+"", """"),"""")"),"")</f>
        <v/>
      </c>
      <c r="U757" s="91" t="str">
        <f>IFERROR(__xludf.DUMMYFUNCTION("IFERROR(unique(filter('Генеральный баннер'!$F:$F, 'Генеральный баннер'!$B:$B=$A757,'Генеральный баннер'!$C:$C=$B757,'Генеральный баннер'!$I:$I=$C757)),"""")"),"")</f>
        <v/>
      </c>
      <c r="V757" s="92" t="str">
        <f t="shared" si="3"/>
        <v/>
      </c>
      <c r="W757" s="93">
        <f>IFERROR(__xludf.DUMMYFUNCTION("IFERROR(SWITCH(lower(join("" "",U757:V757)),""а миллионник"", 62.5,""б миллионник"", 75,""а мск"", 50, ""б мск"", 62.5, ""a остальное"", 70, ""б остальное"", 80)/100,0)"),0.0)</f>
        <v>0</v>
      </c>
      <c r="X757" s="91">
        <f t="shared" si="4"/>
        <v>0</v>
      </c>
    </row>
    <row r="758">
      <c r="A758" s="12"/>
      <c r="B758" s="12"/>
      <c r="C758" s="12"/>
      <c r="D758" s="91">
        <f>IFERROR(__xludf.DUMMYFUNCTION("IFERROR(sum(filter('Основной эфир'!$AA:$AA, 'Основной эфир'!$B:$B=$A758,'Основной эфир'!$C:$C=$B758,'Основной эфир'!$I:$I=$C758)), 0) "),0.0)</f>
        <v>0</v>
      </c>
      <c r="E758" s="91">
        <f>IFERROR(__xludf.DUMMYFUNCTION("IFERROR(sum(filter('Основной эфир'!$AC:$AC, 'Основной эфир'!$B:$B=$A758,'Основной эфир'!$C:$C=$B758,'Основной эфир'!$I:$I=$C758)), 0) "),0.0)</f>
        <v>0</v>
      </c>
      <c r="F758" s="91">
        <f>IFERROR(__xludf.DUMMYFUNCTION("IFERROR(sum(filter('Основной эфир'!$O:$O, 'Основной эфир'!$B:$B=$A758,'Основной эфир'!$C:$C=$B758,'Основной эфир'!$I:$I=$C758)), 0) "),0.0)</f>
        <v>0</v>
      </c>
      <c r="G758" s="91">
        <f>IFERROR(__xludf.DUMMYFUNCTION("IFERROR(sum(filter('Основной эфир'!$Q:$Q, 'Основной эфир'!$B:$B=$A758,'Основной эфир'!$C:$C=$B758,'Основной эфир'!$I:$I=$C758)), 0) "),0.0)</f>
        <v>0</v>
      </c>
      <c r="H758" s="91">
        <f>IFERROR(__xludf.DUMMYFUNCTION("IFERROR(AVERAGE(filter('Основной эфир'!$Y:$Y, 'Основной эфир'!$B:$B=$A758,'Основной эфир'!$C:$C=$B758,'Основной эфир'!$I:$I=$C758)), 0) "),0.0)</f>
        <v>0</v>
      </c>
      <c r="I758" s="91">
        <f>IFERROR(__xludf.DUMMYFUNCTION("IFERROR(AVERAGE(filter('Основной эфир'!$AE:$AE, 'Основной эфир'!$B:$B=$A758,'Основной эфир'!$C:$C=$B758,'Основной эфир'!$I:$I=$C758)), 0) "),0.0)</f>
        <v>0</v>
      </c>
      <c r="J758" s="91">
        <f>IFERROR(__xludf.DUMMYFUNCTION("IFERROR(SUM(filter('Основной эфир'!$AL:$AL, 'Основной эфир'!$B:$B=$A758,'Основной эфир'!$C:$C=$B758,'Основной эфир'!$I:$I=$C758)), 0) "),0.0)</f>
        <v>0</v>
      </c>
      <c r="K758" s="91" t="str">
        <f>IFERROR(__xludf.DUMMYFUNCTION("IFERROR(REGEXREPLACE(unique(filter('Основной эфир'!$A:$A, 'Основной эфир'!$B:$B=$A758,'Основной эфир'!$C:$C=$B758,'Основной эфир'!$I:$I=$C758)), ""\d+"", """"),"""")"),"")</f>
        <v/>
      </c>
      <c r="L758" s="91" t="str">
        <f>IFERROR(__xludf.DUMMYFUNCTION("IFERROR(unique(filter('Основной эфир'!$F:$F, 'Основной эфир'!$B:$B=$A758,'Основной эфир'!$C:$C=$B758,'Основной эфир'!$I:$I=$C758)),"""")"),"")</f>
        <v/>
      </c>
      <c r="M758" s="92" t="str">
        <f t="shared" si="1"/>
        <v/>
      </c>
      <c r="N758" s="93">
        <f>IFERROR(__xludf.DUMMYFUNCTION("IFERROR(SWITCH(lower(join("" "",L758:M758)),""а миллионник"", 62.5,""б миллионник"", 75,""а мск"", 50, ""б мск"", 62.5, ""a остальное"", 70, ""б остальное"", 80)/100,0)"),0.0)</f>
        <v>0</v>
      </c>
      <c r="O758" s="91">
        <f t="shared" si="2"/>
        <v>0</v>
      </c>
      <c r="P758" s="91">
        <f>IFERROR(__xludf.DUMMYFUNCTION("IFERROR(sum(filter('Генеральный баннер'!$O:$O, 'Генеральный баннер'!$B:$B=$A758,'Генеральный баннер'!$C:$C=$B758,'Генеральный баннер'!$I:$I=$C758)), 0) "),0.0)</f>
        <v>0</v>
      </c>
      <c r="Q758" s="91">
        <f>IFERROR(__xludf.DUMMYFUNCTION("IFERROR(sum(filter('Генеральный баннер'!$Q:$Q, 'Генеральный баннер'!$B:$B=$A758,'Генеральный баннер'!$C:$C=$B758,'Генеральный баннер'!$I:$I=$C758)), 0) "),0.0)</f>
        <v>0</v>
      </c>
      <c r="R758" s="91">
        <f>IFERROR(__xludf.DUMMYFUNCTION("IFERROR(AVERAGE(filter('Генеральный баннер'!$AA:$AA, 'Генеральный баннер'!$B:$B=$A758,'Генеральный баннер'!$C:$C=$B758,'Генеральный баннер'!$I:$I=$C758)), 0) "),0.0)</f>
        <v>0</v>
      </c>
      <c r="S758" s="91">
        <f>IFERROR(__xludf.DUMMYFUNCTION("IFERROR(SUM(filter('Генеральный баннер'!$AH:$AH, 'Генеральный баннер'!$B:$B=$A758,'Генеральный баннер'!$C:$C=$B758,'Генеральный баннер'!$I:$I=$C758)), 0) "),0.0)</f>
        <v>0</v>
      </c>
      <c r="T758" s="91" t="str">
        <f>IFERROR(__xludf.DUMMYFUNCTION("IFERROR(REGEXREPLACE(unique(filter('Генеральный баннер'!$A:$A, 'Генеральный баннер'!$B:$B=$A758,'Генеральный баннер'!$C:$C=$B758,'Генеральный баннер'!$I:$I=$C758)), ""\d+"", """"),"""")"),"")</f>
        <v/>
      </c>
      <c r="U758" s="91" t="str">
        <f>IFERROR(__xludf.DUMMYFUNCTION("IFERROR(unique(filter('Генеральный баннер'!$F:$F, 'Генеральный баннер'!$B:$B=$A758,'Генеральный баннер'!$C:$C=$B758,'Генеральный баннер'!$I:$I=$C758)),"""")"),"")</f>
        <v/>
      </c>
      <c r="V758" s="92" t="str">
        <f t="shared" si="3"/>
        <v/>
      </c>
      <c r="W758" s="93">
        <f>IFERROR(__xludf.DUMMYFUNCTION("IFERROR(SWITCH(lower(join("" "",U758:V758)),""а миллионник"", 62.5,""б миллионник"", 75,""а мск"", 50, ""б мск"", 62.5, ""a остальное"", 70, ""б остальное"", 80)/100,0)"),0.0)</f>
        <v>0</v>
      </c>
      <c r="X758" s="91">
        <f t="shared" si="4"/>
        <v>0</v>
      </c>
    </row>
    <row r="759">
      <c r="A759" s="12"/>
      <c r="B759" s="12"/>
      <c r="C759" s="12"/>
      <c r="D759" s="91">
        <f>IFERROR(__xludf.DUMMYFUNCTION("IFERROR(sum(filter('Основной эфир'!$AA:$AA, 'Основной эфир'!$B:$B=$A759,'Основной эфир'!$C:$C=$B759,'Основной эфир'!$I:$I=$C759)), 0) "),0.0)</f>
        <v>0</v>
      </c>
      <c r="E759" s="91">
        <f>IFERROR(__xludf.DUMMYFUNCTION("IFERROR(sum(filter('Основной эфир'!$AC:$AC, 'Основной эфир'!$B:$B=$A759,'Основной эфир'!$C:$C=$B759,'Основной эфир'!$I:$I=$C759)), 0) "),0.0)</f>
        <v>0</v>
      </c>
      <c r="F759" s="91">
        <f>IFERROR(__xludf.DUMMYFUNCTION("IFERROR(sum(filter('Основной эфир'!$O:$O, 'Основной эфир'!$B:$B=$A759,'Основной эфир'!$C:$C=$B759,'Основной эфир'!$I:$I=$C759)), 0) "),0.0)</f>
        <v>0</v>
      </c>
      <c r="G759" s="91">
        <f>IFERROR(__xludf.DUMMYFUNCTION("IFERROR(sum(filter('Основной эфир'!$Q:$Q, 'Основной эфир'!$B:$B=$A759,'Основной эфир'!$C:$C=$B759,'Основной эфир'!$I:$I=$C759)), 0) "),0.0)</f>
        <v>0</v>
      </c>
      <c r="H759" s="91">
        <f>IFERROR(__xludf.DUMMYFUNCTION("IFERROR(AVERAGE(filter('Основной эфир'!$Y:$Y, 'Основной эфир'!$B:$B=$A759,'Основной эфир'!$C:$C=$B759,'Основной эфир'!$I:$I=$C759)), 0) "),0.0)</f>
        <v>0</v>
      </c>
      <c r="I759" s="91">
        <f>IFERROR(__xludf.DUMMYFUNCTION("IFERROR(AVERAGE(filter('Основной эфир'!$AE:$AE, 'Основной эфир'!$B:$B=$A759,'Основной эфир'!$C:$C=$B759,'Основной эфир'!$I:$I=$C759)), 0) "),0.0)</f>
        <v>0</v>
      </c>
      <c r="J759" s="91">
        <f>IFERROR(__xludf.DUMMYFUNCTION("IFERROR(SUM(filter('Основной эфир'!$AL:$AL, 'Основной эфир'!$B:$B=$A759,'Основной эфир'!$C:$C=$B759,'Основной эфир'!$I:$I=$C759)), 0) "),0.0)</f>
        <v>0</v>
      </c>
      <c r="K759" s="91" t="str">
        <f>IFERROR(__xludf.DUMMYFUNCTION("IFERROR(REGEXREPLACE(unique(filter('Основной эфир'!$A:$A, 'Основной эфир'!$B:$B=$A759,'Основной эфир'!$C:$C=$B759,'Основной эфир'!$I:$I=$C759)), ""\d+"", """"),"""")"),"")</f>
        <v/>
      </c>
      <c r="L759" s="91" t="str">
        <f>IFERROR(__xludf.DUMMYFUNCTION("IFERROR(unique(filter('Основной эфир'!$F:$F, 'Основной эфир'!$B:$B=$A759,'Основной эфир'!$C:$C=$B759,'Основной эфир'!$I:$I=$C759)),"""")"),"")</f>
        <v/>
      </c>
      <c r="M759" s="92" t="str">
        <f t="shared" si="1"/>
        <v/>
      </c>
      <c r="N759" s="93">
        <f>IFERROR(__xludf.DUMMYFUNCTION("IFERROR(SWITCH(lower(join("" "",L759:M759)),""а миллионник"", 62.5,""б миллионник"", 75,""а мск"", 50, ""б мск"", 62.5, ""a остальное"", 70, ""б остальное"", 80)/100,0)"),0.0)</f>
        <v>0</v>
      </c>
      <c r="O759" s="91">
        <f t="shared" si="2"/>
        <v>0</v>
      </c>
      <c r="P759" s="91">
        <f>IFERROR(__xludf.DUMMYFUNCTION("IFERROR(sum(filter('Генеральный баннер'!$O:$O, 'Генеральный баннер'!$B:$B=$A759,'Генеральный баннер'!$C:$C=$B759,'Генеральный баннер'!$I:$I=$C759)), 0) "),0.0)</f>
        <v>0</v>
      </c>
      <c r="Q759" s="91">
        <f>IFERROR(__xludf.DUMMYFUNCTION("IFERROR(sum(filter('Генеральный баннер'!$Q:$Q, 'Генеральный баннер'!$B:$B=$A759,'Генеральный баннер'!$C:$C=$B759,'Генеральный баннер'!$I:$I=$C759)), 0) "),0.0)</f>
        <v>0</v>
      </c>
      <c r="R759" s="91">
        <f>IFERROR(__xludf.DUMMYFUNCTION("IFERROR(AVERAGE(filter('Генеральный баннер'!$AA:$AA, 'Генеральный баннер'!$B:$B=$A759,'Генеральный баннер'!$C:$C=$B759,'Генеральный баннер'!$I:$I=$C759)), 0) "),0.0)</f>
        <v>0</v>
      </c>
      <c r="S759" s="91">
        <f>IFERROR(__xludf.DUMMYFUNCTION("IFERROR(SUM(filter('Генеральный баннер'!$AH:$AH, 'Генеральный баннер'!$B:$B=$A759,'Генеральный баннер'!$C:$C=$B759,'Генеральный баннер'!$I:$I=$C759)), 0) "),0.0)</f>
        <v>0</v>
      </c>
      <c r="T759" s="91" t="str">
        <f>IFERROR(__xludf.DUMMYFUNCTION("IFERROR(REGEXREPLACE(unique(filter('Генеральный баннер'!$A:$A, 'Генеральный баннер'!$B:$B=$A759,'Генеральный баннер'!$C:$C=$B759,'Генеральный баннер'!$I:$I=$C759)), ""\d+"", """"),"""")"),"")</f>
        <v/>
      </c>
      <c r="U759" s="91" t="str">
        <f>IFERROR(__xludf.DUMMYFUNCTION("IFERROR(unique(filter('Генеральный баннер'!$F:$F, 'Генеральный баннер'!$B:$B=$A759,'Генеральный баннер'!$C:$C=$B759,'Генеральный баннер'!$I:$I=$C759)),"""")"),"")</f>
        <v/>
      </c>
      <c r="V759" s="92" t="str">
        <f t="shared" si="3"/>
        <v/>
      </c>
      <c r="W759" s="93">
        <f>IFERROR(__xludf.DUMMYFUNCTION("IFERROR(SWITCH(lower(join("" "",U759:V759)),""а миллионник"", 62.5,""б миллионник"", 75,""а мск"", 50, ""б мск"", 62.5, ""a остальное"", 70, ""б остальное"", 80)/100,0)"),0.0)</f>
        <v>0</v>
      </c>
      <c r="X759" s="91">
        <f t="shared" si="4"/>
        <v>0</v>
      </c>
    </row>
    <row r="760">
      <c r="A760" s="12"/>
      <c r="B760" s="12"/>
      <c r="C760" s="12"/>
      <c r="D760" s="91">
        <f>IFERROR(__xludf.DUMMYFUNCTION("IFERROR(sum(filter('Основной эфир'!$AA:$AA, 'Основной эфир'!$B:$B=$A760,'Основной эфир'!$C:$C=$B760,'Основной эфир'!$I:$I=$C760)), 0) "),0.0)</f>
        <v>0</v>
      </c>
      <c r="E760" s="91">
        <f>IFERROR(__xludf.DUMMYFUNCTION("IFERROR(sum(filter('Основной эфир'!$AC:$AC, 'Основной эфир'!$B:$B=$A760,'Основной эфир'!$C:$C=$B760,'Основной эфир'!$I:$I=$C760)), 0) "),0.0)</f>
        <v>0</v>
      </c>
      <c r="F760" s="91">
        <f>IFERROR(__xludf.DUMMYFUNCTION("IFERROR(sum(filter('Основной эфир'!$O:$O, 'Основной эфир'!$B:$B=$A760,'Основной эфир'!$C:$C=$B760,'Основной эфир'!$I:$I=$C760)), 0) "),0.0)</f>
        <v>0</v>
      </c>
      <c r="G760" s="91">
        <f>IFERROR(__xludf.DUMMYFUNCTION("IFERROR(sum(filter('Основной эфир'!$Q:$Q, 'Основной эфир'!$B:$B=$A760,'Основной эфир'!$C:$C=$B760,'Основной эфир'!$I:$I=$C760)), 0) "),0.0)</f>
        <v>0</v>
      </c>
      <c r="H760" s="91">
        <f>IFERROR(__xludf.DUMMYFUNCTION("IFERROR(AVERAGE(filter('Основной эфир'!$Y:$Y, 'Основной эфир'!$B:$B=$A760,'Основной эфир'!$C:$C=$B760,'Основной эфир'!$I:$I=$C760)), 0) "),0.0)</f>
        <v>0</v>
      </c>
      <c r="I760" s="91">
        <f>IFERROR(__xludf.DUMMYFUNCTION("IFERROR(AVERAGE(filter('Основной эфир'!$AE:$AE, 'Основной эфир'!$B:$B=$A760,'Основной эфир'!$C:$C=$B760,'Основной эфир'!$I:$I=$C760)), 0) "),0.0)</f>
        <v>0</v>
      </c>
      <c r="J760" s="91">
        <f>IFERROR(__xludf.DUMMYFUNCTION("IFERROR(SUM(filter('Основной эфир'!$AL:$AL, 'Основной эфир'!$B:$B=$A760,'Основной эфир'!$C:$C=$B760,'Основной эфир'!$I:$I=$C760)), 0) "),0.0)</f>
        <v>0</v>
      </c>
      <c r="K760" s="91" t="str">
        <f>IFERROR(__xludf.DUMMYFUNCTION("IFERROR(REGEXREPLACE(unique(filter('Основной эфир'!$A:$A, 'Основной эфир'!$B:$B=$A760,'Основной эфир'!$C:$C=$B760,'Основной эфир'!$I:$I=$C760)), ""\d+"", """"),"""")"),"")</f>
        <v/>
      </c>
      <c r="L760" s="91" t="str">
        <f>IFERROR(__xludf.DUMMYFUNCTION("IFERROR(unique(filter('Основной эфир'!$F:$F, 'Основной эфир'!$B:$B=$A760,'Основной эфир'!$C:$C=$B760,'Основной эфир'!$I:$I=$C760)),"""")"),"")</f>
        <v/>
      </c>
      <c r="M760" s="92" t="str">
        <f t="shared" si="1"/>
        <v/>
      </c>
      <c r="N760" s="93">
        <f>IFERROR(__xludf.DUMMYFUNCTION("IFERROR(SWITCH(lower(join("" "",L760:M760)),""а миллионник"", 62.5,""б миллионник"", 75,""а мск"", 50, ""б мск"", 62.5, ""a остальное"", 70, ""б остальное"", 80)/100,0)"),0.0)</f>
        <v>0</v>
      </c>
      <c r="O760" s="91">
        <f t="shared" si="2"/>
        <v>0</v>
      </c>
      <c r="P760" s="91">
        <f>IFERROR(__xludf.DUMMYFUNCTION("IFERROR(sum(filter('Генеральный баннер'!$O:$O, 'Генеральный баннер'!$B:$B=$A760,'Генеральный баннер'!$C:$C=$B760,'Генеральный баннер'!$I:$I=$C760)), 0) "),0.0)</f>
        <v>0</v>
      </c>
      <c r="Q760" s="91">
        <f>IFERROR(__xludf.DUMMYFUNCTION("IFERROR(sum(filter('Генеральный баннер'!$Q:$Q, 'Генеральный баннер'!$B:$B=$A760,'Генеральный баннер'!$C:$C=$B760,'Генеральный баннер'!$I:$I=$C760)), 0) "),0.0)</f>
        <v>0</v>
      </c>
      <c r="R760" s="91">
        <f>IFERROR(__xludf.DUMMYFUNCTION("IFERROR(AVERAGE(filter('Генеральный баннер'!$AA:$AA, 'Генеральный баннер'!$B:$B=$A760,'Генеральный баннер'!$C:$C=$B760,'Генеральный баннер'!$I:$I=$C760)), 0) "),0.0)</f>
        <v>0</v>
      </c>
      <c r="S760" s="91">
        <f>IFERROR(__xludf.DUMMYFUNCTION("IFERROR(SUM(filter('Генеральный баннер'!$AH:$AH, 'Генеральный баннер'!$B:$B=$A760,'Генеральный баннер'!$C:$C=$B760,'Генеральный баннер'!$I:$I=$C760)), 0) "),0.0)</f>
        <v>0</v>
      </c>
      <c r="T760" s="91" t="str">
        <f>IFERROR(__xludf.DUMMYFUNCTION("IFERROR(REGEXREPLACE(unique(filter('Генеральный баннер'!$A:$A, 'Генеральный баннер'!$B:$B=$A760,'Генеральный баннер'!$C:$C=$B760,'Генеральный баннер'!$I:$I=$C760)), ""\d+"", """"),"""")"),"")</f>
        <v/>
      </c>
      <c r="U760" s="91" t="str">
        <f>IFERROR(__xludf.DUMMYFUNCTION("IFERROR(unique(filter('Генеральный баннер'!$F:$F, 'Генеральный баннер'!$B:$B=$A760,'Генеральный баннер'!$C:$C=$B760,'Генеральный баннер'!$I:$I=$C760)),"""")"),"")</f>
        <v/>
      </c>
      <c r="V760" s="92" t="str">
        <f t="shared" si="3"/>
        <v/>
      </c>
      <c r="W760" s="93">
        <f>IFERROR(__xludf.DUMMYFUNCTION("IFERROR(SWITCH(lower(join("" "",U760:V760)),""а миллионник"", 62.5,""б миллионник"", 75,""а мск"", 50, ""б мск"", 62.5, ""a остальное"", 70, ""б остальное"", 80)/100,0)"),0.0)</f>
        <v>0</v>
      </c>
      <c r="X760" s="91">
        <f t="shared" si="4"/>
        <v>0</v>
      </c>
    </row>
    <row r="761">
      <c r="A761" s="12"/>
      <c r="B761" s="12"/>
      <c r="C761" s="12"/>
      <c r="D761" s="91">
        <f>IFERROR(__xludf.DUMMYFUNCTION("IFERROR(sum(filter('Основной эфир'!$AA:$AA, 'Основной эфир'!$B:$B=$A761,'Основной эфир'!$C:$C=$B761,'Основной эфир'!$I:$I=$C761)), 0) "),0.0)</f>
        <v>0</v>
      </c>
      <c r="E761" s="91">
        <f>IFERROR(__xludf.DUMMYFUNCTION("IFERROR(sum(filter('Основной эфир'!$AC:$AC, 'Основной эфир'!$B:$B=$A761,'Основной эфир'!$C:$C=$B761,'Основной эфир'!$I:$I=$C761)), 0) "),0.0)</f>
        <v>0</v>
      </c>
      <c r="F761" s="91">
        <f>IFERROR(__xludf.DUMMYFUNCTION("IFERROR(sum(filter('Основной эфир'!$O:$O, 'Основной эфир'!$B:$B=$A761,'Основной эфир'!$C:$C=$B761,'Основной эфир'!$I:$I=$C761)), 0) "),0.0)</f>
        <v>0</v>
      </c>
      <c r="G761" s="91">
        <f>IFERROR(__xludf.DUMMYFUNCTION("IFERROR(sum(filter('Основной эфир'!$Q:$Q, 'Основной эфир'!$B:$B=$A761,'Основной эфир'!$C:$C=$B761,'Основной эфир'!$I:$I=$C761)), 0) "),0.0)</f>
        <v>0</v>
      </c>
      <c r="H761" s="91">
        <f>IFERROR(__xludf.DUMMYFUNCTION("IFERROR(AVERAGE(filter('Основной эфир'!$Y:$Y, 'Основной эфир'!$B:$B=$A761,'Основной эфир'!$C:$C=$B761,'Основной эфир'!$I:$I=$C761)), 0) "),0.0)</f>
        <v>0</v>
      </c>
      <c r="I761" s="91">
        <f>IFERROR(__xludf.DUMMYFUNCTION("IFERROR(AVERAGE(filter('Основной эфир'!$AE:$AE, 'Основной эфир'!$B:$B=$A761,'Основной эфир'!$C:$C=$B761,'Основной эфир'!$I:$I=$C761)), 0) "),0.0)</f>
        <v>0</v>
      </c>
      <c r="J761" s="91">
        <f>IFERROR(__xludf.DUMMYFUNCTION("IFERROR(SUM(filter('Основной эфир'!$AL:$AL, 'Основной эфир'!$B:$B=$A761,'Основной эфир'!$C:$C=$B761,'Основной эфир'!$I:$I=$C761)), 0) "),0.0)</f>
        <v>0</v>
      </c>
      <c r="K761" s="91" t="str">
        <f>IFERROR(__xludf.DUMMYFUNCTION("IFERROR(REGEXREPLACE(unique(filter('Основной эфир'!$A:$A, 'Основной эфир'!$B:$B=$A761,'Основной эфир'!$C:$C=$B761,'Основной эфир'!$I:$I=$C761)), ""\d+"", """"),"""")"),"")</f>
        <v/>
      </c>
      <c r="L761" s="91" t="str">
        <f>IFERROR(__xludf.DUMMYFUNCTION("IFERROR(unique(filter('Основной эфир'!$F:$F, 'Основной эфир'!$B:$B=$A761,'Основной эфир'!$C:$C=$B761,'Основной эфир'!$I:$I=$C761)),"""")"),"")</f>
        <v/>
      </c>
      <c r="M761" s="92" t="str">
        <f t="shared" si="1"/>
        <v/>
      </c>
      <c r="N761" s="93">
        <f>IFERROR(__xludf.DUMMYFUNCTION("IFERROR(SWITCH(lower(join("" "",L761:M761)),""а миллионник"", 62.5,""б миллионник"", 75,""а мск"", 50, ""б мск"", 62.5, ""a остальное"", 70, ""б остальное"", 80)/100,0)"),0.0)</f>
        <v>0</v>
      </c>
      <c r="O761" s="91">
        <f t="shared" si="2"/>
        <v>0</v>
      </c>
      <c r="P761" s="91">
        <f>IFERROR(__xludf.DUMMYFUNCTION("IFERROR(sum(filter('Генеральный баннер'!$O:$O, 'Генеральный баннер'!$B:$B=$A761,'Генеральный баннер'!$C:$C=$B761,'Генеральный баннер'!$I:$I=$C761)), 0) "),0.0)</f>
        <v>0</v>
      </c>
      <c r="Q761" s="91">
        <f>IFERROR(__xludf.DUMMYFUNCTION("IFERROR(sum(filter('Генеральный баннер'!$Q:$Q, 'Генеральный баннер'!$B:$B=$A761,'Генеральный баннер'!$C:$C=$B761,'Генеральный баннер'!$I:$I=$C761)), 0) "),0.0)</f>
        <v>0</v>
      </c>
      <c r="R761" s="91">
        <f>IFERROR(__xludf.DUMMYFUNCTION("IFERROR(AVERAGE(filter('Генеральный баннер'!$AA:$AA, 'Генеральный баннер'!$B:$B=$A761,'Генеральный баннер'!$C:$C=$B761,'Генеральный баннер'!$I:$I=$C761)), 0) "),0.0)</f>
        <v>0</v>
      </c>
      <c r="S761" s="91">
        <f>IFERROR(__xludf.DUMMYFUNCTION("IFERROR(SUM(filter('Генеральный баннер'!$AH:$AH, 'Генеральный баннер'!$B:$B=$A761,'Генеральный баннер'!$C:$C=$B761,'Генеральный баннер'!$I:$I=$C761)), 0) "),0.0)</f>
        <v>0</v>
      </c>
      <c r="T761" s="91" t="str">
        <f>IFERROR(__xludf.DUMMYFUNCTION("IFERROR(REGEXREPLACE(unique(filter('Генеральный баннер'!$A:$A, 'Генеральный баннер'!$B:$B=$A761,'Генеральный баннер'!$C:$C=$B761,'Генеральный баннер'!$I:$I=$C761)), ""\d+"", """"),"""")"),"")</f>
        <v/>
      </c>
      <c r="U761" s="91" t="str">
        <f>IFERROR(__xludf.DUMMYFUNCTION("IFERROR(unique(filter('Генеральный баннер'!$F:$F, 'Генеральный баннер'!$B:$B=$A761,'Генеральный баннер'!$C:$C=$B761,'Генеральный баннер'!$I:$I=$C761)),"""")"),"")</f>
        <v/>
      </c>
      <c r="V761" s="92" t="str">
        <f t="shared" si="3"/>
        <v/>
      </c>
      <c r="W761" s="93">
        <f>IFERROR(__xludf.DUMMYFUNCTION("IFERROR(SWITCH(lower(join("" "",U761:V761)),""а миллионник"", 62.5,""б миллионник"", 75,""а мск"", 50, ""б мск"", 62.5, ""a остальное"", 70, ""б остальное"", 80)/100,0)"),0.0)</f>
        <v>0</v>
      </c>
      <c r="X761" s="91">
        <f t="shared" si="4"/>
        <v>0</v>
      </c>
    </row>
    <row r="762">
      <c r="A762" s="12"/>
      <c r="B762" s="12"/>
      <c r="C762" s="12"/>
      <c r="D762" s="91">
        <f>IFERROR(__xludf.DUMMYFUNCTION("IFERROR(sum(filter('Основной эфир'!$AA:$AA, 'Основной эфир'!$B:$B=$A762,'Основной эфир'!$C:$C=$B762,'Основной эфир'!$I:$I=$C762)), 0) "),0.0)</f>
        <v>0</v>
      </c>
      <c r="E762" s="91">
        <f>IFERROR(__xludf.DUMMYFUNCTION("IFERROR(sum(filter('Основной эфир'!$AC:$AC, 'Основной эфир'!$B:$B=$A762,'Основной эфир'!$C:$C=$B762,'Основной эфир'!$I:$I=$C762)), 0) "),0.0)</f>
        <v>0</v>
      </c>
      <c r="F762" s="91">
        <f>IFERROR(__xludf.DUMMYFUNCTION("IFERROR(sum(filter('Основной эфир'!$O:$O, 'Основной эфир'!$B:$B=$A762,'Основной эфир'!$C:$C=$B762,'Основной эфир'!$I:$I=$C762)), 0) "),0.0)</f>
        <v>0</v>
      </c>
      <c r="G762" s="91">
        <f>IFERROR(__xludf.DUMMYFUNCTION("IFERROR(sum(filter('Основной эфир'!$Q:$Q, 'Основной эфир'!$B:$B=$A762,'Основной эфир'!$C:$C=$B762,'Основной эфир'!$I:$I=$C762)), 0) "),0.0)</f>
        <v>0</v>
      </c>
      <c r="H762" s="91">
        <f>IFERROR(__xludf.DUMMYFUNCTION("IFERROR(AVERAGE(filter('Основной эфир'!$Y:$Y, 'Основной эфир'!$B:$B=$A762,'Основной эфир'!$C:$C=$B762,'Основной эфир'!$I:$I=$C762)), 0) "),0.0)</f>
        <v>0</v>
      </c>
      <c r="I762" s="91">
        <f>IFERROR(__xludf.DUMMYFUNCTION("IFERROR(AVERAGE(filter('Основной эфир'!$AE:$AE, 'Основной эфир'!$B:$B=$A762,'Основной эфир'!$C:$C=$B762,'Основной эфир'!$I:$I=$C762)), 0) "),0.0)</f>
        <v>0</v>
      </c>
      <c r="J762" s="91">
        <f>IFERROR(__xludf.DUMMYFUNCTION("IFERROR(SUM(filter('Основной эфир'!$AL:$AL, 'Основной эфир'!$B:$B=$A762,'Основной эфир'!$C:$C=$B762,'Основной эфир'!$I:$I=$C762)), 0) "),0.0)</f>
        <v>0</v>
      </c>
      <c r="K762" s="91" t="str">
        <f>IFERROR(__xludf.DUMMYFUNCTION("IFERROR(REGEXREPLACE(unique(filter('Основной эфир'!$A:$A, 'Основной эфир'!$B:$B=$A762,'Основной эфир'!$C:$C=$B762,'Основной эфир'!$I:$I=$C762)), ""\d+"", """"),"""")"),"")</f>
        <v/>
      </c>
      <c r="L762" s="91" t="str">
        <f>IFERROR(__xludf.DUMMYFUNCTION("IFERROR(unique(filter('Основной эфир'!$F:$F, 'Основной эфир'!$B:$B=$A762,'Основной эфир'!$C:$C=$B762,'Основной эфир'!$I:$I=$C762)),"""")"),"")</f>
        <v/>
      </c>
      <c r="M762" s="92" t="str">
        <f t="shared" si="1"/>
        <v/>
      </c>
      <c r="N762" s="93">
        <f>IFERROR(__xludf.DUMMYFUNCTION("IFERROR(SWITCH(lower(join("" "",L762:M762)),""а миллионник"", 62.5,""б миллионник"", 75,""а мск"", 50, ""б мск"", 62.5, ""a остальное"", 70, ""б остальное"", 80)/100,0)"),0.0)</f>
        <v>0</v>
      </c>
      <c r="O762" s="91">
        <f t="shared" si="2"/>
        <v>0</v>
      </c>
      <c r="P762" s="91">
        <f>IFERROR(__xludf.DUMMYFUNCTION("IFERROR(sum(filter('Генеральный баннер'!$O:$O, 'Генеральный баннер'!$B:$B=$A762,'Генеральный баннер'!$C:$C=$B762,'Генеральный баннер'!$I:$I=$C762)), 0) "),0.0)</f>
        <v>0</v>
      </c>
      <c r="Q762" s="91">
        <f>IFERROR(__xludf.DUMMYFUNCTION("IFERROR(sum(filter('Генеральный баннер'!$Q:$Q, 'Генеральный баннер'!$B:$B=$A762,'Генеральный баннер'!$C:$C=$B762,'Генеральный баннер'!$I:$I=$C762)), 0) "),0.0)</f>
        <v>0</v>
      </c>
      <c r="R762" s="91">
        <f>IFERROR(__xludf.DUMMYFUNCTION("IFERROR(AVERAGE(filter('Генеральный баннер'!$AA:$AA, 'Генеральный баннер'!$B:$B=$A762,'Генеральный баннер'!$C:$C=$B762,'Генеральный баннер'!$I:$I=$C762)), 0) "),0.0)</f>
        <v>0</v>
      </c>
      <c r="S762" s="91">
        <f>IFERROR(__xludf.DUMMYFUNCTION("IFERROR(SUM(filter('Генеральный баннер'!$AH:$AH, 'Генеральный баннер'!$B:$B=$A762,'Генеральный баннер'!$C:$C=$B762,'Генеральный баннер'!$I:$I=$C762)), 0) "),0.0)</f>
        <v>0</v>
      </c>
      <c r="T762" s="91" t="str">
        <f>IFERROR(__xludf.DUMMYFUNCTION("IFERROR(REGEXREPLACE(unique(filter('Генеральный баннер'!$A:$A, 'Генеральный баннер'!$B:$B=$A762,'Генеральный баннер'!$C:$C=$B762,'Генеральный баннер'!$I:$I=$C762)), ""\d+"", """"),"""")"),"")</f>
        <v/>
      </c>
      <c r="U762" s="91" t="str">
        <f>IFERROR(__xludf.DUMMYFUNCTION("IFERROR(unique(filter('Генеральный баннер'!$F:$F, 'Генеральный баннер'!$B:$B=$A762,'Генеральный баннер'!$C:$C=$B762,'Генеральный баннер'!$I:$I=$C762)),"""")"),"")</f>
        <v/>
      </c>
      <c r="V762" s="92" t="str">
        <f t="shared" si="3"/>
        <v/>
      </c>
      <c r="W762" s="93">
        <f>IFERROR(__xludf.DUMMYFUNCTION("IFERROR(SWITCH(lower(join("" "",U762:V762)),""а миллионник"", 62.5,""б миллионник"", 75,""а мск"", 50, ""б мск"", 62.5, ""a остальное"", 70, ""б остальное"", 80)/100,0)"),0.0)</f>
        <v>0</v>
      </c>
      <c r="X762" s="91">
        <f t="shared" si="4"/>
        <v>0</v>
      </c>
    </row>
    <row r="763">
      <c r="A763" s="12"/>
      <c r="B763" s="12"/>
      <c r="C763" s="12"/>
      <c r="D763" s="91">
        <f>IFERROR(__xludf.DUMMYFUNCTION("IFERROR(sum(filter('Основной эфир'!$AA:$AA, 'Основной эфир'!$B:$B=$A763,'Основной эфир'!$C:$C=$B763,'Основной эфир'!$I:$I=$C763)), 0) "),0.0)</f>
        <v>0</v>
      </c>
      <c r="E763" s="91">
        <f>IFERROR(__xludf.DUMMYFUNCTION("IFERROR(sum(filter('Основной эфир'!$AC:$AC, 'Основной эфир'!$B:$B=$A763,'Основной эфир'!$C:$C=$B763,'Основной эфир'!$I:$I=$C763)), 0) "),0.0)</f>
        <v>0</v>
      </c>
      <c r="F763" s="91">
        <f>IFERROR(__xludf.DUMMYFUNCTION("IFERROR(sum(filter('Основной эфир'!$O:$O, 'Основной эфир'!$B:$B=$A763,'Основной эфир'!$C:$C=$B763,'Основной эфир'!$I:$I=$C763)), 0) "),0.0)</f>
        <v>0</v>
      </c>
      <c r="G763" s="91">
        <f>IFERROR(__xludf.DUMMYFUNCTION("IFERROR(sum(filter('Основной эфир'!$Q:$Q, 'Основной эфир'!$B:$B=$A763,'Основной эфир'!$C:$C=$B763,'Основной эфир'!$I:$I=$C763)), 0) "),0.0)</f>
        <v>0</v>
      </c>
      <c r="H763" s="91">
        <f>IFERROR(__xludf.DUMMYFUNCTION("IFERROR(AVERAGE(filter('Основной эфир'!$Y:$Y, 'Основной эфир'!$B:$B=$A763,'Основной эфир'!$C:$C=$B763,'Основной эфир'!$I:$I=$C763)), 0) "),0.0)</f>
        <v>0</v>
      </c>
      <c r="I763" s="91">
        <f>IFERROR(__xludf.DUMMYFUNCTION("IFERROR(AVERAGE(filter('Основной эфир'!$AE:$AE, 'Основной эфир'!$B:$B=$A763,'Основной эфир'!$C:$C=$B763,'Основной эфир'!$I:$I=$C763)), 0) "),0.0)</f>
        <v>0</v>
      </c>
      <c r="J763" s="91">
        <f>IFERROR(__xludf.DUMMYFUNCTION("IFERROR(SUM(filter('Основной эфир'!$AL:$AL, 'Основной эфир'!$B:$B=$A763,'Основной эфир'!$C:$C=$B763,'Основной эфир'!$I:$I=$C763)), 0) "),0.0)</f>
        <v>0</v>
      </c>
      <c r="K763" s="91" t="str">
        <f>IFERROR(__xludf.DUMMYFUNCTION("IFERROR(REGEXREPLACE(unique(filter('Основной эфир'!$A:$A, 'Основной эфир'!$B:$B=$A763,'Основной эфир'!$C:$C=$B763,'Основной эфир'!$I:$I=$C763)), ""\d+"", """"),"""")"),"")</f>
        <v/>
      </c>
      <c r="L763" s="91" t="str">
        <f>IFERROR(__xludf.DUMMYFUNCTION("IFERROR(unique(filter('Основной эфир'!$F:$F, 'Основной эфир'!$B:$B=$A763,'Основной эфир'!$C:$C=$B763,'Основной эфир'!$I:$I=$C763)),"""")"),"")</f>
        <v/>
      </c>
      <c r="M763" s="92" t="str">
        <f t="shared" si="1"/>
        <v/>
      </c>
      <c r="N763" s="93">
        <f>IFERROR(__xludf.DUMMYFUNCTION("IFERROR(SWITCH(lower(join("" "",L763:M763)),""а миллионник"", 62.5,""б миллионник"", 75,""а мск"", 50, ""б мск"", 62.5, ""a остальное"", 70, ""б остальное"", 80)/100,0)"),0.0)</f>
        <v>0</v>
      </c>
      <c r="O763" s="91">
        <f t="shared" si="2"/>
        <v>0</v>
      </c>
      <c r="P763" s="91">
        <f>IFERROR(__xludf.DUMMYFUNCTION("IFERROR(sum(filter('Генеральный баннер'!$O:$O, 'Генеральный баннер'!$B:$B=$A763,'Генеральный баннер'!$C:$C=$B763,'Генеральный баннер'!$I:$I=$C763)), 0) "),0.0)</f>
        <v>0</v>
      </c>
      <c r="Q763" s="91">
        <f>IFERROR(__xludf.DUMMYFUNCTION("IFERROR(sum(filter('Генеральный баннер'!$Q:$Q, 'Генеральный баннер'!$B:$B=$A763,'Генеральный баннер'!$C:$C=$B763,'Генеральный баннер'!$I:$I=$C763)), 0) "),0.0)</f>
        <v>0</v>
      </c>
      <c r="R763" s="91">
        <f>IFERROR(__xludf.DUMMYFUNCTION("IFERROR(AVERAGE(filter('Генеральный баннер'!$AA:$AA, 'Генеральный баннер'!$B:$B=$A763,'Генеральный баннер'!$C:$C=$B763,'Генеральный баннер'!$I:$I=$C763)), 0) "),0.0)</f>
        <v>0</v>
      </c>
      <c r="S763" s="91">
        <f>IFERROR(__xludf.DUMMYFUNCTION("IFERROR(SUM(filter('Генеральный баннер'!$AH:$AH, 'Генеральный баннер'!$B:$B=$A763,'Генеральный баннер'!$C:$C=$B763,'Генеральный баннер'!$I:$I=$C763)), 0) "),0.0)</f>
        <v>0</v>
      </c>
      <c r="T763" s="91" t="str">
        <f>IFERROR(__xludf.DUMMYFUNCTION("IFERROR(REGEXREPLACE(unique(filter('Генеральный баннер'!$A:$A, 'Генеральный баннер'!$B:$B=$A763,'Генеральный баннер'!$C:$C=$B763,'Генеральный баннер'!$I:$I=$C763)), ""\d+"", """"),"""")"),"")</f>
        <v/>
      </c>
      <c r="U763" s="91" t="str">
        <f>IFERROR(__xludf.DUMMYFUNCTION("IFERROR(unique(filter('Генеральный баннер'!$F:$F, 'Генеральный баннер'!$B:$B=$A763,'Генеральный баннер'!$C:$C=$B763,'Генеральный баннер'!$I:$I=$C763)),"""")"),"")</f>
        <v/>
      </c>
      <c r="V763" s="92" t="str">
        <f t="shared" si="3"/>
        <v/>
      </c>
      <c r="W763" s="93">
        <f>IFERROR(__xludf.DUMMYFUNCTION("IFERROR(SWITCH(lower(join("" "",U763:V763)),""а миллионник"", 62.5,""б миллионник"", 75,""а мск"", 50, ""б мск"", 62.5, ""a остальное"", 70, ""б остальное"", 80)/100,0)"),0.0)</f>
        <v>0</v>
      </c>
      <c r="X763" s="91">
        <f t="shared" si="4"/>
        <v>0</v>
      </c>
    </row>
    <row r="764">
      <c r="A764" s="12"/>
      <c r="B764" s="12"/>
      <c r="C764" s="12"/>
      <c r="D764" s="91">
        <f>IFERROR(__xludf.DUMMYFUNCTION("IFERROR(sum(filter('Основной эфир'!$AA:$AA, 'Основной эфир'!$B:$B=$A764,'Основной эфир'!$C:$C=$B764,'Основной эфир'!$I:$I=$C764)), 0) "),0.0)</f>
        <v>0</v>
      </c>
      <c r="E764" s="91">
        <f>IFERROR(__xludf.DUMMYFUNCTION("IFERROR(sum(filter('Основной эфир'!$AC:$AC, 'Основной эфир'!$B:$B=$A764,'Основной эфир'!$C:$C=$B764,'Основной эфир'!$I:$I=$C764)), 0) "),0.0)</f>
        <v>0</v>
      </c>
      <c r="F764" s="91">
        <f>IFERROR(__xludf.DUMMYFUNCTION("IFERROR(sum(filter('Основной эфир'!$O:$O, 'Основной эфир'!$B:$B=$A764,'Основной эфир'!$C:$C=$B764,'Основной эфир'!$I:$I=$C764)), 0) "),0.0)</f>
        <v>0</v>
      </c>
      <c r="G764" s="91">
        <f>IFERROR(__xludf.DUMMYFUNCTION("IFERROR(sum(filter('Основной эфир'!$Q:$Q, 'Основной эфир'!$B:$B=$A764,'Основной эфир'!$C:$C=$B764,'Основной эфир'!$I:$I=$C764)), 0) "),0.0)</f>
        <v>0</v>
      </c>
      <c r="H764" s="91">
        <f>IFERROR(__xludf.DUMMYFUNCTION("IFERROR(AVERAGE(filter('Основной эфир'!$Y:$Y, 'Основной эфир'!$B:$B=$A764,'Основной эфир'!$C:$C=$B764,'Основной эфир'!$I:$I=$C764)), 0) "),0.0)</f>
        <v>0</v>
      </c>
      <c r="I764" s="91">
        <f>IFERROR(__xludf.DUMMYFUNCTION("IFERROR(AVERAGE(filter('Основной эфир'!$AE:$AE, 'Основной эфир'!$B:$B=$A764,'Основной эфир'!$C:$C=$B764,'Основной эфир'!$I:$I=$C764)), 0) "),0.0)</f>
        <v>0</v>
      </c>
      <c r="J764" s="91">
        <f>IFERROR(__xludf.DUMMYFUNCTION("IFERROR(SUM(filter('Основной эфир'!$AL:$AL, 'Основной эфир'!$B:$B=$A764,'Основной эфир'!$C:$C=$B764,'Основной эфир'!$I:$I=$C764)), 0) "),0.0)</f>
        <v>0</v>
      </c>
      <c r="K764" s="91" t="str">
        <f>IFERROR(__xludf.DUMMYFUNCTION("IFERROR(REGEXREPLACE(unique(filter('Основной эфир'!$A:$A, 'Основной эфир'!$B:$B=$A764,'Основной эфир'!$C:$C=$B764,'Основной эфир'!$I:$I=$C764)), ""\d+"", """"),"""")"),"")</f>
        <v/>
      </c>
      <c r="L764" s="91" t="str">
        <f>IFERROR(__xludf.DUMMYFUNCTION("IFERROR(unique(filter('Основной эфир'!$F:$F, 'Основной эфир'!$B:$B=$A764,'Основной эфир'!$C:$C=$B764,'Основной эфир'!$I:$I=$C764)),"""")"),"")</f>
        <v/>
      </c>
      <c r="M764" s="92" t="str">
        <f t="shared" si="1"/>
        <v/>
      </c>
      <c r="N764" s="93">
        <f>IFERROR(__xludf.DUMMYFUNCTION("IFERROR(SWITCH(lower(join("" "",L764:M764)),""а миллионник"", 62.5,""б миллионник"", 75,""а мск"", 50, ""б мск"", 62.5, ""a остальное"", 70, ""б остальное"", 80)/100,0)"),0.0)</f>
        <v>0</v>
      </c>
      <c r="O764" s="91">
        <f t="shared" si="2"/>
        <v>0</v>
      </c>
      <c r="P764" s="91">
        <f>IFERROR(__xludf.DUMMYFUNCTION("IFERROR(sum(filter('Генеральный баннер'!$O:$O, 'Генеральный баннер'!$B:$B=$A764,'Генеральный баннер'!$C:$C=$B764,'Генеральный баннер'!$I:$I=$C764)), 0) "),0.0)</f>
        <v>0</v>
      </c>
      <c r="Q764" s="91">
        <f>IFERROR(__xludf.DUMMYFUNCTION("IFERROR(sum(filter('Генеральный баннер'!$Q:$Q, 'Генеральный баннер'!$B:$B=$A764,'Генеральный баннер'!$C:$C=$B764,'Генеральный баннер'!$I:$I=$C764)), 0) "),0.0)</f>
        <v>0</v>
      </c>
      <c r="R764" s="91">
        <f>IFERROR(__xludf.DUMMYFUNCTION("IFERROR(AVERAGE(filter('Генеральный баннер'!$AA:$AA, 'Генеральный баннер'!$B:$B=$A764,'Генеральный баннер'!$C:$C=$B764,'Генеральный баннер'!$I:$I=$C764)), 0) "),0.0)</f>
        <v>0</v>
      </c>
      <c r="S764" s="91">
        <f>IFERROR(__xludf.DUMMYFUNCTION("IFERROR(SUM(filter('Генеральный баннер'!$AH:$AH, 'Генеральный баннер'!$B:$B=$A764,'Генеральный баннер'!$C:$C=$B764,'Генеральный баннер'!$I:$I=$C764)), 0) "),0.0)</f>
        <v>0</v>
      </c>
      <c r="T764" s="91" t="str">
        <f>IFERROR(__xludf.DUMMYFUNCTION("IFERROR(REGEXREPLACE(unique(filter('Генеральный баннер'!$A:$A, 'Генеральный баннер'!$B:$B=$A764,'Генеральный баннер'!$C:$C=$B764,'Генеральный баннер'!$I:$I=$C764)), ""\d+"", """"),"""")"),"")</f>
        <v/>
      </c>
      <c r="U764" s="91" t="str">
        <f>IFERROR(__xludf.DUMMYFUNCTION("IFERROR(unique(filter('Генеральный баннер'!$F:$F, 'Генеральный баннер'!$B:$B=$A764,'Генеральный баннер'!$C:$C=$B764,'Генеральный баннер'!$I:$I=$C764)),"""")"),"")</f>
        <v/>
      </c>
      <c r="V764" s="92" t="str">
        <f t="shared" si="3"/>
        <v/>
      </c>
      <c r="W764" s="93">
        <f>IFERROR(__xludf.DUMMYFUNCTION("IFERROR(SWITCH(lower(join("" "",U764:V764)),""а миллионник"", 62.5,""б миллионник"", 75,""а мск"", 50, ""б мск"", 62.5, ""a остальное"", 70, ""б остальное"", 80)/100,0)"),0.0)</f>
        <v>0</v>
      </c>
      <c r="X764" s="91">
        <f t="shared" si="4"/>
        <v>0</v>
      </c>
    </row>
    <row r="765">
      <c r="A765" s="12"/>
      <c r="B765" s="12"/>
      <c r="C765" s="12"/>
      <c r="D765" s="91">
        <f>IFERROR(__xludf.DUMMYFUNCTION("IFERROR(sum(filter('Основной эфир'!$AA:$AA, 'Основной эфир'!$B:$B=$A765,'Основной эфир'!$C:$C=$B765,'Основной эфир'!$I:$I=$C765)), 0) "),0.0)</f>
        <v>0</v>
      </c>
      <c r="E765" s="91">
        <f>IFERROR(__xludf.DUMMYFUNCTION("IFERROR(sum(filter('Основной эфир'!$AC:$AC, 'Основной эфир'!$B:$B=$A765,'Основной эфир'!$C:$C=$B765,'Основной эфир'!$I:$I=$C765)), 0) "),0.0)</f>
        <v>0</v>
      </c>
      <c r="F765" s="91">
        <f>IFERROR(__xludf.DUMMYFUNCTION("IFERROR(sum(filter('Основной эфир'!$O:$O, 'Основной эфир'!$B:$B=$A765,'Основной эфир'!$C:$C=$B765,'Основной эфир'!$I:$I=$C765)), 0) "),0.0)</f>
        <v>0</v>
      </c>
      <c r="G765" s="91">
        <f>IFERROR(__xludf.DUMMYFUNCTION("IFERROR(sum(filter('Основной эфир'!$Q:$Q, 'Основной эфир'!$B:$B=$A765,'Основной эфир'!$C:$C=$B765,'Основной эфир'!$I:$I=$C765)), 0) "),0.0)</f>
        <v>0</v>
      </c>
      <c r="H765" s="91">
        <f>IFERROR(__xludf.DUMMYFUNCTION("IFERROR(AVERAGE(filter('Основной эфир'!$Y:$Y, 'Основной эфир'!$B:$B=$A765,'Основной эфир'!$C:$C=$B765,'Основной эфир'!$I:$I=$C765)), 0) "),0.0)</f>
        <v>0</v>
      </c>
      <c r="I765" s="91">
        <f>IFERROR(__xludf.DUMMYFUNCTION("IFERROR(AVERAGE(filter('Основной эфир'!$AE:$AE, 'Основной эфир'!$B:$B=$A765,'Основной эфир'!$C:$C=$B765,'Основной эфир'!$I:$I=$C765)), 0) "),0.0)</f>
        <v>0</v>
      </c>
      <c r="J765" s="91">
        <f>IFERROR(__xludf.DUMMYFUNCTION("IFERROR(SUM(filter('Основной эфир'!$AL:$AL, 'Основной эфир'!$B:$B=$A765,'Основной эфир'!$C:$C=$B765,'Основной эфир'!$I:$I=$C765)), 0) "),0.0)</f>
        <v>0</v>
      </c>
      <c r="K765" s="91" t="str">
        <f>IFERROR(__xludf.DUMMYFUNCTION("IFERROR(REGEXREPLACE(unique(filter('Основной эфир'!$A:$A, 'Основной эфир'!$B:$B=$A765,'Основной эфир'!$C:$C=$B765,'Основной эфир'!$I:$I=$C765)), ""\d+"", """"),"""")"),"")</f>
        <v/>
      </c>
      <c r="L765" s="91" t="str">
        <f>IFERROR(__xludf.DUMMYFUNCTION("IFERROR(unique(filter('Основной эфир'!$F:$F, 'Основной эфир'!$B:$B=$A765,'Основной эфир'!$C:$C=$B765,'Основной эфир'!$I:$I=$C765)),"""")"),"")</f>
        <v/>
      </c>
      <c r="M765" s="92" t="str">
        <f t="shared" si="1"/>
        <v/>
      </c>
      <c r="N765" s="93">
        <f>IFERROR(__xludf.DUMMYFUNCTION("IFERROR(SWITCH(lower(join("" "",L765:M765)),""а миллионник"", 62.5,""б миллионник"", 75,""а мск"", 50, ""б мск"", 62.5, ""a остальное"", 70, ""б остальное"", 80)/100,0)"),0.0)</f>
        <v>0</v>
      </c>
      <c r="O765" s="91">
        <f t="shared" si="2"/>
        <v>0</v>
      </c>
      <c r="P765" s="91">
        <f>IFERROR(__xludf.DUMMYFUNCTION("IFERROR(sum(filter('Генеральный баннер'!$O:$O, 'Генеральный баннер'!$B:$B=$A765,'Генеральный баннер'!$C:$C=$B765,'Генеральный баннер'!$I:$I=$C765)), 0) "),0.0)</f>
        <v>0</v>
      </c>
      <c r="Q765" s="91">
        <f>IFERROR(__xludf.DUMMYFUNCTION("IFERROR(sum(filter('Генеральный баннер'!$Q:$Q, 'Генеральный баннер'!$B:$B=$A765,'Генеральный баннер'!$C:$C=$B765,'Генеральный баннер'!$I:$I=$C765)), 0) "),0.0)</f>
        <v>0</v>
      </c>
      <c r="R765" s="91">
        <f>IFERROR(__xludf.DUMMYFUNCTION("IFERROR(AVERAGE(filter('Генеральный баннер'!$AA:$AA, 'Генеральный баннер'!$B:$B=$A765,'Генеральный баннер'!$C:$C=$B765,'Генеральный баннер'!$I:$I=$C765)), 0) "),0.0)</f>
        <v>0</v>
      </c>
      <c r="S765" s="91">
        <f>IFERROR(__xludf.DUMMYFUNCTION("IFERROR(SUM(filter('Генеральный баннер'!$AH:$AH, 'Генеральный баннер'!$B:$B=$A765,'Генеральный баннер'!$C:$C=$B765,'Генеральный баннер'!$I:$I=$C765)), 0) "),0.0)</f>
        <v>0</v>
      </c>
      <c r="T765" s="91" t="str">
        <f>IFERROR(__xludf.DUMMYFUNCTION("IFERROR(REGEXREPLACE(unique(filter('Генеральный баннер'!$A:$A, 'Генеральный баннер'!$B:$B=$A765,'Генеральный баннер'!$C:$C=$B765,'Генеральный баннер'!$I:$I=$C765)), ""\d+"", """"),"""")"),"")</f>
        <v/>
      </c>
      <c r="U765" s="91" t="str">
        <f>IFERROR(__xludf.DUMMYFUNCTION("IFERROR(unique(filter('Генеральный баннер'!$F:$F, 'Генеральный баннер'!$B:$B=$A765,'Генеральный баннер'!$C:$C=$B765,'Генеральный баннер'!$I:$I=$C765)),"""")"),"")</f>
        <v/>
      </c>
      <c r="V765" s="92" t="str">
        <f t="shared" si="3"/>
        <v/>
      </c>
      <c r="W765" s="93">
        <f>IFERROR(__xludf.DUMMYFUNCTION("IFERROR(SWITCH(lower(join("" "",U765:V765)),""а миллионник"", 62.5,""б миллионник"", 75,""а мск"", 50, ""б мск"", 62.5, ""a остальное"", 70, ""б остальное"", 80)/100,0)"),0.0)</f>
        <v>0</v>
      </c>
      <c r="X765" s="91">
        <f t="shared" si="4"/>
        <v>0</v>
      </c>
    </row>
    <row r="766">
      <c r="A766" s="12"/>
      <c r="B766" s="12"/>
      <c r="C766" s="12"/>
      <c r="D766" s="91">
        <f>IFERROR(__xludf.DUMMYFUNCTION("IFERROR(sum(filter('Основной эфир'!$AA:$AA, 'Основной эфир'!$B:$B=$A766,'Основной эфир'!$C:$C=$B766,'Основной эфир'!$I:$I=$C766)), 0) "),0.0)</f>
        <v>0</v>
      </c>
      <c r="E766" s="91">
        <f>IFERROR(__xludf.DUMMYFUNCTION("IFERROR(sum(filter('Основной эфир'!$AC:$AC, 'Основной эфир'!$B:$B=$A766,'Основной эфир'!$C:$C=$B766,'Основной эфир'!$I:$I=$C766)), 0) "),0.0)</f>
        <v>0</v>
      </c>
      <c r="F766" s="91">
        <f>IFERROR(__xludf.DUMMYFUNCTION("IFERROR(sum(filter('Основной эфир'!$O:$O, 'Основной эфир'!$B:$B=$A766,'Основной эфир'!$C:$C=$B766,'Основной эфир'!$I:$I=$C766)), 0) "),0.0)</f>
        <v>0</v>
      </c>
      <c r="G766" s="91">
        <f>IFERROR(__xludf.DUMMYFUNCTION("IFERROR(sum(filter('Основной эфир'!$Q:$Q, 'Основной эфир'!$B:$B=$A766,'Основной эфир'!$C:$C=$B766,'Основной эфир'!$I:$I=$C766)), 0) "),0.0)</f>
        <v>0</v>
      </c>
      <c r="H766" s="91">
        <f>IFERROR(__xludf.DUMMYFUNCTION("IFERROR(AVERAGE(filter('Основной эфир'!$Y:$Y, 'Основной эфир'!$B:$B=$A766,'Основной эфир'!$C:$C=$B766,'Основной эфир'!$I:$I=$C766)), 0) "),0.0)</f>
        <v>0</v>
      </c>
      <c r="I766" s="91">
        <f>IFERROR(__xludf.DUMMYFUNCTION("IFERROR(AVERAGE(filter('Основной эфир'!$AE:$AE, 'Основной эфир'!$B:$B=$A766,'Основной эфир'!$C:$C=$B766,'Основной эфир'!$I:$I=$C766)), 0) "),0.0)</f>
        <v>0</v>
      </c>
      <c r="J766" s="91">
        <f>IFERROR(__xludf.DUMMYFUNCTION("IFERROR(SUM(filter('Основной эфир'!$AL:$AL, 'Основной эфир'!$B:$B=$A766,'Основной эфир'!$C:$C=$B766,'Основной эфир'!$I:$I=$C766)), 0) "),0.0)</f>
        <v>0</v>
      </c>
      <c r="K766" s="91" t="str">
        <f>IFERROR(__xludf.DUMMYFUNCTION("IFERROR(REGEXREPLACE(unique(filter('Основной эфир'!$A:$A, 'Основной эфир'!$B:$B=$A766,'Основной эфир'!$C:$C=$B766,'Основной эфир'!$I:$I=$C766)), ""\d+"", """"),"""")"),"")</f>
        <v/>
      </c>
      <c r="L766" s="91" t="str">
        <f>IFERROR(__xludf.DUMMYFUNCTION("IFERROR(unique(filter('Основной эфир'!$F:$F, 'Основной эфир'!$B:$B=$A766,'Основной эфир'!$C:$C=$B766,'Основной эфир'!$I:$I=$C766)),"""")"),"")</f>
        <v/>
      </c>
      <c r="M766" s="92" t="str">
        <f t="shared" si="1"/>
        <v/>
      </c>
      <c r="N766" s="93">
        <f>IFERROR(__xludf.DUMMYFUNCTION("IFERROR(SWITCH(lower(join("" "",L766:M766)),""а миллионник"", 62.5,""б миллионник"", 75,""а мск"", 50, ""б мск"", 62.5, ""a остальное"", 70, ""б остальное"", 80)/100,0)"),0.0)</f>
        <v>0</v>
      </c>
      <c r="O766" s="91">
        <f t="shared" si="2"/>
        <v>0</v>
      </c>
      <c r="P766" s="91">
        <f>IFERROR(__xludf.DUMMYFUNCTION("IFERROR(sum(filter('Генеральный баннер'!$O:$O, 'Генеральный баннер'!$B:$B=$A766,'Генеральный баннер'!$C:$C=$B766,'Генеральный баннер'!$I:$I=$C766)), 0) "),0.0)</f>
        <v>0</v>
      </c>
      <c r="Q766" s="91">
        <f>IFERROR(__xludf.DUMMYFUNCTION("IFERROR(sum(filter('Генеральный баннер'!$Q:$Q, 'Генеральный баннер'!$B:$B=$A766,'Генеральный баннер'!$C:$C=$B766,'Генеральный баннер'!$I:$I=$C766)), 0) "),0.0)</f>
        <v>0</v>
      </c>
      <c r="R766" s="91">
        <f>IFERROR(__xludf.DUMMYFUNCTION("IFERROR(AVERAGE(filter('Генеральный баннер'!$AA:$AA, 'Генеральный баннер'!$B:$B=$A766,'Генеральный баннер'!$C:$C=$B766,'Генеральный баннер'!$I:$I=$C766)), 0) "),0.0)</f>
        <v>0</v>
      </c>
      <c r="S766" s="91">
        <f>IFERROR(__xludf.DUMMYFUNCTION("IFERROR(SUM(filter('Генеральный баннер'!$AH:$AH, 'Генеральный баннер'!$B:$B=$A766,'Генеральный баннер'!$C:$C=$B766,'Генеральный баннер'!$I:$I=$C766)), 0) "),0.0)</f>
        <v>0</v>
      </c>
      <c r="T766" s="91" t="str">
        <f>IFERROR(__xludf.DUMMYFUNCTION("IFERROR(REGEXREPLACE(unique(filter('Генеральный баннер'!$A:$A, 'Генеральный баннер'!$B:$B=$A766,'Генеральный баннер'!$C:$C=$B766,'Генеральный баннер'!$I:$I=$C766)), ""\d+"", """"),"""")"),"")</f>
        <v/>
      </c>
      <c r="U766" s="91" t="str">
        <f>IFERROR(__xludf.DUMMYFUNCTION("IFERROR(unique(filter('Генеральный баннер'!$F:$F, 'Генеральный баннер'!$B:$B=$A766,'Генеральный баннер'!$C:$C=$B766,'Генеральный баннер'!$I:$I=$C766)),"""")"),"")</f>
        <v/>
      </c>
      <c r="V766" s="92" t="str">
        <f t="shared" si="3"/>
        <v/>
      </c>
      <c r="W766" s="93">
        <f>IFERROR(__xludf.DUMMYFUNCTION("IFERROR(SWITCH(lower(join("" "",U766:V766)),""а миллионник"", 62.5,""б миллионник"", 75,""а мск"", 50, ""б мск"", 62.5, ""a остальное"", 70, ""б остальное"", 80)/100,0)"),0.0)</f>
        <v>0</v>
      </c>
      <c r="X766" s="91">
        <f t="shared" si="4"/>
        <v>0</v>
      </c>
    </row>
    <row r="767">
      <c r="A767" s="12"/>
      <c r="B767" s="12"/>
      <c r="C767" s="12"/>
      <c r="D767" s="91">
        <f>IFERROR(__xludf.DUMMYFUNCTION("IFERROR(sum(filter('Основной эфир'!$AA:$AA, 'Основной эфир'!$B:$B=$A767,'Основной эфир'!$C:$C=$B767,'Основной эфир'!$I:$I=$C767)), 0) "),0.0)</f>
        <v>0</v>
      </c>
      <c r="E767" s="91">
        <f>IFERROR(__xludf.DUMMYFUNCTION("IFERROR(sum(filter('Основной эфир'!$AC:$AC, 'Основной эфир'!$B:$B=$A767,'Основной эфир'!$C:$C=$B767,'Основной эфир'!$I:$I=$C767)), 0) "),0.0)</f>
        <v>0</v>
      </c>
      <c r="F767" s="91">
        <f>IFERROR(__xludf.DUMMYFUNCTION("IFERROR(sum(filter('Основной эфир'!$O:$O, 'Основной эфир'!$B:$B=$A767,'Основной эфир'!$C:$C=$B767,'Основной эфир'!$I:$I=$C767)), 0) "),0.0)</f>
        <v>0</v>
      </c>
      <c r="G767" s="91">
        <f>IFERROR(__xludf.DUMMYFUNCTION("IFERROR(sum(filter('Основной эфир'!$Q:$Q, 'Основной эфир'!$B:$B=$A767,'Основной эфир'!$C:$C=$B767,'Основной эфир'!$I:$I=$C767)), 0) "),0.0)</f>
        <v>0</v>
      </c>
      <c r="H767" s="91">
        <f>IFERROR(__xludf.DUMMYFUNCTION("IFERROR(AVERAGE(filter('Основной эфир'!$Y:$Y, 'Основной эфир'!$B:$B=$A767,'Основной эфир'!$C:$C=$B767,'Основной эфир'!$I:$I=$C767)), 0) "),0.0)</f>
        <v>0</v>
      </c>
      <c r="I767" s="91">
        <f>IFERROR(__xludf.DUMMYFUNCTION("IFERROR(AVERAGE(filter('Основной эфир'!$AE:$AE, 'Основной эфир'!$B:$B=$A767,'Основной эфир'!$C:$C=$B767,'Основной эфир'!$I:$I=$C767)), 0) "),0.0)</f>
        <v>0</v>
      </c>
      <c r="J767" s="91">
        <f>IFERROR(__xludf.DUMMYFUNCTION("IFERROR(SUM(filter('Основной эфир'!$AL:$AL, 'Основной эфир'!$B:$B=$A767,'Основной эфир'!$C:$C=$B767,'Основной эфир'!$I:$I=$C767)), 0) "),0.0)</f>
        <v>0</v>
      </c>
      <c r="K767" s="91" t="str">
        <f>IFERROR(__xludf.DUMMYFUNCTION("IFERROR(REGEXREPLACE(unique(filter('Основной эфир'!$A:$A, 'Основной эфир'!$B:$B=$A767,'Основной эфир'!$C:$C=$B767,'Основной эфир'!$I:$I=$C767)), ""\d+"", """"),"""")"),"")</f>
        <v/>
      </c>
      <c r="L767" s="91" t="str">
        <f>IFERROR(__xludf.DUMMYFUNCTION("IFERROR(unique(filter('Основной эфир'!$F:$F, 'Основной эфир'!$B:$B=$A767,'Основной эфир'!$C:$C=$B767,'Основной эфир'!$I:$I=$C767)),"""")"),"")</f>
        <v/>
      </c>
      <c r="M767" s="92" t="str">
        <f t="shared" si="1"/>
        <v/>
      </c>
      <c r="N767" s="93">
        <f>IFERROR(__xludf.DUMMYFUNCTION("IFERROR(SWITCH(lower(join("" "",L767:M767)),""а миллионник"", 62.5,""б миллионник"", 75,""а мск"", 50, ""б мск"", 62.5, ""a остальное"", 70, ""б остальное"", 80)/100,0)"),0.0)</f>
        <v>0</v>
      </c>
      <c r="O767" s="91">
        <f t="shared" si="2"/>
        <v>0</v>
      </c>
      <c r="P767" s="91">
        <f>IFERROR(__xludf.DUMMYFUNCTION("IFERROR(sum(filter('Генеральный баннер'!$O:$O, 'Генеральный баннер'!$B:$B=$A767,'Генеральный баннер'!$C:$C=$B767,'Генеральный баннер'!$I:$I=$C767)), 0) "),0.0)</f>
        <v>0</v>
      </c>
      <c r="Q767" s="91">
        <f>IFERROR(__xludf.DUMMYFUNCTION("IFERROR(sum(filter('Генеральный баннер'!$Q:$Q, 'Генеральный баннер'!$B:$B=$A767,'Генеральный баннер'!$C:$C=$B767,'Генеральный баннер'!$I:$I=$C767)), 0) "),0.0)</f>
        <v>0</v>
      </c>
      <c r="R767" s="91">
        <f>IFERROR(__xludf.DUMMYFUNCTION("IFERROR(AVERAGE(filter('Генеральный баннер'!$AA:$AA, 'Генеральный баннер'!$B:$B=$A767,'Генеральный баннер'!$C:$C=$B767,'Генеральный баннер'!$I:$I=$C767)), 0) "),0.0)</f>
        <v>0</v>
      </c>
      <c r="S767" s="91">
        <f>IFERROR(__xludf.DUMMYFUNCTION("IFERROR(SUM(filter('Генеральный баннер'!$AH:$AH, 'Генеральный баннер'!$B:$B=$A767,'Генеральный баннер'!$C:$C=$B767,'Генеральный баннер'!$I:$I=$C767)), 0) "),0.0)</f>
        <v>0</v>
      </c>
      <c r="T767" s="91" t="str">
        <f>IFERROR(__xludf.DUMMYFUNCTION("IFERROR(REGEXREPLACE(unique(filter('Генеральный баннер'!$A:$A, 'Генеральный баннер'!$B:$B=$A767,'Генеральный баннер'!$C:$C=$B767,'Генеральный баннер'!$I:$I=$C767)), ""\d+"", """"),"""")"),"")</f>
        <v/>
      </c>
      <c r="U767" s="91" t="str">
        <f>IFERROR(__xludf.DUMMYFUNCTION("IFERROR(unique(filter('Генеральный баннер'!$F:$F, 'Генеральный баннер'!$B:$B=$A767,'Генеральный баннер'!$C:$C=$B767,'Генеральный баннер'!$I:$I=$C767)),"""")"),"")</f>
        <v/>
      </c>
      <c r="V767" s="92" t="str">
        <f t="shared" si="3"/>
        <v/>
      </c>
      <c r="W767" s="93">
        <f>IFERROR(__xludf.DUMMYFUNCTION("IFERROR(SWITCH(lower(join("" "",U767:V767)),""а миллионник"", 62.5,""б миллионник"", 75,""а мск"", 50, ""б мск"", 62.5, ""a остальное"", 70, ""б остальное"", 80)/100,0)"),0.0)</f>
        <v>0</v>
      </c>
      <c r="X767" s="91">
        <f t="shared" si="4"/>
        <v>0</v>
      </c>
    </row>
    <row r="768">
      <c r="A768" s="12"/>
      <c r="B768" s="12"/>
      <c r="C768" s="12"/>
      <c r="D768" s="91">
        <f>IFERROR(__xludf.DUMMYFUNCTION("IFERROR(sum(filter('Основной эфир'!$AA:$AA, 'Основной эфир'!$B:$B=$A768,'Основной эфир'!$C:$C=$B768,'Основной эфир'!$I:$I=$C768)), 0) "),0.0)</f>
        <v>0</v>
      </c>
      <c r="E768" s="91">
        <f>IFERROR(__xludf.DUMMYFUNCTION("IFERROR(sum(filter('Основной эфир'!$AC:$AC, 'Основной эфир'!$B:$B=$A768,'Основной эфир'!$C:$C=$B768,'Основной эфир'!$I:$I=$C768)), 0) "),0.0)</f>
        <v>0</v>
      </c>
      <c r="F768" s="91">
        <f>IFERROR(__xludf.DUMMYFUNCTION("IFERROR(sum(filter('Основной эфир'!$O:$O, 'Основной эфир'!$B:$B=$A768,'Основной эфир'!$C:$C=$B768,'Основной эфир'!$I:$I=$C768)), 0) "),0.0)</f>
        <v>0</v>
      </c>
      <c r="G768" s="91">
        <f>IFERROR(__xludf.DUMMYFUNCTION("IFERROR(sum(filter('Основной эфир'!$Q:$Q, 'Основной эфир'!$B:$B=$A768,'Основной эфир'!$C:$C=$B768,'Основной эфир'!$I:$I=$C768)), 0) "),0.0)</f>
        <v>0</v>
      </c>
      <c r="H768" s="91">
        <f>IFERROR(__xludf.DUMMYFUNCTION("IFERROR(AVERAGE(filter('Основной эфир'!$Y:$Y, 'Основной эфир'!$B:$B=$A768,'Основной эфир'!$C:$C=$B768,'Основной эфир'!$I:$I=$C768)), 0) "),0.0)</f>
        <v>0</v>
      </c>
      <c r="I768" s="91">
        <f>IFERROR(__xludf.DUMMYFUNCTION("IFERROR(AVERAGE(filter('Основной эфир'!$AE:$AE, 'Основной эфир'!$B:$B=$A768,'Основной эфир'!$C:$C=$B768,'Основной эфир'!$I:$I=$C768)), 0) "),0.0)</f>
        <v>0</v>
      </c>
      <c r="J768" s="91">
        <f>IFERROR(__xludf.DUMMYFUNCTION("IFERROR(SUM(filter('Основной эфир'!$AL:$AL, 'Основной эфир'!$B:$B=$A768,'Основной эфир'!$C:$C=$B768,'Основной эфир'!$I:$I=$C768)), 0) "),0.0)</f>
        <v>0</v>
      </c>
      <c r="K768" s="91" t="str">
        <f>IFERROR(__xludf.DUMMYFUNCTION("IFERROR(REGEXREPLACE(unique(filter('Основной эфир'!$A:$A, 'Основной эфир'!$B:$B=$A768,'Основной эфир'!$C:$C=$B768,'Основной эфир'!$I:$I=$C768)), ""\d+"", """"),"""")"),"")</f>
        <v/>
      </c>
      <c r="L768" s="91" t="str">
        <f>IFERROR(__xludf.DUMMYFUNCTION("IFERROR(unique(filter('Основной эфир'!$F:$F, 'Основной эфир'!$B:$B=$A768,'Основной эфир'!$C:$C=$B768,'Основной эфир'!$I:$I=$C768)),"""")"),"")</f>
        <v/>
      </c>
      <c r="M768" s="92" t="str">
        <f t="shared" si="1"/>
        <v/>
      </c>
      <c r="N768" s="93">
        <f>IFERROR(__xludf.DUMMYFUNCTION("IFERROR(SWITCH(lower(join("" "",L768:M768)),""а миллионник"", 62.5,""б миллионник"", 75,""а мск"", 50, ""б мск"", 62.5, ""a остальное"", 70, ""б остальное"", 80)/100,0)"),0.0)</f>
        <v>0</v>
      </c>
      <c r="O768" s="91">
        <f t="shared" si="2"/>
        <v>0</v>
      </c>
      <c r="P768" s="91">
        <f>IFERROR(__xludf.DUMMYFUNCTION("IFERROR(sum(filter('Генеральный баннер'!$O:$O, 'Генеральный баннер'!$B:$B=$A768,'Генеральный баннер'!$C:$C=$B768,'Генеральный баннер'!$I:$I=$C768)), 0) "),0.0)</f>
        <v>0</v>
      </c>
      <c r="Q768" s="91">
        <f>IFERROR(__xludf.DUMMYFUNCTION("IFERROR(sum(filter('Генеральный баннер'!$Q:$Q, 'Генеральный баннер'!$B:$B=$A768,'Генеральный баннер'!$C:$C=$B768,'Генеральный баннер'!$I:$I=$C768)), 0) "),0.0)</f>
        <v>0</v>
      </c>
      <c r="R768" s="91">
        <f>IFERROR(__xludf.DUMMYFUNCTION("IFERROR(AVERAGE(filter('Генеральный баннер'!$AA:$AA, 'Генеральный баннер'!$B:$B=$A768,'Генеральный баннер'!$C:$C=$B768,'Генеральный баннер'!$I:$I=$C768)), 0) "),0.0)</f>
        <v>0</v>
      </c>
      <c r="S768" s="91">
        <f>IFERROR(__xludf.DUMMYFUNCTION("IFERROR(SUM(filter('Генеральный баннер'!$AH:$AH, 'Генеральный баннер'!$B:$B=$A768,'Генеральный баннер'!$C:$C=$B768,'Генеральный баннер'!$I:$I=$C768)), 0) "),0.0)</f>
        <v>0</v>
      </c>
      <c r="T768" s="91" t="str">
        <f>IFERROR(__xludf.DUMMYFUNCTION("IFERROR(REGEXREPLACE(unique(filter('Генеральный баннер'!$A:$A, 'Генеральный баннер'!$B:$B=$A768,'Генеральный баннер'!$C:$C=$B768,'Генеральный баннер'!$I:$I=$C768)), ""\d+"", """"),"""")"),"")</f>
        <v/>
      </c>
      <c r="U768" s="91" t="str">
        <f>IFERROR(__xludf.DUMMYFUNCTION("IFERROR(unique(filter('Генеральный баннер'!$F:$F, 'Генеральный баннер'!$B:$B=$A768,'Генеральный баннер'!$C:$C=$B768,'Генеральный баннер'!$I:$I=$C768)),"""")"),"")</f>
        <v/>
      </c>
      <c r="V768" s="92" t="str">
        <f t="shared" si="3"/>
        <v/>
      </c>
      <c r="W768" s="93">
        <f>IFERROR(__xludf.DUMMYFUNCTION("IFERROR(SWITCH(lower(join("" "",U768:V768)),""а миллионник"", 62.5,""б миллионник"", 75,""а мск"", 50, ""б мск"", 62.5, ""a остальное"", 70, ""б остальное"", 80)/100,0)"),0.0)</f>
        <v>0</v>
      </c>
      <c r="X768" s="91">
        <f t="shared" si="4"/>
        <v>0</v>
      </c>
    </row>
    <row r="769">
      <c r="A769" s="12"/>
      <c r="B769" s="12"/>
      <c r="C769" s="12"/>
      <c r="D769" s="91">
        <f>IFERROR(__xludf.DUMMYFUNCTION("IFERROR(sum(filter('Основной эфир'!$AA:$AA, 'Основной эфир'!$B:$B=$A769,'Основной эфир'!$C:$C=$B769,'Основной эфир'!$I:$I=$C769)), 0) "),0.0)</f>
        <v>0</v>
      </c>
      <c r="E769" s="91">
        <f>IFERROR(__xludf.DUMMYFUNCTION("IFERROR(sum(filter('Основной эфир'!$AC:$AC, 'Основной эфир'!$B:$B=$A769,'Основной эфир'!$C:$C=$B769,'Основной эфир'!$I:$I=$C769)), 0) "),0.0)</f>
        <v>0</v>
      </c>
      <c r="F769" s="91">
        <f>IFERROR(__xludf.DUMMYFUNCTION("IFERROR(sum(filter('Основной эфир'!$O:$O, 'Основной эфир'!$B:$B=$A769,'Основной эфир'!$C:$C=$B769,'Основной эфир'!$I:$I=$C769)), 0) "),0.0)</f>
        <v>0</v>
      </c>
      <c r="G769" s="91">
        <f>IFERROR(__xludf.DUMMYFUNCTION("IFERROR(sum(filter('Основной эфир'!$Q:$Q, 'Основной эфир'!$B:$B=$A769,'Основной эфир'!$C:$C=$B769,'Основной эфир'!$I:$I=$C769)), 0) "),0.0)</f>
        <v>0</v>
      </c>
      <c r="H769" s="91">
        <f>IFERROR(__xludf.DUMMYFUNCTION("IFERROR(AVERAGE(filter('Основной эфир'!$Y:$Y, 'Основной эфир'!$B:$B=$A769,'Основной эфир'!$C:$C=$B769,'Основной эфир'!$I:$I=$C769)), 0) "),0.0)</f>
        <v>0</v>
      </c>
      <c r="I769" s="91">
        <f>IFERROR(__xludf.DUMMYFUNCTION("IFERROR(AVERAGE(filter('Основной эфир'!$AE:$AE, 'Основной эфир'!$B:$B=$A769,'Основной эфир'!$C:$C=$B769,'Основной эфир'!$I:$I=$C769)), 0) "),0.0)</f>
        <v>0</v>
      </c>
      <c r="J769" s="91">
        <f>IFERROR(__xludf.DUMMYFUNCTION("IFERROR(SUM(filter('Основной эфир'!$AL:$AL, 'Основной эфир'!$B:$B=$A769,'Основной эфир'!$C:$C=$B769,'Основной эфир'!$I:$I=$C769)), 0) "),0.0)</f>
        <v>0</v>
      </c>
      <c r="K769" s="91" t="str">
        <f>IFERROR(__xludf.DUMMYFUNCTION("IFERROR(REGEXREPLACE(unique(filter('Основной эфир'!$A:$A, 'Основной эфир'!$B:$B=$A769,'Основной эфир'!$C:$C=$B769,'Основной эфир'!$I:$I=$C769)), ""\d+"", """"),"""")"),"")</f>
        <v/>
      </c>
      <c r="L769" s="91" t="str">
        <f>IFERROR(__xludf.DUMMYFUNCTION("IFERROR(unique(filter('Основной эфир'!$F:$F, 'Основной эфир'!$B:$B=$A769,'Основной эфир'!$C:$C=$B769,'Основной эфир'!$I:$I=$C769)),"""")"),"")</f>
        <v/>
      </c>
      <c r="M769" s="92" t="str">
        <f t="shared" si="1"/>
        <v/>
      </c>
      <c r="N769" s="93">
        <f>IFERROR(__xludf.DUMMYFUNCTION("IFERROR(SWITCH(lower(join("" "",L769:M769)),""а миллионник"", 62.5,""б миллионник"", 75,""а мск"", 50, ""б мск"", 62.5, ""a остальное"", 70, ""б остальное"", 80)/100,0)"),0.0)</f>
        <v>0</v>
      </c>
      <c r="O769" s="91">
        <f t="shared" si="2"/>
        <v>0</v>
      </c>
      <c r="P769" s="91">
        <f>IFERROR(__xludf.DUMMYFUNCTION("IFERROR(sum(filter('Генеральный баннер'!$O:$O, 'Генеральный баннер'!$B:$B=$A769,'Генеральный баннер'!$C:$C=$B769,'Генеральный баннер'!$I:$I=$C769)), 0) "),0.0)</f>
        <v>0</v>
      </c>
      <c r="Q769" s="91">
        <f>IFERROR(__xludf.DUMMYFUNCTION("IFERROR(sum(filter('Генеральный баннер'!$Q:$Q, 'Генеральный баннер'!$B:$B=$A769,'Генеральный баннер'!$C:$C=$B769,'Генеральный баннер'!$I:$I=$C769)), 0) "),0.0)</f>
        <v>0</v>
      </c>
      <c r="R769" s="91">
        <f>IFERROR(__xludf.DUMMYFUNCTION("IFERROR(AVERAGE(filter('Генеральный баннер'!$AA:$AA, 'Генеральный баннер'!$B:$B=$A769,'Генеральный баннер'!$C:$C=$B769,'Генеральный баннер'!$I:$I=$C769)), 0) "),0.0)</f>
        <v>0</v>
      </c>
      <c r="S769" s="91">
        <f>IFERROR(__xludf.DUMMYFUNCTION("IFERROR(SUM(filter('Генеральный баннер'!$AH:$AH, 'Генеральный баннер'!$B:$B=$A769,'Генеральный баннер'!$C:$C=$B769,'Генеральный баннер'!$I:$I=$C769)), 0) "),0.0)</f>
        <v>0</v>
      </c>
      <c r="T769" s="91" t="str">
        <f>IFERROR(__xludf.DUMMYFUNCTION("IFERROR(REGEXREPLACE(unique(filter('Генеральный баннер'!$A:$A, 'Генеральный баннер'!$B:$B=$A769,'Генеральный баннер'!$C:$C=$B769,'Генеральный баннер'!$I:$I=$C769)), ""\d+"", """"),"""")"),"")</f>
        <v/>
      </c>
      <c r="U769" s="91" t="str">
        <f>IFERROR(__xludf.DUMMYFUNCTION("IFERROR(unique(filter('Генеральный баннер'!$F:$F, 'Генеральный баннер'!$B:$B=$A769,'Генеральный баннер'!$C:$C=$B769,'Генеральный баннер'!$I:$I=$C769)),"""")"),"")</f>
        <v/>
      </c>
      <c r="V769" s="92" t="str">
        <f t="shared" si="3"/>
        <v/>
      </c>
      <c r="W769" s="93">
        <f>IFERROR(__xludf.DUMMYFUNCTION("IFERROR(SWITCH(lower(join("" "",U769:V769)),""а миллионник"", 62.5,""б миллионник"", 75,""а мск"", 50, ""б мск"", 62.5, ""a остальное"", 70, ""б остальное"", 80)/100,0)"),0.0)</f>
        <v>0</v>
      </c>
      <c r="X769" s="91">
        <f t="shared" si="4"/>
        <v>0</v>
      </c>
    </row>
    <row r="770">
      <c r="A770" s="12"/>
      <c r="B770" s="12"/>
      <c r="C770" s="12"/>
      <c r="D770" s="91">
        <f>IFERROR(__xludf.DUMMYFUNCTION("IFERROR(sum(filter('Основной эфир'!$AA:$AA, 'Основной эфир'!$B:$B=$A770,'Основной эфир'!$C:$C=$B770,'Основной эфир'!$I:$I=$C770)), 0) "),0.0)</f>
        <v>0</v>
      </c>
      <c r="E770" s="91">
        <f>IFERROR(__xludf.DUMMYFUNCTION("IFERROR(sum(filter('Основной эфир'!$AC:$AC, 'Основной эфир'!$B:$B=$A770,'Основной эфир'!$C:$C=$B770,'Основной эфир'!$I:$I=$C770)), 0) "),0.0)</f>
        <v>0</v>
      </c>
      <c r="F770" s="91">
        <f>IFERROR(__xludf.DUMMYFUNCTION("IFERROR(sum(filter('Основной эфир'!$O:$O, 'Основной эфир'!$B:$B=$A770,'Основной эфир'!$C:$C=$B770,'Основной эфир'!$I:$I=$C770)), 0) "),0.0)</f>
        <v>0</v>
      </c>
      <c r="G770" s="91">
        <f>IFERROR(__xludf.DUMMYFUNCTION("IFERROR(sum(filter('Основной эфир'!$Q:$Q, 'Основной эфир'!$B:$B=$A770,'Основной эфир'!$C:$C=$B770,'Основной эфир'!$I:$I=$C770)), 0) "),0.0)</f>
        <v>0</v>
      </c>
      <c r="H770" s="91">
        <f>IFERROR(__xludf.DUMMYFUNCTION("IFERROR(AVERAGE(filter('Основной эфир'!$Y:$Y, 'Основной эфир'!$B:$B=$A770,'Основной эфир'!$C:$C=$B770,'Основной эфир'!$I:$I=$C770)), 0) "),0.0)</f>
        <v>0</v>
      </c>
      <c r="I770" s="91">
        <f>IFERROR(__xludf.DUMMYFUNCTION("IFERROR(AVERAGE(filter('Основной эфир'!$AE:$AE, 'Основной эфир'!$B:$B=$A770,'Основной эфир'!$C:$C=$B770,'Основной эфир'!$I:$I=$C770)), 0) "),0.0)</f>
        <v>0</v>
      </c>
      <c r="J770" s="91">
        <f>IFERROR(__xludf.DUMMYFUNCTION("IFERROR(SUM(filter('Основной эфир'!$AL:$AL, 'Основной эфир'!$B:$B=$A770,'Основной эфир'!$C:$C=$B770,'Основной эфир'!$I:$I=$C770)), 0) "),0.0)</f>
        <v>0</v>
      </c>
      <c r="K770" s="91" t="str">
        <f>IFERROR(__xludf.DUMMYFUNCTION("IFERROR(REGEXREPLACE(unique(filter('Основной эфир'!$A:$A, 'Основной эфир'!$B:$B=$A770,'Основной эфир'!$C:$C=$B770,'Основной эфир'!$I:$I=$C770)), ""\d+"", """"),"""")"),"")</f>
        <v/>
      </c>
      <c r="L770" s="91" t="str">
        <f>IFERROR(__xludf.DUMMYFUNCTION("IFERROR(unique(filter('Основной эфир'!$F:$F, 'Основной эфир'!$B:$B=$A770,'Основной эфир'!$C:$C=$B770,'Основной эфир'!$I:$I=$C770)),"""")"),"")</f>
        <v/>
      </c>
      <c r="M770" s="92" t="str">
        <f t="shared" si="1"/>
        <v/>
      </c>
      <c r="N770" s="93">
        <f>IFERROR(__xludf.DUMMYFUNCTION("IFERROR(SWITCH(lower(join("" "",L770:M770)),""а миллионник"", 62.5,""б миллионник"", 75,""а мск"", 50, ""б мск"", 62.5, ""a остальное"", 70, ""б остальное"", 80)/100,0)"),0.0)</f>
        <v>0</v>
      </c>
      <c r="O770" s="91">
        <f t="shared" si="2"/>
        <v>0</v>
      </c>
      <c r="P770" s="91">
        <f>IFERROR(__xludf.DUMMYFUNCTION("IFERROR(sum(filter('Генеральный баннер'!$O:$O, 'Генеральный баннер'!$B:$B=$A770,'Генеральный баннер'!$C:$C=$B770,'Генеральный баннер'!$I:$I=$C770)), 0) "),0.0)</f>
        <v>0</v>
      </c>
      <c r="Q770" s="91">
        <f>IFERROR(__xludf.DUMMYFUNCTION("IFERROR(sum(filter('Генеральный баннер'!$Q:$Q, 'Генеральный баннер'!$B:$B=$A770,'Генеральный баннер'!$C:$C=$B770,'Генеральный баннер'!$I:$I=$C770)), 0) "),0.0)</f>
        <v>0</v>
      </c>
      <c r="R770" s="91">
        <f>IFERROR(__xludf.DUMMYFUNCTION("IFERROR(AVERAGE(filter('Генеральный баннер'!$AA:$AA, 'Генеральный баннер'!$B:$B=$A770,'Генеральный баннер'!$C:$C=$B770,'Генеральный баннер'!$I:$I=$C770)), 0) "),0.0)</f>
        <v>0</v>
      </c>
      <c r="S770" s="91">
        <f>IFERROR(__xludf.DUMMYFUNCTION("IFERROR(SUM(filter('Генеральный баннер'!$AH:$AH, 'Генеральный баннер'!$B:$B=$A770,'Генеральный баннер'!$C:$C=$B770,'Генеральный баннер'!$I:$I=$C770)), 0) "),0.0)</f>
        <v>0</v>
      </c>
      <c r="T770" s="91" t="str">
        <f>IFERROR(__xludf.DUMMYFUNCTION("IFERROR(REGEXREPLACE(unique(filter('Генеральный баннер'!$A:$A, 'Генеральный баннер'!$B:$B=$A770,'Генеральный баннер'!$C:$C=$B770,'Генеральный баннер'!$I:$I=$C770)), ""\d+"", """"),"""")"),"")</f>
        <v/>
      </c>
      <c r="U770" s="91" t="str">
        <f>IFERROR(__xludf.DUMMYFUNCTION("IFERROR(unique(filter('Генеральный баннер'!$F:$F, 'Генеральный баннер'!$B:$B=$A770,'Генеральный баннер'!$C:$C=$B770,'Генеральный баннер'!$I:$I=$C770)),"""")"),"")</f>
        <v/>
      </c>
      <c r="V770" s="92" t="str">
        <f t="shared" si="3"/>
        <v/>
      </c>
      <c r="W770" s="93">
        <f>IFERROR(__xludf.DUMMYFUNCTION("IFERROR(SWITCH(lower(join("" "",U770:V770)),""а миллионник"", 62.5,""б миллионник"", 75,""а мск"", 50, ""б мск"", 62.5, ""a остальное"", 70, ""б остальное"", 80)/100,0)"),0.0)</f>
        <v>0</v>
      </c>
      <c r="X770" s="91">
        <f t="shared" si="4"/>
        <v>0</v>
      </c>
    </row>
    <row r="771">
      <c r="A771" s="12"/>
      <c r="B771" s="12"/>
      <c r="C771" s="12"/>
      <c r="D771" s="91">
        <f>IFERROR(__xludf.DUMMYFUNCTION("IFERROR(sum(filter('Основной эфир'!$AA:$AA, 'Основной эфир'!$B:$B=$A771,'Основной эфир'!$C:$C=$B771,'Основной эфир'!$I:$I=$C771)), 0) "),0.0)</f>
        <v>0</v>
      </c>
      <c r="E771" s="91">
        <f>IFERROR(__xludf.DUMMYFUNCTION("IFERROR(sum(filter('Основной эфир'!$AC:$AC, 'Основной эфир'!$B:$B=$A771,'Основной эфир'!$C:$C=$B771,'Основной эфир'!$I:$I=$C771)), 0) "),0.0)</f>
        <v>0</v>
      </c>
      <c r="F771" s="91">
        <f>IFERROR(__xludf.DUMMYFUNCTION("IFERROR(sum(filter('Основной эфир'!$O:$O, 'Основной эфир'!$B:$B=$A771,'Основной эфир'!$C:$C=$B771,'Основной эфир'!$I:$I=$C771)), 0) "),0.0)</f>
        <v>0</v>
      </c>
      <c r="G771" s="91">
        <f>IFERROR(__xludf.DUMMYFUNCTION("IFERROR(sum(filter('Основной эфир'!$Q:$Q, 'Основной эфир'!$B:$B=$A771,'Основной эфир'!$C:$C=$B771,'Основной эфир'!$I:$I=$C771)), 0) "),0.0)</f>
        <v>0</v>
      </c>
      <c r="H771" s="91">
        <f>IFERROR(__xludf.DUMMYFUNCTION("IFERROR(AVERAGE(filter('Основной эфир'!$Y:$Y, 'Основной эфир'!$B:$B=$A771,'Основной эфир'!$C:$C=$B771,'Основной эфир'!$I:$I=$C771)), 0) "),0.0)</f>
        <v>0</v>
      </c>
      <c r="I771" s="91">
        <f>IFERROR(__xludf.DUMMYFUNCTION("IFERROR(AVERAGE(filter('Основной эфир'!$AE:$AE, 'Основной эфир'!$B:$B=$A771,'Основной эфир'!$C:$C=$B771,'Основной эфир'!$I:$I=$C771)), 0) "),0.0)</f>
        <v>0</v>
      </c>
      <c r="J771" s="91">
        <f>IFERROR(__xludf.DUMMYFUNCTION("IFERROR(SUM(filter('Основной эфир'!$AL:$AL, 'Основной эфир'!$B:$B=$A771,'Основной эфир'!$C:$C=$B771,'Основной эфир'!$I:$I=$C771)), 0) "),0.0)</f>
        <v>0</v>
      </c>
      <c r="K771" s="91" t="str">
        <f>IFERROR(__xludf.DUMMYFUNCTION("IFERROR(REGEXREPLACE(unique(filter('Основной эфир'!$A:$A, 'Основной эфир'!$B:$B=$A771,'Основной эфир'!$C:$C=$B771,'Основной эфир'!$I:$I=$C771)), ""\d+"", """"),"""")"),"")</f>
        <v/>
      </c>
      <c r="L771" s="91" t="str">
        <f>IFERROR(__xludf.DUMMYFUNCTION("IFERROR(unique(filter('Основной эфир'!$F:$F, 'Основной эфир'!$B:$B=$A771,'Основной эфир'!$C:$C=$B771,'Основной эфир'!$I:$I=$C771)),"""")"),"")</f>
        <v/>
      </c>
      <c r="M771" s="92" t="str">
        <f t="shared" si="1"/>
        <v/>
      </c>
      <c r="N771" s="93">
        <f>IFERROR(__xludf.DUMMYFUNCTION("IFERROR(SWITCH(lower(join("" "",L771:M771)),""а миллионник"", 62.5,""б миллионник"", 75,""а мск"", 50, ""б мск"", 62.5, ""a остальное"", 70, ""б остальное"", 80)/100,0)"),0.0)</f>
        <v>0</v>
      </c>
      <c r="O771" s="91">
        <f t="shared" si="2"/>
        <v>0</v>
      </c>
      <c r="P771" s="91">
        <f>IFERROR(__xludf.DUMMYFUNCTION("IFERROR(sum(filter('Генеральный баннер'!$O:$O, 'Генеральный баннер'!$B:$B=$A771,'Генеральный баннер'!$C:$C=$B771,'Генеральный баннер'!$I:$I=$C771)), 0) "),0.0)</f>
        <v>0</v>
      </c>
      <c r="Q771" s="91">
        <f>IFERROR(__xludf.DUMMYFUNCTION("IFERROR(sum(filter('Генеральный баннер'!$Q:$Q, 'Генеральный баннер'!$B:$B=$A771,'Генеральный баннер'!$C:$C=$B771,'Генеральный баннер'!$I:$I=$C771)), 0) "),0.0)</f>
        <v>0</v>
      </c>
      <c r="R771" s="91">
        <f>IFERROR(__xludf.DUMMYFUNCTION("IFERROR(AVERAGE(filter('Генеральный баннер'!$AA:$AA, 'Генеральный баннер'!$B:$B=$A771,'Генеральный баннер'!$C:$C=$B771,'Генеральный баннер'!$I:$I=$C771)), 0) "),0.0)</f>
        <v>0</v>
      </c>
      <c r="S771" s="91">
        <f>IFERROR(__xludf.DUMMYFUNCTION("IFERROR(SUM(filter('Генеральный баннер'!$AH:$AH, 'Генеральный баннер'!$B:$B=$A771,'Генеральный баннер'!$C:$C=$B771,'Генеральный баннер'!$I:$I=$C771)), 0) "),0.0)</f>
        <v>0</v>
      </c>
      <c r="T771" s="91" t="str">
        <f>IFERROR(__xludf.DUMMYFUNCTION("IFERROR(REGEXREPLACE(unique(filter('Генеральный баннер'!$A:$A, 'Генеральный баннер'!$B:$B=$A771,'Генеральный баннер'!$C:$C=$B771,'Генеральный баннер'!$I:$I=$C771)), ""\d+"", """"),"""")"),"")</f>
        <v/>
      </c>
      <c r="U771" s="91" t="str">
        <f>IFERROR(__xludf.DUMMYFUNCTION("IFERROR(unique(filter('Генеральный баннер'!$F:$F, 'Генеральный баннер'!$B:$B=$A771,'Генеральный баннер'!$C:$C=$B771,'Генеральный баннер'!$I:$I=$C771)),"""")"),"")</f>
        <v/>
      </c>
      <c r="V771" s="92" t="str">
        <f t="shared" si="3"/>
        <v/>
      </c>
      <c r="W771" s="93">
        <f>IFERROR(__xludf.DUMMYFUNCTION("IFERROR(SWITCH(lower(join("" "",U771:V771)),""а миллионник"", 62.5,""б миллионник"", 75,""а мск"", 50, ""б мск"", 62.5, ""a остальное"", 70, ""б остальное"", 80)/100,0)"),0.0)</f>
        <v>0</v>
      </c>
      <c r="X771" s="91">
        <f t="shared" si="4"/>
        <v>0</v>
      </c>
    </row>
    <row r="772">
      <c r="A772" s="12"/>
      <c r="B772" s="12"/>
      <c r="C772" s="12"/>
      <c r="D772" s="91">
        <f>IFERROR(__xludf.DUMMYFUNCTION("IFERROR(sum(filter('Основной эфир'!$AA:$AA, 'Основной эфир'!$B:$B=$A772,'Основной эфир'!$C:$C=$B772,'Основной эфир'!$I:$I=$C772)), 0) "),0.0)</f>
        <v>0</v>
      </c>
      <c r="E772" s="91">
        <f>IFERROR(__xludf.DUMMYFUNCTION("IFERROR(sum(filter('Основной эфир'!$AC:$AC, 'Основной эфир'!$B:$B=$A772,'Основной эфир'!$C:$C=$B772,'Основной эфир'!$I:$I=$C772)), 0) "),0.0)</f>
        <v>0</v>
      </c>
      <c r="F772" s="91">
        <f>IFERROR(__xludf.DUMMYFUNCTION("IFERROR(sum(filter('Основной эфир'!$O:$O, 'Основной эфир'!$B:$B=$A772,'Основной эфир'!$C:$C=$B772,'Основной эфир'!$I:$I=$C772)), 0) "),0.0)</f>
        <v>0</v>
      </c>
      <c r="G772" s="91">
        <f>IFERROR(__xludf.DUMMYFUNCTION("IFERROR(sum(filter('Основной эфир'!$Q:$Q, 'Основной эфир'!$B:$B=$A772,'Основной эфир'!$C:$C=$B772,'Основной эфир'!$I:$I=$C772)), 0) "),0.0)</f>
        <v>0</v>
      </c>
      <c r="H772" s="91">
        <f>IFERROR(__xludf.DUMMYFUNCTION("IFERROR(AVERAGE(filter('Основной эфир'!$Y:$Y, 'Основной эфир'!$B:$B=$A772,'Основной эфир'!$C:$C=$B772,'Основной эфир'!$I:$I=$C772)), 0) "),0.0)</f>
        <v>0</v>
      </c>
      <c r="I772" s="91">
        <f>IFERROR(__xludf.DUMMYFUNCTION("IFERROR(AVERAGE(filter('Основной эфир'!$AE:$AE, 'Основной эфир'!$B:$B=$A772,'Основной эфир'!$C:$C=$B772,'Основной эфир'!$I:$I=$C772)), 0) "),0.0)</f>
        <v>0</v>
      </c>
      <c r="J772" s="91">
        <f>IFERROR(__xludf.DUMMYFUNCTION("IFERROR(SUM(filter('Основной эфир'!$AL:$AL, 'Основной эфир'!$B:$B=$A772,'Основной эфир'!$C:$C=$B772,'Основной эфир'!$I:$I=$C772)), 0) "),0.0)</f>
        <v>0</v>
      </c>
      <c r="K772" s="91" t="str">
        <f>IFERROR(__xludf.DUMMYFUNCTION("IFERROR(REGEXREPLACE(unique(filter('Основной эфир'!$A:$A, 'Основной эфир'!$B:$B=$A772,'Основной эфир'!$C:$C=$B772,'Основной эфир'!$I:$I=$C772)), ""\d+"", """"),"""")"),"")</f>
        <v/>
      </c>
      <c r="L772" s="91" t="str">
        <f>IFERROR(__xludf.DUMMYFUNCTION("IFERROR(unique(filter('Основной эфир'!$F:$F, 'Основной эфир'!$B:$B=$A772,'Основной эфир'!$C:$C=$B772,'Основной эфир'!$I:$I=$C772)),"""")"),"")</f>
        <v/>
      </c>
      <c r="M772" s="92" t="str">
        <f t="shared" si="1"/>
        <v/>
      </c>
      <c r="N772" s="93">
        <f>IFERROR(__xludf.DUMMYFUNCTION("IFERROR(SWITCH(lower(join("" "",L772:M772)),""а миллионник"", 62.5,""б миллионник"", 75,""а мск"", 50, ""б мск"", 62.5, ""a остальное"", 70, ""б остальное"", 80)/100,0)"),0.0)</f>
        <v>0</v>
      </c>
      <c r="O772" s="91">
        <f t="shared" si="2"/>
        <v>0</v>
      </c>
      <c r="P772" s="91">
        <f>IFERROR(__xludf.DUMMYFUNCTION("IFERROR(sum(filter('Генеральный баннер'!$O:$O, 'Генеральный баннер'!$B:$B=$A772,'Генеральный баннер'!$C:$C=$B772,'Генеральный баннер'!$I:$I=$C772)), 0) "),0.0)</f>
        <v>0</v>
      </c>
      <c r="Q772" s="91">
        <f>IFERROR(__xludf.DUMMYFUNCTION("IFERROR(sum(filter('Генеральный баннер'!$Q:$Q, 'Генеральный баннер'!$B:$B=$A772,'Генеральный баннер'!$C:$C=$B772,'Генеральный баннер'!$I:$I=$C772)), 0) "),0.0)</f>
        <v>0</v>
      </c>
      <c r="R772" s="91">
        <f>IFERROR(__xludf.DUMMYFUNCTION("IFERROR(AVERAGE(filter('Генеральный баннер'!$AA:$AA, 'Генеральный баннер'!$B:$B=$A772,'Генеральный баннер'!$C:$C=$B772,'Генеральный баннер'!$I:$I=$C772)), 0) "),0.0)</f>
        <v>0</v>
      </c>
      <c r="S772" s="91">
        <f>IFERROR(__xludf.DUMMYFUNCTION("IFERROR(SUM(filter('Генеральный баннер'!$AH:$AH, 'Генеральный баннер'!$B:$B=$A772,'Генеральный баннер'!$C:$C=$B772,'Генеральный баннер'!$I:$I=$C772)), 0) "),0.0)</f>
        <v>0</v>
      </c>
      <c r="T772" s="91" t="str">
        <f>IFERROR(__xludf.DUMMYFUNCTION("IFERROR(REGEXREPLACE(unique(filter('Генеральный баннер'!$A:$A, 'Генеральный баннер'!$B:$B=$A772,'Генеральный баннер'!$C:$C=$B772,'Генеральный баннер'!$I:$I=$C772)), ""\d+"", """"),"""")"),"")</f>
        <v/>
      </c>
      <c r="U772" s="91" t="str">
        <f>IFERROR(__xludf.DUMMYFUNCTION("IFERROR(unique(filter('Генеральный баннер'!$F:$F, 'Генеральный баннер'!$B:$B=$A772,'Генеральный баннер'!$C:$C=$B772,'Генеральный баннер'!$I:$I=$C772)),"""")"),"")</f>
        <v/>
      </c>
      <c r="V772" s="92" t="str">
        <f t="shared" si="3"/>
        <v/>
      </c>
      <c r="W772" s="93">
        <f>IFERROR(__xludf.DUMMYFUNCTION("IFERROR(SWITCH(lower(join("" "",U772:V772)),""а миллионник"", 62.5,""б миллионник"", 75,""а мск"", 50, ""б мск"", 62.5, ""a остальное"", 70, ""б остальное"", 80)/100,0)"),0.0)</f>
        <v>0</v>
      </c>
      <c r="X772" s="91">
        <f t="shared" si="4"/>
        <v>0</v>
      </c>
    </row>
    <row r="773">
      <c r="A773" s="12"/>
      <c r="B773" s="12"/>
      <c r="C773" s="12"/>
      <c r="D773" s="91">
        <f>IFERROR(__xludf.DUMMYFUNCTION("IFERROR(sum(filter('Основной эфир'!$AA:$AA, 'Основной эфир'!$B:$B=$A773,'Основной эфир'!$C:$C=$B773,'Основной эфир'!$I:$I=$C773)), 0) "),0.0)</f>
        <v>0</v>
      </c>
      <c r="E773" s="91">
        <f>IFERROR(__xludf.DUMMYFUNCTION("IFERROR(sum(filter('Основной эфир'!$AC:$AC, 'Основной эфир'!$B:$B=$A773,'Основной эфир'!$C:$C=$B773,'Основной эфир'!$I:$I=$C773)), 0) "),0.0)</f>
        <v>0</v>
      </c>
      <c r="F773" s="91">
        <f>IFERROR(__xludf.DUMMYFUNCTION("IFERROR(sum(filter('Основной эфир'!$O:$O, 'Основной эфир'!$B:$B=$A773,'Основной эфир'!$C:$C=$B773,'Основной эфир'!$I:$I=$C773)), 0) "),0.0)</f>
        <v>0</v>
      </c>
      <c r="G773" s="91">
        <f>IFERROR(__xludf.DUMMYFUNCTION("IFERROR(sum(filter('Основной эфир'!$Q:$Q, 'Основной эфир'!$B:$B=$A773,'Основной эфир'!$C:$C=$B773,'Основной эфир'!$I:$I=$C773)), 0) "),0.0)</f>
        <v>0</v>
      </c>
      <c r="H773" s="91">
        <f>IFERROR(__xludf.DUMMYFUNCTION("IFERROR(AVERAGE(filter('Основной эфир'!$Y:$Y, 'Основной эфир'!$B:$B=$A773,'Основной эфир'!$C:$C=$B773,'Основной эфир'!$I:$I=$C773)), 0) "),0.0)</f>
        <v>0</v>
      </c>
      <c r="I773" s="91">
        <f>IFERROR(__xludf.DUMMYFUNCTION("IFERROR(AVERAGE(filter('Основной эфир'!$AE:$AE, 'Основной эфир'!$B:$B=$A773,'Основной эфир'!$C:$C=$B773,'Основной эфир'!$I:$I=$C773)), 0) "),0.0)</f>
        <v>0</v>
      </c>
      <c r="J773" s="91">
        <f>IFERROR(__xludf.DUMMYFUNCTION("IFERROR(SUM(filter('Основной эфир'!$AL:$AL, 'Основной эфир'!$B:$B=$A773,'Основной эфир'!$C:$C=$B773,'Основной эфир'!$I:$I=$C773)), 0) "),0.0)</f>
        <v>0</v>
      </c>
      <c r="K773" s="91" t="str">
        <f>IFERROR(__xludf.DUMMYFUNCTION("IFERROR(REGEXREPLACE(unique(filter('Основной эфир'!$A:$A, 'Основной эфир'!$B:$B=$A773,'Основной эфир'!$C:$C=$B773,'Основной эфир'!$I:$I=$C773)), ""\d+"", """"),"""")"),"")</f>
        <v/>
      </c>
      <c r="L773" s="91" t="str">
        <f>IFERROR(__xludf.DUMMYFUNCTION("IFERROR(unique(filter('Основной эфир'!$F:$F, 'Основной эфир'!$B:$B=$A773,'Основной эфир'!$C:$C=$B773,'Основной эфир'!$I:$I=$C773)),"""")"),"")</f>
        <v/>
      </c>
      <c r="M773" s="92" t="str">
        <f t="shared" si="1"/>
        <v/>
      </c>
      <c r="N773" s="93">
        <f>IFERROR(__xludf.DUMMYFUNCTION("IFERROR(SWITCH(lower(join("" "",L773:M773)),""а миллионник"", 62.5,""б миллионник"", 75,""а мск"", 50, ""б мск"", 62.5, ""a остальное"", 70, ""б остальное"", 80)/100,0)"),0.0)</f>
        <v>0</v>
      </c>
      <c r="O773" s="91">
        <f t="shared" si="2"/>
        <v>0</v>
      </c>
      <c r="P773" s="91">
        <f>IFERROR(__xludf.DUMMYFUNCTION("IFERROR(sum(filter('Генеральный баннер'!$O:$O, 'Генеральный баннер'!$B:$B=$A773,'Генеральный баннер'!$C:$C=$B773,'Генеральный баннер'!$I:$I=$C773)), 0) "),0.0)</f>
        <v>0</v>
      </c>
      <c r="Q773" s="91">
        <f>IFERROR(__xludf.DUMMYFUNCTION("IFERROR(sum(filter('Генеральный баннер'!$Q:$Q, 'Генеральный баннер'!$B:$B=$A773,'Генеральный баннер'!$C:$C=$B773,'Генеральный баннер'!$I:$I=$C773)), 0) "),0.0)</f>
        <v>0</v>
      </c>
      <c r="R773" s="91">
        <f>IFERROR(__xludf.DUMMYFUNCTION("IFERROR(AVERAGE(filter('Генеральный баннер'!$AA:$AA, 'Генеральный баннер'!$B:$B=$A773,'Генеральный баннер'!$C:$C=$B773,'Генеральный баннер'!$I:$I=$C773)), 0) "),0.0)</f>
        <v>0</v>
      </c>
      <c r="S773" s="91">
        <f>IFERROR(__xludf.DUMMYFUNCTION("IFERROR(SUM(filter('Генеральный баннер'!$AH:$AH, 'Генеральный баннер'!$B:$B=$A773,'Генеральный баннер'!$C:$C=$B773,'Генеральный баннер'!$I:$I=$C773)), 0) "),0.0)</f>
        <v>0</v>
      </c>
      <c r="T773" s="91" t="str">
        <f>IFERROR(__xludf.DUMMYFUNCTION("IFERROR(REGEXREPLACE(unique(filter('Генеральный баннер'!$A:$A, 'Генеральный баннер'!$B:$B=$A773,'Генеральный баннер'!$C:$C=$B773,'Генеральный баннер'!$I:$I=$C773)), ""\d+"", """"),"""")"),"")</f>
        <v/>
      </c>
      <c r="U773" s="91" t="str">
        <f>IFERROR(__xludf.DUMMYFUNCTION("IFERROR(unique(filter('Генеральный баннер'!$F:$F, 'Генеральный баннер'!$B:$B=$A773,'Генеральный баннер'!$C:$C=$B773,'Генеральный баннер'!$I:$I=$C773)),"""")"),"")</f>
        <v/>
      </c>
      <c r="V773" s="92" t="str">
        <f t="shared" si="3"/>
        <v/>
      </c>
      <c r="W773" s="93">
        <f>IFERROR(__xludf.DUMMYFUNCTION("IFERROR(SWITCH(lower(join("" "",U773:V773)),""а миллионник"", 62.5,""б миллионник"", 75,""а мск"", 50, ""б мск"", 62.5, ""a остальное"", 70, ""б остальное"", 80)/100,0)"),0.0)</f>
        <v>0</v>
      </c>
      <c r="X773" s="91">
        <f t="shared" si="4"/>
        <v>0</v>
      </c>
    </row>
    <row r="774">
      <c r="A774" s="12"/>
      <c r="B774" s="12"/>
      <c r="C774" s="12"/>
      <c r="D774" s="91">
        <f>IFERROR(__xludf.DUMMYFUNCTION("IFERROR(sum(filter('Основной эфир'!$AA:$AA, 'Основной эфир'!$B:$B=$A774,'Основной эфир'!$C:$C=$B774,'Основной эфир'!$I:$I=$C774)), 0) "),0.0)</f>
        <v>0</v>
      </c>
      <c r="E774" s="91">
        <f>IFERROR(__xludf.DUMMYFUNCTION("IFERROR(sum(filter('Основной эфир'!$AC:$AC, 'Основной эфир'!$B:$B=$A774,'Основной эфир'!$C:$C=$B774,'Основной эфир'!$I:$I=$C774)), 0) "),0.0)</f>
        <v>0</v>
      </c>
      <c r="F774" s="91">
        <f>IFERROR(__xludf.DUMMYFUNCTION("IFERROR(sum(filter('Основной эфир'!$O:$O, 'Основной эфир'!$B:$B=$A774,'Основной эфир'!$C:$C=$B774,'Основной эфир'!$I:$I=$C774)), 0) "),0.0)</f>
        <v>0</v>
      </c>
      <c r="G774" s="91">
        <f>IFERROR(__xludf.DUMMYFUNCTION("IFERROR(sum(filter('Основной эфир'!$Q:$Q, 'Основной эфир'!$B:$B=$A774,'Основной эфир'!$C:$C=$B774,'Основной эфир'!$I:$I=$C774)), 0) "),0.0)</f>
        <v>0</v>
      </c>
      <c r="H774" s="91">
        <f>IFERROR(__xludf.DUMMYFUNCTION("IFERROR(AVERAGE(filter('Основной эфир'!$Y:$Y, 'Основной эфир'!$B:$B=$A774,'Основной эфир'!$C:$C=$B774,'Основной эфир'!$I:$I=$C774)), 0) "),0.0)</f>
        <v>0</v>
      </c>
      <c r="I774" s="91">
        <f>IFERROR(__xludf.DUMMYFUNCTION("IFERROR(AVERAGE(filter('Основной эфир'!$AE:$AE, 'Основной эфир'!$B:$B=$A774,'Основной эфир'!$C:$C=$B774,'Основной эфир'!$I:$I=$C774)), 0) "),0.0)</f>
        <v>0</v>
      </c>
      <c r="J774" s="91">
        <f>IFERROR(__xludf.DUMMYFUNCTION("IFERROR(SUM(filter('Основной эфир'!$AL:$AL, 'Основной эфир'!$B:$B=$A774,'Основной эфир'!$C:$C=$B774,'Основной эфир'!$I:$I=$C774)), 0) "),0.0)</f>
        <v>0</v>
      </c>
      <c r="K774" s="91" t="str">
        <f>IFERROR(__xludf.DUMMYFUNCTION("IFERROR(REGEXREPLACE(unique(filter('Основной эфир'!$A:$A, 'Основной эфир'!$B:$B=$A774,'Основной эфир'!$C:$C=$B774,'Основной эфир'!$I:$I=$C774)), ""\d+"", """"),"""")"),"")</f>
        <v/>
      </c>
      <c r="L774" s="91" t="str">
        <f>IFERROR(__xludf.DUMMYFUNCTION("IFERROR(unique(filter('Основной эфир'!$F:$F, 'Основной эфир'!$B:$B=$A774,'Основной эфир'!$C:$C=$B774,'Основной эфир'!$I:$I=$C774)),"""")"),"")</f>
        <v/>
      </c>
      <c r="M774" s="92" t="str">
        <f t="shared" si="1"/>
        <v/>
      </c>
      <c r="N774" s="93">
        <f>IFERROR(__xludf.DUMMYFUNCTION("IFERROR(SWITCH(lower(join("" "",L774:M774)),""а миллионник"", 62.5,""б миллионник"", 75,""а мск"", 50, ""б мск"", 62.5, ""a остальное"", 70, ""б остальное"", 80)/100,0)"),0.0)</f>
        <v>0</v>
      </c>
      <c r="O774" s="91">
        <f t="shared" si="2"/>
        <v>0</v>
      </c>
      <c r="P774" s="91">
        <f>IFERROR(__xludf.DUMMYFUNCTION("IFERROR(sum(filter('Генеральный баннер'!$O:$O, 'Генеральный баннер'!$B:$B=$A774,'Генеральный баннер'!$C:$C=$B774,'Генеральный баннер'!$I:$I=$C774)), 0) "),0.0)</f>
        <v>0</v>
      </c>
      <c r="Q774" s="91">
        <f>IFERROR(__xludf.DUMMYFUNCTION("IFERROR(sum(filter('Генеральный баннер'!$Q:$Q, 'Генеральный баннер'!$B:$B=$A774,'Генеральный баннер'!$C:$C=$B774,'Генеральный баннер'!$I:$I=$C774)), 0) "),0.0)</f>
        <v>0</v>
      </c>
      <c r="R774" s="91">
        <f>IFERROR(__xludf.DUMMYFUNCTION("IFERROR(AVERAGE(filter('Генеральный баннер'!$AA:$AA, 'Генеральный баннер'!$B:$B=$A774,'Генеральный баннер'!$C:$C=$B774,'Генеральный баннер'!$I:$I=$C774)), 0) "),0.0)</f>
        <v>0</v>
      </c>
      <c r="S774" s="91">
        <f>IFERROR(__xludf.DUMMYFUNCTION("IFERROR(SUM(filter('Генеральный баннер'!$AH:$AH, 'Генеральный баннер'!$B:$B=$A774,'Генеральный баннер'!$C:$C=$B774,'Генеральный баннер'!$I:$I=$C774)), 0) "),0.0)</f>
        <v>0</v>
      </c>
      <c r="T774" s="91" t="str">
        <f>IFERROR(__xludf.DUMMYFUNCTION("IFERROR(REGEXREPLACE(unique(filter('Генеральный баннер'!$A:$A, 'Генеральный баннер'!$B:$B=$A774,'Генеральный баннер'!$C:$C=$B774,'Генеральный баннер'!$I:$I=$C774)), ""\d+"", """"),"""")"),"")</f>
        <v/>
      </c>
      <c r="U774" s="91" t="str">
        <f>IFERROR(__xludf.DUMMYFUNCTION("IFERROR(unique(filter('Генеральный баннер'!$F:$F, 'Генеральный баннер'!$B:$B=$A774,'Генеральный баннер'!$C:$C=$B774,'Генеральный баннер'!$I:$I=$C774)),"""")"),"")</f>
        <v/>
      </c>
      <c r="V774" s="92" t="str">
        <f t="shared" si="3"/>
        <v/>
      </c>
      <c r="W774" s="93">
        <f>IFERROR(__xludf.DUMMYFUNCTION("IFERROR(SWITCH(lower(join("" "",U774:V774)),""а миллионник"", 62.5,""б миллионник"", 75,""а мск"", 50, ""б мск"", 62.5, ""a остальное"", 70, ""б остальное"", 80)/100,0)"),0.0)</f>
        <v>0</v>
      </c>
      <c r="X774" s="91">
        <f t="shared" si="4"/>
        <v>0</v>
      </c>
    </row>
    <row r="775">
      <c r="A775" s="12"/>
      <c r="B775" s="12"/>
      <c r="C775" s="12"/>
      <c r="D775" s="91">
        <f>IFERROR(__xludf.DUMMYFUNCTION("IFERROR(sum(filter('Основной эфир'!$AA:$AA, 'Основной эфир'!$B:$B=$A775,'Основной эфир'!$C:$C=$B775,'Основной эфир'!$I:$I=$C775)), 0) "),0.0)</f>
        <v>0</v>
      </c>
      <c r="E775" s="91">
        <f>IFERROR(__xludf.DUMMYFUNCTION("IFERROR(sum(filter('Основной эфир'!$AC:$AC, 'Основной эфир'!$B:$B=$A775,'Основной эфир'!$C:$C=$B775,'Основной эфир'!$I:$I=$C775)), 0) "),0.0)</f>
        <v>0</v>
      </c>
      <c r="F775" s="91">
        <f>IFERROR(__xludf.DUMMYFUNCTION("IFERROR(sum(filter('Основной эфир'!$O:$O, 'Основной эфир'!$B:$B=$A775,'Основной эфир'!$C:$C=$B775,'Основной эфир'!$I:$I=$C775)), 0) "),0.0)</f>
        <v>0</v>
      </c>
      <c r="G775" s="91">
        <f>IFERROR(__xludf.DUMMYFUNCTION("IFERROR(sum(filter('Основной эфир'!$Q:$Q, 'Основной эфир'!$B:$B=$A775,'Основной эфир'!$C:$C=$B775,'Основной эфир'!$I:$I=$C775)), 0) "),0.0)</f>
        <v>0</v>
      </c>
      <c r="H775" s="91">
        <f>IFERROR(__xludf.DUMMYFUNCTION("IFERROR(AVERAGE(filter('Основной эфир'!$Y:$Y, 'Основной эфир'!$B:$B=$A775,'Основной эфир'!$C:$C=$B775,'Основной эфир'!$I:$I=$C775)), 0) "),0.0)</f>
        <v>0</v>
      </c>
      <c r="I775" s="91">
        <f>IFERROR(__xludf.DUMMYFUNCTION("IFERROR(AVERAGE(filter('Основной эфир'!$AE:$AE, 'Основной эфир'!$B:$B=$A775,'Основной эфир'!$C:$C=$B775,'Основной эфир'!$I:$I=$C775)), 0) "),0.0)</f>
        <v>0</v>
      </c>
      <c r="J775" s="91">
        <f>IFERROR(__xludf.DUMMYFUNCTION("IFERROR(SUM(filter('Основной эфир'!$AL:$AL, 'Основной эфир'!$B:$B=$A775,'Основной эфир'!$C:$C=$B775,'Основной эфир'!$I:$I=$C775)), 0) "),0.0)</f>
        <v>0</v>
      </c>
      <c r="K775" s="91" t="str">
        <f>IFERROR(__xludf.DUMMYFUNCTION("IFERROR(REGEXREPLACE(unique(filter('Основной эфир'!$A:$A, 'Основной эфир'!$B:$B=$A775,'Основной эфир'!$C:$C=$B775,'Основной эфир'!$I:$I=$C775)), ""\d+"", """"),"""")"),"")</f>
        <v/>
      </c>
      <c r="L775" s="91" t="str">
        <f>IFERROR(__xludf.DUMMYFUNCTION("IFERROR(unique(filter('Основной эфир'!$F:$F, 'Основной эфир'!$B:$B=$A775,'Основной эфир'!$C:$C=$B775,'Основной эфир'!$I:$I=$C775)),"""")"),"")</f>
        <v/>
      </c>
      <c r="M775" s="92" t="str">
        <f t="shared" si="1"/>
        <v/>
      </c>
      <c r="N775" s="93">
        <f>IFERROR(__xludf.DUMMYFUNCTION("IFERROR(SWITCH(lower(join("" "",L775:M775)),""а миллионник"", 62.5,""б миллионник"", 75,""а мск"", 50, ""б мск"", 62.5, ""a остальное"", 70, ""б остальное"", 80)/100,0)"),0.0)</f>
        <v>0</v>
      </c>
      <c r="O775" s="91">
        <f t="shared" si="2"/>
        <v>0</v>
      </c>
      <c r="P775" s="91">
        <f>IFERROR(__xludf.DUMMYFUNCTION("IFERROR(sum(filter('Генеральный баннер'!$O:$O, 'Генеральный баннер'!$B:$B=$A775,'Генеральный баннер'!$C:$C=$B775,'Генеральный баннер'!$I:$I=$C775)), 0) "),0.0)</f>
        <v>0</v>
      </c>
      <c r="Q775" s="91">
        <f>IFERROR(__xludf.DUMMYFUNCTION("IFERROR(sum(filter('Генеральный баннер'!$Q:$Q, 'Генеральный баннер'!$B:$B=$A775,'Генеральный баннер'!$C:$C=$B775,'Генеральный баннер'!$I:$I=$C775)), 0) "),0.0)</f>
        <v>0</v>
      </c>
      <c r="R775" s="91">
        <f>IFERROR(__xludf.DUMMYFUNCTION("IFERROR(AVERAGE(filter('Генеральный баннер'!$AA:$AA, 'Генеральный баннер'!$B:$B=$A775,'Генеральный баннер'!$C:$C=$B775,'Генеральный баннер'!$I:$I=$C775)), 0) "),0.0)</f>
        <v>0</v>
      </c>
      <c r="S775" s="91">
        <f>IFERROR(__xludf.DUMMYFUNCTION("IFERROR(SUM(filter('Генеральный баннер'!$AH:$AH, 'Генеральный баннер'!$B:$B=$A775,'Генеральный баннер'!$C:$C=$B775,'Генеральный баннер'!$I:$I=$C775)), 0) "),0.0)</f>
        <v>0</v>
      </c>
      <c r="T775" s="91" t="str">
        <f>IFERROR(__xludf.DUMMYFUNCTION("IFERROR(REGEXREPLACE(unique(filter('Генеральный баннер'!$A:$A, 'Генеральный баннер'!$B:$B=$A775,'Генеральный баннер'!$C:$C=$B775,'Генеральный баннер'!$I:$I=$C775)), ""\d+"", """"),"""")"),"")</f>
        <v/>
      </c>
      <c r="U775" s="91" t="str">
        <f>IFERROR(__xludf.DUMMYFUNCTION("IFERROR(unique(filter('Генеральный баннер'!$F:$F, 'Генеральный баннер'!$B:$B=$A775,'Генеральный баннер'!$C:$C=$B775,'Генеральный баннер'!$I:$I=$C775)),"""")"),"")</f>
        <v/>
      </c>
      <c r="V775" s="92" t="str">
        <f t="shared" si="3"/>
        <v/>
      </c>
      <c r="W775" s="93">
        <f>IFERROR(__xludf.DUMMYFUNCTION("IFERROR(SWITCH(lower(join("" "",U775:V775)),""а миллионник"", 62.5,""б миллионник"", 75,""а мск"", 50, ""б мск"", 62.5, ""a остальное"", 70, ""б остальное"", 80)/100,0)"),0.0)</f>
        <v>0</v>
      </c>
      <c r="X775" s="91">
        <f t="shared" si="4"/>
        <v>0</v>
      </c>
    </row>
    <row r="776">
      <c r="A776" s="12"/>
      <c r="B776" s="12"/>
      <c r="C776" s="12"/>
      <c r="D776" s="91">
        <f>IFERROR(__xludf.DUMMYFUNCTION("IFERROR(sum(filter('Основной эфир'!$AA:$AA, 'Основной эфир'!$B:$B=$A776,'Основной эфир'!$C:$C=$B776,'Основной эфир'!$I:$I=$C776)), 0) "),0.0)</f>
        <v>0</v>
      </c>
      <c r="E776" s="91">
        <f>IFERROR(__xludf.DUMMYFUNCTION("IFERROR(sum(filter('Основной эфир'!$AC:$AC, 'Основной эфир'!$B:$B=$A776,'Основной эфир'!$C:$C=$B776,'Основной эфир'!$I:$I=$C776)), 0) "),0.0)</f>
        <v>0</v>
      </c>
      <c r="F776" s="91">
        <f>IFERROR(__xludf.DUMMYFUNCTION("IFERROR(sum(filter('Основной эфир'!$O:$O, 'Основной эфир'!$B:$B=$A776,'Основной эфир'!$C:$C=$B776,'Основной эфир'!$I:$I=$C776)), 0) "),0.0)</f>
        <v>0</v>
      </c>
      <c r="G776" s="91">
        <f>IFERROR(__xludf.DUMMYFUNCTION("IFERROR(sum(filter('Основной эфир'!$Q:$Q, 'Основной эфир'!$B:$B=$A776,'Основной эфир'!$C:$C=$B776,'Основной эфир'!$I:$I=$C776)), 0) "),0.0)</f>
        <v>0</v>
      </c>
      <c r="H776" s="91">
        <f>IFERROR(__xludf.DUMMYFUNCTION("IFERROR(AVERAGE(filter('Основной эфир'!$Y:$Y, 'Основной эфир'!$B:$B=$A776,'Основной эфир'!$C:$C=$B776,'Основной эфир'!$I:$I=$C776)), 0) "),0.0)</f>
        <v>0</v>
      </c>
      <c r="I776" s="91">
        <f>IFERROR(__xludf.DUMMYFUNCTION("IFERROR(AVERAGE(filter('Основной эфир'!$AE:$AE, 'Основной эфир'!$B:$B=$A776,'Основной эфир'!$C:$C=$B776,'Основной эфир'!$I:$I=$C776)), 0) "),0.0)</f>
        <v>0</v>
      </c>
      <c r="J776" s="91">
        <f>IFERROR(__xludf.DUMMYFUNCTION("IFERROR(SUM(filter('Основной эфир'!$AL:$AL, 'Основной эфир'!$B:$B=$A776,'Основной эфир'!$C:$C=$B776,'Основной эфир'!$I:$I=$C776)), 0) "),0.0)</f>
        <v>0</v>
      </c>
      <c r="K776" s="91" t="str">
        <f>IFERROR(__xludf.DUMMYFUNCTION("IFERROR(REGEXREPLACE(unique(filter('Основной эфир'!$A:$A, 'Основной эфир'!$B:$B=$A776,'Основной эфир'!$C:$C=$B776,'Основной эфир'!$I:$I=$C776)), ""\d+"", """"),"""")"),"")</f>
        <v/>
      </c>
      <c r="L776" s="91" t="str">
        <f>IFERROR(__xludf.DUMMYFUNCTION("IFERROR(unique(filter('Основной эфир'!$F:$F, 'Основной эфир'!$B:$B=$A776,'Основной эфир'!$C:$C=$B776,'Основной эфир'!$I:$I=$C776)),"""")"),"")</f>
        <v/>
      </c>
      <c r="M776" s="92" t="str">
        <f t="shared" si="1"/>
        <v/>
      </c>
      <c r="N776" s="93">
        <f>IFERROR(__xludf.DUMMYFUNCTION("IFERROR(SWITCH(lower(join("" "",L776:M776)),""а миллионник"", 62.5,""б миллионник"", 75,""а мск"", 50, ""б мск"", 62.5, ""a остальное"", 70, ""б остальное"", 80)/100,0)"),0.0)</f>
        <v>0</v>
      </c>
      <c r="O776" s="91">
        <f t="shared" si="2"/>
        <v>0</v>
      </c>
      <c r="P776" s="91">
        <f>IFERROR(__xludf.DUMMYFUNCTION("IFERROR(sum(filter('Генеральный баннер'!$O:$O, 'Генеральный баннер'!$B:$B=$A776,'Генеральный баннер'!$C:$C=$B776,'Генеральный баннер'!$I:$I=$C776)), 0) "),0.0)</f>
        <v>0</v>
      </c>
      <c r="Q776" s="91">
        <f>IFERROR(__xludf.DUMMYFUNCTION("IFERROR(sum(filter('Генеральный баннер'!$Q:$Q, 'Генеральный баннер'!$B:$B=$A776,'Генеральный баннер'!$C:$C=$B776,'Генеральный баннер'!$I:$I=$C776)), 0) "),0.0)</f>
        <v>0</v>
      </c>
      <c r="R776" s="91">
        <f>IFERROR(__xludf.DUMMYFUNCTION("IFERROR(AVERAGE(filter('Генеральный баннер'!$AA:$AA, 'Генеральный баннер'!$B:$B=$A776,'Генеральный баннер'!$C:$C=$B776,'Генеральный баннер'!$I:$I=$C776)), 0) "),0.0)</f>
        <v>0</v>
      </c>
      <c r="S776" s="91">
        <f>IFERROR(__xludf.DUMMYFUNCTION("IFERROR(SUM(filter('Генеральный баннер'!$AH:$AH, 'Генеральный баннер'!$B:$B=$A776,'Генеральный баннер'!$C:$C=$B776,'Генеральный баннер'!$I:$I=$C776)), 0) "),0.0)</f>
        <v>0</v>
      </c>
      <c r="T776" s="91" t="str">
        <f>IFERROR(__xludf.DUMMYFUNCTION("IFERROR(REGEXREPLACE(unique(filter('Генеральный баннер'!$A:$A, 'Генеральный баннер'!$B:$B=$A776,'Генеральный баннер'!$C:$C=$B776,'Генеральный баннер'!$I:$I=$C776)), ""\d+"", """"),"""")"),"")</f>
        <v/>
      </c>
      <c r="U776" s="91" t="str">
        <f>IFERROR(__xludf.DUMMYFUNCTION("IFERROR(unique(filter('Генеральный баннер'!$F:$F, 'Генеральный баннер'!$B:$B=$A776,'Генеральный баннер'!$C:$C=$B776,'Генеральный баннер'!$I:$I=$C776)),"""")"),"")</f>
        <v/>
      </c>
      <c r="V776" s="92" t="str">
        <f t="shared" si="3"/>
        <v/>
      </c>
      <c r="W776" s="93">
        <f>IFERROR(__xludf.DUMMYFUNCTION("IFERROR(SWITCH(lower(join("" "",U776:V776)),""а миллионник"", 62.5,""б миллионник"", 75,""а мск"", 50, ""б мск"", 62.5, ""a остальное"", 70, ""б остальное"", 80)/100,0)"),0.0)</f>
        <v>0</v>
      </c>
      <c r="X776" s="91">
        <f t="shared" si="4"/>
        <v>0</v>
      </c>
    </row>
    <row r="777">
      <c r="A777" s="12"/>
      <c r="B777" s="12"/>
      <c r="C777" s="12"/>
      <c r="D777" s="91">
        <f>IFERROR(__xludf.DUMMYFUNCTION("IFERROR(sum(filter('Основной эфир'!$AA:$AA, 'Основной эфир'!$B:$B=$A777,'Основной эфир'!$C:$C=$B777,'Основной эфир'!$I:$I=$C777)), 0) "),0.0)</f>
        <v>0</v>
      </c>
      <c r="E777" s="91">
        <f>IFERROR(__xludf.DUMMYFUNCTION("IFERROR(sum(filter('Основной эфир'!$AC:$AC, 'Основной эфир'!$B:$B=$A777,'Основной эфир'!$C:$C=$B777,'Основной эфир'!$I:$I=$C777)), 0) "),0.0)</f>
        <v>0</v>
      </c>
      <c r="F777" s="91">
        <f>IFERROR(__xludf.DUMMYFUNCTION("IFERROR(sum(filter('Основной эфир'!$O:$O, 'Основной эфир'!$B:$B=$A777,'Основной эфир'!$C:$C=$B777,'Основной эфир'!$I:$I=$C777)), 0) "),0.0)</f>
        <v>0</v>
      </c>
      <c r="G777" s="91">
        <f>IFERROR(__xludf.DUMMYFUNCTION("IFERROR(sum(filter('Основной эфир'!$Q:$Q, 'Основной эфир'!$B:$B=$A777,'Основной эфир'!$C:$C=$B777,'Основной эфир'!$I:$I=$C777)), 0) "),0.0)</f>
        <v>0</v>
      </c>
      <c r="H777" s="91">
        <f>IFERROR(__xludf.DUMMYFUNCTION("IFERROR(AVERAGE(filter('Основной эфир'!$Y:$Y, 'Основной эфир'!$B:$B=$A777,'Основной эфир'!$C:$C=$B777,'Основной эфир'!$I:$I=$C777)), 0) "),0.0)</f>
        <v>0</v>
      </c>
      <c r="I777" s="91">
        <f>IFERROR(__xludf.DUMMYFUNCTION("IFERROR(AVERAGE(filter('Основной эфир'!$AE:$AE, 'Основной эфир'!$B:$B=$A777,'Основной эфир'!$C:$C=$B777,'Основной эфир'!$I:$I=$C777)), 0) "),0.0)</f>
        <v>0</v>
      </c>
      <c r="J777" s="91">
        <f>IFERROR(__xludf.DUMMYFUNCTION("IFERROR(SUM(filter('Основной эфир'!$AL:$AL, 'Основной эфир'!$B:$B=$A777,'Основной эфир'!$C:$C=$B777,'Основной эфир'!$I:$I=$C777)), 0) "),0.0)</f>
        <v>0</v>
      </c>
      <c r="K777" s="91" t="str">
        <f>IFERROR(__xludf.DUMMYFUNCTION("IFERROR(REGEXREPLACE(unique(filter('Основной эфир'!$A:$A, 'Основной эфир'!$B:$B=$A777,'Основной эфир'!$C:$C=$B777,'Основной эфир'!$I:$I=$C777)), ""\d+"", """"),"""")"),"")</f>
        <v/>
      </c>
      <c r="L777" s="91" t="str">
        <f>IFERROR(__xludf.DUMMYFUNCTION("IFERROR(unique(filter('Основной эфир'!$F:$F, 'Основной эфир'!$B:$B=$A777,'Основной эфир'!$C:$C=$B777,'Основной эфир'!$I:$I=$C777)),"""")"),"")</f>
        <v/>
      </c>
      <c r="M777" s="92" t="str">
        <f t="shared" si="1"/>
        <v/>
      </c>
      <c r="N777" s="93">
        <f>IFERROR(__xludf.DUMMYFUNCTION("IFERROR(SWITCH(lower(join("" "",L777:M777)),""а миллионник"", 62.5,""б миллионник"", 75,""а мск"", 50, ""б мск"", 62.5, ""a остальное"", 70, ""б остальное"", 80)/100,0)"),0.0)</f>
        <v>0</v>
      </c>
      <c r="O777" s="91">
        <f t="shared" si="2"/>
        <v>0</v>
      </c>
      <c r="P777" s="91">
        <f>IFERROR(__xludf.DUMMYFUNCTION("IFERROR(sum(filter('Генеральный баннер'!$O:$O, 'Генеральный баннер'!$B:$B=$A777,'Генеральный баннер'!$C:$C=$B777,'Генеральный баннер'!$I:$I=$C777)), 0) "),0.0)</f>
        <v>0</v>
      </c>
      <c r="Q777" s="91">
        <f>IFERROR(__xludf.DUMMYFUNCTION("IFERROR(sum(filter('Генеральный баннер'!$Q:$Q, 'Генеральный баннер'!$B:$B=$A777,'Генеральный баннер'!$C:$C=$B777,'Генеральный баннер'!$I:$I=$C777)), 0) "),0.0)</f>
        <v>0</v>
      </c>
      <c r="R777" s="91">
        <f>IFERROR(__xludf.DUMMYFUNCTION("IFERROR(AVERAGE(filter('Генеральный баннер'!$AA:$AA, 'Генеральный баннер'!$B:$B=$A777,'Генеральный баннер'!$C:$C=$B777,'Генеральный баннер'!$I:$I=$C777)), 0) "),0.0)</f>
        <v>0</v>
      </c>
      <c r="S777" s="91">
        <f>IFERROR(__xludf.DUMMYFUNCTION("IFERROR(SUM(filter('Генеральный баннер'!$AH:$AH, 'Генеральный баннер'!$B:$B=$A777,'Генеральный баннер'!$C:$C=$B777,'Генеральный баннер'!$I:$I=$C777)), 0) "),0.0)</f>
        <v>0</v>
      </c>
      <c r="T777" s="91" t="str">
        <f>IFERROR(__xludf.DUMMYFUNCTION("IFERROR(REGEXREPLACE(unique(filter('Генеральный баннер'!$A:$A, 'Генеральный баннер'!$B:$B=$A777,'Генеральный баннер'!$C:$C=$B777,'Генеральный баннер'!$I:$I=$C777)), ""\d+"", """"),"""")"),"")</f>
        <v/>
      </c>
      <c r="U777" s="91" t="str">
        <f>IFERROR(__xludf.DUMMYFUNCTION("IFERROR(unique(filter('Генеральный баннер'!$F:$F, 'Генеральный баннер'!$B:$B=$A777,'Генеральный баннер'!$C:$C=$B777,'Генеральный баннер'!$I:$I=$C777)),"""")"),"")</f>
        <v/>
      </c>
      <c r="V777" s="92" t="str">
        <f t="shared" si="3"/>
        <v/>
      </c>
      <c r="W777" s="93">
        <f>IFERROR(__xludf.DUMMYFUNCTION("IFERROR(SWITCH(lower(join("" "",U777:V777)),""а миллионник"", 62.5,""б миллионник"", 75,""а мск"", 50, ""б мск"", 62.5, ""a остальное"", 70, ""б остальное"", 80)/100,0)"),0.0)</f>
        <v>0</v>
      </c>
      <c r="X777" s="91">
        <f t="shared" si="4"/>
        <v>0</v>
      </c>
    </row>
    <row r="778">
      <c r="A778" s="12"/>
      <c r="B778" s="12"/>
      <c r="C778" s="12"/>
      <c r="D778" s="91">
        <f>IFERROR(__xludf.DUMMYFUNCTION("IFERROR(sum(filter('Основной эфир'!$AA:$AA, 'Основной эфир'!$B:$B=$A778,'Основной эфир'!$C:$C=$B778,'Основной эфир'!$I:$I=$C778)), 0) "),0.0)</f>
        <v>0</v>
      </c>
      <c r="E778" s="91">
        <f>IFERROR(__xludf.DUMMYFUNCTION("IFERROR(sum(filter('Основной эфир'!$AC:$AC, 'Основной эфир'!$B:$B=$A778,'Основной эфир'!$C:$C=$B778,'Основной эфир'!$I:$I=$C778)), 0) "),0.0)</f>
        <v>0</v>
      </c>
      <c r="F778" s="91">
        <f>IFERROR(__xludf.DUMMYFUNCTION("IFERROR(sum(filter('Основной эфир'!$O:$O, 'Основной эфир'!$B:$B=$A778,'Основной эфир'!$C:$C=$B778,'Основной эфир'!$I:$I=$C778)), 0) "),0.0)</f>
        <v>0</v>
      </c>
      <c r="G778" s="91">
        <f>IFERROR(__xludf.DUMMYFUNCTION("IFERROR(sum(filter('Основной эфир'!$Q:$Q, 'Основной эфир'!$B:$B=$A778,'Основной эфир'!$C:$C=$B778,'Основной эфир'!$I:$I=$C778)), 0) "),0.0)</f>
        <v>0</v>
      </c>
      <c r="H778" s="91">
        <f>IFERROR(__xludf.DUMMYFUNCTION("IFERROR(AVERAGE(filter('Основной эфир'!$Y:$Y, 'Основной эфир'!$B:$B=$A778,'Основной эфир'!$C:$C=$B778,'Основной эфир'!$I:$I=$C778)), 0) "),0.0)</f>
        <v>0</v>
      </c>
      <c r="I778" s="91">
        <f>IFERROR(__xludf.DUMMYFUNCTION("IFERROR(AVERAGE(filter('Основной эфир'!$AE:$AE, 'Основной эфир'!$B:$B=$A778,'Основной эфир'!$C:$C=$B778,'Основной эфир'!$I:$I=$C778)), 0) "),0.0)</f>
        <v>0</v>
      </c>
      <c r="J778" s="91">
        <f>IFERROR(__xludf.DUMMYFUNCTION("IFERROR(SUM(filter('Основной эфир'!$AL:$AL, 'Основной эфир'!$B:$B=$A778,'Основной эфир'!$C:$C=$B778,'Основной эфир'!$I:$I=$C778)), 0) "),0.0)</f>
        <v>0</v>
      </c>
      <c r="K778" s="91" t="str">
        <f>IFERROR(__xludf.DUMMYFUNCTION("IFERROR(REGEXREPLACE(unique(filter('Основной эфир'!$A:$A, 'Основной эфир'!$B:$B=$A778,'Основной эфир'!$C:$C=$B778,'Основной эфир'!$I:$I=$C778)), ""\d+"", """"),"""")"),"")</f>
        <v/>
      </c>
      <c r="L778" s="91" t="str">
        <f>IFERROR(__xludf.DUMMYFUNCTION("IFERROR(unique(filter('Основной эфир'!$F:$F, 'Основной эфир'!$B:$B=$A778,'Основной эфир'!$C:$C=$B778,'Основной эфир'!$I:$I=$C778)),"""")"),"")</f>
        <v/>
      </c>
      <c r="M778" s="92" t="str">
        <f t="shared" si="1"/>
        <v/>
      </c>
      <c r="N778" s="93">
        <f>IFERROR(__xludf.DUMMYFUNCTION("IFERROR(SWITCH(lower(join("" "",L778:M778)),""а миллионник"", 62.5,""б миллионник"", 75,""а мск"", 50, ""б мск"", 62.5, ""a остальное"", 70, ""б остальное"", 80)/100,0)"),0.0)</f>
        <v>0</v>
      </c>
      <c r="O778" s="91">
        <f t="shared" si="2"/>
        <v>0</v>
      </c>
      <c r="P778" s="91">
        <f>IFERROR(__xludf.DUMMYFUNCTION("IFERROR(sum(filter('Генеральный баннер'!$O:$O, 'Генеральный баннер'!$B:$B=$A778,'Генеральный баннер'!$C:$C=$B778,'Генеральный баннер'!$I:$I=$C778)), 0) "),0.0)</f>
        <v>0</v>
      </c>
      <c r="Q778" s="91">
        <f>IFERROR(__xludf.DUMMYFUNCTION("IFERROR(sum(filter('Генеральный баннер'!$Q:$Q, 'Генеральный баннер'!$B:$B=$A778,'Генеральный баннер'!$C:$C=$B778,'Генеральный баннер'!$I:$I=$C778)), 0) "),0.0)</f>
        <v>0</v>
      </c>
      <c r="R778" s="91">
        <f>IFERROR(__xludf.DUMMYFUNCTION("IFERROR(AVERAGE(filter('Генеральный баннер'!$AA:$AA, 'Генеральный баннер'!$B:$B=$A778,'Генеральный баннер'!$C:$C=$B778,'Генеральный баннер'!$I:$I=$C778)), 0) "),0.0)</f>
        <v>0</v>
      </c>
      <c r="S778" s="91">
        <f>IFERROR(__xludf.DUMMYFUNCTION("IFERROR(SUM(filter('Генеральный баннер'!$AH:$AH, 'Генеральный баннер'!$B:$B=$A778,'Генеральный баннер'!$C:$C=$B778,'Генеральный баннер'!$I:$I=$C778)), 0) "),0.0)</f>
        <v>0</v>
      </c>
      <c r="T778" s="91" t="str">
        <f>IFERROR(__xludf.DUMMYFUNCTION("IFERROR(REGEXREPLACE(unique(filter('Генеральный баннер'!$A:$A, 'Генеральный баннер'!$B:$B=$A778,'Генеральный баннер'!$C:$C=$B778,'Генеральный баннер'!$I:$I=$C778)), ""\d+"", """"),"""")"),"")</f>
        <v/>
      </c>
      <c r="U778" s="91" t="str">
        <f>IFERROR(__xludf.DUMMYFUNCTION("IFERROR(unique(filter('Генеральный баннер'!$F:$F, 'Генеральный баннер'!$B:$B=$A778,'Генеральный баннер'!$C:$C=$B778,'Генеральный баннер'!$I:$I=$C778)),"""")"),"")</f>
        <v/>
      </c>
      <c r="V778" s="92" t="str">
        <f t="shared" si="3"/>
        <v/>
      </c>
      <c r="W778" s="93">
        <f>IFERROR(__xludf.DUMMYFUNCTION("IFERROR(SWITCH(lower(join("" "",U778:V778)),""а миллионник"", 62.5,""б миллионник"", 75,""а мск"", 50, ""б мск"", 62.5, ""a остальное"", 70, ""б остальное"", 80)/100,0)"),0.0)</f>
        <v>0</v>
      </c>
      <c r="X778" s="91">
        <f t="shared" si="4"/>
        <v>0</v>
      </c>
    </row>
    <row r="779">
      <c r="A779" s="12"/>
      <c r="B779" s="12"/>
      <c r="C779" s="12"/>
      <c r="D779" s="91">
        <f>IFERROR(__xludf.DUMMYFUNCTION("IFERROR(sum(filter('Основной эфир'!$AA:$AA, 'Основной эфир'!$B:$B=$A779,'Основной эфир'!$C:$C=$B779,'Основной эфир'!$I:$I=$C779)), 0) "),0.0)</f>
        <v>0</v>
      </c>
      <c r="E779" s="91">
        <f>IFERROR(__xludf.DUMMYFUNCTION("IFERROR(sum(filter('Основной эфир'!$AC:$AC, 'Основной эфир'!$B:$B=$A779,'Основной эфир'!$C:$C=$B779,'Основной эфир'!$I:$I=$C779)), 0) "),0.0)</f>
        <v>0</v>
      </c>
      <c r="F779" s="91">
        <f>IFERROR(__xludf.DUMMYFUNCTION("IFERROR(sum(filter('Основной эфир'!$O:$O, 'Основной эфир'!$B:$B=$A779,'Основной эфир'!$C:$C=$B779,'Основной эфир'!$I:$I=$C779)), 0) "),0.0)</f>
        <v>0</v>
      </c>
      <c r="G779" s="91">
        <f>IFERROR(__xludf.DUMMYFUNCTION("IFERROR(sum(filter('Основной эфир'!$Q:$Q, 'Основной эфир'!$B:$B=$A779,'Основной эфир'!$C:$C=$B779,'Основной эфир'!$I:$I=$C779)), 0) "),0.0)</f>
        <v>0</v>
      </c>
      <c r="H779" s="91">
        <f>IFERROR(__xludf.DUMMYFUNCTION("IFERROR(AVERAGE(filter('Основной эфир'!$Y:$Y, 'Основной эфир'!$B:$B=$A779,'Основной эфир'!$C:$C=$B779,'Основной эфир'!$I:$I=$C779)), 0) "),0.0)</f>
        <v>0</v>
      </c>
      <c r="I779" s="91">
        <f>IFERROR(__xludf.DUMMYFUNCTION("IFERROR(AVERAGE(filter('Основной эфир'!$AE:$AE, 'Основной эфир'!$B:$B=$A779,'Основной эфир'!$C:$C=$B779,'Основной эфир'!$I:$I=$C779)), 0) "),0.0)</f>
        <v>0</v>
      </c>
      <c r="J779" s="91">
        <f>IFERROR(__xludf.DUMMYFUNCTION("IFERROR(SUM(filter('Основной эфир'!$AL:$AL, 'Основной эфир'!$B:$B=$A779,'Основной эфир'!$C:$C=$B779,'Основной эфир'!$I:$I=$C779)), 0) "),0.0)</f>
        <v>0</v>
      </c>
      <c r="K779" s="91" t="str">
        <f>IFERROR(__xludf.DUMMYFUNCTION("IFERROR(REGEXREPLACE(unique(filter('Основной эфир'!$A:$A, 'Основной эфир'!$B:$B=$A779,'Основной эфир'!$C:$C=$B779,'Основной эфир'!$I:$I=$C779)), ""\d+"", """"),"""")"),"")</f>
        <v/>
      </c>
      <c r="L779" s="91" t="str">
        <f>IFERROR(__xludf.DUMMYFUNCTION("IFERROR(unique(filter('Основной эфир'!$F:$F, 'Основной эфир'!$B:$B=$A779,'Основной эфир'!$C:$C=$B779,'Основной эфир'!$I:$I=$C779)),"""")"),"")</f>
        <v/>
      </c>
      <c r="M779" s="92" t="str">
        <f t="shared" si="1"/>
        <v/>
      </c>
      <c r="N779" s="93">
        <f>IFERROR(__xludf.DUMMYFUNCTION("IFERROR(SWITCH(lower(join("" "",L779:M779)),""а миллионник"", 62.5,""б миллионник"", 75,""а мск"", 50, ""б мск"", 62.5, ""a остальное"", 70, ""б остальное"", 80)/100,0)"),0.0)</f>
        <v>0</v>
      </c>
      <c r="O779" s="91">
        <f t="shared" si="2"/>
        <v>0</v>
      </c>
      <c r="P779" s="91">
        <f>IFERROR(__xludf.DUMMYFUNCTION("IFERROR(sum(filter('Генеральный баннер'!$O:$O, 'Генеральный баннер'!$B:$B=$A779,'Генеральный баннер'!$C:$C=$B779,'Генеральный баннер'!$I:$I=$C779)), 0) "),0.0)</f>
        <v>0</v>
      </c>
      <c r="Q779" s="91">
        <f>IFERROR(__xludf.DUMMYFUNCTION("IFERROR(sum(filter('Генеральный баннер'!$Q:$Q, 'Генеральный баннер'!$B:$B=$A779,'Генеральный баннер'!$C:$C=$B779,'Генеральный баннер'!$I:$I=$C779)), 0) "),0.0)</f>
        <v>0</v>
      </c>
      <c r="R779" s="91">
        <f>IFERROR(__xludf.DUMMYFUNCTION("IFERROR(AVERAGE(filter('Генеральный баннер'!$AA:$AA, 'Генеральный баннер'!$B:$B=$A779,'Генеральный баннер'!$C:$C=$B779,'Генеральный баннер'!$I:$I=$C779)), 0) "),0.0)</f>
        <v>0</v>
      </c>
      <c r="S779" s="91">
        <f>IFERROR(__xludf.DUMMYFUNCTION("IFERROR(SUM(filter('Генеральный баннер'!$AH:$AH, 'Генеральный баннер'!$B:$B=$A779,'Генеральный баннер'!$C:$C=$B779,'Генеральный баннер'!$I:$I=$C779)), 0) "),0.0)</f>
        <v>0</v>
      </c>
      <c r="T779" s="91" t="str">
        <f>IFERROR(__xludf.DUMMYFUNCTION("IFERROR(REGEXREPLACE(unique(filter('Генеральный баннер'!$A:$A, 'Генеральный баннер'!$B:$B=$A779,'Генеральный баннер'!$C:$C=$B779,'Генеральный баннер'!$I:$I=$C779)), ""\d+"", """"),"""")"),"")</f>
        <v/>
      </c>
      <c r="U779" s="91" t="str">
        <f>IFERROR(__xludf.DUMMYFUNCTION("IFERROR(unique(filter('Генеральный баннер'!$F:$F, 'Генеральный баннер'!$B:$B=$A779,'Генеральный баннер'!$C:$C=$B779,'Генеральный баннер'!$I:$I=$C779)),"""")"),"")</f>
        <v/>
      </c>
      <c r="V779" s="92" t="str">
        <f t="shared" si="3"/>
        <v/>
      </c>
      <c r="W779" s="93">
        <f>IFERROR(__xludf.DUMMYFUNCTION("IFERROR(SWITCH(lower(join("" "",U779:V779)),""а миллионник"", 62.5,""б миллионник"", 75,""а мск"", 50, ""б мск"", 62.5, ""a остальное"", 70, ""б остальное"", 80)/100,0)"),0.0)</f>
        <v>0</v>
      </c>
      <c r="X779" s="91">
        <f t="shared" si="4"/>
        <v>0</v>
      </c>
    </row>
    <row r="780">
      <c r="A780" s="12"/>
      <c r="B780" s="12"/>
      <c r="C780" s="12"/>
      <c r="D780" s="91">
        <f>IFERROR(__xludf.DUMMYFUNCTION("IFERROR(sum(filter('Основной эфир'!$AA:$AA, 'Основной эфир'!$B:$B=$A780,'Основной эфир'!$C:$C=$B780,'Основной эфир'!$I:$I=$C780)), 0) "),0.0)</f>
        <v>0</v>
      </c>
      <c r="E780" s="91">
        <f>IFERROR(__xludf.DUMMYFUNCTION("IFERROR(sum(filter('Основной эфир'!$AC:$AC, 'Основной эфир'!$B:$B=$A780,'Основной эфир'!$C:$C=$B780,'Основной эфир'!$I:$I=$C780)), 0) "),0.0)</f>
        <v>0</v>
      </c>
      <c r="F780" s="91">
        <f>IFERROR(__xludf.DUMMYFUNCTION("IFERROR(sum(filter('Основной эфир'!$O:$O, 'Основной эфир'!$B:$B=$A780,'Основной эфир'!$C:$C=$B780,'Основной эфир'!$I:$I=$C780)), 0) "),0.0)</f>
        <v>0</v>
      </c>
      <c r="G780" s="91">
        <f>IFERROR(__xludf.DUMMYFUNCTION("IFERROR(sum(filter('Основной эфир'!$Q:$Q, 'Основной эфир'!$B:$B=$A780,'Основной эфир'!$C:$C=$B780,'Основной эфир'!$I:$I=$C780)), 0) "),0.0)</f>
        <v>0</v>
      </c>
      <c r="H780" s="91">
        <f>IFERROR(__xludf.DUMMYFUNCTION("IFERROR(AVERAGE(filter('Основной эфир'!$Y:$Y, 'Основной эфир'!$B:$B=$A780,'Основной эфир'!$C:$C=$B780,'Основной эфир'!$I:$I=$C780)), 0) "),0.0)</f>
        <v>0</v>
      </c>
      <c r="I780" s="91">
        <f>IFERROR(__xludf.DUMMYFUNCTION("IFERROR(AVERAGE(filter('Основной эфир'!$AE:$AE, 'Основной эфир'!$B:$B=$A780,'Основной эфир'!$C:$C=$B780,'Основной эфир'!$I:$I=$C780)), 0) "),0.0)</f>
        <v>0</v>
      </c>
      <c r="J780" s="91">
        <f>IFERROR(__xludf.DUMMYFUNCTION("IFERROR(SUM(filter('Основной эфир'!$AL:$AL, 'Основной эфир'!$B:$B=$A780,'Основной эфир'!$C:$C=$B780,'Основной эфир'!$I:$I=$C780)), 0) "),0.0)</f>
        <v>0</v>
      </c>
      <c r="K780" s="91" t="str">
        <f>IFERROR(__xludf.DUMMYFUNCTION("IFERROR(REGEXREPLACE(unique(filter('Основной эфир'!$A:$A, 'Основной эфир'!$B:$B=$A780,'Основной эфир'!$C:$C=$B780,'Основной эфир'!$I:$I=$C780)), ""\d+"", """"),"""")"),"")</f>
        <v/>
      </c>
      <c r="L780" s="91" t="str">
        <f>IFERROR(__xludf.DUMMYFUNCTION("IFERROR(unique(filter('Основной эфир'!$F:$F, 'Основной эфир'!$B:$B=$A780,'Основной эфир'!$C:$C=$B780,'Основной эфир'!$I:$I=$C780)),"""")"),"")</f>
        <v/>
      </c>
      <c r="M780" s="92" t="str">
        <f t="shared" si="1"/>
        <v/>
      </c>
      <c r="N780" s="93">
        <f>IFERROR(__xludf.DUMMYFUNCTION("IFERROR(SWITCH(lower(join("" "",L780:M780)),""а миллионник"", 62.5,""б миллионник"", 75,""а мск"", 50, ""б мск"", 62.5, ""a остальное"", 70, ""б остальное"", 80)/100,0)"),0.0)</f>
        <v>0</v>
      </c>
      <c r="O780" s="91">
        <f t="shared" si="2"/>
        <v>0</v>
      </c>
      <c r="P780" s="91">
        <f>IFERROR(__xludf.DUMMYFUNCTION("IFERROR(sum(filter('Генеральный баннер'!$O:$O, 'Генеральный баннер'!$B:$B=$A780,'Генеральный баннер'!$C:$C=$B780,'Генеральный баннер'!$I:$I=$C780)), 0) "),0.0)</f>
        <v>0</v>
      </c>
      <c r="Q780" s="91">
        <f>IFERROR(__xludf.DUMMYFUNCTION("IFERROR(sum(filter('Генеральный баннер'!$Q:$Q, 'Генеральный баннер'!$B:$B=$A780,'Генеральный баннер'!$C:$C=$B780,'Генеральный баннер'!$I:$I=$C780)), 0) "),0.0)</f>
        <v>0</v>
      </c>
      <c r="R780" s="91">
        <f>IFERROR(__xludf.DUMMYFUNCTION("IFERROR(AVERAGE(filter('Генеральный баннер'!$AA:$AA, 'Генеральный баннер'!$B:$B=$A780,'Генеральный баннер'!$C:$C=$B780,'Генеральный баннер'!$I:$I=$C780)), 0) "),0.0)</f>
        <v>0</v>
      </c>
      <c r="S780" s="91">
        <f>IFERROR(__xludf.DUMMYFUNCTION("IFERROR(SUM(filter('Генеральный баннер'!$AH:$AH, 'Генеральный баннер'!$B:$B=$A780,'Генеральный баннер'!$C:$C=$B780,'Генеральный баннер'!$I:$I=$C780)), 0) "),0.0)</f>
        <v>0</v>
      </c>
      <c r="T780" s="91" t="str">
        <f>IFERROR(__xludf.DUMMYFUNCTION("IFERROR(REGEXREPLACE(unique(filter('Генеральный баннер'!$A:$A, 'Генеральный баннер'!$B:$B=$A780,'Генеральный баннер'!$C:$C=$B780,'Генеральный баннер'!$I:$I=$C780)), ""\d+"", """"),"""")"),"")</f>
        <v/>
      </c>
      <c r="U780" s="91" t="str">
        <f>IFERROR(__xludf.DUMMYFUNCTION("IFERROR(unique(filter('Генеральный баннер'!$F:$F, 'Генеральный баннер'!$B:$B=$A780,'Генеральный баннер'!$C:$C=$B780,'Генеральный баннер'!$I:$I=$C780)),"""")"),"")</f>
        <v/>
      </c>
      <c r="V780" s="92" t="str">
        <f t="shared" si="3"/>
        <v/>
      </c>
      <c r="W780" s="93">
        <f>IFERROR(__xludf.DUMMYFUNCTION("IFERROR(SWITCH(lower(join("" "",U780:V780)),""а миллионник"", 62.5,""б миллионник"", 75,""а мск"", 50, ""б мск"", 62.5, ""a остальное"", 70, ""б остальное"", 80)/100,0)"),0.0)</f>
        <v>0</v>
      </c>
      <c r="X780" s="91">
        <f t="shared" si="4"/>
        <v>0</v>
      </c>
    </row>
    <row r="781">
      <c r="A781" s="12"/>
      <c r="B781" s="12"/>
      <c r="C781" s="12"/>
      <c r="D781" s="91">
        <f>IFERROR(__xludf.DUMMYFUNCTION("IFERROR(sum(filter('Основной эфир'!$AA:$AA, 'Основной эфир'!$B:$B=$A781,'Основной эфир'!$C:$C=$B781,'Основной эфир'!$I:$I=$C781)), 0) "),0.0)</f>
        <v>0</v>
      </c>
      <c r="E781" s="91">
        <f>IFERROR(__xludf.DUMMYFUNCTION("IFERROR(sum(filter('Основной эфир'!$AC:$AC, 'Основной эфир'!$B:$B=$A781,'Основной эфир'!$C:$C=$B781,'Основной эфир'!$I:$I=$C781)), 0) "),0.0)</f>
        <v>0</v>
      </c>
      <c r="F781" s="91">
        <f>IFERROR(__xludf.DUMMYFUNCTION("IFERROR(sum(filter('Основной эфир'!$O:$O, 'Основной эфир'!$B:$B=$A781,'Основной эфир'!$C:$C=$B781,'Основной эфир'!$I:$I=$C781)), 0) "),0.0)</f>
        <v>0</v>
      </c>
      <c r="G781" s="91">
        <f>IFERROR(__xludf.DUMMYFUNCTION("IFERROR(sum(filter('Основной эфир'!$Q:$Q, 'Основной эфир'!$B:$B=$A781,'Основной эфир'!$C:$C=$B781,'Основной эфир'!$I:$I=$C781)), 0) "),0.0)</f>
        <v>0</v>
      </c>
      <c r="H781" s="91">
        <f>IFERROR(__xludf.DUMMYFUNCTION("IFERROR(AVERAGE(filter('Основной эфир'!$Y:$Y, 'Основной эфир'!$B:$B=$A781,'Основной эфир'!$C:$C=$B781,'Основной эфир'!$I:$I=$C781)), 0) "),0.0)</f>
        <v>0</v>
      </c>
      <c r="I781" s="91">
        <f>IFERROR(__xludf.DUMMYFUNCTION("IFERROR(AVERAGE(filter('Основной эфир'!$AE:$AE, 'Основной эфир'!$B:$B=$A781,'Основной эфир'!$C:$C=$B781,'Основной эфир'!$I:$I=$C781)), 0) "),0.0)</f>
        <v>0</v>
      </c>
      <c r="J781" s="91">
        <f>IFERROR(__xludf.DUMMYFUNCTION("IFERROR(SUM(filter('Основной эфир'!$AL:$AL, 'Основной эфир'!$B:$B=$A781,'Основной эфир'!$C:$C=$B781,'Основной эфир'!$I:$I=$C781)), 0) "),0.0)</f>
        <v>0</v>
      </c>
      <c r="K781" s="91" t="str">
        <f>IFERROR(__xludf.DUMMYFUNCTION("IFERROR(REGEXREPLACE(unique(filter('Основной эфир'!$A:$A, 'Основной эфир'!$B:$B=$A781,'Основной эфир'!$C:$C=$B781,'Основной эфир'!$I:$I=$C781)), ""\d+"", """"),"""")"),"")</f>
        <v/>
      </c>
      <c r="L781" s="91" t="str">
        <f>IFERROR(__xludf.DUMMYFUNCTION("IFERROR(unique(filter('Основной эфир'!$F:$F, 'Основной эфир'!$B:$B=$A781,'Основной эфир'!$C:$C=$B781,'Основной эфир'!$I:$I=$C781)),"""")"),"")</f>
        <v/>
      </c>
      <c r="M781" s="92" t="str">
        <f t="shared" si="1"/>
        <v/>
      </c>
      <c r="N781" s="93">
        <f>IFERROR(__xludf.DUMMYFUNCTION("IFERROR(SWITCH(lower(join("" "",L781:M781)),""а миллионник"", 62.5,""б миллионник"", 75,""а мск"", 50, ""б мск"", 62.5, ""a остальное"", 70, ""б остальное"", 80)/100,0)"),0.0)</f>
        <v>0</v>
      </c>
      <c r="O781" s="91">
        <f t="shared" si="2"/>
        <v>0</v>
      </c>
      <c r="P781" s="91">
        <f>IFERROR(__xludf.DUMMYFUNCTION("IFERROR(sum(filter('Генеральный баннер'!$O:$O, 'Генеральный баннер'!$B:$B=$A781,'Генеральный баннер'!$C:$C=$B781,'Генеральный баннер'!$I:$I=$C781)), 0) "),0.0)</f>
        <v>0</v>
      </c>
      <c r="Q781" s="91">
        <f>IFERROR(__xludf.DUMMYFUNCTION("IFERROR(sum(filter('Генеральный баннер'!$Q:$Q, 'Генеральный баннер'!$B:$B=$A781,'Генеральный баннер'!$C:$C=$B781,'Генеральный баннер'!$I:$I=$C781)), 0) "),0.0)</f>
        <v>0</v>
      </c>
      <c r="R781" s="91">
        <f>IFERROR(__xludf.DUMMYFUNCTION("IFERROR(AVERAGE(filter('Генеральный баннер'!$AA:$AA, 'Генеральный баннер'!$B:$B=$A781,'Генеральный баннер'!$C:$C=$B781,'Генеральный баннер'!$I:$I=$C781)), 0) "),0.0)</f>
        <v>0</v>
      </c>
      <c r="S781" s="91">
        <f>IFERROR(__xludf.DUMMYFUNCTION("IFERROR(SUM(filter('Генеральный баннер'!$AH:$AH, 'Генеральный баннер'!$B:$B=$A781,'Генеральный баннер'!$C:$C=$B781,'Генеральный баннер'!$I:$I=$C781)), 0) "),0.0)</f>
        <v>0</v>
      </c>
      <c r="T781" s="91" t="str">
        <f>IFERROR(__xludf.DUMMYFUNCTION("IFERROR(REGEXREPLACE(unique(filter('Генеральный баннер'!$A:$A, 'Генеральный баннер'!$B:$B=$A781,'Генеральный баннер'!$C:$C=$B781,'Генеральный баннер'!$I:$I=$C781)), ""\d+"", """"),"""")"),"")</f>
        <v/>
      </c>
      <c r="U781" s="91" t="str">
        <f>IFERROR(__xludf.DUMMYFUNCTION("IFERROR(unique(filter('Генеральный баннер'!$F:$F, 'Генеральный баннер'!$B:$B=$A781,'Генеральный баннер'!$C:$C=$B781,'Генеральный баннер'!$I:$I=$C781)),"""")"),"")</f>
        <v/>
      </c>
      <c r="V781" s="92" t="str">
        <f t="shared" si="3"/>
        <v/>
      </c>
      <c r="W781" s="93">
        <f>IFERROR(__xludf.DUMMYFUNCTION("IFERROR(SWITCH(lower(join("" "",U781:V781)),""а миллионник"", 62.5,""б миллионник"", 75,""а мск"", 50, ""б мск"", 62.5, ""a остальное"", 70, ""б остальное"", 80)/100,0)"),0.0)</f>
        <v>0</v>
      </c>
      <c r="X781" s="91">
        <f t="shared" si="4"/>
        <v>0</v>
      </c>
    </row>
    <row r="782">
      <c r="A782" s="12"/>
      <c r="B782" s="12"/>
      <c r="C782" s="12"/>
      <c r="D782" s="91">
        <f>IFERROR(__xludf.DUMMYFUNCTION("IFERROR(sum(filter('Основной эфир'!$AA:$AA, 'Основной эфир'!$B:$B=$A782,'Основной эфир'!$C:$C=$B782,'Основной эфир'!$I:$I=$C782)), 0) "),0.0)</f>
        <v>0</v>
      </c>
      <c r="E782" s="91">
        <f>IFERROR(__xludf.DUMMYFUNCTION("IFERROR(sum(filter('Основной эфир'!$AC:$AC, 'Основной эфир'!$B:$B=$A782,'Основной эфир'!$C:$C=$B782,'Основной эфир'!$I:$I=$C782)), 0) "),0.0)</f>
        <v>0</v>
      </c>
      <c r="F782" s="91">
        <f>IFERROR(__xludf.DUMMYFUNCTION("IFERROR(sum(filter('Основной эфир'!$O:$O, 'Основной эфир'!$B:$B=$A782,'Основной эфир'!$C:$C=$B782,'Основной эфир'!$I:$I=$C782)), 0) "),0.0)</f>
        <v>0</v>
      </c>
      <c r="G782" s="91">
        <f>IFERROR(__xludf.DUMMYFUNCTION("IFERROR(sum(filter('Основной эфир'!$Q:$Q, 'Основной эфир'!$B:$B=$A782,'Основной эфир'!$C:$C=$B782,'Основной эфир'!$I:$I=$C782)), 0) "),0.0)</f>
        <v>0</v>
      </c>
      <c r="H782" s="91">
        <f>IFERROR(__xludf.DUMMYFUNCTION("IFERROR(AVERAGE(filter('Основной эфир'!$Y:$Y, 'Основной эфир'!$B:$B=$A782,'Основной эфир'!$C:$C=$B782,'Основной эфир'!$I:$I=$C782)), 0) "),0.0)</f>
        <v>0</v>
      </c>
      <c r="I782" s="91">
        <f>IFERROR(__xludf.DUMMYFUNCTION("IFERROR(AVERAGE(filter('Основной эфир'!$AE:$AE, 'Основной эфир'!$B:$B=$A782,'Основной эфир'!$C:$C=$B782,'Основной эфир'!$I:$I=$C782)), 0) "),0.0)</f>
        <v>0</v>
      </c>
      <c r="J782" s="91">
        <f>IFERROR(__xludf.DUMMYFUNCTION("IFERROR(SUM(filter('Основной эфир'!$AL:$AL, 'Основной эфир'!$B:$B=$A782,'Основной эфир'!$C:$C=$B782,'Основной эфир'!$I:$I=$C782)), 0) "),0.0)</f>
        <v>0</v>
      </c>
      <c r="K782" s="91" t="str">
        <f>IFERROR(__xludf.DUMMYFUNCTION("IFERROR(REGEXREPLACE(unique(filter('Основной эфир'!$A:$A, 'Основной эфир'!$B:$B=$A782,'Основной эфир'!$C:$C=$B782,'Основной эфир'!$I:$I=$C782)), ""\d+"", """"),"""")"),"")</f>
        <v/>
      </c>
      <c r="L782" s="91" t="str">
        <f>IFERROR(__xludf.DUMMYFUNCTION("IFERROR(unique(filter('Основной эфир'!$F:$F, 'Основной эфир'!$B:$B=$A782,'Основной эфир'!$C:$C=$B782,'Основной эфир'!$I:$I=$C782)),"""")"),"")</f>
        <v/>
      </c>
      <c r="M782" s="92" t="str">
        <f t="shared" si="1"/>
        <v/>
      </c>
      <c r="N782" s="93">
        <f>IFERROR(__xludf.DUMMYFUNCTION("IFERROR(SWITCH(lower(join("" "",L782:M782)),""а миллионник"", 62.5,""б миллионник"", 75,""а мск"", 50, ""б мск"", 62.5, ""a остальное"", 70, ""б остальное"", 80)/100,0)"),0.0)</f>
        <v>0</v>
      </c>
      <c r="O782" s="91">
        <f t="shared" si="2"/>
        <v>0</v>
      </c>
      <c r="P782" s="91">
        <f>IFERROR(__xludf.DUMMYFUNCTION("IFERROR(sum(filter('Генеральный баннер'!$O:$O, 'Генеральный баннер'!$B:$B=$A782,'Генеральный баннер'!$C:$C=$B782,'Генеральный баннер'!$I:$I=$C782)), 0) "),0.0)</f>
        <v>0</v>
      </c>
      <c r="Q782" s="91">
        <f>IFERROR(__xludf.DUMMYFUNCTION("IFERROR(sum(filter('Генеральный баннер'!$Q:$Q, 'Генеральный баннер'!$B:$B=$A782,'Генеральный баннер'!$C:$C=$B782,'Генеральный баннер'!$I:$I=$C782)), 0) "),0.0)</f>
        <v>0</v>
      </c>
      <c r="R782" s="91">
        <f>IFERROR(__xludf.DUMMYFUNCTION("IFERROR(AVERAGE(filter('Генеральный баннер'!$AA:$AA, 'Генеральный баннер'!$B:$B=$A782,'Генеральный баннер'!$C:$C=$B782,'Генеральный баннер'!$I:$I=$C782)), 0) "),0.0)</f>
        <v>0</v>
      </c>
      <c r="S782" s="91">
        <f>IFERROR(__xludf.DUMMYFUNCTION("IFERROR(SUM(filter('Генеральный баннер'!$AH:$AH, 'Генеральный баннер'!$B:$B=$A782,'Генеральный баннер'!$C:$C=$B782,'Генеральный баннер'!$I:$I=$C782)), 0) "),0.0)</f>
        <v>0</v>
      </c>
      <c r="T782" s="91" t="str">
        <f>IFERROR(__xludf.DUMMYFUNCTION("IFERROR(REGEXREPLACE(unique(filter('Генеральный баннер'!$A:$A, 'Генеральный баннер'!$B:$B=$A782,'Генеральный баннер'!$C:$C=$B782,'Генеральный баннер'!$I:$I=$C782)), ""\d+"", """"),"""")"),"")</f>
        <v/>
      </c>
      <c r="U782" s="91" t="str">
        <f>IFERROR(__xludf.DUMMYFUNCTION("IFERROR(unique(filter('Генеральный баннер'!$F:$F, 'Генеральный баннер'!$B:$B=$A782,'Генеральный баннер'!$C:$C=$B782,'Генеральный баннер'!$I:$I=$C782)),"""")"),"")</f>
        <v/>
      </c>
      <c r="V782" s="92" t="str">
        <f t="shared" si="3"/>
        <v/>
      </c>
      <c r="W782" s="93">
        <f>IFERROR(__xludf.DUMMYFUNCTION("IFERROR(SWITCH(lower(join("" "",U782:V782)),""а миллионник"", 62.5,""б миллионник"", 75,""а мск"", 50, ""б мск"", 62.5, ""a остальное"", 70, ""б остальное"", 80)/100,0)"),0.0)</f>
        <v>0</v>
      </c>
      <c r="X782" s="91">
        <f t="shared" si="4"/>
        <v>0</v>
      </c>
    </row>
    <row r="783">
      <c r="A783" s="12"/>
      <c r="B783" s="12"/>
      <c r="C783" s="12"/>
      <c r="D783" s="91">
        <f>IFERROR(__xludf.DUMMYFUNCTION("IFERROR(sum(filter('Основной эфир'!$AA:$AA, 'Основной эфир'!$B:$B=$A783,'Основной эфир'!$C:$C=$B783,'Основной эфир'!$I:$I=$C783)), 0) "),0.0)</f>
        <v>0</v>
      </c>
      <c r="E783" s="91">
        <f>IFERROR(__xludf.DUMMYFUNCTION("IFERROR(sum(filter('Основной эфир'!$AC:$AC, 'Основной эфир'!$B:$B=$A783,'Основной эфир'!$C:$C=$B783,'Основной эфир'!$I:$I=$C783)), 0) "),0.0)</f>
        <v>0</v>
      </c>
      <c r="F783" s="91">
        <f>IFERROR(__xludf.DUMMYFUNCTION("IFERROR(sum(filter('Основной эфир'!$O:$O, 'Основной эфир'!$B:$B=$A783,'Основной эфир'!$C:$C=$B783,'Основной эфир'!$I:$I=$C783)), 0) "),0.0)</f>
        <v>0</v>
      </c>
      <c r="G783" s="91">
        <f>IFERROR(__xludf.DUMMYFUNCTION("IFERROR(sum(filter('Основной эфир'!$Q:$Q, 'Основной эфир'!$B:$B=$A783,'Основной эфир'!$C:$C=$B783,'Основной эфир'!$I:$I=$C783)), 0) "),0.0)</f>
        <v>0</v>
      </c>
      <c r="H783" s="91">
        <f>IFERROR(__xludf.DUMMYFUNCTION("IFERROR(AVERAGE(filter('Основной эфир'!$Y:$Y, 'Основной эфир'!$B:$B=$A783,'Основной эфир'!$C:$C=$B783,'Основной эфир'!$I:$I=$C783)), 0) "),0.0)</f>
        <v>0</v>
      </c>
      <c r="I783" s="91">
        <f>IFERROR(__xludf.DUMMYFUNCTION("IFERROR(AVERAGE(filter('Основной эфир'!$AE:$AE, 'Основной эфир'!$B:$B=$A783,'Основной эфир'!$C:$C=$B783,'Основной эфир'!$I:$I=$C783)), 0) "),0.0)</f>
        <v>0</v>
      </c>
      <c r="J783" s="91">
        <f>IFERROR(__xludf.DUMMYFUNCTION("IFERROR(SUM(filter('Основной эфир'!$AL:$AL, 'Основной эфир'!$B:$B=$A783,'Основной эфир'!$C:$C=$B783,'Основной эфир'!$I:$I=$C783)), 0) "),0.0)</f>
        <v>0</v>
      </c>
      <c r="K783" s="91" t="str">
        <f>IFERROR(__xludf.DUMMYFUNCTION("IFERROR(REGEXREPLACE(unique(filter('Основной эфир'!$A:$A, 'Основной эфир'!$B:$B=$A783,'Основной эфир'!$C:$C=$B783,'Основной эфир'!$I:$I=$C783)), ""\d+"", """"),"""")"),"")</f>
        <v/>
      </c>
      <c r="L783" s="91" t="str">
        <f>IFERROR(__xludf.DUMMYFUNCTION("IFERROR(unique(filter('Основной эфир'!$F:$F, 'Основной эфир'!$B:$B=$A783,'Основной эфир'!$C:$C=$B783,'Основной эфир'!$I:$I=$C783)),"""")"),"")</f>
        <v/>
      </c>
      <c r="M783" s="92" t="str">
        <f t="shared" si="1"/>
        <v/>
      </c>
      <c r="N783" s="93">
        <f>IFERROR(__xludf.DUMMYFUNCTION("IFERROR(SWITCH(lower(join("" "",L783:M783)),""а миллионник"", 62.5,""б миллионник"", 75,""а мск"", 50, ""б мск"", 62.5, ""a остальное"", 70, ""б остальное"", 80)/100,0)"),0.0)</f>
        <v>0</v>
      </c>
      <c r="O783" s="91">
        <f t="shared" si="2"/>
        <v>0</v>
      </c>
      <c r="P783" s="91">
        <f>IFERROR(__xludf.DUMMYFUNCTION("IFERROR(sum(filter('Генеральный баннер'!$O:$O, 'Генеральный баннер'!$B:$B=$A783,'Генеральный баннер'!$C:$C=$B783,'Генеральный баннер'!$I:$I=$C783)), 0) "),0.0)</f>
        <v>0</v>
      </c>
      <c r="Q783" s="91">
        <f>IFERROR(__xludf.DUMMYFUNCTION("IFERROR(sum(filter('Генеральный баннер'!$Q:$Q, 'Генеральный баннер'!$B:$B=$A783,'Генеральный баннер'!$C:$C=$B783,'Генеральный баннер'!$I:$I=$C783)), 0) "),0.0)</f>
        <v>0</v>
      </c>
      <c r="R783" s="91">
        <f>IFERROR(__xludf.DUMMYFUNCTION("IFERROR(AVERAGE(filter('Генеральный баннер'!$AA:$AA, 'Генеральный баннер'!$B:$B=$A783,'Генеральный баннер'!$C:$C=$B783,'Генеральный баннер'!$I:$I=$C783)), 0) "),0.0)</f>
        <v>0</v>
      </c>
      <c r="S783" s="91">
        <f>IFERROR(__xludf.DUMMYFUNCTION("IFERROR(SUM(filter('Генеральный баннер'!$AH:$AH, 'Генеральный баннер'!$B:$B=$A783,'Генеральный баннер'!$C:$C=$B783,'Генеральный баннер'!$I:$I=$C783)), 0) "),0.0)</f>
        <v>0</v>
      </c>
      <c r="T783" s="91" t="str">
        <f>IFERROR(__xludf.DUMMYFUNCTION("IFERROR(REGEXREPLACE(unique(filter('Генеральный баннер'!$A:$A, 'Генеральный баннер'!$B:$B=$A783,'Генеральный баннер'!$C:$C=$B783,'Генеральный баннер'!$I:$I=$C783)), ""\d+"", """"),"""")"),"")</f>
        <v/>
      </c>
      <c r="U783" s="91" t="str">
        <f>IFERROR(__xludf.DUMMYFUNCTION("IFERROR(unique(filter('Генеральный баннер'!$F:$F, 'Генеральный баннер'!$B:$B=$A783,'Генеральный баннер'!$C:$C=$B783,'Генеральный баннер'!$I:$I=$C783)),"""")"),"")</f>
        <v/>
      </c>
      <c r="V783" s="92" t="str">
        <f t="shared" si="3"/>
        <v/>
      </c>
      <c r="W783" s="93">
        <f>IFERROR(__xludf.DUMMYFUNCTION("IFERROR(SWITCH(lower(join("" "",U783:V783)),""а миллионник"", 62.5,""б миллионник"", 75,""а мск"", 50, ""б мск"", 62.5, ""a остальное"", 70, ""б остальное"", 80)/100,0)"),0.0)</f>
        <v>0</v>
      </c>
      <c r="X783" s="91">
        <f t="shared" si="4"/>
        <v>0</v>
      </c>
    </row>
    <row r="784">
      <c r="A784" s="12"/>
      <c r="B784" s="12"/>
      <c r="C784" s="12"/>
      <c r="D784" s="91">
        <f>IFERROR(__xludf.DUMMYFUNCTION("IFERROR(sum(filter('Основной эфир'!$AA:$AA, 'Основной эфир'!$B:$B=$A784,'Основной эфир'!$C:$C=$B784,'Основной эфир'!$I:$I=$C784)), 0) "),0.0)</f>
        <v>0</v>
      </c>
      <c r="E784" s="91">
        <f>IFERROR(__xludf.DUMMYFUNCTION("IFERROR(sum(filter('Основной эфир'!$AC:$AC, 'Основной эфир'!$B:$B=$A784,'Основной эфир'!$C:$C=$B784,'Основной эфир'!$I:$I=$C784)), 0) "),0.0)</f>
        <v>0</v>
      </c>
      <c r="F784" s="91">
        <f>IFERROR(__xludf.DUMMYFUNCTION("IFERROR(sum(filter('Основной эфир'!$O:$O, 'Основной эфир'!$B:$B=$A784,'Основной эфир'!$C:$C=$B784,'Основной эфир'!$I:$I=$C784)), 0) "),0.0)</f>
        <v>0</v>
      </c>
      <c r="G784" s="91">
        <f>IFERROR(__xludf.DUMMYFUNCTION("IFERROR(sum(filter('Основной эфир'!$Q:$Q, 'Основной эфир'!$B:$B=$A784,'Основной эфир'!$C:$C=$B784,'Основной эфир'!$I:$I=$C784)), 0) "),0.0)</f>
        <v>0</v>
      </c>
      <c r="H784" s="91">
        <f>IFERROR(__xludf.DUMMYFUNCTION("IFERROR(AVERAGE(filter('Основной эфир'!$Y:$Y, 'Основной эфир'!$B:$B=$A784,'Основной эфир'!$C:$C=$B784,'Основной эфир'!$I:$I=$C784)), 0) "),0.0)</f>
        <v>0</v>
      </c>
      <c r="I784" s="91">
        <f>IFERROR(__xludf.DUMMYFUNCTION("IFERROR(AVERAGE(filter('Основной эфир'!$AE:$AE, 'Основной эфир'!$B:$B=$A784,'Основной эфир'!$C:$C=$B784,'Основной эфир'!$I:$I=$C784)), 0) "),0.0)</f>
        <v>0</v>
      </c>
      <c r="J784" s="91">
        <f>IFERROR(__xludf.DUMMYFUNCTION("IFERROR(SUM(filter('Основной эфир'!$AL:$AL, 'Основной эфир'!$B:$B=$A784,'Основной эфир'!$C:$C=$B784,'Основной эфир'!$I:$I=$C784)), 0) "),0.0)</f>
        <v>0</v>
      </c>
      <c r="K784" s="91" t="str">
        <f>IFERROR(__xludf.DUMMYFUNCTION("IFERROR(REGEXREPLACE(unique(filter('Основной эфир'!$A:$A, 'Основной эфир'!$B:$B=$A784,'Основной эфир'!$C:$C=$B784,'Основной эфир'!$I:$I=$C784)), ""\d+"", """"),"""")"),"")</f>
        <v/>
      </c>
      <c r="L784" s="91" t="str">
        <f>IFERROR(__xludf.DUMMYFUNCTION("IFERROR(unique(filter('Основной эфир'!$F:$F, 'Основной эфир'!$B:$B=$A784,'Основной эфир'!$C:$C=$B784,'Основной эфир'!$I:$I=$C784)),"""")"),"")</f>
        <v/>
      </c>
      <c r="M784" s="92" t="str">
        <f t="shared" si="1"/>
        <v/>
      </c>
      <c r="N784" s="93">
        <f>IFERROR(__xludf.DUMMYFUNCTION("IFERROR(SWITCH(lower(join("" "",L784:M784)),""а миллионник"", 62.5,""б миллионник"", 75,""а мск"", 50, ""б мск"", 62.5, ""a остальное"", 70, ""б остальное"", 80)/100,0)"),0.0)</f>
        <v>0</v>
      </c>
      <c r="O784" s="91">
        <f t="shared" si="2"/>
        <v>0</v>
      </c>
      <c r="P784" s="91">
        <f>IFERROR(__xludf.DUMMYFUNCTION("IFERROR(sum(filter('Генеральный баннер'!$O:$O, 'Генеральный баннер'!$B:$B=$A784,'Генеральный баннер'!$C:$C=$B784,'Генеральный баннер'!$I:$I=$C784)), 0) "),0.0)</f>
        <v>0</v>
      </c>
      <c r="Q784" s="91">
        <f>IFERROR(__xludf.DUMMYFUNCTION("IFERROR(sum(filter('Генеральный баннер'!$Q:$Q, 'Генеральный баннер'!$B:$B=$A784,'Генеральный баннер'!$C:$C=$B784,'Генеральный баннер'!$I:$I=$C784)), 0) "),0.0)</f>
        <v>0</v>
      </c>
      <c r="R784" s="91">
        <f>IFERROR(__xludf.DUMMYFUNCTION("IFERROR(AVERAGE(filter('Генеральный баннер'!$AA:$AA, 'Генеральный баннер'!$B:$B=$A784,'Генеральный баннер'!$C:$C=$B784,'Генеральный баннер'!$I:$I=$C784)), 0) "),0.0)</f>
        <v>0</v>
      </c>
      <c r="S784" s="91">
        <f>IFERROR(__xludf.DUMMYFUNCTION("IFERROR(SUM(filter('Генеральный баннер'!$AH:$AH, 'Генеральный баннер'!$B:$B=$A784,'Генеральный баннер'!$C:$C=$B784,'Генеральный баннер'!$I:$I=$C784)), 0) "),0.0)</f>
        <v>0</v>
      </c>
      <c r="T784" s="91" t="str">
        <f>IFERROR(__xludf.DUMMYFUNCTION("IFERROR(REGEXREPLACE(unique(filter('Генеральный баннер'!$A:$A, 'Генеральный баннер'!$B:$B=$A784,'Генеральный баннер'!$C:$C=$B784,'Генеральный баннер'!$I:$I=$C784)), ""\d+"", """"),"""")"),"")</f>
        <v/>
      </c>
      <c r="U784" s="91" t="str">
        <f>IFERROR(__xludf.DUMMYFUNCTION("IFERROR(unique(filter('Генеральный баннер'!$F:$F, 'Генеральный баннер'!$B:$B=$A784,'Генеральный баннер'!$C:$C=$B784,'Генеральный баннер'!$I:$I=$C784)),"""")"),"")</f>
        <v/>
      </c>
      <c r="V784" s="92" t="str">
        <f t="shared" si="3"/>
        <v/>
      </c>
      <c r="W784" s="93">
        <f>IFERROR(__xludf.DUMMYFUNCTION("IFERROR(SWITCH(lower(join("" "",U784:V784)),""а миллионник"", 62.5,""б миллионник"", 75,""а мск"", 50, ""б мск"", 62.5, ""a остальное"", 70, ""б остальное"", 80)/100,0)"),0.0)</f>
        <v>0</v>
      </c>
      <c r="X784" s="91">
        <f t="shared" si="4"/>
        <v>0</v>
      </c>
    </row>
    <row r="785">
      <c r="A785" s="12"/>
      <c r="B785" s="12"/>
      <c r="C785" s="12"/>
      <c r="D785" s="91">
        <f>IFERROR(__xludf.DUMMYFUNCTION("IFERROR(sum(filter('Основной эфир'!$AA:$AA, 'Основной эфир'!$B:$B=$A785,'Основной эфир'!$C:$C=$B785,'Основной эфир'!$I:$I=$C785)), 0) "),0.0)</f>
        <v>0</v>
      </c>
      <c r="E785" s="91">
        <f>IFERROR(__xludf.DUMMYFUNCTION("IFERROR(sum(filter('Основной эфир'!$AC:$AC, 'Основной эфир'!$B:$B=$A785,'Основной эфир'!$C:$C=$B785,'Основной эфир'!$I:$I=$C785)), 0) "),0.0)</f>
        <v>0</v>
      </c>
      <c r="F785" s="91">
        <f>IFERROR(__xludf.DUMMYFUNCTION("IFERROR(sum(filter('Основной эфир'!$O:$O, 'Основной эфир'!$B:$B=$A785,'Основной эфир'!$C:$C=$B785,'Основной эфир'!$I:$I=$C785)), 0) "),0.0)</f>
        <v>0</v>
      </c>
      <c r="G785" s="91">
        <f>IFERROR(__xludf.DUMMYFUNCTION("IFERROR(sum(filter('Основной эфир'!$Q:$Q, 'Основной эфир'!$B:$B=$A785,'Основной эфир'!$C:$C=$B785,'Основной эфир'!$I:$I=$C785)), 0) "),0.0)</f>
        <v>0</v>
      </c>
      <c r="H785" s="91">
        <f>IFERROR(__xludf.DUMMYFUNCTION("IFERROR(AVERAGE(filter('Основной эфир'!$Y:$Y, 'Основной эфир'!$B:$B=$A785,'Основной эфир'!$C:$C=$B785,'Основной эфир'!$I:$I=$C785)), 0) "),0.0)</f>
        <v>0</v>
      </c>
      <c r="I785" s="91">
        <f>IFERROR(__xludf.DUMMYFUNCTION("IFERROR(AVERAGE(filter('Основной эфир'!$AE:$AE, 'Основной эфир'!$B:$B=$A785,'Основной эфир'!$C:$C=$B785,'Основной эфир'!$I:$I=$C785)), 0) "),0.0)</f>
        <v>0</v>
      </c>
      <c r="J785" s="91">
        <f>IFERROR(__xludf.DUMMYFUNCTION("IFERROR(SUM(filter('Основной эфир'!$AL:$AL, 'Основной эфир'!$B:$B=$A785,'Основной эфир'!$C:$C=$B785,'Основной эфир'!$I:$I=$C785)), 0) "),0.0)</f>
        <v>0</v>
      </c>
      <c r="K785" s="91" t="str">
        <f>IFERROR(__xludf.DUMMYFUNCTION("IFERROR(REGEXREPLACE(unique(filter('Основной эфир'!$A:$A, 'Основной эфир'!$B:$B=$A785,'Основной эфир'!$C:$C=$B785,'Основной эфир'!$I:$I=$C785)), ""\d+"", """"),"""")"),"")</f>
        <v/>
      </c>
      <c r="L785" s="91" t="str">
        <f>IFERROR(__xludf.DUMMYFUNCTION("IFERROR(unique(filter('Основной эфир'!$F:$F, 'Основной эфир'!$B:$B=$A785,'Основной эфир'!$C:$C=$B785,'Основной эфир'!$I:$I=$C785)),"""")"),"")</f>
        <v/>
      </c>
      <c r="M785" s="92" t="str">
        <f t="shared" si="1"/>
        <v/>
      </c>
      <c r="N785" s="93">
        <f>IFERROR(__xludf.DUMMYFUNCTION("IFERROR(SWITCH(lower(join("" "",L785:M785)),""а миллионник"", 62.5,""б миллионник"", 75,""а мск"", 50, ""б мск"", 62.5, ""a остальное"", 70, ""б остальное"", 80)/100,0)"),0.0)</f>
        <v>0</v>
      </c>
      <c r="O785" s="91">
        <f t="shared" si="2"/>
        <v>0</v>
      </c>
      <c r="P785" s="91">
        <f>IFERROR(__xludf.DUMMYFUNCTION("IFERROR(sum(filter('Генеральный баннер'!$O:$O, 'Генеральный баннер'!$B:$B=$A785,'Генеральный баннер'!$C:$C=$B785,'Генеральный баннер'!$I:$I=$C785)), 0) "),0.0)</f>
        <v>0</v>
      </c>
      <c r="Q785" s="91">
        <f>IFERROR(__xludf.DUMMYFUNCTION("IFERROR(sum(filter('Генеральный баннер'!$Q:$Q, 'Генеральный баннер'!$B:$B=$A785,'Генеральный баннер'!$C:$C=$B785,'Генеральный баннер'!$I:$I=$C785)), 0) "),0.0)</f>
        <v>0</v>
      </c>
      <c r="R785" s="91">
        <f>IFERROR(__xludf.DUMMYFUNCTION("IFERROR(AVERAGE(filter('Генеральный баннер'!$AA:$AA, 'Генеральный баннер'!$B:$B=$A785,'Генеральный баннер'!$C:$C=$B785,'Генеральный баннер'!$I:$I=$C785)), 0) "),0.0)</f>
        <v>0</v>
      </c>
      <c r="S785" s="91">
        <f>IFERROR(__xludf.DUMMYFUNCTION("IFERROR(SUM(filter('Генеральный баннер'!$AH:$AH, 'Генеральный баннер'!$B:$B=$A785,'Генеральный баннер'!$C:$C=$B785,'Генеральный баннер'!$I:$I=$C785)), 0) "),0.0)</f>
        <v>0</v>
      </c>
      <c r="T785" s="91" t="str">
        <f>IFERROR(__xludf.DUMMYFUNCTION("IFERROR(REGEXREPLACE(unique(filter('Генеральный баннер'!$A:$A, 'Генеральный баннер'!$B:$B=$A785,'Генеральный баннер'!$C:$C=$B785,'Генеральный баннер'!$I:$I=$C785)), ""\d+"", """"),"""")"),"")</f>
        <v/>
      </c>
      <c r="U785" s="91" t="str">
        <f>IFERROR(__xludf.DUMMYFUNCTION("IFERROR(unique(filter('Генеральный баннер'!$F:$F, 'Генеральный баннер'!$B:$B=$A785,'Генеральный баннер'!$C:$C=$B785,'Генеральный баннер'!$I:$I=$C785)),"""")"),"")</f>
        <v/>
      </c>
      <c r="V785" s="92" t="str">
        <f t="shared" si="3"/>
        <v/>
      </c>
      <c r="W785" s="93">
        <f>IFERROR(__xludf.DUMMYFUNCTION("IFERROR(SWITCH(lower(join("" "",U785:V785)),""а миллионник"", 62.5,""б миллионник"", 75,""а мск"", 50, ""б мск"", 62.5, ""a остальное"", 70, ""б остальное"", 80)/100,0)"),0.0)</f>
        <v>0</v>
      </c>
      <c r="X785" s="91">
        <f t="shared" si="4"/>
        <v>0</v>
      </c>
    </row>
    <row r="786">
      <c r="A786" s="12"/>
      <c r="B786" s="12"/>
      <c r="C786" s="12"/>
      <c r="D786" s="91">
        <f>IFERROR(__xludf.DUMMYFUNCTION("IFERROR(sum(filter('Основной эфир'!$AA:$AA, 'Основной эфир'!$B:$B=$A786,'Основной эфир'!$C:$C=$B786,'Основной эфир'!$I:$I=$C786)), 0) "),0.0)</f>
        <v>0</v>
      </c>
      <c r="E786" s="91">
        <f>IFERROR(__xludf.DUMMYFUNCTION("IFERROR(sum(filter('Основной эфир'!$AC:$AC, 'Основной эфир'!$B:$B=$A786,'Основной эфир'!$C:$C=$B786,'Основной эфир'!$I:$I=$C786)), 0) "),0.0)</f>
        <v>0</v>
      </c>
      <c r="F786" s="91">
        <f>IFERROR(__xludf.DUMMYFUNCTION("IFERROR(sum(filter('Основной эфир'!$O:$O, 'Основной эфир'!$B:$B=$A786,'Основной эфир'!$C:$C=$B786,'Основной эфир'!$I:$I=$C786)), 0) "),0.0)</f>
        <v>0</v>
      </c>
      <c r="G786" s="91">
        <f>IFERROR(__xludf.DUMMYFUNCTION("IFERROR(sum(filter('Основной эфир'!$Q:$Q, 'Основной эфир'!$B:$B=$A786,'Основной эфир'!$C:$C=$B786,'Основной эфир'!$I:$I=$C786)), 0) "),0.0)</f>
        <v>0</v>
      </c>
      <c r="H786" s="91">
        <f>IFERROR(__xludf.DUMMYFUNCTION("IFERROR(AVERAGE(filter('Основной эфир'!$Y:$Y, 'Основной эфир'!$B:$B=$A786,'Основной эфир'!$C:$C=$B786,'Основной эфир'!$I:$I=$C786)), 0) "),0.0)</f>
        <v>0</v>
      </c>
      <c r="I786" s="91">
        <f>IFERROR(__xludf.DUMMYFUNCTION("IFERROR(AVERAGE(filter('Основной эфир'!$AE:$AE, 'Основной эфир'!$B:$B=$A786,'Основной эфир'!$C:$C=$B786,'Основной эфир'!$I:$I=$C786)), 0) "),0.0)</f>
        <v>0</v>
      </c>
      <c r="J786" s="91">
        <f>IFERROR(__xludf.DUMMYFUNCTION("IFERROR(SUM(filter('Основной эфир'!$AL:$AL, 'Основной эфир'!$B:$B=$A786,'Основной эфир'!$C:$C=$B786,'Основной эфир'!$I:$I=$C786)), 0) "),0.0)</f>
        <v>0</v>
      </c>
      <c r="K786" s="91" t="str">
        <f>IFERROR(__xludf.DUMMYFUNCTION("IFERROR(REGEXREPLACE(unique(filter('Основной эфир'!$A:$A, 'Основной эфир'!$B:$B=$A786,'Основной эфир'!$C:$C=$B786,'Основной эфир'!$I:$I=$C786)), ""\d+"", """"),"""")"),"")</f>
        <v/>
      </c>
      <c r="L786" s="91" t="str">
        <f>IFERROR(__xludf.DUMMYFUNCTION("IFERROR(unique(filter('Основной эфир'!$F:$F, 'Основной эфир'!$B:$B=$A786,'Основной эфир'!$C:$C=$B786,'Основной эфир'!$I:$I=$C786)),"""")"),"")</f>
        <v/>
      </c>
      <c r="M786" s="92" t="str">
        <f t="shared" si="1"/>
        <v/>
      </c>
      <c r="N786" s="93">
        <f>IFERROR(__xludf.DUMMYFUNCTION("IFERROR(SWITCH(lower(join("" "",L786:M786)),""а миллионник"", 62.5,""б миллионник"", 75,""а мск"", 50, ""б мск"", 62.5, ""a остальное"", 70, ""б остальное"", 80)/100,0)"),0.0)</f>
        <v>0</v>
      </c>
      <c r="O786" s="91">
        <f t="shared" si="2"/>
        <v>0</v>
      </c>
      <c r="P786" s="91">
        <f>IFERROR(__xludf.DUMMYFUNCTION("IFERROR(sum(filter('Генеральный баннер'!$O:$O, 'Генеральный баннер'!$B:$B=$A786,'Генеральный баннер'!$C:$C=$B786,'Генеральный баннер'!$I:$I=$C786)), 0) "),0.0)</f>
        <v>0</v>
      </c>
      <c r="Q786" s="91">
        <f>IFERROR(__xludf.DUMMYFUNCTION("IFERROR(sum(filter('Генеральный баннер'!$Q:$Q, 'Генеральный баннер'!$B:$B=$A786,'Генеральный баннер'!$C:$C=$B786,'Генеральный баннер'!$I:$I=$C786)), 0) "),0.0)</f>
        <v>0</v>
      </c>
      <c r="R786" s="91">
        <f>IFERROR(__xludf.DUMMYFUNCTION("IFERROR(AVERAGE(filter('Генеральный баннер'!$AA:$AA, 'Генеральный баннер'!$B:$B=$A786,'Генеральный баннер'!$C:$C=$B786,'Генеральный баннер'!$I:$I=$C786)), 0) "),0.0)</f>
        <v>0</v>
      </c>
      <c r="S786" s="91">
        <f>IFERROR(__xludf.DUMMYFUNCTION("IFERROR(SUM(filter('Генеральный баннер'!$AH:$AH, 'Генеральный баннер'!$B:$B=$A786,'Генеральный баннер'!$C:$C=$B786,'Генеральный баннер'!$I:$I=$C786)), 0) "),0.0)</f>
        <v>0</v>
      </c>
      <c r="T786" s="91" t="str">
        <f>IFERROR(__xludf.DUMMYFUNCTION("IFERROR(REGEXREPLACE(unique(filter('Генеральный баннер'!$A:$A, 'Генеральный баннер'!$B:$B=$A786,'Генеральный баннер'!$C:$C=$B786,'Генеральный баннер'!$I:$I=$C786)), ""\d+"", """"),"""")"),"")</f>
        <v/>
      </c>
      <c r="U786" s="91" t="str">
        <f>IFERROR(__xludf.DUMMYFUNCTION("IFERROR(unique(filter('Генеральный баннер'!$F:$F, 'Генеральный баннер'!$B:$B=$A786,'Генеральный баннер'!$C:$C=$B786,'Генеральный баннер'!$I:$I=$C786)),"""")"),"")</f>
        <v/>
      </c>
      <c r="V786" s="92" t="str">
        <f t="shared" si="3"/>
        <v/>
      </c>
      <c r="W786" s="93">
        <f>IFERROR(__xludf.DUMMYFUNCTION("IFERROR(SWITCH(lower(join("" "",U786:V786)),""а миллионник"", 62.5,""б миллионник"", 75,""а мск"", 50, ""б мск"", 62.5, ""a остальное"", 70, ""б остальное"", 80)/100,0)"),0.0)</f>
        <v>0</v>
      </c>
      <c r="X786" s="91">
        <f t="shared" si="4"/>
        <v>0</v>
      </c>
    </row>
    <row r="787">
      <c r="A787" s="12"/>
      <c r="B787" s="12"/>
      <c r="C787" s="12"/>
      <c r="D787" s="91">
        <f>IFERROR(__xludf.DUMMYFUNCTION("IFERROR(sum(filter('Основной эфир'!$AA:$AA, 'Основной эфир'!$B:$B=$A787,'Основной эфир'!$C:$C=$B787,'Основной эфир'!$I:$I=$C787)), 0) "),0.0)</f>
        <v>0</v>
      </c>
      <c r="E787" s="91">
        <f>IFERROR(__xludf.DUMMYFUNCTION("IFERROR(sum(filter('Основной эфир'!$AC:$AC, 'Основной эфир'!$B:$B=$A787,'Основной эфир'!$C:$C=$B787,'Основной эфир'!$I:$I=$C787)), 0) "),0.0)</f>
        <v>0</v>
      </c>
      <c r="F787" s="91">
        <f>IFERROR(__xludf.DUMMYFUNCTION("IFERROR(sum(filter('Основной эфир'!$O:$O, 'Основной эфир'!$B:$B=$A787,'Основной эфир'!$C:$C=$B787,'Основной эфир'!$I:$I=$C787)), 0) "),0.0)</f>
        <v>0</v>
      </c>
      <c r="G787" s="91">
        <f>IFERROR(__xludf.DUMMYFUNCTION("IFERROR(sum(filter('Основной эфир'!$Q:$Q, 'Основной эфир'!$B:$B=$A787,'Основной эфир'!$C:$C=$B787,'Основной эфир'!$I:$I=$C787)), 0) "),0.0)</f>
        <v>0</v>
      </c>
      <c r="H787" s="91">
        <f>IFERROR(__xludf.DUMMYFUNCTION("IFERROR(AVERAGE(filter('Основной эфир'!$Y:$Y, 'Основной эфир'!$B:$B=$A787,'Основной эфир'!$C:$C=$B787,'Основной эфир'!$I:$I=$C787)), 0) "),0.0)</f>
        <v>0</v>
      </c>
      <c r="I787" s="91">
        <f>IFERROR(__xludf.DUMMYFUNCTION("IFERROR(AVERAGE(filter('Основной эфир'!$AE:$AE, 'Основной эфир'!$B:$B=$A787,'Основной эфир'!$C:$C=$B787,'Основной эфир'!$I:$I=$C787)), 0) "),0.0)</f>
        <v>0</v>
      </c>
      <c r="J787" s="91">
        <f>IFERROR(__xludf.DUMMYFUNCTION("IFERROR(SUM(filter('Основной эфир'!$AL:$AL, 'Основной эфир'!$B:$B=$A787,'Основной эфир'!$C:$C=$B787,'Основной эфир'!$I:$I=$C787)), 0) "),0.0)</f>
        <v>0</v>
      </c>
      <c r="K787" s="91" t="str">
        <f>IFERROR(__xludf.DUMMYFUNCTION("IFERROR(REGEXREPLACE(unique(filter('Основной эфир'!$A:$A, 'Основной эфир'!$B:$B=$A787,'Основной эфир'!$C:$C=$B787,'Основной эфир'!$I:$I=$C787)), ""\d+"", """"),"""")"),"")</f>
        <v/>
      </c>
      <c r="L787" s="91" t="str">
        <f>IFERROR(__xludf.DUMMYFUNCTION("IFERROR(unique(filter('Основной эфир'!$F:$F, 'Основной эфир'!$B:$B=$A787,'Основной эфир'!$C:$C=$B787,'Основной эфир'!$I:$I=$C787)),"""")"),"")</f>
        <v/>
      </c>
      <c r="M787" s="92" t="str">
        <f t="shared" si="1"/>
        <v/>
      </c>
      <c r="N787" s="93">
        <f>IFERROR(__xludf.DUMMYFUNCTION("IFERROR(SWITCH(lower(join("" "",L787:M787)),""а миллионник"", 62.5,""б миллионник"", 75,""а мск"", 50, ""б мск"", 62.5, ""a остальное"", 70, ""б остальное"", 80)/100,0)"),0.0)</f>
        <v>0</v>
      </c>
      <c r="O787" s="91">
        <f t="shared" si="2"/>
        <v>0</v>
      </c>
      <c r="P787" s="91">
        <f>IFERROR(__xludf.DUMMYFUNCTION("IFERROR(sum(filter('Генеральный баннер'!$O:$O, 'Генеральный баннер'!$B:$B=$A787,'Генеральный баннер'!$C:$C=$B787,'Генеральный баннер'!$I:$I=$C787)), 0) "),0.0)</f>
        <v>0</v>
      </c>
      <c r="Q787" s="91">
        <f>IFERROR(__xludf.DUMMYFUNCTION("IFERROR(sum(filter('Генеральный баннер'!$Q:$Q, 'Генеральный баннер'!$B:$B=$A787,'Генеральный баннер'!$C:$C=$B787,'Генеральный баннер'!$I:$I=$C787)), 0) "),0.0)</f>
        <v>0</v>
      </c>
      <c r="R787" s="91">
        <f>IFERROR(__xludf.DUMMYFUNCTION("IFERROR(AVERAGE(filter('Генеральный баннер'!$AA:$AA, 'Генеральный баннер'!$B:$B=$A787,'Генеральный баннер'!$C:$C=$B787,'Генеральный баннер'!$I:$I=$C787)), 0) "),0.0)</f>
        <v>0</v>
      </c>
      <c r="S787" s="91">
        <f>IFERROR(__xludf.DUMMYFUNCTION("IFERROR(SUM(filter('Генеральный баннер'!$AH:$AH, 'Генеральный баннер'!$B:$B=$A787,'Генеральный баннер'!$C:$C=$B787,'Генеральный баннер'!$I:$I=$C787)), 0) "),0.0)</f>
        <v>0</v>
      </c>
      <c r="T787" s="91" t="str">
        <f>IFERROR(__xludf.DUMMYFUNCTION("IFERROR(REGEXREPLACE(unique(filter('Генеральный баннер'!$A:$A, 'Генеральный баннер'!$B:$B=$A787,'Генеральный баннер'!$C:$C=$B787,'Генеральный баннер'!$I:$I=$C787)), ""\d+"", """"),"""")"),"")</f>
        <v/>
      </c>
      <c r="U787" s="91" t="str">
        <f>IFERROR(__xludf.DUMMYFUNCTION("IFERROR(unique(filter('Генеральный баннер'!$F:$F, 'Генеральный баннер'!$B:$B=$A787,'Генеральный баннер'!$C:$C=$B787,'Генеральный баннер'!$I:$I=$C787)),"""")"),"")</f>
        <v/>
      </c>
      <c r="V787" s="92" t="str">
        <f t="shared" si="3"/>
        <v/>
      </c>
      <c r="W787" s="93">
        <f>IFERROR(__xludf.DUMMYFUNCTION("IFERROR(SWITCH(lower(join("" "",U787:V787)),""а миллионник"", 62.5,""б миллионник"", 75,""а мск"", 50, ""б мск"", 62.5, ""a остальное"", 70, ""б остальное"", 80)/100,0)"),0.0)</f>
        <v>0</v>
      </c>
      <c r="X787" s="91">
        <f t="shared" si="4"/>
        <v>0</v>
      </c>
    </row>
    <row r="788">
      <c r="A788" s="12"/>
      <c r="B788" s="12"/>
      <c r="C788" s="12"/>
      <c r="D788" s="91">
        <f>IFERROR(__xludf.DUMMYFUNCTION("IFERROR(sum(filter('Основной эфир'!$AA:$AA, 'Основной эфир'!$B:$B=$A788,'Основной эфир'!$C:$C=$B788,'Основной эфир'!$I:$I=$C788)), 0) "),0.0)</f>
        <v>0</v>
      </c>
      <c r="E788" s="91">
        <f>IFERROR(__xludf.DUMMYFUNCTION("IFERROR(sum(filter('Основной эфир'!$AC:$AC, 'Основной эфир'!$B:$B=$A788,'Основной эфир'!$C:$C=$B788,'Основной эфир'!$I:$I=$C788)), 0) "),0.0)</f>
        <v>0</v>
      </c>
      <c r="F788" s="91">
        <f>IFERROR(__xludf.DUMMYFUNCTION("IFERROR(sum(filter('Основной эфир'!$O:$O, 'Основной эфир'!$B:$B=$A788,'Основной эфир'!$C:$C=$B788,'Основной эфир'!$I:$I=$C788)), 0) "),0.0)</f>
        <v>0</v>
      </c>
      <c r="G788" s="91">
        <f>IFERROR(__xludf.DUMMYFUNCTION("IFERROR(sum(filter('Основной эфир'!$Q:$Q, 'Основной эфир'!$B:$B=$A788,'Основной эфир'!$C:$C=$B788,'Основной эфир'!$I:$I=$C788)), 0) "),0.0)</f>
        <v>0</v>
      </c>
      <c r="H788" s="91">
        <f>IFERROR(__xludf.DUMMYFUNCTION("IFERROR(AVERAGE(filter('Основной эфир'!$Y:$Y, 'Основной эфир'!$B:$B=$A788,'Основной эфир'!$C:$C=$B788,'Основной эфир'!$I:$I=$C788)), 0) "),0.0)</f>
        <v>0</v>
      </c>
      <c r="I788" s="91">
        <f>IFERROR(__xludf.DUMMYFUNCTION("IFERROR(AVERAGE(filter('Основной эфир'!$AE:$AE, 'Основной эфир'!$B:$B=$A788,'Основной эфир'!$C:$C=$B788,'Основной эфир'!$I:$I=$C788)), 0) "),0.0)</f>
        <v>0</v>
      </c>
      <c r="J788" s="91">
        <f>IFERROR(__xludf.DUMMYFUNCTION("IFERROR(SUM(filter('Основной эфир'!$AL:$AL, 'Основной эфир'!$B:$B=$A788,'Основной эфир'!$C:$C=$B788,'Основной эфир'!$I:$I=$C788)), 0) "),0.0)</f>
        <v>0</v>
      </c>
      <c r="K788" s="91" t="str">
        <f>IFERROR(__xludf.DUMMYFUNCTION("IFERROR(REGEXREPLACE(unique(filter('Основной эфир'!$A:$A, 'Основной эфир'!$B:$B=$A788,'Основной эфир'!$C:$C=$B788,'Основной эфир'!$I:$I=$C788)), ""\d+"", """"),"""")"),"")</f>
        <v/>
      </c>
      <c r="L788" s="91" t="str">
        <f>IFERROR(__xludf.DUMMYFUNCTION("IFERROR(unique(filter('Основной эфир'!$F:$F, 'Основной эфир'!$B:$B=$A788,'Основной эфир'!$C:$C=$B788,'Основной эфир'!$I:$I=$C788)),"""")"),"")</f>
        <v/>
      </c>
      <c r="M788" s="92" t="str">
        <f t="shared" si="1"/>
        <v/>
      </c>
      <c r="N788" s="93">
        <f>IFERROR(__xludf.DUMMYFUNCTION("IFERROR(SWITCH(lower(join("" "",L788:M788)),""а миллионник"", 62.5,""б миллионник"", 75,""а мск"", 50, ""б мск"", 62.5, ""a остальное"", 70, ""б остальное"", 80)/100,0)"),0.0)</f>
        <v>0</v>
      </c>
      <c r="O788" s="91">
        <f t="shared" si="2"/>
        <v>0</v>
      </c>
      <c r="P788" s="91">
        <f>IFERROR(__xludf.DUMMYFUNCTION("IFERROR(sum(filter('Генеральный баннер'!$O:$O, 'Генеральный баннер'!$B:$B=$A788,'Генеральный баннер'!$C:$C=$B788,'Генеральный баннер'!$I:$I=$C788)), 0) "),0.0)</f>
        <v>0</v>
      </c>
      <c r="Q788" s="91">
        <f>IFERROR(__xludf.DUMMYFUNCTION("IFERROR(sum(filter('Генеральный баннер'!$Q:$Q, 'Генеральный баннер'!$B:$B=$A788,'Генеральный баннер'!$C:$C=$B788,'Генеральный баннер'!$I:$I=$C788)), 0) "),0.0)</f>
        <v>0</v>
      </c>
      <c r="R788" s="91">
        <f>IFERROR(__xludf.DUMMYFUNCTION("IFERROR(AVERAGE(filter('Генеральный баннер'!$AA:$AA, 'Генеральный баннер'!$B:$B=$A788,'Генеральный баннер'!$C:$C=$B788,'Генеральный баннер'!$I:$I=$C788)), 0) "),0.0)</f>
        <v>0</v>
      </c>
      <c r="S788" s="91">
        <f>IFERROR(__xludf.DUMMYFUNCTION("IFERROR(SUM(filter('Генеральный баннер'!$AH:$AH, 'Генеральный баннер'!$B:$B=$A788,'Генеральный баннер'!$C:$C=$B788,'Генеральный баннер'!$I:$I=$C788)), 0) "),0.0)</f>
        <v>0</v>
      </c>
      <c r="T788" s="91" t="str">
        <f>IFERROR(__xludf.DUMMYFUNCTION("IFERROR(REGEXREPLACE(unique(filter('Генеральный баннер'!$A:$A, 'Генеральный баннер'!$B:$B=$A788,'Генеральный баннер'!$C:$C=$B788,'Генеральный баннер'!$I:$I=$C788)), ""\d+"", """"),"""")"),"")</f>
        <v/>
      </c>
      <c r="U788" s="91" t="str">
        <f>IFERROR(__xludf.DUMMYFUNCTION("IFERROR(unique(filter('Генеральный баннер'!$F:$F, 'Генеральный баннер'!$B:$B=$A788,'Генеральный баннер'!$C:$C=$B788,'Генеральный баннер'!$I:$I=$C788)),"""")"),"")</f>
        <v/>
      </c>
      <c r="V788" s="92" t="str">
        <f t="shared" si="3"/>
        <v/>
      </c>
      <c r="W788" s="93">
        <f>IFERROR(__xludf.DUMMYFUNCTION("IFERROR(SWITCH(lower(join("" "",U788:V788)),""а миллионник"", 62.5,""б миллионник"", 75,""а мск"", 50, ""б мск"", 62.5, ""a остальное"", 70, ""б остальное"", 80)/100,0)"),0.0)</f>
        <v>0</v>
      </c>
      <c r="X788" s="91">
        <f t="shared" si="4"/>
        <v>0</v>
      </c>
    </row>
    <row r="789">
      <c r="A789" s="12"/>
      <c r="B789" s="12"/>
      <c r="C789" s="12"/>
      <c r="D789" s="91">
        <f>IFERROR(__xludf.DUMMYFUNCTION("IFERROR(sum(filter('Основной эфир'!$AA:$AA, 'Основной эфир'!$B:$B=$A789,'Основной эфир'!$C:$C=$B789,'Основной эфир'!$I:$I=$C789)), 0) "),0.0)</f>
        <v>0</v>
      </c>
      <c r="E789" s="91">
        <f>IFERROR(__xludf.DUMMYFUNCTION("IFERROR(sum(filter('Основной эфир'!$AC:$AC, 'Основной эфир'!$B:$B=$A789,'Основной эфир'!$C:$C=$B789,'Основной эфир'!$I:$I=$C789)), 0) "),0.0)</f>
        <v>0</v>
      </c>
      <c r="F789" s="91">
        <f>IFERROR(__xludf.DUMMYFUNCTION("IFERROR(sum(filter('Основной эфир'!$O:$O, 'Основной эфир'!$B:$B=$A789,'Основной эфир'!$C:$C=$B789,'Основной эфир'!$I:$I=$C789)), 0) "),0.0)</f>
        <v>0</v>
      </c>
      <c r="G789" s="91">
        <f>IFERROR(__xludf.DUMMYFUNCTION("IFERROR(sum(filter('Основной эфир'!$Q:$Q, 'Основной эфир'!$B:$B=$A789,'Основной эфир'!$C:$C=$B789,'Основной эфир'!$I:$I=$C789)), 0) "),0.0)</f>
        <v>0</v>
      </c>
      <c r="H789" s="91">
        <f>IFERROR(__xludf.DUMMYFUNCTION("IFERROR(AVERAGE(filter('Основной эфир'!$Y:$Y, 'Основной эфир'!$B:$B=$A789,'Основной эфир'!$C:$C=$B789,'Основной эфир'!$I:$I=$C789)), 0) "),0.0)</f>
        <v>0</v>
      </c>
      <c r="I789" s="91">
        <f>IFERROR(__xludf.DUMMYFUNCTION("IFERROR(AVERAGE(filter('Основной эфир'!$AE:$AE, 'Основной эфир'!$B:$B=$A789,'Основной эфир'!$C:$C=$B789,'Основной эфир'!$I:$I=$C789)), 0) "),0.0)</f>
        <v>0</v>
      </c>
      <c r="J789" s="91">
        <f>IFERROR(__xludf.DUMMYFUNCTION("IFERROR(SUM(filter('Основной эфир'!$AL:$AL, 'Основной эфир'!$B:$B=$A789,'Основной эфир'!$C:$C=$B789,'Основной эфир'!$I:$I=$C789)), 0) "),0.0)</f>
        <v>0</v>
      </c>
      <c r="K789" s="91" t="str">
        <f>IFERROR(__xludf.DUMMYFUNCTION("IFERROR(REGEXREPLACE(unique(filter('Основной эфир'!$A:$A, 'Основной эфир'!$B:$B=$A789,'Основной эфир'!$C:$C=$B789,'Основной эфир'!$I:$I=$C789)), ""\d+"", """"),"""")"),"")</f>
        <v/>
      </c>
      <c r="L789" s="91" t="str">
        <f>IFERROR(__xludf.DUMMYFUNCTION("IFERROR(unique(filter('Основной эфир'!$F:$F, 'Основной эфир'!$B:$B=$A789,'Основной эфир'!$C:$C=$B789,'Основной эфир'!$I:$I=$C789)),"""")"),"")</f>
        <v/>
      </c>
      <c r="M789" s="92" t="str">
        <f t="shared" si="1"/>
        <v/>
      </c>
      <c r="N789" s="93">
        <f>IFERROR(__xludf.DUMMYFUNCTION("IFERROR(SWITCH(lower(join("" "",L789:M789)),""а миллионник"", 62.5,""б миллионник"", 75,""а мск"", 50, ""б мск"", 62.5, ""a остальное"", 70, ""б остальное"", 80)/100,0)"),0.0)</f>
        <v>0</v>
      </c>
      <c r="O789" s="91">
        <f t="shared" si="2"/>
        <v>0</v>
      </c>
      <c r="P789" s="91">
        <f>IFERROR(__xludf.DUMMYFUNCTION("IFERROR(sum(filter('Генеральный баннер'!$O:$O, 'Генеральный баннер'!$B:$B=$A789,'Генеральный баннер'!$C:$C=$B789,'Генеральный баннер'!$I:$I=$C789)), 0) "),0.0)</f>
        <v>0</v>
      </c>
      <c r="Q789" s="91">
        <f>IFERROR(__xludf.DUMMYFUNCTION("IFERROR(sum(filter('Генеральный баннер'!$Q:$Q, 'Генеральный баннер'!$B:$B=$A789,'Генеральный баннер'!$C:$C=$B789,'Генеральный баннер'!$I:$I=$C789)), 0) "),0.0)</f>
        <v>0</v>
      </c>
      <c r="R789" s="91">
        <f>IFERROR(__xludf.DUMMYFUNCTION("IFERROR(AVERAGE(filter('Генеральный баннер'!$AA:$AA, 'Генеральный баннер'!$B:$B=$A789,'Генеральный баннер'!$C:$C=$B789,'Генеральный баннер'!$I:$I=$C789)), 0) "),0.0)</f>
        <v>0</v>
      </c>
      <c r="S789" s="91">
        <f>IFERROR(__xludf.DUMMYFUNCTION("IFERROR(SUM(filter('Генеральный баннер'!$AH:$AH, 'Генеральный баннер'!$B:$B=$A789,'Генеральный баннер'!$C:$C=$B789,'Генеральный баннер'!$I:$I=$C789)), 0) "),0.0)</f>
        <v>0</v>
      </c>
      <c r="T789" s="91" t="str">
        <f>IFERROR(__xludf.DUMMYFUNCTION("IFERROR(REGEXREPLACE(unique(filter('Генеральный баннер'!$A:$A, 'Генеральный баннер'!$B:$B=$A789,'Генеральный баннер'!$C:$C=$B789,'Генеральный баннер'!$I:$I=$C789)), ""\d+"", """"),"""")"),"")</f>
        <v/>
      </c>
      <c r="U789" s="91" t="str">
        <f>IFERROR(__xludf.DUMMYFUNCTION("IFERROR(unique(filter('Генеральный баннер'!$F:$F, 'Генеральный баннер'!$B:$B=$A789,'Генеральный баннер'!$C:$C=$B789,'Генеральный баннер'!$I:$I=$C789)),"""")"),"")</f>
        <v/>
      </c>
      <c r="V789" s="92" t="str">
        <f t="shared" si="3"/>
        <v/>
      </c>
      <c r="W789" s="93">
        <f>IFERROR(__xludf.DUMMYFUNCTION("IFERROR(SWITCH(lower(join("" "",U789:V789)),""а миллионник"", 62.5,""б миллионник"", 75,""а мск"", 50, ""б мск"", 62.5, ""a остальное"", 70, ""б остальное"", 80)/100,0)"),0.0)</f>
        <v>0</v>
      </c>
      <c r="X789" s="91">
        <f t="shared" si="4"/>
        <v>0</v>
      </c>
    </row>
    <row r="790">
      <c r="A790" s="12"/>
      <c r="B790" s="12"/>
      <c r="C790" s="12"/>
      <c r="D790" s="91">
        <f>IFERROR(__xludf.DUMMYFUNCTION("IFERROR(sum(filter('Основной эфир'!$AA:$AA, 'Основной эфир'!$B:$B=$A790,'Основной эфир'!$C:$C=$B790,'Основной эфир'!$I:$I=$C790)), 0) "),0.0)</f>
        <v>0</v>
      </c>
      <c r="E790" s="91">
        <f>IFERROR(__xludf.DUMMYFUNCTION("IFERROR(sum(filter('Основной эфир'!$AC:$AC, 'Основной эфир'!$B:$B=$A790,'Основной эфир'!$C:$C=$B790,'Основной эфир'!$I:$I=$C790)), 0) "),0.0)</f>
        <v>0</v>
      </c>
      <c r="F790" s="91">
        <f>IFERROR(__xludf.DUMMYFUNCTION("IFERROR(sum(filter('Основной эфир'!$O:$O, 'Основной эфир'!$B:$B=$A790,'Основной эфир'!$C:$C=$B790,'Основной эфир'!$I:$I=$C790)), 0) "),0.0)</f>
        <v>0</v>
      </c>
      <c r="G790" s="91">
        <f>IFERROR(__xludf.DUMMYFUNCTION("IFERROR(sum(filter('Основной эфир'!$Q:$Q, 'Основной эфир'!$B:$B=$A790,'Основной эфир'!$C:$C=$B790,'Основной эфир'!$I:$I=$C790)), 0) "),0.0)</f>
        <v>0</v>
      </c>
      <c r="H790" s="91">
        <f>IFERROR(__xludf.DUMMYFUNCTION("IFERROR(AVERAGE(filter('Основной эфир'!$Y:$Y, 'Основной эфир'!$B:$B=$A790,'Основной эфир'!$C:$C=$B790,'Основной эфир'!$I:$I=$C790)), 0) "),0.0)</f>
        <v>0</v>
      </c>
      <c r="I790" s="91">
        <f>IFERROR(__xludf.DUMMYFUNCTION("IFERROR(AVERAGE(filter('Основной эфир'!$AE:$AE, 'Основной эфир'!$B:$B=$A790,'Основной эфир'!$C:$C=$B790,'Основной эфир'!$I:$I=$C790)), 0) "),0.0)</f>
        <v>0</v>
      </c>
      <c r="J790" s="91">
        <f>IFERROR(__xludf.DUMMYFUNCTION("IFERROR(SUM(filter('Основной эфир'!$AL:$AL, 'Основной эфир'!$B:$B=$A790,'Основной эфир'!$C:$C=$B790,'Основной эфир'!$I:$I=$C790)), 0) "),0.0)</f>
        <v>0</v>
      </c>
      <c r="K790" s="91" t="str">
        <f>IFERROR(__xludf.DUMMYFUNCTION("IFERROR(REGEXREPLACE(unique(filter('Основной эфир'!$A:$A, 'Основной эфир'!$B:$B=$A790,'Основной эфир'!$C:$C=$B790,'Основной эфир'!$I:$I=$C790)), ""\d+"", """"),"""")"),"")</f>
        <v/>
      </c>
      <c r="L790" s="91" t="str">
        <f>IFERROR(__xludf.DUMMYFUNCTION("IFERROR(unique(filter('Основной эфир'!$F:$F, 'Основной эфир'!$B:$B=$A790,'Основной эфир'!$C:$C=$B790,'Основной эфир'!$I:$I=$C790)),"""")"),"")</f>
        <v/>
      </c>
      <c r="M790" s="92" t="str">
        <f t="shared" si="1"/>
        <v/>
      </c>
      <c r="N790" s="93">
        <f>IFERROR(__xludf.DUMMYFUNCTION("IFERROR(SWITCH(lower(join("" "",L790:M790)),""а миллионник"", 62.5,""б миллионник"", 75,""а мск"", 50, ""б мск"", 62.5, ""a остальное"", 70, ""б остальное"", 80)/100,0)"),0.0)</f>
        <v>0</v>
      </c>
      <c r="O790" s="91">
        <f t="shared" si="2"/>
        <v>0</v>
      </c>
      <c r="P790" s="91">
        <f>IFERROR(__xludf.DUMMYFUNCTION("IFERROR(sum(filter('Генеральный баннер'!$O:$O, 'Генеральный баннер'!$B:$B=$A790,'Генеральный баннер'!$C:$C=$B790,'Генеральный баннер'!$I:$I=$C790)), 0) "),0.0)</f>
        <v>0</v>
      </c>
      <c r="Q790" s="91">
        <f>IFERROR(__xludf.DUMMYFUNCTION("IFERROR(sum(filter('Генеральный баннер'!$Q:$Q, 'Генеральный баннер'!$B:$B=$A790,'Генеральный баннер'!$C:$C=$B790,'Генеральный баннер'!$I:$I=$C790)), 0) "),0.0)</f>
        <v>0</v>
      </c>
      <c r="R790" s="91">
        <f>IFERROR(__xludf.DUMMYFUNCTION("IFERROR(AVERAGE(filter('Генеральный баннер'!$AA:$AA, 'Генеральный баннер'!$B:$B=$A790,'Генеральный баннер'!$C:$C=$B790,'Генеральный баннер'!$I:$I=$C790)), 0) "),0.0)</f>
        <v>0</v>
      </c>
      <c r="S790" s="91">
        <f>IFERROR(__xludf.DUMMYFUNCTION("IFERROR(SUM(filter('Генеральный баннер'!$AH:$AH, 'Генеральный баннер'!$B:$B=$A790,'Генеральный баннер'!$C:$C=$B790,'Генеральный баннер'!$I:$I=$C790)), 0) "),0.0)</f>
        <v>0</v>
      </c>
      <c r="T790" s="91" t="str">
        <f>IFERROR(__xludf.DUMMYFUNCTION("IFERROR(REGEXREPLACE(unique(filter('Генеральный баннер'!$A:$A, 'Генеральный баннер'!$B:$B=$A790,'Генеральный баннер'!$C:$C=$B790,'Генеральный баннер'!$I:$I=$C790)), ""\d+"", """"),"""")"),"")</f>
        <v/>
      </c>
      <c r="U790" s="91" t="str">
        <f>IFERROR(__xludf.DUMMYFUNCTION("IFERROR(unique(filter('Генеральный баннер'!$F:$F, 'Генеральный баннер'!$B:$B=$A790,'Генеральный баннер'!$C:$C=$B790,'Генеральный баннер'!$I:$I=$C790)),"""")"),"")</f>
        <v/>
      </c>
      <c r="V790" s="92" t="str">
        <f t="shared" si="3"/>
        <v/>
      </c>
      <c r="W790" s="93">
        <f>IFERROR(__xludf.DUMMYFUNCTION("IFERROR(SWITCH(lower(join("" "",U790:V790)),""а миллионник"", 62.5,""б миллионник"", 75,""а мск"", 50, ""б мск"", 62.5, ""a остальное"", 70, ""б остальное"", 80)/100,0)"),0.0)</f>
        <v>0</v>
      </c>
      <c r="X790" s="91">
        <f t="shared" si="4"/>
        <v>0</v>
      </c>
    </row>
    <row r="791">
      <c r="A791" s="12"/>
      <c r="B791" s="12"/>
      <c r="C791" s="12"/>
      <c r="D791" s="91">
        <f>IFERROR(__xludf.DUMMYFUNCTION("IFERROR(sum(filter('Основной эфир'!$AA:$AA, 'Основной эфир'!$B:$B=$A791,'Основной эфир'!$C:$C=$B791,'Основной эфир'!$I:$I=$C791)), 0) "),0.0)</f>
        <v>0</v>
      </c>
      <c r="E791" s="91">
        <f>IFERROR(__xludf.DUMMYFUNCTION("IFERROR(sum(filter('Основной эфир'!$AC:$AC, 'Основной эфир'!$B:$B=$A791,'Основной эфир'!$C:$C=$B791,'Основной эфир'!$I:$I=$C791)), 0) "),0.0)</f>
        <v>0</v>
      </c>
      <c r="F791" s="91">
        <f>IFERROR(__xludf.DUMMYFUNCTION("IFERROR(sum(filter('Основной эфир'!$O:$O, 'Основной эфир'!$B:$B=$A791,'Основной эфир'!$C:$C=$B791,'Основной эфир'!$I:$I=$C791)), 0) "),0.0)</f>
        <v>0</v>
      </c>
      <c r="G791" s="91">
        <f>IFERROR(__xludf.DUMMYFUNCTION("IFERROR(sum(filter('Основной эфир'!$Q:$Q, 'Основной эфир'!$B:$B=$A791,'Основной эфир'!$C:$C=$B791,'Основной эфир'!$I:$I=$C791)), 0) "),0.0)</f>
        <v>0</v>
      </c>
      <c r="H791" s="91">
        <f>IFERROR(__xludf.DUMMYFUNCTION("IFERROR(AVERAGE(filter('Основной эфир'!$Y:$Y, 'Основной эфир'!$B:$B=$A791,'Основной эфир'!$C:$C=$B791,'Основной эфир'!$I:$I=$C791)), 0) "),0.0)</f>
        <v>0</v>
      </c>
      <c r="I791" s="91">
        <f>IFERROR(__xludf.DUMMYFUNCTION("IFERROR(AVERAGE(filter('Основной эфир'!$AE:$AE, 'Основной эфир'!$B:$B=$A791,'Основной эфир'!$C:$C=$B791,'Основной эфир'!$I:$I=$C791)), 0) "),0.0)</f>
        <v>0</v>
      </c>
      <c r="J791" s="91">
        <f>IFERROR(__xludf.DUMMYFUNCTION("IFERROR(SUM(filter('Основной эфир'!$AL:$AL, 'Основной эфир'!$B:$B=$A791,'Основной эфир'!$C:$C=$B791,'Основной эфир'!$I:$I=$C791)), 0) "),0.0)</f>
        <v>0</v>
      </c>
      <c r="K791" s="91" t="str">
        <f>IFERROR(__xludf.DUMMYFUNCTION("IFERROR(REGEXREPLACE(unique(filter('Основной эфир'!$A:$A, 'Основной эфир'!$B:$B=$A791,'Основной эфир'!$C:$C=$B791,'Основной эфир'!$I:$I=$C791)), ""\d+"", """"),"""")"),"")</f>
        <v/>
      </c>
      <c r="L791" s="91" t="str">
        <f>IFERROR(__xludf.DUMMYFUNCTION("IFERROR(unique(filter('Основной эфир'!$F:$F, 'Основной эфир'!$B:$B=$A791,'Основной эфир'!$C:$C=$B791,'Основной эфир'!$I:$I=$C791)),"""")"),"")</f>
        <v/>
      </c>
      <c r="M791" s="92" t="str">
        <f t="shared" si="1"/>
        <v/>
      </c>
      <c r="N791" s="93">
        <f>IFERROR(__xludf.DUMMYFUNCTION("IFERROR(SWITCH(lower(join("" "",L791:M791)),""а миллионник"", 62.5,""б миллионник"", 75,""а мск"", 50, ""б мск"", 62.5, ""a остальное"", 70, ""б остальное"", 80)/100,0)"),0.0)</f>
        <v>0</v>
      </c>
      <c r="O791" s="91">
        <f t="shared" si="2"/>
        <v>0</v>
      </c>
      <c r="P791" s="91">
        <f>IFERROR(__xludf.DUMMYFUNCTION("IFERROR(sum(filter('Генеральный баннер'!$O:$O, 'Генеральный баннер'!$B:$B=$A791,'Генеральный баннер'!$C:$C=$B791,'Генеральный баннер'!$I:$I=$C791)), 0) "),0.0)</f>
        <v>0</v>
      </c>
      <c r="Q791" s="91">
        <f>IFERROR(__xludf.DUMMYFUNCTION("IFERROR(sum(filter('Генеральный баннер'!$Q:$Q, 'Генеральный баннер'!$B:$B=$A791,'Генеральный баннер'!$C:$C=$B791,'Генеральный баннер'!$I:$I=$C791)), 0) "),0.0)</f>
        <v>0</v>
      </c>
      <c r="R791" s="91">
        <f>IFERROR(__xludf.DUMMYFUNCTION("IFERROR(AVERAGE(filter('Генеральный баннер'!$AA:$AA, 'Генеральный баннер'!$B:$B=$A791,'Генеральный баннер'!$C:$C=$B791,'Генеральный баннер'!$I:$I=$C791)), 0) "),0.0)</f>
        <v>0</v>
      </c>
      <c r="S791" s="91">
        <f>IFERROR(__xludf.DUMMYFUNCTION("IFERROR(SUM(filter('Генеральный баннер'!$AH:$AH, 'Генеральный баннер'!$B:$B=$A791,'Генеральный баннер'!$C:$C=$B791,'Генеральный баннер'!$I:$I=$C791)), 0) "),0.0)</f>
        <v>0</v>
      </c>
      <c r="T791" s="91" t="str">
        <f>IFERROR(__xludf.DUMMYFUNCTION("IFERROR(REGEXREPLACE(unique(filter('Генеральный баннер'!$A:$A, 'Генеральный баннер'!$B:$B=$A791,'Генеральный баннер'!$C:$C=$B791,'Генеральный баннер'!$I:$I=$C791)), ""\d+"", """"),"""")"),"")</f>
        <v/>
      </c>
      <c r="U791" s="91" t="str">
        <f>IFERROR(__xludf.DUMMYFUNCTION("IFERROR(unique(filter('Генеральный баннер'!$F:$F, 'Генеральный баннер'!$B:$B=$A791,'Генеральный баннер'!$C:$C=$B791,'Генеральный баннер'!$I:$I=$C791)),"""")"),"")</f>
        <v/>
      </c>
      <c r="V791" s="92" t="str">
        <f t="shared" si="3"/>
        <v/>
      </c>
      <c r="W791" s="93">
        <f>IFERROR(__xludf.DUMMYFUNCTION("IFERROR(SWITCH(lower(join("" "",U791:V791)),""а миллионник"", 62.5,""б миллионник"", 75,""а мск"", 50, ""б мск"", 62.5, ""a остальное"", 70, ""б остальное"", 80)/100,0)"),0.0)</f>
        <v>0</v>
      </c>
      <c r="X791" s="91">
        <f t="shared" si="4"/>
        <v>0</v>
      </c>
    </row>
    <row r="792">
      <c r="A792" s="12"/>
      <c r="B792" s="12"/>
      <c r="C792" s="12"/>
      <c r="D792" s="91">
        <f>IFERROR(__xludf.DUMMYFUNCTION("IFERROR(sum(filter('Основной эфир'!$AA:$AA, 'Основной эфир'!$B:$B=$A792,'Основной эфир'!$C:$C=$B792,'Основной эфир'!$I:$I=$C792)), 0) "),0.0)</f>
        <v>0</v>
      </c>
      <c r="E792" s="91">
        <f>IFERROR(__xludf.DUMMYFUNCTION("IFERROR(sum(filter('Основной эфир'!$AC:$AC, 'Основной эфир'!$B:$B=$A792,'Основной эфир'!$C:$C=$B792,'Основной эфир'!$I:$I=$C792)), 0) "),0.0)</f>
        <v>0</v>
      </c>
      <c r="F792" s="91">
        <f>IFERROR(__xludf.DUMMYFUNCTION("IFERROR(sum(filter('Основной эфир'!$O:$O, 'Основной эфир'!$B:$B=$A792,'Основной эфир'!$C:$C=$B792,'Основной эфир'!$I:$I=$C792)), 0) "),0.0)</f>
        <v>0</v>
      </c>
      <c r="G792" s="91">
        <f>IFERROR(__xludf.DUMMYFUNCTION("IFERROR(sum(filter('Основной эфир'!$Q:$Q, 'Основной эфир'!$B:$B=$A792,'Основной эфир'!$C:$C=$B792,'Основной эфир'!$I:$I=$C792)), 0) "),0.0)</f>
        <v>0</v>
      </c>
      <c r="H792" s="91">
        <f>IFERROR(__xludf.DUMMYFUNCTION("IFERROR(AVERAGE(filter('Основной эфир'!$Y:$Y, 'Основной эфир'!$B:$B=$A792,'Основной эфир'!$C:$C=$B792,'Основной эфир'!$I:$I=$C792)), 0) "),0.0)</f>
        <v>0</v>
      </c>
      <c r="I792" s="91">
        <f>IFERROR(__xludf.DUMMYFUNCTION("IFERROR(AVERAGE(filter('Основной эфир'!$AE:$AE, 'Основной эфир'!$B:$B=$A792,'Основной эфир'!$C:$C=$B792,'Основной эфир'!$I:$I=$C792)), 0) "),0.0)</f>
        <v>0</v>
      </c>
      <c r="J792" s="91">
        <f>IFERROR(__xludf.DUMMYFUNCTION("IFERROR(SUM(filter('Основной эфир'!$AL:$AL, 'Основной эфир'!$B:$B=$A792,'Основной эфир'!$C:$C=$B792,'Основной эфир'!$I:$I=$C792)), 0) "),0.0)</f>
        <v>0</v>
      </c>
      <c r="K792" s="91" t="str">
        <f>IFERROR(__xludf.DUMMYFUNCTION("IFERROR(REGEXREPLACE(unique(filter('Основной эфир'!$A:$A, 'Основной эфир'!$B:$B=$A792,'Основной эфир'!$C:$C=$B792,'Основной эфир'!$I:$I=$C792)), ""\d+"", """"),"""")"),"")</f>
        <v/>
      </c>
      <c r="L792" s="91" t="str">
        <f>IFERROR(__xludf.DUMMYFUNCTION("IFERROR(unique(filter('Основной эфир'!$F:$F, 'Основной эфир'!$B:$B=$A792,'Основной эфир'!$C:$C=$B792,'Основной эфир'!$I:$I=$C792)),"""")"),"")</f>
        <v/>
      </c>
      <c r="M792" s="92" t="str">
        <f t="shared" si="1"/>
        <v/>
      </c>
      <c r="N792" s="93">
        <f>IFERROR(__xludf.DUMMYFUNCTION("IFERROR(SWITCH(lower(join("" "",L792:M792)),""а миллионник"", 62.5,""б миллионник"", 75,""а мск"", 50, ""б мск"", 62.5, ""a остальное"", 70, ""б остальное"", 80)/100,0)"),0.0)</f>
        <v>0</v>
      </c>
      <c r="O792" s="91">
        <f t="shared" si="2"/>
        <v>0</v>
      </c>
      <c r="P792" s="91">
        <f>IFERROR(__xludf.DUMMYFUNCTION("IFERROR(sum(filter('Генеральный баннер'!$O:$O, 'Генеральный баннер'!$B:$B=$A792,'Генеральный баннер'!$C:$C=$B792,'Генеральный баннер'!$I:$I=$C792)), 0) "),0.0)</f>
        <v>0</v>
      </c>
      <c r="Q792" s="91">
        <f>IFERROR(__xludf.DUMMYFUNCTION("IFERROR(sum(filter('Генеральный баннер'!$Q:$Q, 'Генеральный баннер'!$B:$B=$A792,'Генеральный баннер'!$C:$C=$B792,'Генеральный баннер'!$I:$I=$C792)), 0) "),0.0)</f>
        <v>0</v>
      </c>
      <c r="R792" s="91">
        <f>IFERROR(__xludf.DUMMYFUNCTION("IFERROR(AVERAGE(filter('Генеральный баннер'!$AA:$AA, 'Генеральный баннер'!$B:$B=$A792,'Генеральный баннер'!$C:$C=$B792,'Генеральный баннер'!$I:$I=$C792)), 0) "),0.0)</f>
        <v>0</v>
      </c>
      <c r="S792" s="91">
        <f>IFERROR(__xludf.DUMMYFUNCTION("IFERROR(SUM(filter('Генеральный баннер'!$AH:$AH, 'Генеральный баннер'!$B:$B=$A792,'Генеральный баннер'!$C:$C=$B792,'Генеральный баннер'!$I:$I=$C792)), 0) "),0.0)</f>
        <v>0</v>
      </c>
      <c r="T792" s="91" t="str">
        <f>IFERROR(__xludf.DUMMYFUNCTION("IFERROR(REGEXREPLACE(unique(filter('Генеральный баннер'!$A:$A, 'Генеральный баннер'!$B:$B=$A792,'Генеральный баннер'!$C:$C=$B792,'Генеральный баннер'!$I:$I=$C792)), ""\d+"", """"),"""")"),"")</f>
        <v/>
      </c>
      <c r="U792" s="91" t="str">
        <f>IFERROR(__xludf.DUMMYFUNCTION("IFERROR(unique(filter('Генеральный баннер'!$F:$F, 'Генеральный баннер'!$B:$B=$A792,'Генеральный баннер'!$C:$C=$B792,'Генеральный баннер'!$I:$I=$C792)),"""")"),"")</f>
        <v/>
      </c>
      <c r="V792" s="92" t="str">
        <f t="shared" si="3"/>
        <v/>
      </c>
      <c r="W792" s="93">
        <f>IFERROR(__xludf.DUMMYFUNCTION("IFERROR(SWITCH(lower(join("" "",U792:V792)),""а миллионник"", 62.5,""б миллионник"", 75,""а мск"", 50, ""б мск"", 62.5, ""a остальное"", 70, ""б остальное"", 80)/100,0)"),0.0)</f>
        <v>0</v>
      </c>
      <c r="X792" s="91">
        <f t="shared" si="4"/>
        <v>0</v>
      </c>
    </row>
    <row r="793">
      <c r="A793" s="12"/>
      <c r="B793" s="12"/>
      <c r="C793" s="12"/>
      <c r="D793" s="91">
        <f>IFERROR(__xludf.DUMMYFUNCTION("IFERROR(sum(filter('Основной эфир'!$AA:$AA, 'Основной эфир'!$B:$B=$A793,'Основной эфир'!$C:$C=$B793,'Основной эфир'!$I:$I=$C793)), 0) "),0.0)</f>
        <v>0</v>
      </c>
      <c r="E793" s="91">
        <f>IFERROR(__xludf.DUMMYFUNCTION("IFERROR(sum(filter('Основной эфир'!$AC:$AC, 'Основной эфир'!$B:$B=$A793,'Основной эфир'!$C:$C=$B793,'Основной эфир'!$I:$I=$C793)), 0) "),0.0)</f>
        <v>0</v>
      </c>
      <c r="F793" s="91">
        <f>IFERROR(__xludf.DUMMYFUNCTION("IFERROR(sum(filter('Основной эфир'!$O:$O, 'Основной эфир'!$B:$B=$A793,'Основной эфир'!$C:$C=$B793,'Основной эфир'!$I:$I=$C793)), 0) "),0.0)</f>
        <v>0</v>
      </c>
      <c r="G793" s="91">
        <f>IFERROR(__xludf.DUMMYFUNCTION("IFERROR(sum(filter('Основной эфир'!$Q:$Q, 'Основной эфир'!$B:$B=$A793,'Основной эфир'!$C:$C=$B793,'Основной эфир'!$I:$I=$C793)), 0) "),0.0)</f>
        <v>0</v>
      </c>
      <c r="H793" s="91">
        <f>IFERROR(__xludf.DUMMYFUNCTION("IFERROR(AVERAGE(filter('Основной эфир'!$Y:$Y, 'Основной эфир'!$B:$B=$A793,'Основной эфир'!$C:$C=$B793,'Основной эфир'!$I:$I=$C793)), 0) "),0.0)</f>
        <v>0</v>
      </c>
      <c r="I793" s="91">
        <f>IFERROR(__xludf.DUMMYFUNCTION("IFERROR(AVERAGE(filter('Основной эфир'!$AE:$AE, 'Основной эфир'!$B:$B=$A793,'Основной эфир'!$C:$C=$B793,'Основной эфир'!$I:$I=$C793)), 0) "),0.0)</f>
        <v>0</v>
      </c>
      <c r="J793" s="91">
        <f>IFERROR(__xludf.DUMMYFUNCTION("IFERROR(SUM(filter('Основной эфир'!$AL:$AL, 'Основной эфир'!$B:$B=$A793,'Основной эфир'!$C:$C=$B793,'Основной эфир'!$I:$I=$C793)), 0) "),0.0)</f>
        <v>0</v>
      </c>
      <c r="K793" s="91" t="str">
        <f>IFERROR(__xludf.DUMMYFUNCTION("IFERROR(REGEXREPLACE(unique(filter('Основной эфир'!$A:$A, 'Основной эфир'!$B:$B=$A793,'Основной эфир'!$C:$C=$B793,'Основной эфир'!$I:$I=$C793)), ""\d+"", """"),"""")"),"")</f>
        <v/>
      </c>
      <c r="L793" s="91" t="str">
        <f>IFERROR(__xludf.DUMMYFUNCTION("IFERROR(unique(filter('Основной эфир'!$F:$F, 'Основной эфир'!$B:$B=$A793,'Основной эфир'!$C:$C=$B793,'Основной эфир'!$I:$I=$C793)),"""")"),"")</f>
        <v/>
      </c>
      <c r="M793" s="92" t="str">
        <f t="shared" si="1"/>
        <v/>
      </c>
      <c r="N793" s="93">
        <f>IFERROR(__xludf.DUMMYFUNCTION("IFERROR(SWITCH(lower(join("" "",L793:M793)),""а миллионник"", 62.5,""б миллионник"", 75,""а мск"", 50, ""б мск"", 62.5, ""a остальное"", 70, ""б остальное"", 80)/100,0)"),0.0)</f>
        <v>0</v>
      </c>
      <c r="O793" s="91">
        <f t="shared" si="2"/>
        <v>0</v>
      </c>
      <c r="P793" s="91">
        <f>IFERROR(__xludf.DUMMYFUNCTION("IFERROR(sum(filter('Генеральный баннер'!$O:$O, 'Генеральный баннер'!$B:$B=$A793,'Генеральный баннер'!$C:$C=$B793,'Генеральный баннер'!$I:$I=$C793)), 0) "),0.0)</f>
        <v>0</v>
      </c>
      <c r="Q793" s="91">
        <f>IFERROR(__xludf.DUMMYFUNCTION("IFERROR(sum(filter('Генеральный баннер'!$Q:$Q, 'Генеральный баннер'!$B:$B=$A793,'Генеральный баннер'!$C:$C=$B793,'Генеральный баннер'!$I:$I=$C793)), 0) "),0.0)</f>
        <v>0</v>
      </c>
      <c r="R793" s="91">
        <f>IFERROR(__xludf.DUMMYFUNCTION("IFERROR(AVERAGE(filter('Генеральный баннер'!$AA:$AA, 'Генеральный баннер'!$B:$B=$A793,'Генеральный баннер'!$C:$C=$B793,'Генеральный баннер'!$I:$I=$C793)), 0) "),0.0)</f>
        <v>0</v>
      </c>
      <c r="S793" s="91">
        <f>IFERROR(__xludf.DUMMYFUNCTION("IFERROR(SUM(filter('Генеральный баннер'!$AH:$AH, 'Генеральный баннер'!$B:$B=$A793,'Генеральный баннер'!$C:$C=$B793,'Генеральный баннер'!$I:$I=$C793)), 0) "),0.0)</f>
        <v>0</v>
      </c>
      <c r="T793" s="91" t="str">
        <f>IFERROR(__xludf.DUMMYFUNCTION("IFERROR(REGEXREPLACE(unique(filter('Генеральный баннер'!$A:$A, 'Генеральный баннер'!$B:$B=$A793,'Генеральный баннер'!$C:$C=$B793,'Генеральный баннер'!$I:$I=$C793)), ""\d+"", """"),"""")"),"")</f>
        <v/>
      </c>
      <c r="U793" s="91" t="str">
        <f>IFERROR(__xludf.DUMMYFUNCTION("IFERROR(unique(filter('Генеральный баннер'!$F:$F, 'Генеральный баннер'!$B:$B=$A793,'Генеральный баннер'!$C:$C=$B793,'Генеральный баннер'!$I:$I=$C793)),"""")"),"")</f>
        <v/>
      </c>
      <c r="V793" s="92" t="str">
        <f t="shared" si="3"/>
        <v/>
      </c>
      <c r="W793" s="93">
        <f>IFERROR(__xludf.DUMMYFUNCTION("IFERROR(SWITCH(lower(join("" "",U793:V793)),""а миллионник"", 62.5,""б миллионник"", 75,""а мск"", 50, ""б мск"", 62.5, ""a остальное"", 70, ""б остальное"", 80)/100,0)"),0.0)</f>
        <v>0</v>
      </c>
      <c r="X793" s="91">
        <f t="shared" si="4"/>
        <v>0</v>
      </c>
    </row>
    <row r="794">
      <c r="A794" s="12"/>
      <c r="B794" s="12"/>
      <c r="C794" s="12"/>
      <c r="D794" s="91">
        <f>IFERROR(__xludf.DUMMYFUNCTION("IFERROR(sum(filter('Основной эфир'!$AA:$AA, 'Основной эфир'!$B:$B=$A794,'Основной эфир'!$C:$C=$B794,'Основной эфир'!$I:$I=$C794)), 0) "),0.0)</f>
        <v>0</v>
      </c>
      <c r="E794" s="91">
        <f>IFERROR(__xludf.DUMMYFUNCTION("IFERROR(sum(filter('Основной эфир'!$AC:$AC, 'Основной эфир'!$B:$B=$A794,'Основной эфир'!$C:$C=$B794,'Основной эфир'!$I:$I=$C794)), 0) "),0.0)</f>
        <v>0</v>
      </c>
      <c r="F794" s="91">
        <f>IFERROR(__xludf.DUMMYFUNCTION("IFERROR(sum(filter('Основной эфир'!$O:$O, 'Основной эфир'!$B:$B=$A794,'Основной эфир'!$C:$C=$B794,'Основной эфир'!$I:$I=$C794)), 0) "),0.0)</f>
        <v>0</v>
      </c>
      <c r="G794" s="91">
        <f>IFERROR(__xludf.DUMMYFUNCTION("IFERROR(sum(filter('Основной эфир'!$Q:$Q, 'Основной эфир'!$B:$B=$A794,'Основной эфир'!$C:$C=$B794,'Основной эфир'!$I:$I=$C794)), 0) "),0.0)</f>
        <v>0</v>
      </c>
      <c r="H794" s="91">
        <f>IFERROR(__xludf.DUMMYFUNCTION("IFERROR(AVERAGE(filter('Основной эфир'!$Y:$Y, 'Основной эфир'!$B:$B=$A794,'Основной эфир'!$C:$C=$B794,'Основной эфир'!$I:$I=$C794)), 0) "),0.0)</f>
        <v>0</v>
      </c>
      <c r="I794" s="91">
        <f>IFERROR(__xludf.DUMMYFUNCTION("IFERROR(AVERAGE(filter('Основной эфир'!$AE:$AE, 'Основной эфир'!$B:$B=$A794,'Основной эфир'!$C:$C=$B794,'Основной эфир'!$I:$I=$C794)), 0) "),0.0)</f>
        <v>0</v>
      </c>
      <c r="J794" s="91">
        <f>IFERROR(__xludf.DUMMYFUNCTION("IFERROR(SUM(filter('Основной эфир'!$AL:$AL, 'Основной эфир'!$B:$B=$A794,'Основной эфир'!$C:$C=$B794,'Основной эфир'!$I:$I=$C794)), 0) "),0.0)</f>
        <v>0</v>
      </c>
      <c r="K794" s="91" t="str">
        <f>IFERROR(__xludf.DUMMYFUNCTION("IFERROR(REGEXREPLACE(unique(filter('Основной эфир'!$A:$A, 'Основной эфир'!$B:$B=$A794,'Основной эфир'!$C:$C=$B794,'Основной эфир'!$I:$I=$C794)), ""\d+"", """"),"""")"),"")</f>
        <v/>
      </c>
      <c r="L794" s="91" t="str">
        <f>IFERROR(__xludf.DUMMYFUNCTION("IFERROR(unique(filter('Основной эфир'!$F:$F, 'Основной эфир'!$B:$B=$A794,'Основной эфир'!$C:$C=$B794,'Основной эфир'!$I:$I=$C794)),"""")"),"")</f>
        <v/>
      </c>
      <c r="M794" s="92" t="str">
        <f t="shared" si="1"/>
        <v/>
      </c>
      <c r="N794" s="93">
        <f>IFERROR(__xludf.DUMMYFUNCTION("IFERROR(SWITCH(lower(join("" "",L794:M794)),""а миллионник"", 62.5,""б миллионник"", 75,""а мск"", 50, ""б мск"", 62.5, ""a остальное"", 70, ""б остальное"", 80)/100,0)"),0.0)</f>
        <v>0</v>
      </c>
      <c r="O794" s="91">
        <f t="shared" si="2"/>
        <v>0</v>
      </c>
      <c r="P794" s="91">
        <f>IFERROR(__xludf.DUMMYFUNCTION("IFERROR(sum(filter('Генеральный баннер'!$O:$O, 'Генеральный баннер'!$B:$B=$A794,'Генеральный баннер'!$C:$C=$B794,'Генеральный баннер'!$I:$I=$C794)), 0) "),0.0)</f>
        <v>0</v>
      </c>
      <c r="Q794" s="91">
        <f>IFERROR(__xludf.DUMMYFUNCTION("IFERROR(sum(filter('Генеральный баннер'!$Q:$Q, 'Генеральный баннер'!$B:$B=$A794,'Генеральный баннер'!$C:$C=$B794,'Генеральный баннер'!$I:$I=$C794)), 0) "),0.0)</f>
        <v>0</v>
      </c>
      <c r="R794" s="91">
        <f>IFERROR(__xludf.DUMMYFUNCTION("IFERROR(AVERAGE(filter('Генеральный баннер'!$AA:$AA, 'Генеральный баннер'!$B:$B=$A794,'Генеральный баннер'!$C:$C=$B794,'Генеральный баннер'!$I:$I=$C794)), 0) "),0.0)</f>
        <v>0</v>
      </c>
      <c r="S794" s="91">
        <f>IFERROR(__xludf.DUMMYFUNCTION("IFERROR(SUM(filter('Генеральный баннер'!$AH:$AH, 'Генеральный баннер'!$B:$B=$A794,'Генеральный баннер'!$C:$C=$B794,'Генеральный баннер'!$I:$I=$C794)), 0) "),0.0)</f>
        <v>0</v>
      </c>
      <c r="T794" s="91" t="str">
        <f>IFERROR(__xludf.DUMMYFUNCTION("IFERROR(REGEXREPLACE(unique(filter('Генеральный баннер'!$A:$A, 'Генеральный баннер'!$B:$B=$A794,'Генеральный баннер'!$C:$C=$B794,'Генеральный баннер'!$I:$I=$C794)), ""\d+"", """"),"""")"),"")</f>
        <v/>
      </c>
      <c r="U794" s="91" t="str">
        <f>IFERROR(__xludf.DUMMYFUNCTION("IFERROR(unique(filter('Генеральный баннер'!$F:$F, 'Генеральный баннер'!$B:$B=$A794,'Генеральный баннер'!$C:$C=$B794,'Генеральный баннер'!$I:$I=$C794)),"""")"),"")</f>
        <v/>
      </c>
      <c r="V794" s="92" t="str">
        <f t="shared" si="3"/>
        <v/>
      </c>
      <c r="W794" s="93">
        <f>IFERROR(__xludf.DUMMYFUNCTION("IFERROR(SWITCH(lower(join("" "",U794:V794)),""а миллионник"", 62.5,""б миллионник"", 75,""а мск"", 50, ""б мск"", 62.5, ""a остальное"", 70, ""б остальное"", 80)/100,0)"),0.0)</f>
        <v>0</v>
      </c>
      <c r="X794" s="91">
        <f t="shared" si="4"/>
        <v>0</v>
      </c>
    </row>
    <row r="795">
      <c r="A795" s="12"/>
      <c r="B795" s="12"/>
      <c r="C795" s="12"/>
      <c r="D795" s="91">
        <f>IFERROR(__xludf.DUMMYFUNCTION("IFERROR(sum(filter('Основной эфир'!$AA:$AA, 'Основной эфир'!$B:$B=$A795,'Основной эфир'!$C:$C=$B795,'Основной эфир'!$I:$I=$C795)), 0) "),0.0)</f>
        <v>0</v>
      </c>
      <c r="E795" s="91">
        <f>IFERROR(__xludf.DUMMYFUNCTION("IFERROR(sum(filter('Основной эфир'!$AC:$AC, 'Основной эфир'!$B:$B=$A795,'Основной эфир'!$C:$C=$B795,'Основной эфир'!$I:$I=$C795)), 0) "),0.0)</f>
        <v>0</v>
      </c>
      <c r="F795" s="91">
        <f>IFERROR(__xludf.DUMMYFUNCTION("IFERROR(sum(filter('Основной эфир'!$O:$O, 'Основной эфир'!$B:$B=$A795,'Основной эфир'!$C:$C=$B795,'Основной эфир'!$I:$I=$C795)), 0) "),0.0)</f>
        <v>0</v>
      </c>
      <c r="G795" s="91">
        <f>IFERROR(__xludf.DUMMYFUNCTION("IFERROR(sum(filter('Основной эфир'!$Q:$Q, 'Основной эфир'!$B:$B=$A795,'Основной эфир'!$C:$C=$B795,'Основной эфир'!$I:$I=$C795)), 0) "),0.0)</f>
        <v>0</v>
      </c>
      <c r="H795" s="91">
        <f>IFERROR(__xludf.DUMMYFUNCTION("IFERROR(AVERAGE(filter('Основной эфир'!$Y:$Y, 'Основной эфир'!$B:$B=$A795,'Основной эфир'!$C:$C=$B795,'Основной эфир'!$I:$I=$C795)), 0) "),0.0)</f>
        <v>0</v>
      </c>
      <c r="I795" s="91">
        <f>IFERROR(__xludf.DUMMYFUNCTION("IFERROR(AVERAGE(filter('Основной эфир'!$AE:$AE, 'Основной эфир'!$B:$B=$A795,'Основной эфир'!$C:$C=$B795,'Основной эфир'!$I:$I=$C795)), 0) "),0.0)</f>
        <v>0</v>
      </c>
      <c r="J795" s="91">
        <f>IFERROR(__xludf.DUMMYFUNCTION("IFERROR(SUM(filter('Основной эфир'!$AL:$AL, 'Основной эфир'!$B:$B=$A795,'Основной эфир'!$C:$C=$B795,'Основной эфир'!$I:$I=$C795)), 0) "),0.0)</f>
        <v>0</v>
      </c>
      <c r="K795" s="91" t="str">
        <f>IFERROR(__xludf.DUMMYFUNCTION("IFERROR(REGEXREPLACE(unique(filter('Основной эфир'!$A:$A, 'Основной эфир'!$B:$B=$A795,'Основной эфир'!$C:$C=$B795,'Основной эфир'!$I:$I=$C795)), ""\d+"", """"),"""")"),"")</f>
        <v/>
      </c>
      <c r="L795" s="91" t="str">
        <f>IFERROR(__xludf.DUMMYFUNCTION("IFERROR(unique(filter('Основной эфир'!$F:$F, 'Основной эфир'!$B:$B=$A795,'Основной эфир'!$C:$C=$B795,'Основной эфир'!$I:$I=$C795)),"""")"),"")</f>
        <v/>
      </c>
      <c r="M795" s="92" t="str">
        <f t="shared" si="1"/>
        <v/>
      </c>
      <c r="N795" s="93">
        <f>IFERROR(__xludf.DUMMYFUNCTION("IFERROR(SWITCH(lower(join("" "",L795:M795)),""а миллионник"", 62.5,""б миллионник"", 75,""а мск"", 50, ""б мск"", 62.5, ""a остальное"", 70, ""б остальное"", 80)/100,0)"),0.0)</f>
        <v>0</v>
      </c>
      <c r="O795" s="91">
        <f t="shared" si="2"/>
        <v>0</v>
      </c>
      <c r="P795" s="91">
        <f>IFERROR(__xludf.DUMMYFUNCTION("IFERROR(sum(filter('Генеральный баннер'!$O:$O, 'Генеральный баннер'!$B:$B=$A795,'Генеральный баннер'!$C:$C=$B795,'Генеральный баннер'!$I:$I=$C795)), 0) "),0.0)</f>
        <v>0</v>
      </c>
      <c r="Q795" s="91">
        <f>IFERROR(__xludf.DUMMYFUNCTION("IFERROR(sum(filter('Генеральный баннер'!$Q:$Q, 'Генеральный баннер'!$B:$B=$A795,'Генеральный баннер'!$C:$C=$B795,'Генеральный баннер'!$I:$I=$C795)), 0) "),0.0)</f>
        <v>0</v>
      </c>
      <c r="R795" s="91">
        <f>IFERROR(__xludf.DUMMYFUNCTION("IFERROR(AVERAGE(filter('Генеральный баннер'!$AA:$AA, 'Генеральный баннер'!$B:$B=$A795,'Генеральный баннер'!$C:$C=$B795,'Генеральный баннер'!$I:$I=$C795)), 0) "),0.0)</f>
        <v>0</v>
      </c>
      <c r="S795" s="91">
        <f>IFERROR(__xludf.DUMMYFUNCTION("IFERROR(SUM(filter('Генеральный баннер'!$AH:$AH, 'Генеральный баннер'!$B:$B=$A795,'Генеральный баннер'!$C:$C=$B795,'Генеральный баннер'!$I:$I=$C795)), 0) "),0.0)</f>
        <v>0</v>
      </c>
      <c r="T795" s="91" t="str">
        <f>IFERROR(__xludf.DUMMYFUNCTION("IFERROR(REGEXREPLACE(unique(filter('Генеральный баннер'!$A:$A, 'Генеральный баннер'!$B:$B=$A795,'Генеральный баннер'!$C:$C=$B795,'Генеральный баннер'!$I:$I=$C795)), ""\d+"", """"),"""")"),"")</f>
        <v/>
      </c>
      <c r="U795" s="91" t="str">
        <f>IFERROR(__xludf.DUMMYFUNCTION("IFERROR(unique(filter('Генеральный баннер'!$F:$F, 'Генеральный баннер'!$B:$B=$A795,'Генеральный баннер'!$C:$C=$B795,'Генеральный баннер'!$I:$I=$C795)),"""")"),"")</f>
        <v/>
      </c>
      <c r="V795" s="92" t="str">
        <f t="shared" si="3"/>
        <v/>
      </c>
      <c r="W795" s="93">
        <f>IFERROR(__xludf.DUMMYFUNCTION("IFERROR(SWITCH(lower(join("" "",U795:V795)),""а миллионник"", 62.5,""б миллионник"", 75,""а мск"", 50, ""б мск"", 62.5, ""a остальное"", 70, ""б остальное"", 80)/100,0)"),0.0)</f>
        <v>0</v>
      </c>
      <c r="X795" s="91">
        <f t="shared" si="4"/>
        <v>0</v>
      </c>
    </row>
    <row r="796">
      <c r="A796" s="12"/>
      <c r="B796" s="12"/>
      <c r="C796" s="12"/>
      <c r="D796" s="91">
        <f>IFERROR(__xludf.DUMMYFUNCTION("IFERROR(sum(filter('Основной эфир'!$AA:$AA, 'Основной эфир'!$B:$B=$A796,'Основной эфир'!$C:$C=$B796,'Основной эфир'!$I:$I=$C796)), 0) "),0.0)</f>
        <v>0</v>
      </c>
      <c r="E796" s="91">
        <f>IFERROR(__xludf.DUMMYFUNCTION("IFERROR(sum(filter('Основной эфир'!$AC:$AC, 'Основной эфир'!$B:$B=$A796,'Основной эфир'!$C:$C=$B796,'Основной эфир'!$I:$I=$C796)), 0) "),0.0)</f>
        <v>0</v>
      </c>
      <c r="F796" s="91">
        <f>IFERROR(__xludf.DUMMYFUNCTION("IFERROR(sum(filter('Основной эфир'!$O:$O, 'Основной эфир'!$B:$B=$A796,'Основной эфир'!$C:$C=$B796,'Основной эфир'!$I:$I=$C796)), 0) "),0.0)</f>
        <v>0</v>
      </c>
      <c r="G796" s="91">
        <f>IFERROR(__xludf.DUMMYFUNCTION("IFERROR(sum(filter('Основной эфир'!$Q:$Q, 'Основной эфир'!$B:$B=$A796,'Основной эфир'!$C:$C=$B796,'Основной эфир'!$I:$I=$C796)), 0) "),0.0)</f>
        <v>0</v>
      </c>
      <c r="H796" s="91">
        <f>IFERROR(__xludf.DUMMYFUNCTION("IFERROR(AVERAGE(filter('Основной эфир'!$Y:$Y, 'Основной эфир'!$B:$B=$A796,'Основной эфир'!$C:$C=$B796,'Основной эфир'!$I:$I=$C796)), 0) "),0.0)</f>
        <v>0</v>
      </c>
      <c r="I796" s="91">
        <f>IFERROR(__xludf.DUMMYFUNCTION("IFERROR(AVERAGE(filter('Основной эфир'!$AE:$AE, 'Основной эфир'!$B:$B=$A796,'Основной эфир'!$C:$C=$B796,'Основной эфир'!$I:$I=$C796)), 0) "),0.0)</f>
        <v>0</v>
      </c>
      <c r="J796" s="91">
        <f>IFERROR(__xludf.DUMMYFUNCTION("IFERROR(SUM(filter('Основной эфир'!$AL:$AL, 'Основной эфир'!$B:$B=$A796,'Основной эфир'!$C:$C=$B796,'Основной эфир'!$I:$I=$C796)), 0) "),0.0)</f>
        <v>0</v>
      </c>
      <c r="K796" s="91" t="str">
        <f>IFERROR(__xludf.DUMMYFUNCTION("IFERROR(REGEXREPLACE(unique(filter('Основной эфир'!$A:$A, 'Основной эфир'!$B:$B=$A796,'Основной эфир'!$C:$C=$B796,'Основной эфир'!$I:$I=$C796)), ""\d+"", """"),"""")"),"")</f>
        <v/>
      </c>
      <c r="L796" s="91" t="str">
        <f>IFERROR(__xludf.DUMMYFUNCTION("IFERROR(unique(filter('Основной эфир'!$F:$F, 'Основной эфир'!$B:$B=$A796,'Основной эфир'!$C:$C=$B796,'Основной эфир'!$I:$I=$C796)),"""")"),"")</f>
        <v/>
      </c>
      <c r="M796" s="92" t="str">
        <f t="shared" si="1"/>
        <v/>
      </c>
      <c r="N796" s="93">
        <f>IFERROR(__xludf.DUMMYFUNCTION("IFERROR(SWITCH(lower(join("" "",L796:M796)),""а миллионник"", 62.5,""б миллионник"", 75,""а мск"", 50, ""б мск"", 62.5, ""a остальное"", 70, ""б остальное"", 80)/100,0)"),0.0)</f>
        <v>0</v>
      </c>
      <c r="O796" s="91">
        <f t="shared" si="2"/>
        <v>0</v>
      </c>
      <c r="P796" s="91">
        <f>IFERROR(__xludf.DUMMYFUNCTION("IFERROR(sum(filter('Генеральный баннер'!$O:$O, 'Генеральный баннер'!$B:$B=$A796,'Генеральный баннер'!$C:$C=$B796,'Генеральный баннер'!$I:$I=$C796)), 0) "),0.0)</f>
        <v>0</v>
      </c>
      <c r="Q796" s="91">
        <f>IFERROR(__xludf.DUMMYFUNCTION("IFERROR(sum(filter('Генеральный баннер'!$Q:$Q, 'Генеральный баннер'!$B:$B=$A796,'Генеральный баннер'!$C:$C=$B796,'Генеральный баннер'!$I:$I=$C796)), 0) "),0.0)</f>
        <v>0</v>
      </c>
      <c r="R796" s="91">
        <f>IFERROR(__xludf.DUMMYFUNCTION("IFERROR(AVERAGE(filter('Генеральный баннер'!$AA:$AA, 'Генеральный баннер'!$B:$B=$A796,'Генеральный баннер'!$C:$C=$B796,'Генеральный баннер'!$I:$I=$C796)), 0) "),0.0)</f>
        <v>0</v>
      </c>
      <c r="S796" s="91">
        <f>IFERROR(__xludf.DUMMYFUNCTION("IFERROR(SUM(filter('Генеральный баннер'!$AH:$AH, 'Генеральный баннер'!$B:$B=$A796,'Генеральный баннер'!$C:$C=$B796,'Генеральный баннер'!$I:$I=$C796)), 0) "),0.0)</f>
        <v>0</v>
      </c>
      <c r="T796" s="91" t="str">
        <f>IFERROR(__xludf.DUMMYFUNCTION("IFERROR(REGEXREPLACE(unique(filter('Генеральный баннер'!$A:$A, 'Генеральный баннер'!$B:$B=$A796,'Генеральный баннер'!$C:$C=$B796,'Генеральный баннер'!$I:$I=$C796)), ""\d+"", """"),"""")"),"")</f>
        <v/>
      </c>
      <c r="U796" s="91" t="str">
        <f>IFERROR(__xludf.DUMMYFUNCTION("IFERROR(unique(filter('Генеральный баннер'!$F:$F, 'Генеральный баннер'!$B:$B=$A796,'Генеральный баннер'!$C:$C=$B796,'Генеральный баннер'!$I:$I=$C796)),"""")"),"")</f>
        <v/>
      </c>
      <c r="V796" s="92" t="str">
        <f t="shared" si="3"/>
        <v/>
      </c>
      <c r="W796" s="93">
        <f>IFERROR(__xludf.DUMMYFUNCTION("IFERROR(SWITCH(lower(join("" "",U796:V796)),""а миллионник"", 62.5,""б миллионник"", 75,""а мск"", 50, ""б мск"", 62.5, ""a остальное"", 70, ""б остальное"", 80)/100,0)"),0.0)</f>
        <v>0</v>
      </c>
      <c r="X796" s="91">
        <f t="shared" si="4"/>
        <v>0</v>
      </c>
    </row>
    <row r="797">
      <c r="A797" s="12"/>
      <c r="B797" s="12"/>
      <c r="C797" s="12"/>
      <c r="D797" s="91">
        <f>IFERROR(__xludf.DUMMYFUNCTION("IFERROR(sum(filter('Основной эфир'!$AA:$AA, 'Основной эфир'!$B:$B=$A797,'Основной эфир'!$C:$C=$B797,'Основной эфир'!$I:$I=$C797)), 0) "),0.0)</f>
        <v>0</v>
      </c>
      <c r="E797" s="91">
        <f>IFERROR(__xludf.DUMMYFUNCTION("IFERROR(sum(filter('Основной эфир'!$AC:$AC, 'Основной эфир'!$B:$B=$A797,'Основной эфир'!$C:$C=$B797,'Основной эфир'!$I:$I=$C797)), 0) "),0.0)</f>
        <v>0</v>
      </c>
      <c r="F797" s="91">
        <f>IFERROR(__xludf.DUMMYFUNCTION("IFERROR(sum(filter('Основной эфир'!$O:$O, 'Основной эфир'!$B:$B=$A797,'Основной эфир'!$C:$C=$B797,'Основной эфир'!$I:$I=$C797)), 0) "),0.0)</f>
        <v>0</v>
      </c>
      <c r="G797" s="91">
        <f>IFERROR(__xludf.DUMMYFUNCTION("IFERROR(sum(filter('Основной эфир'!$Q:$Q, 'Основной эфир'!$B:$B=$A797,'Основной эфир'!$C:$C=$B797,'Основной эфир'!$I:$I=$C797)), 0) "),0.0)</f>
        <v>0</v>
      </c>
      <c r="H797" s="91">
        <f>IFERROR(__xludf.DUMMYFUNCTION("IFERROR(AVERAGE(filter('Основной эфир'!$Y:$Y, 'Основной эфир'!$B:$B=$A797,'Основной эфир'!$C:$C=$B797,'Основной эфир'!$I:$I=$C797)), 0) "),0.0)</f>
        <v>0</v>
      </c>
      <c r="I797" s="91">
        <f>IFERROR(__xludf.DUMMYFUNCTION("IFERROR(AVERAGE(filter('Основной эфир'!$AE:$AE, 'Основной эфир'!$B:$B=$A797,'Основной эфир'!$C:$C=$B797,'Основной эфир'!$I:$I=$C797)), 0) "),0.0)</f>
        <v>0</v>
      </c>
      <c r="J797" s="91">
        <f>IFERROR(__xludf.DUMMYFUNCTION("IFERROR(SUM(filter('Основной эфир'!$AL:$AL, 'Основной эфир'!$B:$B=$A797,'Основной эфир'!$C:$C=$B797,'Основной эфир'!$I:$I=$C797)), 0) "),0.0)</f>
        <v>0</v>
      </c>
      <c r="K797" s="91" t="str">
        <f>IFERROR(__xludf.DUMMYFUNCTION("IFERROR(REGEXREPLACE(unique(filter('Основной эфир'!$A:$A, 'Основной эфир'!$B:$B=$A797,'Основной эфир'!$C:$C=$B797,'Основной эфир'!$I:$I=$C797)), ""\d+"", """"),"""")"),"")</f>
        <v/>
      </c>
      <c r="L797" s="91" t="str">
        <f>IFERROR(__xludf.DUMMYFUNCTION("IFERROR(unique(filter('Основной эфир'!$F:$F, 'Основной эфир'!$B:$B=$A797,'Основной эфир'!$C:$C=$B797,'Основной эфир'!$I:$I=$C797)),"""")"),"")</f>
        <v/>
      </c>
      <c r="M797" s="92" t="str">
        <f t="shared" si="1"/>
        <v/>
      </c>
      <c r="N797" s="93">
        <f>IFERROR(__xludf.DUMMYFUNCTION("IFERROR(SWITCH(lower(join("" "",L797:M797)),""а миллионник"", 62.5,""б миллионник"", 75,""а мск"", 50, ""б мск"", 62.5, ""a остальное"", 70, ""б остальное"", 80)/100,0)"),0.0)</f>
        <v>0</v>
      </c>
      <c r="O797" s="91">
        <f t="shared" si="2"/>
        <v>0</v>
      </c>
      <c r="P797" s="91">
        <f>IFERROR(__xludf.DUMMYFUNCTION("IFERROR(sum(filter('Генеральный баннер'!$O:$O, 'Генеральный баннер'!$B:$B=$A797,'Генеральный баннер'!$C:$C=$B797,'Генеральный баннер'!$I:$I=$C797)), 0) "),0.0)</f>
        <v>0</v>
      </c>
      <c r="Q797" s="91">
        <f>IFERROR(__xludf.DUMMYFUNCTION("IFERROR(sum(filter('Генеральный баннер'!$Q:$Q, 'Генеральный баннер'!$B:$B=$A797,'Генеральный баннер'!$C:$C=$B797,'Генеральный баннер'!$I:$I=$C797)), 0) "),0.0)</f>
        <v>0</v>
      </c>
      <c r="R797" s="91">
        <f>IFERROR(__xludf.DUMMYFUNCTION("IFERROR(AVERAGE(filter('Генеральный баннер'!$AA:$AA, 'Генеральный баннер'!$B:$B=$A797,'Генеральный баннер'!$C:$C=$B797,'Генеральный баннер'!$I:$I=$C797)), 0) "),0.0)</f>
        <v>0</v>
      </c>
      <c r="S797" s="91">
        <f>IFERROR(__xludf.DUMMYFUNCTION("IFERROR(SUM(filter('Генеральный баннер'!$AH:$AH, 'Генеральный баннер'!$B:$B=$A797,'Генеральный баннер'!$C:$C=$B797,'Генеральный баннер'!$I:$I=$C797)), 0) "),0.0)</f>
        <v>0</v>
      </c>
      <c r="T797" s="91" t="str">
        <f>IFERROR(__xludf.DUMMYFUNCTION("IFERROR(REGEXREPLACE(unique(filter('Генеральный баннер'!$A:$A, 'Генеральный баннер'!$B:$B=$A797,'Генеральный баннер'!$C:$C=$B797,'Генеральный баннер'!$I:$I=$C797)), ""\d+"", """"),"""")"),"")</f>
        <v/>
      </c>
      <c r="U797" s="91" t="str">
        <f>IFERROR(__xludf.DUMMYFUNCTION("IFERROR(unique(filter('Генеральный баннер'!$F:$F, 'Генеральный баннер'!$B:$B=$A797,'Генеральный баннер'!$C:$C=$B797,'Генеральный баннер'!$I:$I=$C797)),"""")"),"")</f>
        <v/>
      </c>
      <c r="V797" s="92" t="str">
        <f t="shared" si="3"/>
        <v/>
      </c>
      <c r="W797" s="93">
        <f>IFERROR(__xludf.DUMMYFUNCTION("IFERROR(SWITCH(lower(join("" "",U797:V797)),""а миллионник"", 62.5,""б миллионник"", 75,""а мск"", 50, ""б мск"", 62.5, ""a остальное"", 70, ""б остальное"", 80)/100,0)"),0.0)</f>
        <v>0</v>
      </c>
      <c r="X797" s="91">
        <f t="shared" si="4"/>
        <v>0</v>
      </c>
    </row>
    <row r="798">
      <c r="A798" s="12"/>
      <c r="B798" s="12"/>
      <c r="C798" s="12"/>
      <c r="D798" s="91">
        <f>IFERROR(__xludf.DUMMYFUNCTION("IFERROR(sum(filter('Основной эфир'!$AA:$AA, 'Основной эфир'!$B:$B=$A798,'Основной эфир'!$C:$C=$B798,'Основной эфир'!$I:$I=$C798)), 0) "),0.0)</f>
        <v>0</v>
      </c>
      <c r="E798" s="91">
        <f>IFERROR(__xludf.DUMMYFUNCTION("IFERROR(sum(filter('Основной эфир'!$AC:$AC, 'Основной эфир'!$B:$B=$A798,'Основной эфир'!$C:$C=$B798,'Основной эфир'!$I:$I=$C798)), 0) "),0.0)</f>
        <v>0</v>
      </c>
      <c r="F798" s="91">
        <f>IFERROR(__xludf.DUMMYFUNCTION("IFERROR(sum(filter('Основной эфир'!$O:$O, 'Основной эфир'!$B:$B=$A798,'Основной эфир'!$C:$C=$B798,'Основной эфир'!$I:$I=$C798)), 0) "),0.0)</f>
        <v>0</v>
      </c>
      <c r="G798" s="91">
        <f>IFERROR(__xludf.DUMMYFUNCTION("IFERROR(sum(filter('Основной эфир'!$Q:$Q, 'Основной эфир'!$B:$B=$A798,'Основной эфир'!$C:$C=$B798,'Основной эфир'!$I:$I=$C798)), 0) "),0.0)</f>
        <v>0</v>
      </c>
      <c r="H798" s="91">
        <f>IFERROR(__xludf.DUMMYFUNCTION("IFERROR(AVERAGE(filter('Основной эфир'!$Y:$Y, 'Основной эфир'!$B:$B=$A798,'Основной эфир'!$C:$C=$B798,'Основной эфир'!$I:$I=$C798)), 0) "),0.0)</f>
        <v>0</v>
      </c>
      <c r="I798" s="91">
        <f>IFERROR(__xludf.DUMMYFUNCTION("IFERROR(AVERAGE(filter('Основной эфир'!$AE:$AE, 'Основной эфир'!$B:$B=$A798,'Основной эфир'!$C:$C=$B798,'Основной эфир'!$I:$I=$C798)), 0) "),0.0)</f>
        <v>0</v>
      </c>
      <c r="J798" s="91">
        <f>IFERROR(__xludf.DUMMYFUNCTION("IFERROR(SUM(filter('Основной эфир'!$AL:$AL, 'Основной эфир'!$B:$B=$A798,'Основной эфир'!$C:$C=$B798,'Основной эфир'!$I:$I=$C798)), 0) "),0.0)</f>
        <v>0</v>
      </c>
      <c r="K798" s="91" t="str">
        <f>IFERROR(__xludf.DUMMYFUNCTION("IFERROR(REGEXREPLACE(unique(filter('Основной эфир'!$A:$A, 'Основной эфир'!$B:$B=$A798,'Основной эфир'!$C:$C=$B798,'Основной эфир'!$I:$I=$C798)), ""\d+"", """"),"""")"),"")</f>
        <v/>
      </c>
      <c r="L798" s="91" t="str">
        <f>IFERROR(__xludf.DUMMYFUNCTION("IFERROR(unique(filter('Основной эфир'!$F:$F, 'Основной эфир'!$B:$B=$A798,'Основной эфир'!$C:$C=$B798,'Основной эфир'!$I:$I=$C798)),"""")"),"")</f>
        <v/>
      </c>
      <c r="M798" s="92" t="str">
        <f t="shared" si="1"/>
        <v/>
      </c>
      <c r="N798" s="93">
        <f>IFERROR(__xludf.DUMMYFUNCTION("IFERROR(SWITCH(lower(join("" "",L798:M798)),""а миллионник"", 62.5,""б миллионник"", 75,""а мск"", 50, ""б мск"", 62.5, ""a остальное"", 70, ""б остальное"", 80)/100,0)"),0.0)</f>
        <v>0</v>
      </c>
      <c r="O798" s="91">
        <f t="shared" si="2"/>
        <v>0</v>
      </c>
      <c r="P798" s="91">
        <f>IFERROR(__xludf.DUMMYFUNCTION("IFERROR(sum(filter('Генеральный баннер'!$O:$O, 'Генеральный баннер'!$B:$B=$A798,'Генеральный баннер'!$C:$C=$B798,'Генеральный баннер'!$I:$I=$C798)), 0) "),0.0)</f>
        <v>0</v>
      </c>
      <c r="Q798" s="91">
        <f>IFERROR(__xludf.DUMMYFUNCTION("IFERROR(sum(filter('Генеральный баннер'!$Q:$Q, 'Генеральный баннер'!$B:$B=$A798,'Генеральный баннер'!$C:$C=$B798,'Генеральный баннер'!$I:$I=$C798)), 0) "),0.0)</f>
        <v>0</v>
      </c>
      <c r="R798" s="91">
        <f>IFERROR(__xludf.DUMMYFUNCTION("IFERROR(AVERAGE(filter('Генеральный баннер'!$AA:$AA, 'Генеральный баннер'!$B:$B=$A798,'Генеральный баннер'!$C:$C=$B798,'Генеральный баннер'!$I:$I=$C798)), 0) "),0.0)</f>
        <v>0</v>
      </c>
      <c r="S798" s="91">
        <f>IFERROR(__xludf.DUMMYFUNCTION("IFERROR(SUM(filter('Генеральный баннер'!$AH:$AH, 'Генеральный баннер'!$B:$B=$A798,'Генеральный баннер'!$C:$C=$B798,'Генеральный баннер'!$I:$I=$C798)), 0) "),0.0)</f>
        <v>0</v>
      </c>
      <c r="T798" s="91" t="str">
        <f>IFERROR(__xludf.DUMMYFUNCTION("IFERROR(REGEXREPLACE(unique(filter('Генеральный баннер'!$A:$A, 'Генеральный баннер'!$B:$B=$A798,'Генеральный баннер'!$C:$C=$B798,'Генеральный баннер'!$I:$I=$C798)), ""\d+"", """"),"""")"),"")</f>
        <v/>
      </c>
      <c r="U798" s="91" t="str">
        <f>IFERROR(__xludf.DUMMYFUNCTION("IFERROR(unique(filter('Генеральный баннер'!$F:$F, 'Генеральный баннер'!$B:$B=$A798,'Генеральный баннер'!$C:$C=$B798,'Генеральный баннер'!$I:$I=$C798)),"""")"),"")</f>
        <v/>
      </c>
      <c r="V798" s="92" t="str">
        <f t="shared" si="3"/>
        <v/>
      </c>
      <c r="W798" s="93">
        <f>IFERROR(__xludf.DUMMYFUNCTION("IFERROR(SWITCH(lower(join("" "",U798:V798)),""а миллионник"", 62.5,""б миллионник"", 75,""а мск"", 50, ""б мск"", 62.5, ""a остальное"", 70, ""б остальное"", 80)/100,0)"),0.0)</f>
        <v>0</v>
      </c>
      <c r="X798" s="91">
        <f t="shared" si="4"/>
        <v>0</v>
      </c>
    </row>
    <row r="799">
      <c r="A799" s="12"/>
      <c r="B799" s="12"/>
      <c r="C799" s="12"/>
      <c r="D799" s="91">
        <f>IFERROR(__xludf.DUMMYFUNCTION("IFERROR(sum(filter('Основной эфир'!$AA:$AA, 'Основной эфир'!$B:$B=$A799,'Основной эфир'!$C:$C=$B799,'Основной эфир'!$I:$I=$C799)), 0) "),0.0)</f>
        <v>0</v>
      </c>
      <c r="E799" s="91">
        <f>IFERROR(__xludf.DUMMYFUNCTION("IFERROR(sum(filter('Основной эфир'!$AC:$AC, 'Основной эфир'!$B:$B=$A799,'Основной эфир'!$C:$C=$B799,'Основной эфир'!$I:$I=$C799)), 0) "),0.0)</f>
        <v>0</v>
      </c>
      <c r="F799" s="91">
        <f>IFERROR(__xludf.DUMMYFUNCTION("IFERROR(sum(filter('Основной эфир'!$O:$O, 'Основной эфир'!$B:$B=$A799,'Основной эфир'!$C:$C=$B799,'Основной эфир'!$I:$I=$C799)), 0) "),0.0)</f>
        <v>0</v>
      </c>
      <c r="G799" s="91">
        <f>IFERROR(__xludf.DUMMYFUNCTION("IFERROR(sum(filter('Основной эфир'!$Q:$Q, 'Основной эфир'!$B:$B=$A799,'Основной эфир'!$C:$C=$B799,'Основной эфир'!$I:$I=$C799)), 0) "),0.0)</f>
        <v>0</v>
      </c>
      <c r="H799" s="91">
        <f>IFERROR(__xludf.DUMMYFUNCTION("IFERROR(AVERAGE(filter('Основной эфир'!$Y:$Y, 'Основной эфир'!$B:$B=$A799,'Основной эфир'!$C:$C=$B799,'Основной эфир'!$I:$I=$C799)), 0) "),0.0)</f>
        <v>0</v>
      </c>
      <c r="I799" s="91">
        <f>IFERROR(__xludf.DUMMYFUNCTION("IFERROR(AVERAGE(filter('Основной эфир'!$AE:$AE, 'Основной эфир'!$B:$B=$A799,'Основной эфир'!$C:$C=$B799,'Основной эфир'!$I:$I=$C799)), 0) "),0.0)</f>
        <v>0</v>
      </c>
      <c r="J799" s="91">
        <f>IFERROR(__xludf.DUMMYFUNCTION("IFERROR(SUM(filter('Основной эфир'!$AL:$AL, 'Основной эфир'!$B:$B=$A799,'Основной эфир'!$C:$C=$B799,'Основной эфир'!$I:$I=$C799)), 0) "),0.0)</f>
        <v>0</v>
      </c>
      <c r="K799" s="91" t="str">
        <f>IFERROR(__xludf.DUMMYFUNCTION("IFERROR(REGEXREPLACE(unique(filter('Основной эфир'!$A:$A, 'Основной эфир'!$B:$B=$A799,'Основной эфир'!$C:$C=$B799,'Основной эфир'!$I:$I=$C799)), ""\d+"", """"),"""")"),"")</f>
        <v/>
      </c>
      <c r="L799" s="91" t="str">
        <f>IFERROR(__xludf.DUMMYFUNCTION("IFERROR(unique(filter('Основной эфир'!$F:$F, 'Основной эфир'!$B:$B=$A799,'Основной эфир'!$C:$C=$B799,'Основной эфир'!$I:$I=$C799)),"""")"),"")</f>
        <v/>
      </c>
      <c r="M799" s="92" t="str">
        <f t="shared" si="1"/>
        <v/>
      </c>
      <c r="N799" s="93">
        <f>IFERROR(__xludf.DUMMYFUNCTION("IFERROR(SWITCH(lower(join("" "",L799:M799)),""а миллионник"", 62.5,""б миллионник"", 75,""а мск"", 50, ""б мск"", 62.5, ""a остальное"", 70, ""б остальное"", 80)/100,0)"),0.0)</f>
        <v>0</v>
      </c>
      <c r="O799" s="91">
        <f t="shared" si="2"/>
        <v>0</v>
      </c>
      <c r="P799" s="91">
        <f>IFERROR(__xludf.DUMMYFUNCTION("IFERROR(sum(filter('Генеральный баннер'!$O:$O, 'Генеральный баннер'!$B:$B=$A799,'Генеральный баннер'!$C:$C=$B799,'Генеральный баннер'!$I:$I=$C799)), 0) "),0.0)</f>
        <v>0</v>
      </c>
      <c r="Q799" s="91">
        <f>IFERROR(__xludf.DUMMYFUNCTION("IFERROR(sum(filter('Генеральный баннер'!$Q:$Q, 'Генеральный баннер'!$B:$B=$A799,'Генеральный баннер'!$C:$C=$B799,'Генеральный баннер'!$I:$I=$C799)), 0) "),0.0)</f>
        <v>0</v>
      </c>
      <c r="R799" s="91">
        <f>IFERROR(__xludf.DUMMYFUNCTION("IFERROR(AVERAGE(filter('Генеральный баннер'!$AA:$AA, 'Генеральный баннер'!$B:$B=$A799,'Генеральный баннер'!$C:$C=$B799,'Генеральный баннер'!$I:$I=$C799)), 0) "),0.0)</f>
        <v>0</v>
      </c>
      <c r="S799" s="91">
        <f>IFERROR(__xludf.DUMMYFUNCTION("IFERROR(SUM(filter('Генеральный баннер'!$AH:$AH, 'Генеральный баннер'!$B:$B=$A799,'Генеральный баннер'!$C:$C=$B799,'Генеральный баннер'!$I:$I=$C799)), 0) "),0.0)</f>
        <v>0</v>
      </c>
      <c r="T799" s="91" t="str">
        <f>IFERROR(__xludf.DUMMYFUNCTION("IFERROR(REGEXREPLACE(unique(filter('Генеральный баннер'!$A:$A, 'Генеральный баннер'!$B:$B=$A799,'Генеральный баннер'!$C:$C=$B799,'Генеральный баннер'!$I:$I=$C799)), ""\d+"", """"),"""")"),"")</f>
        <v/>
      </c>
      <c r="U799" s="91" t="str">
        <f>IFERROR(__xludf.DUMMYFUNCTION("IFERROR(unique(filter('Генеральный баннер'!$F:$F, 'Генеральный баннер'!$B:$B=$A799,'Генеральный баннер'!$C:$C=$B799,'Генеральный баннер'!$I:$I=$C799)),"""")"),"")</f>
        <v/>
      </c>
      <c r="V799" s="92" t="str">
        <f t="shared" si="3"/>
        <v/>
      </c>
      <c r="W799" s="93">
        <f>IFERROR(__xludf.DUMMYFUNCTION("IFERROR(SWITCH(lower(join("" "",U799:V799)),""а миллионник"", 62.5,""б миллионник"", 75,""а мск"", 50, ""б мск"", 62.5, ""a остальное"", 70, ""б остальное"", 80)/100,0)"),0.0)</f>
        <v>0</v>
      </c>
      <c r="X799" s="91">
        <f t="shared" si="4"/>
        <v>0</v>
      </c>
    </row>
    <row r="800">
      <c r="A800" s="12"/>
      <c r="B800" s="12"/>
      <c r="C800" s="12"/>
      <c r="D800" s="91">
        <f>IFERROR(__xludf.DUMMYFUNCTION("IFERROR(sum(filter('Основной эфир'!$AA:$AA, 'Основной эфир'!$B:$B=$A800,'Основной эфир'!$C:$C=$B800,'Основной эфир'!$I:$I=$C800)), 0) "),0.0)</f>
        <v>0</v>
      </c>
      <c r="E800" s="91">
        <f>IFERROR(__xludf.DUMMYFUNCTION("IFERROR(sum(filter('Основной эфир'!$AC:$AC, 'Основной эфир'!$B:$B=$A800,'Основной эфир'!$C:$C=$B800,'Основной эфир'!$I:$I=$C800)), 0) "),0.0)</f>
        <v>0</v>
      </c>
      <c r="F800" s="91">
        <f>IFERROR(__xludf.DUMMYFUNCTION("IFERROR(sum(filter('Основной эфир'!$O:$O, 'Основной эфир'!$B:$B=$A800,'Основной эфир'!$C:$C=$B800,'Основной эфир'!$I:$I=$C800)), 0) "),0.0)</f>
        <v>0</v>
      </c>
      <c r="G800" s="91">
        <f>IFERROR(__xludf.DUMMYFUNCTION("IFERROR(sum(filter('Основной эфир'!$Q:$Q, 'Основной эфир'!$B:$B=$A800,'Основной эфир'!$C:$C=$B800,'Основной эфир'!$I:$I=$C800)), 0) "),0.0)</f>
        <v>0</v>
      </c>
      <c r="H800" s="91">
        <f>IFERROR(__xludf.DUMMYFUNCTION("IFERROR(AVERAGE(filter('Основной эфир'!$Y:$Y, 'Основной эфир'!$B:$B=$A800,'Основной эфир'!$C:$C=$B800,'Основной эфир'!$I:$I=$C800)), 0) "),0.0)</f>
        <v>0</v>
      </c>
      <c r="I800" s="91">
        <f>IFERROR(__xludf.DUMMYFUNCTION("IFERROR(AVERAGE(filter('Основной эфир'!$AE:$AE, 'Основной эфир'!$B:$B=$A800,'Основной эфир'!$C:$C=$B800,'Основной эфир'!$I:$I=$C800)), 0) "),0.0)</f>
        <v>0</v>
      </c>
      <c r="J800" s="91">
        <f>IFERROR(__xludf.DUMMYFUNCTION("IFERROR(SUM(filter('Основной эфир'!$AL:$AL, 'Основной эфир'!$B:$B=$A800,'Основной эфир'!$C:$C=$B800,'Основной эфир'!$I:$I=$C800)), 0) "),0.0)</f>
        <v>0</v>
      </c>
      <c r="K800" s="91" t="str">
        <f>IFERROR(__xludf.DUMMYFUNCTION("IFERROR(REGEXREPLACE(unique(filter('Основной эфир'!$A:$A, 'Основной эфир'!$B:$B=$A800,'Основной эфир'!$C:$C=$B800,'Основной эфир'!$I:$I=$C800)), ""\d+"", """"),"""")"),"")</f>
        <v/>
      </c>
      <c r="L800" s="91" t="str">
        <f>IFERROR(__xludf.DUMMYFUNCTION("IFERROR(unique(filter('Основной эфир'!$F:$F, 'Основной эфир'!$B:$B=$A800,'Основной эфир'!$C:$C=$B800,'Основной эфир'!$I:$I=$C800)),"""")"),"")</f>
        <v/>
      </c>
      <c r="M800" s="92" t="str">
        <f t="shared" si="1"/>
        <v/>
      </c>
      <c r="N800" s="93">
        <f>IFERROR(__xludf.DUMMYFUNCTION("IFERROR(SWITCH(lower(join("" "",L800:M800)),""а миллионник"", 62.5,""б миллионник"", 75,""а мск"", 50, ""б мск"", 62.5, ""a остальное"", 70, ""б остальное"", 80)/100,0)"),0.0)</f>
        <v>0</v>
      </c>
      <c r="O800" s="91">
        <f t="shared" si="2"/>
        <v>0</v>
      </c>
      <c r="P800" s="91">
        <f>IFERROR(__xludf.DUMMYFUNCTION("IFERROR(sum(filter('Генеральный баннер'!$O:$O, 'Генеральный баннер'!$B:$B=$A800,'Генеральный баннер'!$C:$C=$B800,'Генеральный баннер'!$I:$I=$C800)), 0) "),0.0)</f>
        <v>0</v>
      </c>
      <c r="Q800" s="91">
        <f>IFERROR(__xludf.DUMMYFUNCTION("IFERROR(sum(filter('Генеральный баннер'!$Q:$Q, 'Генеральный баннер'!$B:$B=$A800,'Генеральный баннер'!$C:$C=$B800,'Генеральный баннер'!$I:$I=$C800)), 0) "),0.0)</f>
        <v>0</v>
      </c>
      <c r="R800" s="91">
        <f>IFERROR(__xludf.DUMMYFUNCTION("IFERROR(AVERAGE(filter('Генеральный баннер'!$AA:$AA, 'Генеральный баннер'!$B:$B=$A800,'Генеральный баннер'!$C:$C=$B800,'Генеральный баннер'!$I:$I=$C800)), 0) "),0.0)</f>
        <v>0</v>
      </c>
      <c r="S800" s="91">
        <f>IFERROR(__xludf.DUMMYFUNCTION("IFERROR(SUM(filter('Генеральный баннер'!$AH:$AH, 'Генеральный баннер'!$B:$B=$A800,'Генеральный баннер'!$C:$C=$B800,'Генеральный баннер'!$I:$I=$C800)), 0) "),0.0)</f>
        <v>0</v>
      </c>
      <c r="T800" s="91" t="str">
        <f>IFERROR(__xludf.DUMMYFUNCTION("IFERROR(REGEXREPLACE(unique(filter('Генеральный баннер'!$A:$A, 'Генеральный баннер'!$B:$B=$A800,'Генеральный баннер'!$C:$C=$B800,'Генеральный баннер'!$I:$I=$C800)), ""\d+"", """"),"""")"),"")</f>
        <v/>
      </c>
      <c r="U800" s="91" t="str">
        <f>IFERROR(__xludf.DUMMYFUNCTION("IFERROR(unique(filter('Генеральный баннер'!$F:$F, 'Генеральный баннер'!$B:$B=$A800,'Генеральный баннер'!$C:$C=$B800,'Генеральный баннер'!$I:$I=$C800)),"""")"),"")</f>
        <v/>
      </c>
      <c r="V800" s="92" t="str">
        <f t="shared" si="3"/>
        <v/>
      </c>
      <c r="W800" s="93">
        <f>IFERROR(__xludf.DUMMYFUNCTION("IFERROR(SWITCH(lower(join("" "",U800:V800)),""а миллионник"", 62.5,""б миллионник"", 75,""а мск"", 50, ""б мск"", 62.5, ""a остальное"", 70, ""б остальное"", 80)/100,0)"),0.0)</f>
        <v>0</v>
      </c>
      <c r="X800" s="91">
        <f t="shared" si="4"/>
        <v>0</v>
      </c>
    </row>
    <row r="801">
      <c r="A801" s="12"/>
      <c r="B801" s="12"/>
      <c r="C801" s="12"/>
      <c r="D801" s="91">
        <f>IFERROR(__xludf.DUMMYFUNCTION("IFERROR(sum(filter('Основной эфир'!$AA:$AA, 'Основной эфир'!$B:$B=$A801,'Основной эфир'!$C:$C=$B801,'Основной эфир'!$I:$I=$C801)), 0) "),0.0)</f>
        <v>0</v>
      </c>
      <c r="E801" s="91">
        <f>IFERROR(__xludf.DUMMYFUNCTION("IFERROR(sum(filter('Основной эфир'!$AC:$AC, 'Основной эфир'!$B:$B=$A801,'Основной эфир'!$C:$C=$B801,'Основной эфир'!$I:$I=$C801)), 0) "),0.0)</f>
        <v>0</v>
      </c>
      <c r="F801" s="91">
        <f>IFERROR(__xludf.DUMMYFUNCTION("IFERROR(sum(filter('Основной эфир'!$O:$O, 'Основной эфир'!$B:$B=$A801,'Основной эфир'!$C:$C=$B801,'Основной эфир'!$I:$I=$C801)), 0) "),0.0)</f>
        <v>0</v>
      </c>
      <c r="G801" s="91">
        <f>IFERROR(__xludf.DUMMYFUNCTION("IFERROR(sum(filter('Основной эфир'!$Q:$Q, 'Основной эфир'!$B:$B=$A801,'Основной эфир'!$C:$C=$B801,'Основной эфир'!$I:$I=$C801)), 0) "),0.0)</f>
        <v>0</v>
      </c>
      <c r="H801" s="91">
        <f>IFERROR(__xludf.DUMMYFUNCTION("IFERROR(AVERAGE(filter('Основной эфир'!$Y:$Y, 'Основной эфир'!$B:$B=$A801,'Основной эфир'!$C:$C=$B801,'Основной эфир'!$I:$I=$C801)), 0) "),0.0)</f>
        <v>0</v>
      </c>
      <c r="I801" s="91">
        <f>IFERROR(__xludf.DUMMYFUNCTION("IFERROR(AVERAGE(filter('Основной эфир'!$AE:$AE, 'Основной эфир'!$B:$B=$A801,'Основной эфир'!$C:$C=$B801,'Основной эфир'!$I:$I=$C801)), 0) "),0.0)</f>
        <v>0</v>
      </c>
      <c r="J801" s="91">
        <f>IFERROR(__xludf.DUMMYFUNCTION("IFERROR(SUM(filter('Основной эфир'!$AL:$AL, 'Основной эфир'!$B:$B=$A801,'Основной эфир'!$C:$C=$B801,'Основной эфир'!$I:$I=$C801)), 0) "),0.0)</f>
        <v>0</v>
      </c>
      <c r="K801" s="91" t="str">
        <f>IFERROR(__xludf.DUMMYFUNCTION("IFERROR(REGEXREPLACE(unique(filter('Основной эфир'!$A:$A, 'Основной эфир'!$B:$B=$A801,'Основной эфир'!$C:$C=$B801,'Основной эфир'!$I:$I=$C801)), ""\d+"", """"),"""")"),"")</f>
        <v/>
      </c>
      <c r="L801" s="91" t="str">
        <f>IFERROR(__xludf.DUMMYFUNCTION("IFERROR(unique(filter('Основной эфир'!$F:$F, 'Основной эфир'!$B:$B=$A801,'Основной эфир'!$C:$C=$B801,'Основной эфир'!$I:$I=$C801)),"""")"),"")</f>
        <v/>
      </c>
      <c r="M801" s="92" t="str">
        <f t="shared" si="1"/>
        <v/>
      </c>
      <c r="N801" s="93">
        <f>IFERROR(__xludf.DUMMYFUNCTION("IFERROR(SWITCH(lower(join("" "",L801:M801)),""а миллионник"", 62.5,""б миллионник"", 75,""а мск"", 50, ""б мск"", 62.5, ""a остальное"", 70, ""б остальное"", 80)/100,0)"),0.0)</f>
        <v>0</v>
      </c>
      <c r="O801" s="91">
        <f t="shared" si="2"/>
        <v>0</v>
      </c>
      <c r="P801" s="91">
        <f>IFERROR(__xludf.DUMMYFUNCTION("IFERROR(sum(filter('Генеральный баннер'!$O:$O, 'Генеральный баннер'!$B:$B=$A801,'Генеральный баннер'!$C:$C=$B801,'Генеральный баннер'!$I:$I=$C801)), 0) "),0.0)</f>
        <v>0</v>
      </c>
      <c r="Q801" s="91">
        <f>IFERROR(__xludf.DUMMYFUNCTION("IFERROR(sum(filter('Генеральный баннер'!$Q:$Q, 'Генеральный баннер'!$B:$B=$A801,'Генеральный баннер'!$C:$C=$B801,'Генеральный баннер'!$I:$I=$C801)), 0) "),0.0)</f>
        <v>0</v>
      </c>
      <c r="R801" s="91">
        <f>IFERROR(__xludf.DUMMYFUNCTION("IFERROR(AVERAGE(filter('Генеральный баннер'!$AA:$AA, 'Генеральный баннер'!$B:$B=$A801,'Генеральный баннер'!$C:$C=$B801,'Генеральный баннер'!$I:$I=$C801)), 0) "),0.0)</f>
        <v>0</v>
      </c>
      <c r="S801" s="91">
        <f>IFERROR(__xludf.DUMMYFUNCTION("IFERROR(SUM(filter('Генеральный баннер'!$AH:$AH, 'Генеральный баннер'!$B:$B=$A801,'Генеральный баннер'!$C:$C=$B801,'Генеральный баннер'!$I:$I=$C801)), 0) "),0.0)</f>
        <v>0</v>
      </c>
      <c r="T801" s="91" t="str">
        <f>IFERROR(__xludf.DUMMYFUNCTION("IFERROR(REGEXREPLACE(unique(filter('Генеральный баннер'!$A:$A, 'Генеральный баннер'!$B:$B=$A801,'Генеральный баннер'!$C:$C=$B801,'Генеральный баннер'!$I:$I=$C801)), ""\d+"", """"),"""")"),"")</f>
        <v/>
      </c>
      <c r="U801" s="91" t="str">
        <f>IFERROR(__xludf.DUMMYFUNCTION("IFERROR(unique(filter('Генеральный баннер'!$F:$F, 'Генеральный баннер'!$B:$B=$A801,'Генеральный баннер'!$C:$C=$B801,'Генеральный баннер'!$I:$I=$C801)),"""")"),"")</f>
        <v/>
      </c>
      <c r="V801" s="92" t="str">
        <f t="shared" si="3"/>
        <v/>
      </c>
      <c r="W801" s="93">
        <f>IFERROR(__xludf.DUMMYFUNCTION("IFERROR(SWITCH(lower(join("" "",U801:V801)),""а миллионник"", 62.5,""б миллионник"", 75,""а мск"", 50, ""б мск"", 62.5, ""a остальное"", 70, ""б остальное"", 80)/100,0)"),0.0)</f>
        <v>0</v>
      </c>
      <c r="X801" s="91">
        <f t="shared" si="4"/>
        <v>0</v>
      </c>
    </row>
    <row r="802">
      <c r="A802" s="12"/>
      <c r="B802" s="12"/>
      <c r="C802" s="12"/>
      <c r="D802" s="91">
        <f>IFERROR(__xludf.DUMMYFUNCTION("IFERROR(sum(filter('Основной эфир'!$AA:$AA, 'Основной эфир'!$B:$B=$A802,'Основной эфир'!$C:$C=$B802,'Основной эфир'!$I:$I=$C802)), 0) "),0.0)</f>
        <v>0</v>
      </c>
      <c r="E802" s="91">
        <f>IFERROR(__xludf.DUMMYFUNCTION("IFERROR(sum(filter('Основной эфир'!$AC:$AC, 'Основной эфир'!$B:$B=$A802,'Основной эфир'!$C:$C=$B802,'Основной эфир'!$I:$I=$C802)), 0) "),0.0)</f>
        <v>0</v>
      </c>
      <c r="F802" s="91">
        <f>IFERROR(__xludf.DUMMYFUNCTION("IFERROR(sum(filter('Основной эфир'!$O:$O, 'Основной эфир'!$B:$B=$A802,'Основной эфир'!$C:$C=$B802,'Основной эфир'!$I:$I=$C802)), 0) "),0.0)</f>
        <v>0</v>
      </c>
      <c r="G802" s="91">
        <f>IFERROR(__xludf.DUMMYFUNCTION("IFERROR(sum(filter('Основной эфир'!$Q:$Q, 'Основной эфир'!$B:$B=$A802,'Основной эфир'!$C:$C=$B802,'Основной эфир'!$I:$I=$C802)), 0) "),0.0)</f>
        <v>0</v>
      </c>
      <c r="H802" s="91">
        <f>IFERROR(__xludf.DUMMYFUNCTION("IFERROR(AVERAGE(filter('Основной эфир'!$Y:$Y, 'Основной эфир'!$B:$B=$A802,'Основной эфир'!$C:$C=$B802,'Основной эфир'!$I:$I=$C802)), 0) "),0.0)</f>
        <v>0</v>
      </c>
      <c r="I802" s="91">
        <f>IFERROR(__xludf.DUMMYFUNCTION("IFERROR(AVERAGE(filter('Основной эфир'!$AE:$AE, 'Основной эфир'!$B:$B=$A802,'Основной эфир'!$C:$C=$B802,'Основной эфир'!$I:$I=$C802)), 0) "),0.0)</f>
        <v>0</v>
      </c>
      <c r="J802" s="91">
        <f>IFERROR(__xludf.DUMMYFUNCTION("IFERROR(SUM(filter('Основной эфир'!$AL:$AL, 'Основной эфир'!$B:$B=$A802,'Основной эфир'!$C:$C=$B802,'Основной эфир'!$I:$I=$C802)), 0) "),0.0)</f>
        <v>0</v>
      </c>
      <c r="K802" s="91" t="str">
        <f>IFERROR(__xludf.DUMMYFUNCTION("IFERROR(REGEXREPLACE(unique(filter('Основной эфир'!$A:$A, 'Основной эфир'!$B:$B=$A802,'Основной эфир'!$C:$C=$B802,'Основной эфир'!$I:$I=$C802)), ""\d+"", """"),"""")"),"")</f>
        <v/>
      </c>
      <c r="L802" s="91" t="str">
        <f>IFERROR(__xludf.DUMMYFUNCTION("IFERROR(unique(filter('Основной эфир'!$F:$F, 'Основной эфир'!$B:$B=$A802,'Основной эфир'!$C:$C=$B802,'Основной эфир'!$I:$I=$C802)),"""")"),"")</f>
        <v/>
      </c>
      <c r="M802" s="92" t="str">
        <f t="shared" si="1"/>
        <v/>
      </c>
      <c r="N802" s="93">
        <f>IFERROR(__xludf.DUMMYFUNCTION("IFERROR(SWITCH(lower(join("" "",L802:M802)),""а миллионник"", 62.5,""б миллионник"", 75,""а мск"", 50, ""б мск"", 62.5, ""a остальное"", 70, ""б остальное"", 80)/100,0)"),0.0)</f>
        <v>0</v>
      </c>
      <c r="O802" s="91">
        <f t="shared" si="2"/>
        <v>0</v>
      </c>
      <c r="P802" s="91">
        <f>IFERROR(__xludf.DUMMYFUNCTION("IFERROR(sum(filter('Генеральный баннер'!$O:$O, 'Генеральный баннер'!$B:$B=$A802,'Генеральный баннер'!$C:$C=$B802,'Генеральный баннер'!$I:$I=$C802)), 0) "),0.0)</f>
        <v>0</v>
      </c>
      <c r="Q802" s="91">
        <f>IFERROR(__xludf.DUMMYFUNCTION("IFERROR(sum(filter('Генеральный баннер'!$Q:$Q, 'Генеральный баннер'!$B:$B=$A802,'Генеральный баннер'!$C:$C=$B802,'Генеральный баннер'!$I:$I=$C802)), 0) "),0.0)</f>
        <v>0</v>
      </c>
      <c r="R802" s="91">
        <f>IFERROR(__xludf.DUMMYFUNCTION("IFERROR(AVERAGE(filter('Генеральный баннер'!$AA:$AA, 'Генеральный баннер'!$B:$B=$A802,'Генеральный баннер'!$C:$C=$B802,'Генеральный баннер'!$I:$I=$C802)), 0) "),0.0)</f>
        <v>0</v>
      </c>
      <c r="S802" s="91">
        <f>IFERROR(__xludf.DUMMYFUNCTION("IFERROR(SUM(filter('Генеральный баннер'!$AH:$AH, 'Генеральный баннер'!$B:$B=$A802,'Генеральный баннер'!$C:$C=$B802,'Генеральный баннер'!$I:$I=$C802)), 0) "),0.0)</f>
        <v>0</v>
      </c>
      <c r="T802" s="91" t="str">
        <f>IFERROR(__xludf.DUMMYFUNCTION("IFERROR(REGEXREPLACE(unique(filter('Генеральный баннер'!$A:$A, 'Генеральный баннер'!$B:$B=$A802,'Генеральный баннер'!$C:$C=$B802,'Генеральный баннер'!$I:$I=$C802)), ""\d+"", """"),"""")"),"")</f>
        <v/>
      </c>
      <c r="U802" s="91" t="str">
        <f>IFERROR(__xludf.DUMMYFUNCTION("IFERROR(unique(filter('Генеральный баннер'!$F:$F, 'Генеральный баннер'!$B:$B=$A802,'Генеральный баннер'!$C:$C=$B802,'Генеральный баннер'!$I:$I=$C802)),"""")"),"")</f>
        <v/>
      </c>
      <c r="V802" s="92" t="str">
        <f t="shared" si="3"/>
        <v/>
      </c>
      <c r="W802" s="93">
        <f>IFERROR(__xludf.DUMMYFUNCTION("IFERROR(SWITCH(lower(join("" "",U802:V802)),""а миллионник"", 62.5,""б миллионник"", 75,""а мск"", 50, ""б мск"", 62.5, ""a остальное"", 70, ""б остальное"", 80)/100,0)"),0.0)</f>
        <v>0</v>
      </c>
      <c r="X802" s="91">
        <f t="shared" si="4"/>
        <v>0</v>
      </c>
    </row>
    <row r="803">
      <c r="A803" s="12"/>
      <c r="B803" s="12"/>
      <c r="C803" s="12"/>
      <c r="D803" s="91">
        <f>IFERROR(__xludf.DUMMYFUNCTION("IFERROR(sum(filter('Основной эфир'!$AA:$AA, 'Основной эфир'!$B:$B=$A803,'Основной эфир'!$C:$C=$B803,'Основной эфир'!$I:$I=$C803)), 0) "),0.0)</f>
        <v>0</v>
      </c>
      <c r="E803" s="91">
        <f>IFERROR(__xludf.DUMMYFUNCTION("IFERROR(sum(filter('Основной эфир'!$AC:$AC, 'Основной эфир'!$B:$B=$A803,'Основной эфир'!$C:$C=$B803,'Основной эфир'!$I:$I=$C803)), 0) "),0.0)</f>
        <v>0</v>
      </c>
      <c r="F803" s="91">
        <f>IFERROR(__xludf.DUMMYFUNCTION("IFERROR(sum(filter('Основной эфир'!$O:$O, 'Основной эфир'!$B:$B=$A803,'Основной эфир'!$C:$C=$B803,'Основной эфир'!$I:$I=$C803)), 0) "),0.0)</f>
        <v>0</v>
      </c>
      <c r="G803" s="91">
        <f>IFERROR(__xludf.DUMMYFUNCTION("IFERROR(sum(filter('Основной эфир'!$Q:$Q, 'Основной эфир'!$B:$B=$A803,'Основной эфир'!$C:$C=$B803,'Основной эфир'!$I:$I=$C803)), 0) "),0.0)</f>
        <v>0</v>
      </c>
      <c r="H803" s="91">
        <f>IFERROR(__xludf.DUMMYFUNCTION("IFERROR(AVERAGE(filter('Основной эфир'!$Y:$Y, 'Основной эфир'!$B:$B=$A803,'Основной эфир'!$C:$C=$B803,'Основной эфир'!$I:$I=$C803)), 0) "),0.0)</f>
        <v>0</v>
      </c>
      <c r="I803" s="91">
        <f>IFERROR(__xludf.DUMMYFUNCTION("IFERROR(AVERAGE(filter('Основной эфир'!$AE:$AE, 'Основной эфир'!$B:$B=$A803,'Основной эфир'!$C:$C=$B803,'Основной эфир'!$I:$I=$C803)), 0) "),0.0)</f>
        <v>0</v>
      </c>
      <c r="J803" s="91">
        <f>IFERROR(__xludf.DUMMYFUNCTION("IFERROR(SUM(filter('Основной эфир'!$AL:$AL, 'Основной эфир'!$B:$B=$A803,'Основной эфир'!$C:$C=$B803,'Основной эфир'!$I:$I=$C803)), 0) "),0.0)</f>
        <v>0</v>
      </c>
      <c r="K803" s="91" t="str">
        <f>IFERROR(__xludf.DUMMYFUNCTION("IFERROR(REGEXREPLACE(unique(filter('Основной эфир'!$A:$A, 'Основной эфир'!$B:$B=$A803,'Основной эфир'!$C:$C=$B803,'Основной эфир'!$I:$I=$C803)), ""\d+"", """"),"""")"),"")</f>
        <v/>
      </c>
      <c r="L803" s="91" t="str">
        <f>IFERROR(__xludf.DUMMYFUNCTION("IFERROR(unique(filter('Основной эфир'!$F:$F, 'Основной эфир'!$B:$B=$A803,'Основной эфир'!$C:$C=$B803,'Основной эфир'!$I:$I=$C803)),"""")"),"")</f>
        <v/>
      </c>
      <c r="M803" s="92" t="str">
        <f t="shared" si="1"/>
        <v/>
      </c>
      <c r="N803" s="93">
        <f>IFERROR(__xludf.DUMMYFUNCTION("IFERROR(SWITCH(lower(join("" "",L803:M803)),""а миллионник"", 62.5,""б миллионник"", 75,""а мск"", 50, ""б мск"", 62.5, ""a остальное"", 70, ""б остальное"", 80)/100,0)"),0.0)</f>
        <v>0</v>
      </c>
      <c r="O803" s="91">
        <f t="shared" si="2"/>
        <v>0</v>
      </c>
      <c r="P803" s="91">
        <f>IFERROR(__xludf.DUMMYFUNCTION("IFERROR(sum(filter('Генеральный баннер'!$O:$O, 'Генеральный баннер'!$B:$B=$A803,'Генеральный баннер'!$C:$C=$B803,'Генеральный баннер'!$I:$I=$C803)), 0) "),0.0)</f>
        <v>0</v>
      </c>
      <c r="Q803" s="91">
        <f>IFERROR(__xludf.DUMMYFUNCTION("IFERROR(sum(filter('Генеральный баннер'!$Q:$Q, 'Генеральный баннер'!$B:$B=$A803,'Генеральный баннер'!$C:$C=$B803,'Генеральный баннер'!$I:$I=$C803)), 0) "),0.0)</f>
        <v>0</v>
      </c>
      <c r="R803" s="91">
        <f>IFERROR(__xludf.DUMMYFUNCTION("IFERROR(AVERAGE(filter('Генеральный баннер'!$AA:$AA, 'Генеральный баннер'!$B:$B=$A803,'Генеральный баннер'!$C:$C=$B803,'Генеральный баннер'!$I:$I=$C803)), 0) "),0.0)</f>
        <v>0</v>
      </c>
      <c r="S803" s="91">
        <f>IFERROR(__xludf.DUMMYFUNCTION("IFERROR(SUM(filter('Генеральный баннер'!$AH:$AH, 'Генеральный баннер'!$B:$B=$A803,'Генеральный баннер'!$C:$C=$B803,'Генеральный баннер'!$I:$I=$C803)), 0) "),0.0)</f>
        <v>0</v>
      </c>
      <c r="T803" s="91" t="str">
        <f>IFERROR(__xludf.DUMMYFUNCTION("IFERROR(REGEXREPLACE(unique(filter('Генеральный баннер'!$A:$A, 'Генеральный баннер'!$B:$B=$A803,'Генеральный баннер'!$C:$C=$B803,'Генеральный баннер'!$I:$I=$C803)), ""\d+"", """"),"""")"),"")</f>
        <v/>
      </c>
      <c r="U803" s="91" t="str">
        <f>IFERROR(__xludf.DUMMYFUNCTION("IFERROR(unique(filter('Генеральный баннер'!$F:$F, 'Генеральный баннер'!$B:$B=$A803,'Генеральный баннер'!$C:$C=$B803,'Генеральный баннер'!$I:$I=$C803)),"""")"),"")</f>
        <v/>
      </c>
      <c r="V803" s="92" t="str">
        <f t="shared" si="3"/>
        <v/>
      </c>
      <c r="W803" s="93">
        <f>IFERROR(__xludf.DUMMYFUNCTION("IFERROR(SWITCH(lower(join("" "",U803:V803)),""а миллионник"", 62.5,""б миллионник"", 75,""а мск"", 50, ""б мск"", 62.5, ""a остальное"", 70, ""б остальное"", 80)/100,0)"),0.0)</f>
        <v>0</v>
      </c>
      <c r="X803" s="91">
        <f t="shared" si="4"/>
        <v>0</v>
      </c>
    </row>
    <row r="804">
      <c r="A804" s="12"/>
      <c r="B804" s="12"/>
      <c r="C804" s="12"/>
      <c r="D804" s="91">
        <f>IFERROR(__xludf.DUMMYFUNCTION("IFERROR(sum(filter('Основной эфир'!$AA:$AA, 'Основной эфир'!$B:$B=$A804,'Основной эфир'!$C:$C=$B804,'Основной эфир'!$I:$I=$C804)), 0) "),0.0)</f>
        <v>0</v>
      </c>
      <c r="E804" s="91">
        <f>IFERROR(__xludf.DUMMYFUNCTION("IFERROR(sum(filter('Основной эфир'!$AC:$AC, 'Основной эфир'!$B:$B=$A804,'Основной эфир'!$C:$C=$B804,'Основной эфир'!$I:$I=$C804)), 0) "),0.0)</f>
        <v>0</v>
      </c>
      <c r="F804" s="91">
        <f>IFERROR(__xludf.DUMMYFUNCTION("IFERROR(sum(filter('Основной эфир'!$O:$O, 'Основной эфир'!$B:$B=$A804,'Основной эфир'!$C:$C=$B804,'Основной эфир'!$I:$I=$C804)), 0) "),0.0)</f>
        <v>0</v>
      </c>
      <c r="G804" s="91">
        <f>IFERROR(__xludf.DUMMYFUNCTION("IFERROR(sum(filter('Основной эфир'!$Q:$Q, 'Основной эфир'!$B:$B=$A804,'Основной эфир'!$C:$C=$B804,'Основной эфир'!$I:$I=$C804)), 0) "),0.0)</f>
        <v>0</v>
      </c>
      <c r="H804" s="91">
        <f>IFERROR(__xludf.DUMMYFUNCTION("IFERROR(AVERAGE(filter('Основной эфир'!$Y:$Y, 'Основной эфир'!$B:$B=$A804,'Основной эфир'!$C:$C=$B804,'Основной эфир'!$I:$I=$C804)), 0) "),0.0)</f>
        <v>0</v>
      </c>
      <c r="I804" s="91">
        <f>IFERROR(__xludf.DUMMYFUNCTION("IFERROR(AVERAGE(filter('Основной эфир'!$AE:$AE, 'Основной эфир'!$B:$B=$A804,'Основной эфир'!$C:$C=$B804,'Основной эфир'!$I:$I=$C804)), 0) "),0.0)</f>
        <v>0</v>
      </c>
      <c r="J804" s="91">
        <f>IFERROR(__xludf.DUMMYFUNCTION("IFERROR(SUM(filter('Основной эфир'!$AL:$AL, 'Основной эфир'!$B:$B=$A804,'Основной эфир'!$C:$C=$B804,'Основной эфир'!$I:$I=$C804)), 0) "),0.0)</f>
        <v>0</v>
      </c>
      <c r="K804" s="91" t="str">
        <f>IFERROR(__xludf.DUMMYFUNCTION("IFERROR(REGEXREPLACE(unique(filter('Основной эфир'!$A:$A, 'Основной эфир'!$B:$B=$A804,'Основной эфир'!$C:$C=$B804,'Основной эфир'!$I:$I=$C804)), ""\d+"", """"),"""")"),"")</f>
        <v/>
      </c>
      <c r="L804" s="91" t="str">
        <f>IFERROR(__xludf.DUMMYFUNCTION("IFERROR(unique(filter('Основной эфир'!$F:$F, 'Основной эфир'!$B:$B=$A804,'Основной эфир'!$C:$C=$B804,'Основной эфир'!$I:$I=$C804)),"""")"),"")</f>
        <v/>
      </c>
      <c r="M804" s="92" t="str">
        <f t="shared" si="1"/>
        <v/>
      </c>
      <c r="N804" s="93">
        <f>IFERROR(__xludf.DUMMYFUNCTION("IFERROR(SWITCH(lower(join("" "",L804:M804)),""а миллионник"", 62.5,""б миллионник"", 75,""а мск"", 50, ""б мск"", 62.5, ""a остальное"", 70, ""б остальное"", 80)/100,0)"),0.0)</f>
        <v>0</v>
      </c>
      <c r="O804" s="91">
        <f t="shared" si="2"/>
        <v>0</v>
      </c>
      <c r="P804" s="91">
        <f>IFERROR(__xludf.DUMMYFUNCTION("IFERROR(sum(filter('Генеральный баннер'!$O:$O, 'Генеральный баннер'!$B:$B=$A804,'Генеральный баннер'!$C:$C=$B804,'Генеральный баннер'!$I:$I=$C804)), 0) "),0.0)</f>
        <v>0</v>
      </c>
      <c r="Q804" s="91">
        <f>IFERROR(__xludf.DUMMYFUNCTION("IFERROR(sum(filter('Генеральный баннер'!$Q:$Q, 'Генеральный баннер'!$B:$B=$A804,'Генеральный баннер'!$C:$C=$B804,'Генеральный баннер'!$I:$I=$C804)), 0) "),0.0)</f>
        <v>0</v>
      </c>
      <c r="R804" s="91">
        <f>IFERROR(__xludf.DUMMYFUNCTION("IFERROR(AVERAGE(filter('Генеральный баннер'!$AA:$AA, 'Генеральный баннер'!$B:$B=$A804,'Генеральный баннер'!$C:$C=$B804,'Генеральный баннер'!$I:$I=$C804)), 0) "),0.0)</f>
        <v>0</v>
      </c>
      <c r="S804" s="91">
        <f>IFERROR(__xludf.DUMMYFUNCTION("IFERROR(SUM(filter('Генеральный баннер'!$AH:$AH, 'Генеральный баннер'!$B:$B=$A804,'Генеральный баннер'!$C:$C=$B804,'Генеральный баннер'!$I:$I=$C804)), 0) "),0.0)</f>
        <v>0</v>
      </c>
      <c r="T804" s="91" t="str">
        <f>IFERROR(__xludf.DUMMYFUNCTION("IFERROR(REGEXREPLACE(unique(filter('Генеральный баннер'!$A:$A, 'Генеральный баннер'!$B:$B=$A804,'Генеральный баннер'!$C:$C=$B804,'Генеральный баннер'!$I:$I=$C804)), ""\d+"", """"),"""")"),"")</f>
        <v/>
      </c>
      <c r="U804" s="91" t="str">
        <f>IFERROR(__xludf.DUMMYFUNCTION("IFERROR(unique(filter('Генеральный баннер'!$F:$F, 'Генеральный баннер'!$B:$B=$A804,'Генеральный баннер'!$C:$C=$B804,'Генеральный баннер'!$I:$I=$C804)),"""")"),"")</f>
        <v/>
      </c>
      <c r="V804" s="92" t="str">
        <f t="shared" si="3"/>
        <v/>
      </c>
      <c r="W804" s="93">
        <f>IFERROR(__xludf.DUMMYFUNCTION("IFERROR(SWITCH(lower(join("" "",U804:V804)),""а миллионник"", 62.5,""б миллионник"", 75,""а мск"", 50, ""б мск"", 62.5, ""a остальное"", 70, ""б остальное"", 80)/100,0)"),0.0)</f>
        <v>0</v>
      </c>
      <c r="X804" s="91">
        <f t="shared" si="4"/>
        <v>0</v>
      </c>
    </row>
    <row r="805">
      <c r="A805" s="12"/>
      <c r="B805" s="12"/>
      <c r="C805" s="12"/>
      <c r="D805" s="91">
        <f>IFERROR(__xludf.DUMMYFUNCTION("IFERROR(sum(filter('Основной эфир'!$AA:$AA, 'Основной эфир'!$B:$B=$A805,'Основной эфир'!$C:$C=$B805,'Основной эфир'!$I:$I=$C805)), 0) "),0.0)</f>
        <v>0</v>
      </c>
      <c r="E805" s="91">
        <f>IFERROR(__xludf.DUMMYFUNCTION("IFERROR(sum(filter('Основной эфир'!$AC:$AC, 'Основной эфир'!$B:$B=$A805,'Основной эфир'!$C:$C=$B805,'Основной эфир'!$I:$I=$C805)), 0) "),0.0)</f>
        <v>0</v>
      </c>
      <c r="F805" s="91">
        <f>IFERROR(__xludf.DUMMYFUNCTION("IFERROR(sum(filter('Основной эфир'!$O:$O, 'Основной эфир'!$B:$B=$A805,'Основной эфир'!$C:$C=$B805,'Основной эфир'!$I:$I=$C805)), 0) "),0.0)</f>
        <v>0</v>
      </c>
      <c r="G805" s="91">
        <f>IFERROR(__xludf.DUMMYFUNCTION("IFERROR(sum(filter('Основной эфир'!$Q:$Q, 'Основной эфир'!$B:$B=$A805,'Основной эфир'!$C:$C=$B805,'Основной эфир'!$I:$I=$C805)), 0) "),0.0)</f>
        <v>0</v>
      </c>
      <c r="H805" s="91">
        <f>IFERROR(__xludf.DUMMYFUNCTION("IFERROR(AVERAGE(filter('Основной эфир'!$Y:$Y, 'Основной эфир'!$B:$B=$A805,'Основной эфир'!$C:$C=$B805,'Основной эфир'!$I:$I=$C805)), 0) "),0.0)</f>
        <v>0</v>
      </c>
      <c r="I805" s="91">
        <f>IFERROR(__xludf.DUMMYFUNCTION("IFERROR(AVERAGE(filter('Основной эфир'!$AE:$AE, 'Основной эфир'!$B:$B=$A805,'Основной эфир'!$C:$C=$B805,'Основной эфир'!$I:$I=$C805)), 0) "),0.0)</f>
        <v>0</v>
      </c>
      <c r="J805" s="91">
        <f>IFERROR(__xludf.DUMMYFUNCTION("IFERROR(SUM(filter('Основной эфир'!$AL:$AL, 'Основной эфир'!$B:$B=$A805,'Основной эфир'!$C:$C=$B805,'Основной эфир'!$I:$I=$C805)), 0) "),0.0)</f>
        <v>0</v>
      </c>
      <c r="K805" s="91" t="str">
        <f>IFERROR(__xludf.DUMMYFUNCTION("IFERROR(REGEXREPLACE(unique(filter('Основной эфир'!$A:$A, 'Основной эфир'!$B:$B=$A805,'Основной эфир'!$C:$C=$B805,'Основной эфир'!$I:$I=$C805)), ""\d+"", """"),"""")"),"")</f>
        <v/>
      </c>
      <c r="L805" s="91" t="str">
        <f>IFERROR(__xludf.DUMMYFUNCTION("IFERROR(unique(filter('Основной эфир'!$F:$F, 'Основной эфир'!$B:$B=$A805,'Основной эфир'!$C:$C=$B805,'Основной эфир'!$I:$I=$C805)),"""")"),"")</f>
        <v/>
      </c>
      <c r="M805" s="92" t="str">
        <f t="shared" si="1"/>
        <v/>
      </c>
      <c r="N805" s="93">
        <f>IFERROR(__xludf.DUMMYFUNCTION("IFERROR(SWITCH(lower(join("" "",L805:M805)),""а миллионник"", 62.5,""б миллионник"", 75,""а мск"", 50, ""б мск"", 62.5, ""a остальное"", 70, ""б остальное"", 80)/100,0)"),0.0)</f>
        <v>0</v>
      </c>
      <c r="O805" s="91">
        <f t="shared" si="2"/>
        <v>0</v>
      </c>
      <c r="P805" s="91">
        <f>IFERROR(__xludf.DUMMYFUNCTION("IFERROR(sum(filter('Генеральный баннер'!$O:$O, 'Генеральный баннер'!$B:$B=$A805,'Генеральный баннер'!$C:$C=$B805,'Генеральный баннер'!$I:$I=$C805)), 0) "),0.0)</f>
        <v>0</v>
      </c>
      <c r="Q805" s="91">
        <f>IFERROR(__xludf.DUMMYFUNCTION("IFERROR(sum(filter('Генеральный баннер'!$Q:$Q, 'Генеральный баннер'!$B:$B=$A805,'Генеральный баннер'!$C:$C=$B805,'Генеральный баннер'!$I:$I=$C805)), 0) "),0.0)</f>
        <v>0</v>
      </c>
      <c r="R805" s="91">
        <f>IFERROR(__xludf.DUMMYFUNCTION("IFERROR(AVERAGE(filter('Генеральный баннер'!$AA:$AA, 'Генеральный баннер'!$B:$B=$A805,'Генеральный баннер'!$C:$C=$B805,'Генеральный баннер'!$I:$I=$C805)), 0) "),0.0)</f>
        <v>0</v>
      </c>
      <c r="S805" s="91">
        <f>IFERROR(__xludf.DUMMYFUNCTION("IFERROR(SUM(filter('Генеральный баннер'!$AH:$AH, 'Генеральный баннер'!$B:$B=$A805,'Генеральный баннер'!$C:$C=$B805,'Генеральный баннер'!$I:$I=$C805)), 0) "),0.0)</f>
        <v>0</v>
      </c>
      <c r="T805" s="91" t="str">
        <f>IFERROR(__xludf.DUMMYFUNCTION("IFERROR(REGEXREPLACE(unique(filter('Генеральный баннер'!$A:$A, 'Генеральный баннер'!$B:$B=$A805,'Генеральный баннер'!$C:$C=$B805,'Генеральный баннер'!$I:$I=$C805)), ""\d+"", """"),"""")"),"")</f>
        <v/>
      </c>
      <c r="U805" s="91" t="str">
        <f>IFERROR(__xludf.DUMMYFUNCTION("IFERROR(unique(filter('Генеральный баннер'!$F:$F, 'Генеральный баннер'!$B:$B=$A805,'Генеральный баннер'!$C:$C=$B805,'Генеральный баннер'!$I:$I=$C805)),"""")"),"")</f>
        <v/>
      </c>
      <c r="V805" s="92" t="str">
        <f t="shared" si="3"/>
        <v/>
      </c>
      <c r="W805" s="93">
        <f>IFERROR(__xludf.DUMMYFUNCTION("IFERROR(SWITCH(lower(join("" "",U805:V805)),""а миллионник"", 62.5,""б миллионник"", 75,""а мск"", 50, ""б мск"", 62.5, ""a остальное"", 70, ""б остальное"", 80)/100,0)"),0.0)</f>
        <v>0</v>
      </c>
      <c r="X805" s="91">
        <f t="shared" si="4"/>
        <v>0</v>
      </c>
    </row>
    <row r="806">
      <c r="A806" s="12"/>
      <c r="B806" s="12"/>
      <c r="C806" s="12"/>
      <c r="D806" s="91">
        <f>IFERROR(__xludf.DUMMYFUNCTION("IFERROR(sum(filter('Основной эфир'!$AA:$AA, 'Основной эфир'!$B:$B=$A806,'Основной эфир'!$C:$C=$B806,'Основной эфир'!$I:$I=$C806)), 0) "),0.0)</f>
        <v>0</v>
      </c>
      <c r="E806" s="91">
        <f>IFERROR(__xludf.DUMMYFUNCTION("IFERROR(sum(filter('Основной эфир'!$AC:$AC, 'Основной эфир'!$B:$B=$A806,'Основной эфир'!$C:$C=$B806,'Основной эфир'!$I:$I=$C806)), 0) "),0.0)</f>
        <v>0</v>
      </c>
      <c r="F806" s="91">
        <f>IFERROR(__xludf.DUMMYFUNCTION("IFERROR(sum(filter('Основной эфир'!$O:$O, 'Основной эфир'!$B:$B=$A806,'Основной эфир'!$C:$C=$B806,'Основной эфир'!$I:$I=$C806)), 0) "),0.0)</f>
        <v>0</v>
      </c>
      <c r="G806" s="91">
        <f>IFERROR(__xludf.DUMMYFUNCTION("IFERROR(sum(filter('Основной эфир'!$Q:$Q, 'Основной эфир'!$B:$B=$A806,'Основной эфир'!$C:$C=$B806,'Основной эфир'!$I:$I=$C806)), 0) "),0.0)</f>
        <v>0</v>
      </c>
      <c r="H806" s="91">
        <f>IFERROR(__xludf.DUMMYFUNCTION("IFERROR(AVERAGE(filter('Основной эфир'!$Y:$Y, 'Основной эфир'!$B:$B=$A806,'Основной эфир'!$C:$C=$B806,'Основной эфир'!$I:$I=$C806)), 0) "),0.0)</f>
        <v>0</v>
      </c>
      <c r="I806" s="91">
        <f>IFERROR(__xludf.DUMMYFUNCTION("IFERROR(AVERAGE(filter('Основной эфир'!$AE:$AE, 'Основной эфир'!$B:$B=$A806,'Основной эфир'!$C:$C=$B806,'Основной эфир'!$I:$I=$C806)), 0) "),0.0)</f>
        <v>0</v>
      </c>
      <c r="J806" s="91">
        <f>IFERROR(__xludf.DUMMYFUNCTION("IFERROR(SUM(filter('Основной эфир'!$AL:$AL, 'Основной эфир'!$B:$B=$A806,'Основной эфир'!$C:$C=$B806,'Основной эфир'!$I:$I=$C806)), 0) "),0.0)</f>
        <v>0</v>
      </c>
      <c r="K806" s="91" t="str">
        <f>IFERROR(__xludf.DUMMYFUNCTION("IFERROR(REGEXREPLACE(unique(filter('Основной эфир'!$A:$A, 'Основной эфир'!$B:$B=$A806,'Основной эфир'!$C:$C=$B806,'Основной эфир'!$I:$I=$C806)), ""\d+"", """"),"""")"),"")</f>
        <v/>
      </c>
      <c r="L806" s="91" t="str">
        <f>IFERROR(__xludf.DUMMYFUNCTION("IFERROR(unique(filter('Основной эфир'!$F:$F, 'Основной эфир'!$B:$B=$A806,'Основной эфир'!$C:$C=$B806,'Основной эфир'!$I:$I=$C806)),"""")"),"")</f>
        <v/>
      </c>
      <c r="M806" s="92" t="str">
        <f t="shared" si="1"/>
        <v/>
      </c>
      <c r="N806" s="93">
        <f>IFERROR(__xludf.DUMMYFUNCTION("IFERROR(SWITCH(lower(join("" "",L806:M806)),""а миллионник"", 62.5,""б миллионник"", 75,""а мск"", 50, ""б мск"", 62.5, ""a остальное"", 70, ""б остальное"", 80)/100,0)"),0.0)</f>
        <v>0</v>
      </c>
      <c r="O806" s="91">
        <f t="shared" si="2"/>
        <v>0</v>
      </c>
      <c r="P806" s="91">
        <f>IFERROR(__xludf.DUMMYFUNCTION("IFERROR(sum(filter('Генеральный баннер'!$O:$O, 'Генеральный баннер'!$B:$B=$A806,'Генеральный баннер'!$C:$C=$B806,'Генеральный баннер'!$I:$I=$C806)), 0) "),0.0)</f>
        <v>0</v>
      </c>
      <c r="Q806" s="91">
        <f>IFERROR(__xludf.DUMMYFUNCTION("IFERROR(sum(filter('Генеральный баннер'!$Q:$Q, 'Генеральный баннер'!$B:$B=$A806,'Генеральный баннер'!$C:$C=$B806,'Генеральный баннер'!$I:$I=$C806)), 0) "),0.0)</f>
        <v>0</v>
      </c>
      <c r="R806" s="91">
        <f>IFERROR(__xludf.DUMMYFUNCTION("IFERROR(AVERAGE(filter('Генеральный баннер'!$AA:$AA, 'Генеральный баннер'!$B:$B=$A806,'Генеральный баннер'!$C:$C=$B806,'Генеральный баннер'!$I:$I=$C806)), 0) "),0.0)</f>
        <v>0</v>
      </c>
      <c r="S806" s="91">
        <f>IFERROR(__xludf.DUMMYFUNCTION("IFERROR(SUM(filter('Генеральный баннер'!$AH:$AH, 'Генеральный баннер'!$B:$B=$A806,'Генеральный баннер'!$C:$C=$B806,'Генеральный баннер'!$I:$I=$C806)), 0) "),0.0)</f>
        <v>0</v>
      </c>
      <c r="T806" s="91" t="str">
        <f>IFERROR(__xludf.DUMMYFUNCTION("IFERROR(REGEXREPLACE(unique(filter('Генеральный баннер'!$A:$A, 'Генеральный баннер'!$B:$B=$A806,'Генеральный баннер'!$C:$C=$B806,'Генеральный баннер'!$I:$I=$C806)), ""\d+"", """"),"""")"),"")</f>
        <v/>
      </c>
      <c r="U806" s="91" t="str">
        <f>IFERROR(__xludf.DUMMYFUNCTION("IFERROR(unique(filter('Генеральный баннер'!$F:$F, 'Генеральный баннер'!$B:$B=$A806,'Генеральный баннер'!$C:$C=$B806,'Генеральный баннер'!$I:$I=$C806)),"""")"),"")</f>
        <v/>
      </c>
      <c r="V806" s="92" t="str">
        <f t="shared" si="3"/>
        <v/>
      </c>
      <c r="W806" s="93">
        <f>IFERROR(__xludf.DUMMYFUNCTION("IFERROR(SWITCH(lower(join("" "",U806:V806)),""а миллионник"", 62.5,""б миллионник"", 75,""а мск"", 50, ""б мск"", 62.5, ""a остальное"", 70, ""б остальное"", 80)/100,0)"),0.0)</f>
        <v>0</v>
      </c>
      <c r="X806" s="91">
        <f t="shared" si="4"/>
        <v>0</v>
      </c>
    </row>
    <row r="807">
      <c r="A807" s="12"/>
      <c r="B807" s="12"/>
      <c r="C807" s="12"/>
      <c r="D807" s="91">
        <f>IFERROR(__xludf.DUMMYFUNCTION("IFERROR(sum(filter('Основной эфир'!$AA:$AA, 'Основной эфир'!$B:$B=$A807,'Основной эфир'!$C:$C=$B807,'Основной эфир'!$I:$I=$C807)), 0) "),0.0)</f>
        <v>0</v>
      </c>
      <c r="E807" s="91">
        <f>IFERROR(__xludf.DUMMYFUNCTION("IFERROR(sum(filter('Основной эфир'!$AC:$AC, 'Основной эфир'!$B:$B=$A807,'Основной эфир'!$C:$C=$B807,'Основной эфир'!$I:$I=$C807)), 0) "),0.0)</f>
        <v>0</v>
      </c>
      <c r="F807" s="91">
        <f>IFERROR(__xludf.DUMMYFUNCTION("IFERROR(sum(filter('Основной эфир'!$O:$O, 'Основной эфир'!$B:$B=$A807,'Основной эфир'!$C:$C=$B807,'Основной эфир'!$I:$I=$C807)), 0) "),0.0)</f>
        <v>0</v>
      </c>
      <c r="G807" s="91">
        <f>IFERROR(__xludf.DUMMYFUNCTION("IFERROR(sum(filter('Основной эфир'!$Q:$Q, 'Основной эфир'!$B:$B=$A807,'Основной эфир'!$C:$C=$B807,'Основной эфир'!$I:$I=$C807)), 0) "),0.0)</f>
        <v>0</v>
      </c>
      <c r="H807" s="91">
        <f>IFERROR(__xludf.DUMMYFUNCTION("IFERROR(AVERAGE(filter('Основной эфир'!$Y:$Y, 'Основной эфир'!$B:$B=$A807,'Основной эфир'!$C:$C=$B807,'Основной эфир'!$I:$I=$C807)), 0) "),0.0)</f>
        <v>0</v>
      </c>
      <c r="I807" s="91">
        <f>IFERROR(__xludf.DUMMYFUNCTION("IFERROR(AVERAGE(filter('Основной эфир'!$AE:$AE, 'Основной эфир'!$B:$B=$A807,'Основной эфир'!$C:$C=$B807,'Основной эфир'!$I:$I=$C807)), 0) "),0.0)</f>
        <v>0</v>
      </c>
      <c r="J807" s="91">
        <f>IFERROR(__xludf.DUMMYFUNCTION("IFERROR(SUM(filter('Основной эфир'!$AL:$AL, 'Основной эфир'!$B:$B=$A807,'Основной эфир'!$C:$C=$B807,'Основной эфир'!$I:$I=$C807)), 0) "),0.0)</f>
        <v>0</v>
      </c>
      <c r="K807" s="91" t="str">
        <f>IFERROR(__xludf.DUMMYFUNCTION("IFERROR(REGEXREPLACE(unique(filter('Основной эфир'!$A:$A, 'Основной эфир'!$B:$B=$A807,'Основной эфир'!$C:$C=$B807,'Основной эфир'!$I:$I=$C807)), ""\d+"", """"),"""")"),"")</f>
        <v/>
      </c>
      <c r="L807" s="91" t="str">
        <f>IFERROR(__xludf.DUMMYFUNCTION("IFERROR(unique(filter('Основной эфир'!$F:$F, 'Основной эфир'!$B:$B=$A807,'Основной эфир'!$C:$C=$B807,'Основной эфир'!$I:$I=$C807)),"""")"),"")</f>
        <v/>
      </c>
      <c r="M807" s="92" t="str">
        <f t="shared" si="1"/>
        <v/>
      </c>
      <c r="N807" s="93">
        <f>IFERROR(__xludf.DUMMYFUNCTION("IFERROR(SWITCH(lower(join("" "",L807:M807)),""а миллионник"", 62.5,""б миллионник"", 75,""а мск"", 50, ""б мск"", 62.5, ""a остальное"", 70, ""б остальное"", 80)/100,0)"),0.0)</f>
        <v>0</v>
      </c>
      <c r="O807" s="91">
        <f t="shared" si="2"/>
        <v>0</v>
      </c>
      <c r="P807" s="91">
        <f>IFERROR(__xludf.DUMMYFUNCTION("IFERROR(sum(filter('Генеральный баннер'!$O:$O, 'Генеральный баннер'!$B:$B=$A807,'Генеральный баннер'!$C:$C=$B807,'Генеральный баннер'!$I:$I=$C807)), 0) "),0.0)</f>
        <v>0</v>
      </c>
      <c r="Q807" s="91">
        <f>IFERROR(__xludf.DUMMYFUNCTION("IFERROR(sum(filter('Генеральный баннер'!$Q:$Q, 'Генеральный баннер'!$B:$B=$A807,'Генеральный баннер'!$C:$C=$B807,'Генеральный баннер'!$I:$I=$C807)), 0) "),0.0)</f>
        <v>0</v>
      </c>
      <c r="R807" s="91">
        <f>IFERROR(__xludf.DUMMYFUNCTION("IFERROR(AVERAGE(filter('Генеральный баннер'!$AA:$AA, 'Генеральный баннер'!$B:$B=$A807,'Генеральный баннер'!$C:$C=$B807,'Генеральный баннер'!$I:$I=$C807)), 0) "),0.0)</f>
        <v>0</v>
      </c>
      <c r="S807" s="91">
        <f>IFERROR(__xludf.DUMMYFUNCTION("IFERROR(SUM(filter('Генеральный баннер'!$AH:$AH, 'Генеральный баннер'!$B:$B=$A807,'Генеральный баннер'!$C:$C=$B807,'Генеральный баннер'!$I:$I=$C807)), 0) "),0.0)</f>
        <v>0</v>
      </c>
      <c r="T807" s="91" t="str">
        <f>IFERROR(__xludf.DUMMYFUNCTION("IFERROR(REGEXREPLACE(unique(filter('Генеральный баннер'!$A:$A, 'Генеральный баннер'!$B:$B=$A807,'Генеральный баннер'!$C:$C=$B807,'Генеральный баннер'!$I:$I=$C807)), ""\d+"", """"),"""")"),"")</f>
        <v/>
      </c>
      <c r="U807" s="91" t="str">
        <f>IFERROR(__xludf.DUMMYFUNCTION("IFERROR(unique(filter('Генеральный баннер'!$F:$F, 'Генеральный баннер'!$B:$B=$A807,'Генеральный баннер'!$C:$C=$B807,'Генеральный баннер'!$I:$I=$C807)),"""")"),"")</f>
        <v/>
      </c>
      <c r="V807" s="92" t="str">
        <f t="shared" si="3"/>
        <v/>
      </c>
      <c r="W807" s="93">
        <f>IFERROR(__xludf.DUMMYFUNCTION("IFERROR(SWITCH(lower(join("" "",U807:V807)),""а миллионник"", 62.5,""б миллионник"", 75,""а мск"", 50, ""б мск"", 62.5, ""a остальное"", 70, ""б остальное"", 80)/100,0)"),0.0)</f>
        <v>0</v>
      </c>
      <c r="X807" s="91">
        <f t="shared" si="4"/>
        <v>0</v>
      </c>
    </row>
    <row r="808">
      <c r="A808" s="12"/>
      <c r="B808" s="12"/>
      <c r="C808" s="12"/>
      <c r="D808" s="91">
        <f>IFERROR(__xludf.DUMMYFUNCTION("IFERROR(sum(filter('Основной эфир'!$AA:$AA, 'Основной эфир'!$B:$B=$A808,'Основной эфир'!$C:$C=$B808,'Основной эфир'!$I:$I=$C808)), 0) "),0.0)</f>
        <v>0</v>
      </c>
      <c r="E808" s="91">
        <f>IFERROR(__xludf.DUMMYFUNCTION("IFERROR(sum(filter('Основной эфир'!$AC:$AC, 'Основной эфир'!$B:$B=$A808,'Основной эфир'!$C:$C=$B808,'Основной эфир'!$I:$I=$C808)), 0) "),0.0)</f>
        <v>0</v>
      </c>
      <c r="F808" s="91">
        <f>IFERROR(__xludf.DUMMYFUNCTION("IFERROR(sum(filter('Основной эфир'!$O:$O, 'Основной эфир'!$B:$B=$A808,'Основной эфир'!$C:$C=$B808,'Основной эфир'!$I:$I=$C808)), 0) "),0.0)</f>
        <v>0</v>
      </c>
      <c r="G808" s="91">
        <f>IFERROR(__xludf.DUMMYFUNCTION("IFERROR(sum(filter('Основной эфир'!$Q:$Q, 'Основной эфир'!$B:$B=$A808,'Основной эфир'!$C:$C=$B808,'Основной эфир'!$I:$I=$C808)), 0) "),0.0)</f>
        <v>0</v>
      </c>
      <c r="H808" s="91">
        <f>IFERROR(__xludf.DUMMYFUNCTION("IFERROR(AVERAGE(filter('Основной эфир'!$Y:$Y, 'Основной эфир'!$B:$B=$A808,'Основной эфир'!$C:$C=$B808,'Основной эфир'!$I:$I=$C808)), 0) "),0.0)</f>
        <v>0</v>
      </c>
      <c r="I808" s="91">
        <f>IFERROR(__xludf.DUMMYFUNCTION("IFERROR(AVERAGE(filter('Основной эфир'!$AE:$AE, 'Основной эфир'!$B:$B=$A808,'Основной эфир'!$C:$C=$B808,'Основной эфир'!$I:$I=$C808)), 0) "),0.0)</f>
        <v>0</v>
      </c>
      <c r="J808" s="91">
        <f>IFERROR(__xludf.DUMMYFUNCTION("IFERROR(SUM(filter('Основной эфир'!$AL:$AL, 'Основной эфир'!$B:$B=$A808,'Основной эфир'!$C:$C=$B808,'Основной эфир'!$I:$I=$C808)), 0) "),0.0)</f>
        <v>0</v>
      </c>
      <c r="K808" s="91" t="str">
        <f>IFERROR(__xludf.DUMMYFUNCTION("IFERROR(REGEXREPLACE(unique(filter('Основной эфир'!$A:$A, 'Основной эфир'!$B:$B=$A808,'Основной эфир'!$C:$C=$B808,'Основной эфир'!$I:$I=$C808)), ""\d+"", """"),"""")"),"")</f>
        <v/>
      </c>
      <c r="L808" s="91" t="str">
        <f>IFERROR(__xludf.DUMMYFUNCTION("IFERROR(unique(filter('Основной эфир'!$F:$F, 'Основной эфир'!$B:$B=$A808,'Основной эфир'!$C:$C=$B808,'Основной эфир'!$I:$I=$C808)),"""")"),"")</f>
        <v/>
      </c>
      <c r="M808" s="92" t="str">
        <f t="shared" si="1"/>
        <v/>
      </c>
      <c r="N808" s="93">
        <f>IFERROR(__xludf.DUMMYFUNCTION("IFERROR(SWITCH(lower(join("" "",L808:M808)),""а миллионник"", 62.5,""б миллионник"", 75,""а мск"", 50, ""б мск"", 62.5, ""a остальное"", 70, ""б остальное"", 80)/100,0)"),0.0)</f>
        <v>0</v>
      </c>
      <c r="O808" s="91">
        <f t="shared" si="2"/>
        <v>0</v>
      </c>
      <c r="P808" s="91">
        <f>IFERROR(__xludf.DUMMYFUNCTION("IFERROR(sum(filter('Генеральный баннер'!$O:$O, 'Генеральный баннер'!$B:$B=$A808,'Генеральный баннер'!$C:$C=$B808,'Генеральный баннер'!$I:$I=$C808)), 0) "),0.0)</f>
        <v>0</v>
      </c>
      <c r="Q808" s="91">
        <f>IFERROR(__xludf.DUMMYFUNCTION("IFERROR(sum(filter('Генеральный баннер'!$Q:$Q, 'Генеральный баннер'!$B:$B=$A808,'Генеральный баннер'!$C:$C=$B808,'Генеральный баннер'!$I:$I=$C808)), 0) "),0.0)</f>
        <v>0</v>
      </c>
      <c r="R808" s="91">
        <f>IFERROR(__xludf.DUMMYFUNCTION("IFERROR(AVERAGE(filter('Генеральный баннер'!$AA:$AA, 'Генеральный баннер'!$B:$B=$A808,'Генеральный баннер'!$C:$C=$B808,'Генеральный баннер'!$I:$I=$C808)), 0) "),0.0)</f>
        <v>0</v>
      </c>
      <c r="S808" s="91">
        <f>IFERROR(__xludf.DUMMYFUNCTION("IFERROR(SUM(filter('Генеральный баннер'!$AH:$AH, 'Генеральный баннер'!$B:$B=$A808,'Генеральный баннер'!$C:$C=$B808,'Генеральный баннер'!$I:$I=$C808)), 0) "),0.0)</f>
        <v>0</v>
      </c>
      <c r="T808" s="91" t="str">
        <f>IFERROR(__xludf.DUMMYFUNCTION("IFERROR(REGEXREPLACE(unique(filter('Генеральный баннер'!$A:$A, 'Генеральный баннер'!$B:$B=$A808,'Генеральный баннер'!$C:$C=$B808,'Генеральный баннер'!$I:$I=$C808)), ""\d+"", """"),"""")"),"")</f>
        <v/>
      </c>
      <c r="U808" s="91" t="str">
        <f>IFERROR(__xludf.DUMMYFUNCTION("IFERROR(unique(filter('Генеральный баннер'!$F:$F, 'Генеральный баннер'!$B:$B=$A808,'Генеральный баннер'!$C:$C=$B808,'Генеральный баннер'!$I:$I=$C808)),"""")"),"")</f>
        <v/>
      </c>
      <c r="V808" s="92" t="str">
        <f t="shared" si="3"/>
        <v/>
      </c>
      <c r="W808" s="93">
        <f>IFERROR(__xludf.DUMMYFUNCTION("IFERROR(SWITCH(lower(join("" "",U808:V808)),""а миллионник"", 62.5,""б миллионник"", 75,""а мск"", 50, ""б мск"", 62.5, ""a остальное"", 70, ""б остальное"", 80)/100,0)"),0.0)</f>
        <v>0</v>
      </c>
      <c r="X808" s="91">
        <f t="shared" si="4"/>
        <v>0</v>
      </c>
    </row>
    <row r="809">
      <c r="A809" s="12"/>
      <c r="B809" s="12"/>
      <c r="C809" s="12"/>
      <c r="D809" s="91">
        <f>IFERROR(__xludf.DUMMYFUNCTION("IFERROR(sum(filter('Основной эфир'!$AA:$AA, 'Основной эфир'!$B:$B=$A809,'Основной эфир'!$C:$C=$B809,'Основной эфир'!$I:$I=$C809)), 0) "),0.0)</f>
        <v>0</v>
      </c>
      <c r="E809" s="91">
        <f>IFERROR(__xludf.DUMMYFUNCTION("IFERROR(sum(filter('Основной эфир'!$AC:$AC, 'Основной эфир'!$B:$B=$A809,'Основной эфир'!$C:$C=$B809,'Основной эфир'!$I:$I=$C809)), 0) "),0.0)</f>
        <v>0</v>
      </c>
      <c r="F809" s="91">
        <f>IFERROR(__xludf.DUMMYFUNCTION("IFERROR(sum(filter('Основной эфир'!$O:$O, 'Основной эфир'!$B:$B=$A809,'Основной эфир'!$C:$C=$B809,'Основной эфир'!$I:$I=$C809)), 0) "),0.0)</f>
        <v>0</v>
      </c>
      <c r="G809" s="91">
        <f>IFERROR(__xludf.DUMMYFUNCTION("IFERROR(sum(filter('Основной эфир'!$Q:$Q, 'Основной эфир'!$B:$B=$A809,'Основной эфир'!$C:$C=$B809,'Основной эфир'!$I:$I=$C809)), 0) "),0.0)</f>
        <v>0</v>
      </c>
      <c r="H809" s="91">
        <f>IFERROR(__xludf.DUMMYFUNCTION("IFERROR(AVERAGE(filter('Основной эфир'!$Y:$Y, 'Основной эфир'!$B:$B=$A809,'Основной эфир'!$C:$C=$B809,'Основной эфир'!$I:$I=$C809)), 0) "),0.0)</f>
        <v>0</v>
      </c>
      <c r="I809" s="91">
        <f>IFERROR(__xludf.DUMMYFUNCTION("IFERROR(AVERAGE(filter('Основной эфир'!$AE:$AE, 'Основной эфир'!$B:$B=$A809,'Основной эфир'!$C:$C=$B809,'Основной эфир'!$I:$I=$C809)), 0) "),0.0)</f>
        <v>0</v>
      </c>
      <c r="J809" s="91">
        <f>IFERROR(__xludf.DUMMYFUNCTION("IFERROR(SUM(filter('Основной эфир'!$AL:$AL, 'Основной эфир'!$B:$B=$A809,'Основной эфир'!$C:$C=$B809,'Основной эфир'!$I:$I=$C809)), 0) "),0.0)</f>
        <v>0</v>
      </c>
      <c r="K809" s="91" t="str">
        <f>IFERROR(__xludf.DUMMYFUNCTION("IFERROR(REGEXREPLACE(unique(filter('Основной эфир'!$A:$A, 'Основной эфир'!$B:$B=$A809,'Основной эфир'!$C:$C=$B809,'Основной эфир'!$I:$I=$C809)), ""\d+"", """"),"""")"),"")</f>
        <v/>
      </c>
      <c r="L809" s="91" t="str">
        <f>IFERROR(__xludf.DUMMYFUNCTION("IFERROR(unique(filter('Основной эфир'!$F:$F, 'Основной эфир'!$B:$B=$A809,'Основной эфир'!$C:$C=$B809,'Основной эфир'!$I:$I=$C809)),"""")"),"")</f>
        <v/>
      </c>
      <c r="M809" s="92" t="str">
        <f t="shared" si="1"/>
        <v/>
      </c>
      <c r="N809" s="93">
        <f>IFERROR(__xludf.DUMMYFUNCTION("IFERROR(SWITCH(lower(join("" "",L809:M809)),""а миллионник"", 62.5,""б миллионник"", 75,""а мск"", 50, ""б мск"", 62.5, ""a остальное"", 70, ""б остальное"", 80)/100,0)"),0.0)</f>
        <v>0</v>
      </c>
      <c r="O809" s="91">
        <f t="shared" si="2"/>
        <v>0</v>
      </c>
      <c r="P809" s="91">
        <f>IFERROR(__xludf.DUMMYFUNCTION("IFERROR(sum(filter('Генеральный баннер'!$O:$O, 'Генеральный баннер'!$B:$B=$A809,'Генеральный баннер'!$C:$C=$B809,'Генеральный баннер'!$I:$I=$C809)), 0) "),0.0)</f>
        <v>0</v>
      </c>
      <c r="Q809" s="91">
        <f>IFERROR(__xludf.DUMMYFUNCTION("IFERROR(sum(filter('Генеральный баннер'!$Q:$Q, 'Генеральный баннер'!$B:$B=$A809,'Генеральный баннер'!$C:$C=$B809,'Генеральный баннер'!$I:$I=$C809)), 0) "),0.0)</f>
        <v>0</v>
      </c>
      <c r="R809" s="91">
        <f>IFERROR(__xludf.DUMMYFUNCTION("IFERROR(AVERAGE(filter('Генеральный баннер'!$AA:$AA, 'Генеральный баннер'!$B:$B=$A809,'Генеральный баннер'!$C:$C=$B809,'Генеральный баннер'!$I:$I=$C809)), 0) "),0.0)</f>
        <v>0</v>
      </c>
      <c r="S809" s="91">
        <f>IFERROR(__xludf.DUMMYFUNCTION("IFERROR(SUM(filter('Генеральный баннер'!$AH:$AH, 'Генеральный баннер'!$B:$B=$A809,'Генеральный баннер'!$C:$C=$B809,'Генеральный баннер'!$I:$I=$C809)), 0) "),0.0)</f>
        <v>0</v>
      </c>
      <c r="T809" s="91" t="str">
        <f>IFERROR(__xludf.DUMMYFUNCTION("IFERROR(REGEXREPLACE(unique(filter('Генеральный баннер'!$A:$A, 'Генеральный баннер'!$B:$B=$A809,'Генеральный баннер'!$C:$C=$B809,'Генеральный баннер'!$I:$I=$C809)), ""\d+"", """"),"""")"),"")</f>
        <v/>
      </c>
      <c r="U809" s="91" t="str">
        <f>IFERROR(__xludf.DUMMYFUNCTION("IFERROR(unique(filter('Генеральный баннер'!$F:$F, 'Генеральный баннер'!$B:$B=$A809,'Генеральный баннер'!$C:$C=$B809,'Генеральный баннер'!$I:$I=$C809)),"""")"),"")</f>
        <v/>
      </c>
      <c r="V809" s="92" t="str">
        <f t="shared" si="3"/>
        <v/>
      </c>
      <c r="W809" s="93">
        <f>IFERROR(__xludf.DUMMYFUNCTION("IFERROR(SWITCH(lower(join("" "",U809:V809)),""а миллионник"", 62.5,""б миллионник"", 75,""а мск"", 50, ""б мск"", 62.5, ""a остальное"", 70, ""б остальное"", 80)/100,0)"),0.0)</f>
        <v>0</v>
      </c>
      <c r="X809" s="91">
        <f t="shared" si="4"/>
        <v>0</v>
      </c>
    </row>
    <row r="810">
      <c r="A810" s="12"/>
      <c r="B810" s="12"/>
      <c r="C810" s="12"/>
      <c r="D810" s="91">
        <f>IFERROR(__xludf.DUMMYFUNCTION("IFERROR(sum(filter('Основной эфир'!$AA:$AA, 'Основной эфир'!$B:$B=$A810,'Основной эфир'!$C:$C=$B810,'Основной эфир'!$I:$I=$C810)), 0) "),0.0)</f>
        <v>0</v>
      </c>
      <c r="E810" s="91">
        <f>IFERROR(__xludf.DUMMYFUNCTION("IFERROR(sum(filter('Основной эфир'!$AC:$AC, 'Основной эфир'!$B:$B=$A810,'Основной эфир'!$C:$C=$B810,'Основной эфир'!$I:$I=$C810)), 0) "),0.0)</f>
        <v>0</v>
      </c>
      <c r="F810" s="91">
        <f>IFERROR(__xludf.DUMMYFUNCTION("IFERROR(sum(filter('Основной эфир'!$O:$O, 'Основной эфир'!$B:$B=$A810,'Основной эфир'!$C:$C=$B810,'Основной эфир'!$I:$I=$C810)), 0) "),0.0)</f>
        <v>0</v>
      </c>
      <c r="G810" s="91">
        <f>IFERROR(__xludf.DUMMYFUNCTION("IFERROR(sum(filter('Основной эфир'!$Q:$Q, 'Основной эфир'!$B:$B=$A810,'Основной эфир'!$C:$C=$B810,'Основной эфир'!$I:$I=$C810)), 0) "),0.0)</f>
        <v>0</v>
      </c>
      <c r="H810" s="91">
        <f>IFERROR(__xludf.DUMMYFUNCTION("IFERROR(AVERAGE(filter('Основной эфир'!$Y:$Y, 'Основной эфир'!$B:$B=$A810,'Основной эфир'!$C:$C=$B810,'Основной эфир'!$I:$I=$C810)), 0) "),0.0)</f>
        <v>0</v>
      </c>
      <c r="I810" s="91">
        <f>IFERROR(__xludf.DUMMYFUNCTION("IFERROR(AVERAGE(filter('Основной эфир'!$AE:$AE, 'Основной эфир'!$B:$B=$A810,'Основной эфир'!$C:$C=$B810,'Основной эфир'!$I:$I=$C810)), 0) "),0.0)</f>
        <v>0</v>
      </c>
      <c r="J810" s="91">
        <f>IFERROR(__xludf.DUMMYFUNCTION("IFERROR(SUM(filter('Основной эфир'!$AL:$AL, 'Основной эфир'!$B:$B=$A810,'Основной эфир'!$C:$C=$B810,'Основной эфир'!$I:$I=$C810)), 0) "),0.0)</f>
        <v>0</v>
      </c>
      <c r="K810" s="91" t="str">
        <f>IFERROR(__xludf.DUMMYFUNCTION("IFERROR(REGEXREPLACE(unique(filter('Основной эфир'!$A:$A, 'Основной эфир'!$B:$B=$A810,'Основной эфир'!$C:$C=$B810,'Основной эфир'!$I:$I=$C810)), ""\d+"", """"),"""")"),"")</f>
        <v/>
      </c>
      <c r="L810" s="91" t="str">
        <f>IFERROR(__xludf.DUMMYFUNCTION("IFERROR(unique(filter('Основной эфир'!$F:$F, 'Основной эфир'!$B:$B=$A810,'Основной эфир'!$C:$C=$B810,'Основной эфир'!$I:$I=$C810)),"""")"),"")</f>
        <v/>
      </c>
      <c r="M810" s="92" t="str">
        <f t="shared" si="1"/>
        <v/>
      </c>
      <c r="N810" s="93">
        <f>IFERROR(__xludf.DUMMYFUNCTION("IFERROR(SWITCH(lower(join("" "",L810:M810)),""а миллионник"", 62.5,""б миллионник"", 75,""а мск"", 50, ""б мск"", 62.5, ""a остальное"", 70, ""б остальное"", 80)/100,0)"),0.0)</f>
        <v>0</v>
      </c>
      <c r="O810" s="91">
        <f t="shared" si="2"/>
        <v>0</v>
      </c>
      <c r="P810" s="91">
        <f>IFERROR(__xludf.DUMMYFUNCTION("IFERROR(sum(filter('Генеральный баннер'!$O:$O, 'Генеральный баннер'!$B:$B=$A810,'Генеральный баннер'!$C:$C=$B810,'Генеральный баннер'!$I:$I=$C810)), 0) "),0.0)</f>
        <v>0</v>
      </c>
      <c r="Q810" s="91">
        <f>IFERROR(__xludf.DUMMYFUNCTION("IFERROR(sum(filter('Генеральный баннер'!$Q:$Q, 'Генеральный баннер'!$B:$B=$A810,'Генеральный баннер'!$C:$C=$B810,'Генеральный баннер'!$I:$I=$C810)), 0) "),0.0)</f>
        <v>0</v>
      </c>
      <c r="R810" s="91">
        <f>IFERROR(__xludf.DUMMYFUNCTION("IFERROR(AVERAGE(filter('Генеральный баннер'!$AA:$AA, 'Генеральный баннер'!$B:$B=$A810,'Генеральный баннер'!$C:$C=$B810,'Генеральный баннер'!$I:$I=$C810)), 0) "),0.0)</f>
        <v>0</v>
      </c>
      <c r="S810" s="91">
        <f>IFERROR(__xludf.DUMMYFUNCTION("IFERROR(SUM(filter('Генеральный баннер'!$AH:$AH, 'Генеральный баннер'!$B:$B=$A810,'Генеральный баннер'!$C:$C=$B810,'Генеральный баннер'!$I:$I=$C810)), 0) "),0.0)</f>
        <v>0</v>
      </c>
      <c r="T810" s="91" t="str">
        <f>IFERROR(__xludf.DUMMYFUNCTION("IFERROR(REGEXREPLACE(unique(filter('Генеральный баннер'!$A:$A, 'Генеральный баннер'!$B:$B=$A810,'Генеральный баннер'!$C:$C=$B810,'Генеральный баннер'!$I:$I=$C810)), ""\d+"", """"),"""")"),"")</f>
        <v/>
      </c>
      <c r="U810" s="91" t="str">
        <f>IFERROR(__xludf.DUMMYFUNCTION("IFERROR(unique(filter('Генеральный баннер'!$F:$F, 'Генеральный баннер'!$B:$B=$A810,'Генеральный баннер'!$C:$C=$B810,'Генеральный баннер'!$I:$I=$C810)),"""")"),"")</f>
        <v/>
      </c>
      <c r="V810" s="92" t="str">
        <f t="shared" si="3"/>
        <v/>
      </c>
      <c r="W810" s="93">
        <f>IFERROR(__xludf.DUMMYFUNCTION("IFERROR(SWITCH(lower(join("" "",U810:V810)),""а миллионник"", 62.5,""б миллионник"", 75,""а мск"", 50, ""б мск"", 62.5, ""a остальное"", 70, ""б остальное"", 80)/100,0)"),0.0)</f>
        <v>0</v>
      </c>
      <c r="X810" s="91">
        <f t="shared" si="4"/>
        <v>0</v>
      </c>
    </row>
    <row r="811">
      <c r="A811" s="12"/>
      <c r="B811" s="12"/>
      <c r="C811" s="12"/>
      <c r="D811" s="91">
        <f>IFERROR(__xludf.DUMMYFUNCTION("IFERROR(sum(filter('Основной эфир'!$AA:$AA, 'Основной эфир'!$B:$B=$A811,'Основной эфир'!$C:$C=$B811,'Основной эфир'!$I:$I=$C811)), 0) "),0.0)</f>
        <v>0</v>
      </c>
      <c r="E811" s="91">
        <f>IFERROR(__xludf.DUMMYFUNCTION("IFERROR(sum(filter('Основной эфир'!$AC:$AC, 'Основной эфир'!$B:$B=$A811,'Основной эфир'!$C:$C=$B811,'Основной эфир'!$I:$I=$C811)), 0) "),0.0)</f>
        <v>0</v>
      </c>
      <c r="F811" s="91">
        <f>IFERROR(__xludf.DUMMYFUNCTION("IFERROR(sum(filter('Основной эфир'!$O:$O, 'Основной эфир'!$B:$B=$A811,'Основной эфир'!$C:$C=$B811,'Основной эфир'!$I:$I=$C811)), 0) "),0.0)</f>
        <v>0</v>
      </c>
      <c r="G811" s="91">
        <f>IFERROR(__xludf.DUMMYFUNCTION("IFERROR(sum(filter('Основной эфир'!$Q:$Q, 'Основной эфир'!$B:$B=$A811,'Основной эфир'!$C:$C=$B811,'Основной эфир'!$I:$I=$C811)), 0) "),0.0)</f>
        <v>0</v>
      </c>
      <c r="H811" s="91">
        <f>IFERROR(__xludf.DUMMYFUNCTION("IFERROR(AVERAGE(filter('Основной эфир'!$Y:$Y, 'Основной эфир'!$B:$B=$A811,'Основной эфир'!$C:$C=$B811,'Основной эфир'!$I:$I=$C811)), 0) "),0.0)</f>
        <v>0</v>
      </c>
      <c r="I811" s="91">
        <f>IFERROR(__xludf.DUMMYFUNCTION("IFERROR(AVERAGE(filter('Основной эфир'!$AE:$AE, 'Основной эфир'!$B:$B=$A811,'Основной эфир'!$C:$C=$B811,'Основной эфир'!$I:$I=$C811)), 0) "),0.0)</f>
        <v>0</v>
      </c>
      <c r="J811" s="91">
        <f>IFERROR(__xludf.DUMMYFUNCTION("IFERROR(SUM(filter('Основной эфир'!$AL:$AL, 'Основной эфир'!$B:$B=$A811,'Основной эфир'!$C:$C=$B811,'Основной эфир'!$I:$I=$C811)), 0) "),0.0)</f>
        <v>0</v>
      </c>
      <c r="K811" s="91" t="str">
        <f>IFERROR(__xludf.DUMMYFUNCTION("IFERROR(REGEXREPLACE(unique(filter('Основной эфир'!$A:$A, 'Основной эфир'!$B:$B=$A811,'Основной эфир'!$C:$C=$B811,'Основной эфир'!$I:$I=$C811)), ""\d+"", """"),"""")"),"")</f>
        <v/>
      </c>
      <c r="L811" s="91" t="str">
        <f>IFERROR(__xludf.DUMMYFUNCTION("IFERROR(unique(filter('Основной эфир'!$F:$F, 'Основной эфир'!$B:$B=$A811,'Основной эфир'!$C:$C=$B811,'Основной эфир'!$I:$I=$C811)),"""")"),"")</f>
        <v/>
      </c>
      <c r="M811" s="92" t="str">
        <f t="shared" si="1"/>
        <v/>
      </c>
      <c r="N811" s="93">
        <f>IFERROR(__xludf.DUMMYFUNCTION("IFERROR(SWITCH(lower(join("" "",L811:M811)),""а миллионник"", 62.5,""б миллионник"", 75,""а мск"", 50, ""б мск"", 62.5, ""a остальное"", 70, ""б остальное"", 80)/100,0)"),0.0)</f>
        <v>0</v>
      </c>
      <c r="O811" s="91">
        <f t="shared" si="2"/>
        <v>0</v>
      </c>
      <c r="P811" s="91">
        <f>IFERROR(__xludf.DUMMYFUNCTION("IFERROR(sum(filter('Генеральный баннер'!$O:$O, 'Генеральный баннер'!$B:$B=$A811,'Генеральный баннер'!$C:$C=$B811,'Генеральный баннер'!$I:$I=$C811)), 0) "),0.0)</f>
        <v>0</v>
      </c>
      <c r="Q811" s="91">
        <f>IFERROR(__xludf.DUMMYFUNCTION("IFERROR(sum(filter('Генеральный баннер'!$Q:$Q, 'Генеральный баннер'!$B:$B=$A811,'Генеральный баннер'!$C:$C=$B811,'Генеральный баннер'!$I:$I=$C811)), 0) "),0.0)</f>
        <v>0</v>
      </c>
      <c r="R811" s="91">
        <f>IFERROR(__xludf.DUMMYFUNCTION("IFERROR(AVERAGE(filter('Генеральный баннер'!$AA:$AA, 'Генеральный баннер'!$B:$B=$A811,'Генеральный баннер'!$C:$C=$B811,'Генеральный баннер'!$I:$I=$C811)), 0) "),0.0)</f>
        <v>0</v>
      </c>
      <c r="S811" s="91">
        <f>IFERROR(__xludf.DUMMYFUNCTION("IFERROR(SUM(filter('Генеральный баннер'!$AH:$AH, 'Генеральный баннер'!$B:$B=$A811,'Генеральный баннер'!$C:$C=$B811,'Генеральный баннер'!$I:$I=$C811)), 0) "),0.0)</f>
        <v>0</v>
      </c>
      <c r="T811" s="91" t="str">
        <f>IFERROR(__xludf.DUMMYFUNCTION("IFERROR(REGEXREPLACE(unique(filter('Генеральный баннер'!$A:$A, 'Генеральный баннер'!$B:$B=$A811,'Генеральный баннер'!$C:$C=$B811,'Генеральный баннер'!$I:$I=$C811)), ""\d+"", """"),"""")"),"")</f>
        <v/>
      </c>
      <c r="U811" s="91" t="str">
        <f>IFERROR(__xludf.DUMMYFUNCTION("IFERROR(unique(filter('Генеральный баннер'!$F:$F, 'Генеральный баннер'!$B:$B=$A811,'Генеральный баннер'!$C:$C=$B811,'Генеральный баннер'!$I:$I=$C811)),"""")"),"")</f>
        <v/>
      </c>
      <c r="V811" s="92" t="str">
        <f t="shared" si="3"/>
        <v/>
      </c>
      <c r="W811" s="93">
        <f>IFERROR(__xludf.DUMMYFUNCTION("IFERROR(SWITCH(lower(join("" "",U811:V811)),""а миллионник"", 62.5,""б миллионник"", 75,""а мск"", 50, ""б мск"", 62.5, ""a остальное"", 70, ""б остальное"", 80)/100,0)"),0.0)</f>
        <v>0</v>
      </c>
      <c r="X811" s="91">
        <f t="shared" si="4"/>
        <v>0</v>
      </c>
    </row>
    <row r="812">
      <c r="A812" s="12"/>
      <c r="B812" s="12"/>
      <c r="C812" s="12"/>
      <c r="D812" s="91">
        <f>IFERROR(__xludf.DUMMYFUNCTION("IFERROR(sum(filter('Основной эфир'!$AA:$AA, 'Основной эфир'!$B:$B=$A812,'Основной эфир'!$C:$C=$B812,'Основной эфир'!$I:$I=$C812)), 0) "),0.0)</f>
        <v>0</v>
      </c>
      <c r="E812" s="91">
        <f>IFERROR(__xludf.DUMMYFUNCTION("IFERROR(sum(filter('Основной эфир'!$AC:$AC, 'Основной эфир'!$B:$B=$A812,'Основной эфир'!$C:$C=$B812,'Основной эфир'!$I:$I=$C812)), 0) "),0.0)</f>
        <v>0</v>
      </c>
      <c r="F812" s="91">
        <f>IFERROR(__xludf.DUMMYFUNCTION("IFERROR(sum(filter('Основной эфир'!$O:$O, 'Основной эфир'!$B:$B=$A812,'Основной эфир'!$C:$C=$B812,'Основной эфир'!$I:$I=$C812)), 0) "),0.0)</f>
        <v>0</v>
      </c>
      <c r="G812" s="91">
        <f>IFERROR(__xludf.DUMMYFUNCTION("IFERROR(sum(filter('Основной эфир'!$Q:$Q, 'Основной эфир'!$B:$B=$A812,'Основной эфир'!$C:$C=$B812,'Основной эфир'!$I:$I=$C812)), 0) "),0.0)</f>
        <v>0</v>
      </c>
      <c r="H812" s="91">
        <f>IFERROR(__xludf.DUMMYFUNCTION("IFERROR(AVERAGE(filter('Основной эфир'!$Y:$Y, 'Основной эфир'!$B:$B=$A812,'Основной эфир'!$C:$C=$B812,'Основной эфир'!$I:$I=$C812)), 0) "),0.0)</f>
        <v>0</v>
      </c>
      <c r="I812" s="91">
        <f>IFERROR(__xludf.DUMMYFUNCTION("IFERROR(AVERAGE(filter('Основной эфир'!$AE:$AE, 'Основной эфир'!$B:$B=$A812,'Основной эфир'!$C:$C=$B812,'Основной эфир'!$I:$I=$C812)), 0) "),0.0)</f>
        <v>0</v>
      </c>
      <c r="J812" s="91">
        <f>IFERROR(__xludf.DUMMYFUNCTION("IFERROR(SUM(filter('Основной эфир'!$AL:$AL, 'Основной эфир'!$B:$B=$A812,'Основной эфир'!$C:$C=$B812,'Основной эфир'!$I:$I=$C812)), 0) "),0.0)</f>
        <v>0</v>
      </c>
      <c r="K812" s="91" t="str">
        <f>IFERROR(__xludf.DUMMYFUNCTION("IFERROR(REGEXREPLACE(unique(filter('Основной эфир'!$A:$A, 'Основной эфир'!$B:$B=$A812,'Основной эфир'!$C:$C=$B812,'Основной эфир'!$I:$I=$C812)), ""\d+"", """"),"""")"),"")</f>
        <v/>
      </c>
      <c r="L812" s="91" t="str">
        <f>IFERROR(__xludf.DUMMYFUNCTION("IFERROR(unique(filter('Основной эфир'!$F:$F, 'Основной эфир'!$B:$B=$A812,'Основной эфир'!$C:$C=$B812,'Основной эфир'!$I:$I=$C812)),"""")"),"")</f>
        <v/>
      </c>
      <c r="M812" s="92" t="str">
        <f t="shared" si="1"/>
        <v/>
      </c>
      <c r="N812" s="93">
        <f>IFERROR(__xludf.DUMMYFUNCTION("IFERROR(SWITCH(lower(join("" "",L812:M812)),""а миллионник"", 62.5,""б миллионник"", 75,""а мск"", 50, ""б мск"", 62.5, ""a остальное"", 70, ""б остальное"", 80)/100,0)"),0.0)</f>
        <v>0</v>
      </c>
      <c r="O812" s="91">
        <f t="shared" si="2"/>
        <v>0</v>
      </c>
      <c r="P812" s="91">
        <f>IFERROR(__xludf.DUMMYFUNCTION("IFERROR(sum(filter('Генеральный баннер'!$O:$O, 'Генеральный баннер'!$B:$B=$A812,'Генеральный баннер'!$C:$C=$B812,'Генеральный баннер'!$I:$I=$C812)), 0) "),0.0)</f>
        <v>0</v>
      </c>
      <c r="Q812" s="91">
        <f>IFERROR(__xludf.DUMMYFUNCTION("IFERROR(sum(filter('Генеральный баннер'!$Q:$Q, 'Генеральный баннер'!$B:$B=$A812,'Генеральный баннер'!$C:$C=$B812,'Генеральный баннер'!$I:$I=$C812)), 0) "),0.0)</f>
        <v>0</v>
      </c>
      <c r="R812" s="91">
        <f>IFERROR(__xludf.DUMMYFUNCTION("IFERROR(AVERAGE(filter('Генеральный баннер'!$AA:$AA, 'Генеральный баннер'!$B:$B=$A812,'Генеральный баннер'!$C:$C=$B812,'Генеральный баннер'!$I:$I=$C812)), 0) "),0.0)</f>
        <v>0</v>
      </c>
      <c r="S812" s="91">
        <f>IFERROR(__xludf.DUMMYFUNCTION("IFERROR(SUM(filter('Генеральный баннер'!$AH:$AH, 'Генеральный баннер'!$B:$B=$A812,'Генеральный баннер'!$C:$C=$B812,'Генеральный баннер'!$I:$I=$C812)), 0) "),0.0)</f>
        <v>0</v>
      </c>
      <c r="T812" s="91" t="str">
        <f>IFERROR(__xludf.DUMMYFUNCTION("IFERROR(REGEXREPLACE(unique(filter('Генеральный баннер'!$A:$A, 'Генеральный баннер'!$B:$B=$A812,'Генеральный баннер'!$C:$C=$B812,'Генеральный баннер'!$I:$I=$C812)), ""\d+"", """"),"""")"),"")</f>
        <v/>
      </c>
      <c r="U812" s="91" t="str">
        <f>IFERROR(__xludf.DUMMYFUNCTION("IFERROR(unique(filter('Генеральный баннер'!$F:$F, 'Генеральный баннер'!$B:$B=$A812,'Генеральный баннер'!$C:$C=$B812,'Генеральный баннер'!$I:$I=$C812)),"""")"),"")</f>
        <v/>
      </c>
      <c r="V812" s="92" t="str">
        <f t="shared" si="3"/>
        <v/>
      </c>
      <c r="W812" s="93">
        <f>IFERROR(__xludf.DUMMYFUNCTION("IFERROR(SWITCH(lower(join("" "",U812:V812)),""а миллионник"", 62.5,""б миллионник"", 75,""а мск"", 50, ""б мск"", 62.5, ""a остальное"", 70, ""б остальное"", 80)/100,0)"),0.0)</f>
        <v>0</v>
      </c>
      <c r="X812" s="91">
        <f t="shared" si="4"/>
        <v>0</v>
      </c>
    </row>
    <row r="813">
      <c r="A813" s="12"/>
      <c r="B813" s="12"/>
      <c r="C813" s="12"/>
      <c r="D813" s="91">
        <f>IFERROR(__xludf.DUMMYFUNCTION("IFERROR(sum(filter('Основной эфир'!$AA:$AA, 'Основной эфир'!$B:$B=$A813,'Основной эфир'!$C:$C=$B813,'Основной эфир'!$I:$I=$C813)), 0) "),0.0)</f>
        <v>0</v>
      </c>
      <c r="E813" s="91">
        <f>IFERROR(__xludf.DUMMYFUNCTION("IFERROR(sum(filter('Основной эфир'!$AC:$AC, 'Основной эфир'!$B:$B=$A813,'Основной эфир'!$C:$C=$B813,'Основной эфир'!$I:$I=$C813)), 0) "),0.0)</f>
        <v>0</v>
      </c>
      <c r="F813" s="91">
        <f>IFERROR(__xludf.DUMMYFUNCTION("IFERROR(sum(filter('Основной эфир'!$O:$O, 'Основной эфир'!$B:$B=$A813,'Основной эфир'!$C:$C=$B813,'Основной эфир'!$I:$I=$C813)), 0) "),0.0)</f>
        <v>0</v>
      </c>
      <c r="G813" s="91">
        <f>IFERROR(__xludf.DUMMYFUNCTION("IFERROR(sum(filter('Основной эфир'!$Q:$Q, 'Основной эфир'!$B:$B=$A813,'Основной эфир'!$C:$C=$B813,'Основной эфир'!$I:$I=$C813)), 0) "),0.0)</f>
        <v>0</v>
      </c>
      <c r="H813" s="91">
        <f>IFERROR(__xludf.DUMMYFUNCTION("IFERROR(AVERAGE(filter('Основной эфир'!$Y:$Y, 'Основной эфир'!$B:$B=$A813,'Основной эфир'!$C:$C=$B813,'Основной эфир'!$I:$I=$C813)), 0) "),0.0)</f>
        <v>0</v>
      </c>
      <c r="I813" s="91">
        <f>IFERROR(__xludf.DUMMYFUNCTION("IFERROR(AVERAGE(filter('Основной эфир'!$AE:$AE, 'Основной эфир'!$B:$B=$A813,'Основной эфир'!$C:$C=$B813,'Основной эфир'!$I:$I=$C813)), 0) "),0.0)</f>
        <v>0</v>
      </c>
      <c r="J813" s="91">
        <f>IFERROR(__xludf.DUMMYFUNCTION("IFERROR(SUM(filter('Основной эфир'!$AL:$AL, 'Основной эфир'!$B:$B=$A813,'Основной эфир'!$C:$C=$B813,'Основной эфир'!$I:$I=$C813)), 0) "),0.0)</f>
        <v>0</v>
      </c>
      <c r="K813" s="91" t="str">
        <f>IFERROR(__xludf.DUMMYFUNCTION("IFERROR(REGEXREPLACE(unique(filter('Основной эфир'!$A:$A, 'Основной эфир'!$B:$B=$A813,'Основной эфир'!$C:$C=$B813,'Основной эфир'!$I:$I=$C813)), ""\d+"", """"),"""")"),"")</f>
        <v/>
      </c>
      <c r="L813" s="91" t="str">
        <f>IFERROR(__xludf.DUMMYFUNCTION("IFERROR(unique(filter('Основной эфир'!$F:$F, 'Основной эфир'!$B:$B=$A813,'Основной эфир'!$C:$C=$B813,'Основной эфир'!$I:$I=$C813)),"""")"),"")</f>
        <v/>
      </c>
      <c r="M813" s="92" t="str">
        <f t="shared" si="1"/>
        <v/>
      </c>
      <c r="N813" s="93">
        <f>IFERROR(__xludf.DUMMYFUNCTION("IFERROR(SWITCH(lower(join("" "",L813:M813)),""а миллионник"", 62.5,""б миллионник"", 75,""а мск"", 50, ""б мск"", 62.5, ""a остальное"", 70, ""б остальное"", 80)/100,0)"),0.0)</f>
        <v>0</v>
      </c>
      <c r="O813" s="91">
        <f t="shared" si="2"/>
        <v>0</v>
      </c>
      <c r="P813" s="91">
        <f>IFERROR(__xludf.DUMMYFUNCTION("IFERROR(sum(filter('Генеральный баннер'!$O:$O, 'Генеральный баннер'!$B:$B=$A813,'Генеральный баннер'!$C:$C=$B813,'Генеральный баннер'!$I:$I=$C813)), 0) "),0.0)</f>
        <v>0</v>
      </c>
      <c r="Q813" s="91">
        <f>IFERROR(__xludf.DUMMYFUNCTION("IFERROR(sum(filter('Генеральный баннер'!$Q:$Q, 'Генеральный баннер'!$B:$B=$A813,'Генеральный баннер'!$C:$C=$B813,'Генеральный баннер'!$I:$I=$C813)), 0) "),0.0)</f>
        <v>0</v>
      </c>
      <c r="R813" s="91">
        <f>IFERROR(__xludf.DUMMYFUNCTION("IFERROR(AVERAGE(filter('Генеральный баннер'!$AA:$AA, 'Генеральный баннер'!$B:$B=$A813,'Генеральный баннер'!$C:$C=$B813,'Генеральный баннер'!$I:$I=$C813)), 0) "),0.0)</f>
        <v>0</v>
      </c>
      <c r="S813" s="91">
        <f>IFERROR(__xludf.DUMMYFUNCTION("IFERROR(SUM(filter('Генеральный баннер'!$AH:$AH, 'Генеральный баннер'!$B:$B=$A813,'Генеральный баннер'!$C:$C=$B813,'Генеральный баннер'!$I:$I=$C813)), 0) "),0.0)</f>
        <v>0</v>
      </c>
      <c r="T813" s="91" t="str">
        <f>IFERROR(__xludf.DUMMYFUNCTION("IFERROR(REGEXREPLACE(unique(filter('Генеральный баннер'!$A:$A, 'Генеральный баннер'!$B:$B=$A813,'Генеральный баннер'!$C:$C=$B813,'Генеральный баннер'!$I:$I=$C813)), ""\d+"", """"),"""")"),"")</f>
        <v/>
      </c>
      <c r="U813" s="91" t="str">
        <f>IFERROR(__xludf.DUMMYFUNCTION("IFERROR(unique(filter('Генеральный баннер'!$F:$F, 'Генеральный баннер'!$B:$B=$A813,'Генеральный баннер'!$C:$C=$B813,'Генеральный баннер'!$I:$I=$C813)),"""")"),"")</f>
        <v/>
      </c>
      <c r="V813" s="92" t="str">
        <f t="shared" si="3"/>
        <v/>
      </c>
      <c r="W813" s="93">
        <f>IFERROR(__xludf.DUMMYFUNCTION("IFERROR(SWITCH(lower(join("" "",U813:V813)),""а миллионник"", 62.5,""б миллионник"", 75,""а мск"", 50, ""б мск"", 62.5, ""a остальное"", 70, ""б остальное"", 80)/100,0)"),0.0)</f>
        <v>0</v>
      </c>
      <c r="X813" s="91">
        <f t="shared" si="4"/>
        <v>0</v>
      </c>
    </row>
    <row r="814">
      <c r="A814" s="12"/>
      <c r="B814" s="12"/>
      <c r="C814" s="12"/>
      <c r="D814" s="91">
        <f>IFERROR(__xludf.DUMMYFUNCTION("IFERROR(sum(filter('Основной эфир'!$AA:$AA, 'Основной эфир'!$B:$B=$A814,'Основной эфир'!$C:$C=$B814,'Основной эфир'!$I:$I=$C814)), 0) "),0.0)</f>
        <v>0</v>
      </c>
      <c r="E814" s="91">
        <f>IFERROR(__xludf.DUMMYFUNCTION("IFERROR(sum(filter('Основной эфир'!$AC:$AC, 'Основной эфир'!$B:$B=$A814,'Основной эфир'!$C:$C=$B814,'Основной эфир'!$I:$I=$C814)), 0) "),0.0)</f>
        <v>0</v>
      </c>
      <c r="F814" s="91">
        <f>IFERROR(__xludf.DUMMYFUNCTION("IFERROR(sum(filter('Основной эфир'!$O:$O, 'Основной эфир'!$B:$B=$A814,'Основной эфир'!$C:$C=$B814,'Основной эфир'!$I:$I=$C814)), 0) "),0.0)</f>
        <v>0</v>
      </c>
      <c r="G814" s="91">
        <f>IFERROR(__xludf.DUMMYFUNCTION("IFERROR(sum(filter('Основной эфир'!$Q:$Q, 'Основной эфир'!$B:$B=$A814,'Основной эфир'!$C:$C=$B814,'Основной эфир'!$I:$I=$C814)), 0) "),0.0)</f>
        <v>0</v>
      </c>
      <c r="H814" s="91">
        <f>IFERROR(__xludf.DUMMYFUNCTION("IFERROR(AVERAGE(filter('Основной эфир'!$Y:$Y, 'Основной эфир'!$B:$B=$A814,'Основной эфир'!$C:$C=$B814,'Основной эфир'!$I:$I=$C814)), 0) "),0.0)</f>
        <v>0</v>
      </c>
      <c r="I814" s="91">
        <f>IFERROR(__xludf.DUMMYFUNCTION("IFERROR(AVERAGE(filter('Основной эфир'!$AE:$AE, 'Основной эфир'!$B:$B=$A814,'Основной эфир'!$C:$C=$B814,'Основной эфир'!$I:$I=$C814)), 0) "),0.0)</f>
        <v>0</v>
      </c>
      <c r="J814" s="91">
        <f>IFERROR(__xludf.DUMMYFUNCTION("IFERROR(SUM(filter('Основной эфир'!$AL:$AL, 'Основной эфир'!$B:$B=$A814,'Основной эфир'!$C:$C=$B814,'Основной эфир'!$I:$I=$C814)), 0) "),0.0)</f>
        <v>0</v>
      </c>
      <c r="K814" s="91" t="str">
        <f>IFERROR(__xludf.DUMMYFUNCTION("IFERROR(REGEXREPLACE(unique(filter('Основной эфир'!$A:$A, 'Основной эфир'!$B:$B=$A814,'Основной эфир'!$C:$C=$B814,'Основной эфир'!$I:$I=$C814)), ""\d+"", """"),"""")"),"")</f>
        <v/>
      </c>
      <c r="L814" s="91" t="str">
        <f>IFERROR(__xludf.DUMMYFUNCTION("IFERROR(unique(filter('Основной эфир'!$F:$F, 'Основной эфир'!$B:$B=$A814,'Основной эфир'!$C:$C=$B814,'Основной эфир'!$I:$I=$C814)),"""")"),"")</f>
        <v/>
      </c>
      <c r="M814" s="92" t="str">
        <f t="shared" si="1"/>
        <v/>
      </c>
      <c r="N814" s="93">
        <f>IFERROR(__xludf.DUMMYFUNCTION("IFERROR(SWITCH(lower(join("" "",L814:M814)),""а миллионник"", 62.5,""б миллионник"", 75,""а мск"", 50, ""б мск"", 62.5, ""a остальное"", 70, ""б остальное"", 80)/100,0)"),0.0)</f>
        <v>0</v>
      </c>
      <c r="O814" s="91">
        <f t="shared" si="2"/>
        <v>0</v>
      </c>
      <c r="P814" s="91">
        <f>IFERROR(__xludf.DUMMYFUNCTION("IFERROR(sum(filter('Генеральный баннер'!$O:$O, 'Генеральный баннер'!$B:$B=$A814,'Генеральный баннер'!$C:$C=$B814,'Генеральный баннер'!$I:$I=$C814)), 0) "),0.0)</f>
        <v>0</v>
      </c>
      <c r="Q814" s="91">
        <f>IFERROR(__xludf.DUMMYFUNCTION("IFERROR(sum(filter('Генеральный баннер'!$Q:$Q, 'Генеральный баннер'!$B:$B=$A814,'Генеральный баннер'!$C:$C=$B814,'Генеральный баннер'!$I:$I=$C814)), 0) "),0.0)</f>
        <v>0</v>
      </c>
      <c r="R814" s="91">
        <f>IFERROR(__xludf.DUMMYFUNCTION("IFERROR(AVERAGE(filter('Генеральный баннер'!$AA:$AA, 'Генеральный баннер'!$B:$B=$A814,'Генеральный баннер'!$C:$C=$B814,'Генеральный баннер'!$I:$I=$C814)), 0) "),0.0)</f>
        <v>0</v>
      </c>
      <c r="S814" s="91">
        <f>IFERROR(__xludf.DUMMYFUNCTION("IFERROR(SUM(filter('Генеральный баннер'!$AH:$AH, 'Генеральный баннер'!$B:$B=$A814,'Генеральный баннер'!$C:$C=$B814,'Генеральный баннер'!$I:$I=$C814)), 0) "),0.0)</f>
        <v>0</v>
      </c>
      <c r="T814" s="91" t="str">
        <f>IFERROR(__xludf.DUMMYFUNCTION("IFERROR(REGEXREPLACE(unique(filter('Генеральный баннер'!$A:$A, 'Генеральный баннер'!$B:$B=$A814,'Генеральный баннер'!$C:$C=$B814,'Генеральный баннер'!$I:$I=$C814)), ""\d+"", """"),"""")"),"")</f>
        <v/>
      </c>
      <c r="U814" s="91" t="str">
        <f>IFERROR(__xludf.DUMMYFUNCTION("IFERROR(unique(filter('Генеральный баннер'!$F:$F, 'Генеральный баннер'!$B:$B=$A814,'Генеральный баннер'!$C:$C=$B814,'Генеральный баннер'!$I:$I=$C814)),"""")"),"")</f>
        <v/>
      </c>
      <c r="V814" s="92" t="str">
        <f t="shared" si="3"/>
        <v/>
      </c>
      <c r="W814" s="93">
        <f>IFERROR(__xludf.DUMMYFUNCTION("IFERROR(SWITCH(lower(join("" "",U814:V814)),""а миллионник"", 62.5,""б миллионник"", 75,""а мск"", 50, ""б мск"", 62.5, ""a остальное"", 70, ""б остальное"", 80)/100,0)"),0.0)</f>
        <v>0</v>
      </c>
      <c r="X814" s="91">
        <f t="shared" si="4"/>
        <v>0</v>
      </c>
    </row>
    <row r="815">
      <c r="A815" s="12"/>
      <c r="B815" s="12"/>
      <c r="C815" s="12"/>
      <c r="D815" s="91">
        <f>IFERROR(__xludf.DUMMYFUNCTION("IFERROR(sum(filter('Основной эфир'!$AA:$AA, 'Основной эфир'!$B:$B=$A815,'Основной эфир'!$C:$C=$B815,'Основной эфир'!$I:$I=$C815)), 0) "),0.0)</f>
        <v>0</v>
      </c>
      <c r="E815" s="91">
        <f>IFERROR(__xludf.DUMMYFUNCTION("IFERROR(sum(filter('Основной эфир'!$AC:$AC, 'Основной эфир'!$B:$B=$A815,'Основной эфир'!$C:$C=$B815,'Основной эфир'!$I:$I=$C815)), 0) "),0.0)</f>
        <v>0</v>
      </c>
      <c r="F815" s="91">
        <f>IFERROR(__xludf.DUMMYFUNCTION("IFERROR(sum(filter('Основной эфир'!$O:$O, 'Основной эфир'!$B:$B=$A815,'Основной эфир'!$C:$C=$B815,'Основной эфир'!$I:$I=$C815)), 0) "),0.0)</f>
        <v>0</v>
      </c>
      <c r="G815" s="91">
        <f>IFERROR(__xludf.DUMMYFUNCTION("IFERROR(sum(filter('Основной эфир'!$Q:$Q, 'Основной эфир'!$B:$B=$A815,'Основной эфир'!$C:$C=$B815,'Основной эфир'!$I:$I=$C815)), 0) "),0.0)</f>
        <v>0</v>
      </c>
      <c r="H815" s="91">
        <f>IFERROR(__xludf.DUMMYFUNCTION("IFERROR(AVERAGE(filter('Основной эфир'!$Y:$Y, 'Основной эфир'!$B:$B=$A815,'Основной эфир'!$C:$C=$B815,'Основной эфир'!$I:$I=$C815)), 0) "),0.0)</f>
        <v>0</v>
      </c>
      <c r="I815" s="91">
        <f>IFERROR(__xludf.DUMMYFUNCTION("IFERROR(AVERAGE(filter('Основной эфир'!$AE:$AE, 'Основной эфир'!$B:$B=$A815,'Основной эфир'!$C:$C=$B815,'Основной эфир'!$I:$I=$C815)), 0) "),0.0)</f>
        <v>0</v>
      </c>
      <c r="J815" s="91">
        <f>IFERROR(__xludf.DUMMYFUNCTION("IFERROR(SUM(filter('Основной эфир'!$AL:$AL, 'Основной эфир'!$B:$B=$A815,'Основной эфир'!$C:$C=$B815,'Основной эфир'!$I:$I=$C815)), 0) "),0.0)</f>
        <v>0</v>
      </c>
      <c r="K815" s="91" t="str">
        <f>IFERROR(__xludf.DUMMYFUNCTION("IFERROR(REGEXREPLACE(unique(filter('Основной эфир'!$A:$A, 'Основной эфир'!$B:$B=$A815,'Основной эфир'!$C:$C=$B815,'Основной эфир'!$I:$I=$C815)), ""\d+"", """"),"""")"),"")</f>
        <v/>
      </c>
      <c r="L815" s="91" t="str">
        <f>IFERROR(__xludf.DUMMYFUNCTION("IFERROR(unique(filter('Основной эфир'!$F:$F, 'Основной эфир'!$B:$B=$A815,'Основной эфир'!$C:$C=$B815,'Основной эфир'!$I:$I=$C815)),"""")"),"")</f>
        <v/>
      </c>
      <c r="M815" s="92" t="str">
        <f t="shared" si="1"/>
        <v/>
      </c>
      <c r="N815" s="93">
        <f>IFERROR(__xludf.DUMMYFUNCTION("IFERROR(SWITCH(lower(join("" "",L815:M815)),""а миллионник"", 62.5,""б миллионник"", 75,""а мск"", 50, ""б мск"", 62.5, ""a остальное"", 70, ""б остальное"", 80)/100,0)"),0.0)</f>
        <v>0</v>
      </c>
      <c r="O815" s="91">
        <f t="shared" si="2"/>
        <v>0</v>
      </c>
      <c r="P815" s="91">
        <f>IFERROR(__xludf.DUMMYFUNCTION("IFERROR(sum(filter('Генеральный баннер'!$O:$O, 'Генеральный баннер'!$B:$B=$A815,'Генеральный баннер'!$C:$C=$B815,'Генеральный баннер'!$I:$I=$C815)), 0) "),0.0)</f>
        <v>0</v>
      </c>
      <c r="Q815" s="91">
        <f>IFERROR(__xludf.DUMMYFUNCTION("IFERROR(sum(filter('Генеральный баннер'!$Q:$Q, 'Генеральный баннер'!$B:$B=$A815,'Генеральный баннер'!$C:$C=$B815,'Генеральный баннер'!$I:$I=$C815)), 0) "),0.0)</f>
        <v>0</v>
      </c>
      <c r="R815" s="91">
        <f>IFERROR(__xludf.DUMMYFUNCTION("IFERROR(AVERAGE(filter('Генеральный баннер'!$AA:$AA, 'Генеральный баннер'!$B:$B=$A815,'Генеральный баннер'!$C:$C=$B815,'Генеральный баннер'!$I:$I=$C815)), 0) "),0.0)</f>
        <v>0</v>
      </c>
      <c r="S815" s="91">
        <f>IFERROR(__xludf.DUMMYFUNCTION("IFERROR(SUM(filter('Генеральный баннер'!$AH:$AH, 'Генеральный баннер'!$B:$B=$A815,'Генеральный баннер'!$C:$C=$B815,'Генеральный баннер'!$I:$I=$C815)), 0) "),0.0)</f>
        <v>0</v>
      </c>
      <c r="T815" s="91" t="str">
        <f>IFERROR(__xludf.DUMMYFUNCTION("IFERROR(REGEXREPLACE(unique(filter('Генеральный баннер'!$A:$A, 'Генеральный баннер'!$B:$B=$A815,'Генеральный баннер'!$C:$C=$B815,'Генеральный баннер'!$I:$I=$C815)), ""\d+"", """"),"""")"),"")</f>
        <v/>
      </c>
      <c r="U815" s="91" t="str">
        <f>IFERROR(__xludf.DUMMYFUNCTION("IFERROR(unique(filter('Генеральный баннер'!$F:$F, 'Генеральный баннер'!$B:$B=$A815,'Генеральный баннер'!$C:$C=$B815,'Генеральный баннер'!$I:$I=$C815)),"""")"),"")</f>
        <v/>
      </c>
      <c r="V815" s="92" t="str">
        <f t="shared" si="3"/>
        <v/>
      </c>
      <c r="W815" s="93">
        <f>IFERROR(__xludf.DUMMYFUNCTION("IFERROR(SWITCH(lower(join("" "",U815:V815)),""а миллионник"", 62.5,""б миллионник"", 75,""а мск"", 50, ""б мск"", 62.5, ""a остальное"", 70, ""б остальное"", 80)/100,0)"),0.0)</f>
        <v>0</v>
      </c>
      <c r="X815" s="91">
        <f t="shared" si="4"/>
        <v>0</v>
      </c>
    </row>
    <row r="816">
      <c r="A816" s="12"/>
      <c r="B816" s="12"/>
      <c r="C816" s="12"/>
      <c r="D816" s="91">
        <f>IFERROR(__xludf.DUMMYFUNCTION("IFERROR(sum(filter('Основной эфир'!$AA:$AA, 'Основной эфир'!$B:$B=$A816,'Основной эфир'!$C:$C=$B816,'Основной эфир'!$I:$I=$C816)), 0) "),0.0)</f>
        <v>0</v>
      </c>
      <c r="E816" s="91">
        <f>IFERROR(__xludf.DUMMYFUNCTION("IFERROR(sum(filter('Основной эфир'!$AC:$AC, 'Основной эфир'!$B:$B=$A816,'Основной эфир'!$C:$C=$B816,'Основной эфир'!$I:$I=$C816)), 0) "),0.0)</f>
        <v>0</v>
      </c>
      <c r="F816" s="91">
        <f>IFERROR(__xludf.DUMMYFUNCTION("IFERROR(sum(filter('Основной эфир'!$O:$O, 'Основной эфир'!$B:$B=$A816,'Основной эфир'!$C:$C=$B816,'Основной эфир'!$I:$I=$C816)), 0) "),0.0)</f>
        <v>0</v>
      </c>
      <c r="G816" s="91">
        <f>IFERROR(__xludf.DUMMYFUNCTION("IFERROR(sum(filter('Основной эфир'!$Q:$Q, 'Основной эфир'!$B:$B=$A816,'Основной эфир'!$C:$C=$B816,'Основной эфир'!$I:$I=$C816)), 0) "),0.0)</f>
        <v>0</v>
      </c>
      <c r="H816" s="91">
        <f>IFERROR(__xludf.DUMMYFUNCTION("IFERROR(AVERAGE(filter('Основной эфир'!$Y:$Y, 'Основной эфир'!$B:$B=$A816,'Основной эфир'!$C:$C=$B816,'Основной эфир'!$I:$I=$C816)), 0) "),0.0)</f>
        <v>0</v>
      </c>
      <c r="I816" s="91">
        <f>IFERROR(__xludf.DUMMYFUNCTION("IFERROR(AVERAGE(filter('Основной эфир'!$AE:$AE, 'Основной эфир'!$B:$B=$A816,'Основной эфир'!$C:$C=$B816,'Основной эфир'!$I:$I=$C816)), 0) "),0.0)</f>
        <v>0</v>
      </c>
      <c r="J816" s="91">
        <f>IFERROR(__xludf.DUMMYFUNCTION("IFERROR(SUM(filter('Основной эфир'!$AL:$AL, 'Основной эфир'!$B:$B=$A816,'Основной эфир'!$C:$C=$B816,'Основной эфир'!$I:$I=$C816)), 0) "),0.0)</f>
        <v>0</v>
      </c>
      <c r="K816" s="91" t="str">
        <f>IFERROR(__xludf.DUMMYFUNCTION("IFERROR(REGEXREPLACE(unique(filter('Основной эфир'!$A:$A, 'Основной эфир'!$B:$B=$A816,'Основной эфир'!$C:$C=$B816,'Основной эфир'!$I:$I=$C816)), ""\d+"", """"),"""")"),"")</f>
        <v/>
      </c>
      <c r="L816" s="91" t="str">
        <f>IFERROR(__xludf.DUMMYFUNCTION("IFERROR(unique(filter('Основной эфир'!$F:$F, 'Основной эфир'!$B:$B=$A816,'Основной эфир'!$C:$C=$B816,'Основной эфир'!$I:$I=$C816)),"""")"),"")</f>
        <v/>
      </c>
      <c r="M816" s="92" t="str">
        <f t="shared" si="1"/>
        <v/>
      </c>
      <c r="N816" s="93">
        <f>IFERROR(__xludf.DUMMYFUNCTION("IFERROR(SWITCH(lower(join("" "",L816:M816)),""а миллионник"", 62.5,""б миллионник"", 75,""а мск"", 50, ""б мск"", 62.5, ""a остальное"", 70, ""б остальное"", 80)/100,0)"),0.0)</f>
        <v>0</v>
      </c>
      <c r="O816" s="91">
        <f t="shared" si="2"/>
        <v>0</v>
      </c>
      <c r="P816" s="91">
        <f>IFERROR(__xludf.DUMMYFUNCTION("IFERROR(sum(filter('Генеральный баннер'!$O:$O, 'Генеральный баннер'!$B:$B=$A816,'Генеральный баннер'!$C:$C=$B816,'Генеральный баннер'!$I:$I=$C816)), 0) "),0.0)</f>
        <v>0</v>
      </c>
      <c r="Q816" s="91">
        <f>IFERROR(__xludf.DUMMYFUNCTION("IFERROR(sum(filter('Генеральный баннер'!$Q:$Q, 'Генеральный баннер'!$B:$B=$A816,'Генеральный баннер'!$C:$C=$B816,'Генеральный баннер'!$I:$I=$C816)), 0) "),0.0)</f>
        <v>0</v>
      </c>
      <c r="R816" s="91">
        <f>IFERROR(__xludf.DUMMYFUNCTION("IFERROR(AVERAGE(filter('Генеральный баннер'!$AA:$AA, 'Генеральный баннер'!$B:$B=$A816,'Генеральный баннер'!$C:$C=$B816,'Генеральный баннер'!$I:$I=$C816)), 0) "),0.0)</f>
        <v>0</v>
      </c>
      <c r="S816" s="91">
        <f>IFERROR(__xludf.DUMMYFUNCTION("IFERROR(SUM(filter('Генеральный баннер'!$AH:$AH, 'Генеральный баннер'!$B:$B=$A816,'Генеральный баннер'!$C:$C=$B816,'Генеральный баннер'!$I:$I=$C816)), 0) "),0.0)</f>
        <v>0</v>
      </c>
      <c r="T816" s="91" t="str">
        <f>IFERROR(__xludf.DUMMYFUNCTION("IFERROR(REGEXREPLACE(unique(filter('Генеральный баннер'!$A:$A, 'Генеральный баннер'!$B:$B=$A816,'Генеральный баннер'!$C:$C=$B816,'Генеральный баннер'!$I:$I=$C816)), ""\d+"", """"),"""")"),"")</f>
        <v/>
      </c>
      <c r="U816" s="91" t="str">
        <f>IFERROR(__xludf.DUMMYFUNCTION("IFERROR(unique(filter('Генеральный баннер'!$F:$F, 'Генеральный баннер'!$B:$B=$A816,'Генеральный баннер'!$C:$C=$B816,'Генеральный баннер'!$I:$I=$C816)),"""")"),"")</f>
        <v/>
      </c>
      <c r="V816" s="92" t="str">
        <f t="shared" si="3"/>
        <v/>
      </c>
      <c r="W816" s="93">
        <f>IFERROR(__xludf.DUMMYFUNCTION("IFERROR(SWITCH(lower(join("" "",U816:V816)),""а миллионник"", 62.5,""б миллионник"", 75,""а мск"", 50, ""б мск"", 62.5, ""a остальное"", 70, ""б остальное"", 80)/100,0)"),0.0)</f>
        <v>0</v>
      </c>
      <c r="X816" s="91">
        <f t="shared" si="4"/>
        <v>0</v>
      </c>
    </row>
    <row r="817">
      <c r="A817" s="12"/>
      <c r="B817" s="12"/>
      <c r="C817" s="12"/>
      <c r="D817" s="91">
        <f>IFERROR(__xludf.DUMMYFUNCTION("IFERROR(sum(filter('Основной эфир'!$AA:$AA, 'Основной эфир'!$B:$B=$A817,'Основной эфир'!$C:$C=$B817,'Основной эфир'!$I:$I=$C817)), 0) "),0.0)</f>
        <v>0</v>
      </c>
      <c r="E817" s="91">
        <f>IFERROR(__xludf.DUMMYFUNCTION("IFERROR(sum(filter('Основной эфир'!$AC:$AC, 'Основной эфир'!$B:$B=$A817,'Основной эфир'!$C:$C=$B817,'Основной эфир'!$I:$I=$C817)), 0) "),0.0)</f>
        <v>0</v>
      </c>
      <c r="F817" s="91">
        <f>IFERROR(__xludf.DUMMYFUNCTION("IFERROR(sum(filter('Основной эфир'!$O:$O, 'Основной эфир'!$B:$B=$A817,'Основной эфир'!$C:$C=$B817,'Основной эфир'!$I:$I=$C817)), 0) "),0.0)</f>
        <v>0</v>
      </c>
      <c r="G817" s="91">
        <f>IFERROR(__xludf.DUMMYFUNCTION("IFERROR(sum(filter('Основной эфир'!$Q:$Q, 'Основной эфир'!$B:$B=$A817,'Основной эфир'!$C:$C=$B817,'Основной эфир'!$I:$I=$C817)), 0) "),0.0)</f>
        <v>0</v>
      </c>
      <c r="H817" s="91">
        <f>IFERROR(__xludf.DUMMYFUNCTION("IFERROR(AVERAGE(filter('Основной эфир'!$Y:$Y, 'Основной эфир'!$B:$B=$A817,'Основной эфир'!$C:$C=$B817,'Основной эфир'!$I:$I=$C817)), 0) "),0.0)</f>
        <v>0</v>
      </c>
      <c r="I817" s="91">
        <f>IFERROR(__xludf.DUMMYFUNCTION("IFERROR(AVERAGE(filter('Основной эфир'!$AE:$AE, 'Основной эфир'!$B:$B=$A817,'Основной эфир'!$C:$C=$B817,'Основной эфир'!$I:$I=$C817)), 0) "),0.0)</f>
        <v>0</v>
      </c>
      <c r="J817" s="91">
        <f>IFERROR(__xludf.DUMMYFUNCTION("IFERROR(SUM(filter('Основной эфир'!$AL:$AL, 'Основной эфир'!$B:$B=$A817,'Основной эфир'!$C:$C=$B817,'Основной эфир'!$I:$I=$C817)), 0) "),0.0)</f>
        <v>0</v>
      </c>
      <c r="K817" s="91" t="str">
        <f>IFERROR(__xludf.DUMMYFUNCTION("IFERROR(REGEXREPLACE(unique(filter('Основной эфир'!$A:$A, 'Основной эфир'!$B:$B=$A817,'Основной эфир'!$C:$C=$B817,'Основной эфир'!$I:$I=$C817)), ""\d+"", """"),"""")"),"")</f>
        <v/>
      </c>
      <c r="L817" s="91" t="str">
        <f>IFERROR(__xludf.DUMMYFUNCTION("IFERROR(unique(filter('Основной эфир'!$F:$F, 'Основной эфир'!$B:$B=$A817,'Основной эфир'!$C:$C=$B817,'Основной эфир'!$I:$I=$C817)),"""")"),"")</f>
        <v/>
      </c>
      <c r="M817" s="92" t="str">
        <f t="shared" si="1"/>
        <v/>
      </c>
      <c r="N817" s="93">
        <f>IFERROR(__xludf.DUMMYFUNCTION("IFERROR(SWITCH(lower(join("" "",L817:M817)),""а миллионник"", 62.5,""б миллионник"", 75,""а мск"", 50, ""б мск"", 62.5, ""a остальное"", 70, ""б остальное"", 80)/100,0)"),0.0)</f>
        <v>0</v>
      </c>
      <c r="O817" s="91">
        <f t="shared" si="2"/>
        <v>0</v>
      </c>
      <c r="P817" s="91">
        <f>IFERROR(__xludf.DUMMYFUNCTION("IFERROR(sum(filter('Генеральный баннер'!$O:$O, 'Генеральный баннер'!$B:$B=$A817,'Генеральный баннер'!$C:$C=$B817,'Генеральный баннер'!$I:$I=$C817)), 0) "),0.0)</f>
        <v>0</v>
      </c>
      <c r="Q817" s="91">
        <f>IFERROR(__xludf.DUMMYFUNCTION("IFERROR(sum(filter('Генеральный баннер'!$Q:$Q, 'Генеральный баннер'!$B:$B=$A817,'Генеральный баннер'!$C:$C=$B817,'Генеральный баннер'!$I:$I=$C817)), 0) "),0.0)</f>
        <v>0</v>
      </c>
      <c r="R817" s="91">
        <f>IFERROR(__xludf.DUMMYFUNCTION("IFERROR(AVERAGE(filter('Генеральный баннер'!$AA:$AA, 'Генеральный баннер'!$B:$B=$A817,'Генеральный баннер'!$C:$C=$B817,'Генеральный баннер'!$I:$I=$C817)), 0) "),0.0)</f>
        <v>0</v>
      </c>
      <c r="S817" s="91">
        <f>IFERROR(__xludf.DUMMYFUNCTION("IFERROR(SUM(filter('Генеральный баннер'!$AH:$AH, 'Генеральный баннер'!$B:$B=$A817,'Генеральный баннер'!$C:$C=$B817,'Генеральный баннер'!$I:$I=$C817)), 0) "),0.0)</f>
        <v>0</v>
      </c>
      <c r="T817" s="91" t="str">
        <f>IFERROR(__xludf.DUMMYFUNCTION("IFERROR(REGEXREPLACE(unique(filter('Генеральный баннер'!$A:$A, 'Генеральный баннер'!$B:$B=$A817,'Генеральный баннер'!$C:$C=$B817,'Генеральный баннер'!$I:$I=$C817)), ""\d+"", """"),"""")"),"")</f>
        <v/>
      </c>
      <c r="U817" s="91" t="str">
        <f>IFERROR(__xludf.DUMMYFUNCTION("IFERROR(unique(filter('Генеральный баннер'!$F:$F, 'Генеральный баннер'!$B:$B=$A817,'Генеральный баннер'!$C:$C=$B817,'Генеральный баннер'!$I:$I=$C817)),"""")"),"")</f>
        <v/>
      </c>
      <c r="V817" s="92" t="str">
        <f t="shared" si="3"/>
        <v/>
      </c>
      <c r="W817" s="93">
        <f>IFERROR(__xludf.DUMMYFUNCTION("IFERROR(SWITCH(lower(join("" "",U817:V817)),""а миллионник"", 62.5,""б миллионник"", 75,""а мск"", 50, ""б мск"", 62.5, ""a остальное"", 70, ""б остальное"", 80)/100,0)"),0.0)</f>
        <v>0</v>
      </c>
      <c r="X817" s="91">
        <f t="shared" si="4"/>
        <v>0</v>
      </c>
    </row>
    <row r="818">
      <c r="A818" s="12"/>
      <c r="B818" s="12"/>
      <c r="C818" s="12"/>
      <c r="D818" s="91">
        <f>IFERROR(__xludf.DUMMYFUNCTION("IFERROR(sum(filter('Основной эфир'!$AA:$AA, 'Основной эфир'!$B:$B=$A818,'Основной эфир'!$C:$C=$B818,'Основной эфир'!$I:$I=$C818)), 0) "),0.0)</f>
        <v>0</v>
      </c>
      <c r="E818" s="91">
        <f>IFERROR(__xludf.DUMMYFUNCTION("IFERROR(sum(filter('Основной эфир'!$AC:$AC, 'Основной эфир'!$B:$B=$A818,'Основной эфир'!$C:$C=$B818,'Основной эфир'!$I:$I=$C818)), 0) "),0.0)</f>
        <v>0</v>
      </c>
      <c r="F818" s="91">
        <f>IFERROR(__xludf.DUMMYFUNCTION("IFERROR(sum(filter('Основной эфир'!$O:$O, 'Основной эфир'!$B:$B=$A818,'Основной эфир'!$C:$C=$B818,'Основной эфир'!$I:$I=$C818)), 0) "),0.0)</f>
        <v>0</v>
      </c>
      <c r="G818" s="91">
        <f>IFERROR(__xludf.DUMMYFUNCTION("IFERROR(sum(filter('Основной эфир'!$Q:$Q, 'Основной эфир'!$B:$B=$A818,'Основной эфир'!$C:$C=$B818,'Основной эфир'!$I:$I=$C818)), 0) "),0.0)</f>
        <v>0</v>
      </c>
      <c r="H818" s="91">
        <f>IFERROR(__xludf.DUMMYFUNCTION("IFERROR(AVERAGE(filter('Основной эфир'!$Y:$Y, 'Основной эфир'!$B:$B=$A818,'Основной эфир'!$C:$C=$B818,'Основной эфир'!$I:$I=$C818)), 0) "),0.0)</f>
        <v>0</v>
      </c>
      <c r="I818" s="91">
        <f>IFERROR(__xludf.DUMMYFUNCTION("IFERROR(AVERAGE(filter('Основной эфир'!$AE:$AE, 'Основной эфир'!$B:$B=$A818,'Основной эфир'!$C:$C=$B818,'Основной эфир'!$I:$I=$C818)), 0) "),0.0)</f>
        <v>0</v>
      </c>
      <c r="J818" s="91">
        <f>IFERROR(__xludf.DUMMYFUNCTION("IFERROR(SUM(filter('Основной эфир'!$AL:$AL, 'Основной эфир'!$B:$B=$A818,'Основной эфир'!$C:$C=$B818,'Основной эфир'!$I:$I=$C818)), 0) "),0.0)</f>
        <v>0</v>
      </c>
      <c r="K818" s="91" t="str">
        <f>IFERROR(__xludf.DUMMYFUNCTION("IFERROR(REGEXREPLACE(unique(filter('Основной эфир'!$A:$A, 'Основной эфир'!$B:$B=$A818,'Основной эфир'!$C:$C=$B818,'Основной эфир'!$I:$I=$C818)), ""\d+"", """"),"""")"),"")</f>
        <v/>
      </c>
      <c r="L818" s="91" t="str">
        <f>IFERROR(__xludf.DUMMYFUNCTION("IFERROR(unique(filter('Основной эфир'!$F:$F, 'Основной эфир'!$B:$B=$A818,'Основной эфир'!$C:$C=$B818,'Основной эфир'!$I:$I=$C818)),"""")"),"")</f>
        <v/>
      </c>
      <c r="M818" s="92" t="str">
        <f t="shared" si="1"/>
        <v/>
      </c>
      <c r="N818" s="93">
        <f>IFERROR(__xludf.DUMMYFUNCTION("IFERROR(SWITCH(lower(join("" "",L818:M818)),""а миллионник"", 62.5,""б миллионник"", 75,""а мск"", 50, ""б мск"", 62.5, ""a остальное"", 70, ""б остальное"", 80)/100,0)"),0.0)</f>
        <v>0</v>
      </c>
      <c r="O818" s="91">
        <f t="shared" si="2"/>
        <v>0</v>
      </c>
      <c r="P818" s="91">
        <f>IFERROR(__xludf.DUMMYFUNCTION("IFERROR(sum(filter('Генеральный баннер'!$O:$O, 'Генеральный баннер'!$B:$B=$A818,'Генеральный баннер'!$C:$C=$B818,'Генеральный баннер'!$I:$I=$C818)), 0) "),0.0)</f>
        <v>0</v>
      </c>
      <c r="Q818" s="91">
        <f>IFERROR(__xludf.DUMMYFUNCTION("IFERROR(sum(filter('Генеральный баннер'!$Q:$Q, 'Генеральный баннер'!$B:$B=$A818,'Генеральный баннер'!$C:$C=$B818,'Генеральный баннер'!$I:$I=$C818)), 0) "),0.0)</f>
        <v>0</v>
      </c>
      <c r="R818" s="91">
        <f>IFERROR(__xludf.DUMMYFUNCTION("IFERROR(AVERAGE(filter('Генеральный баннер'!$AA:$AA, 'Генеральный баннер'!$B:$B=$A818,'Генеральный баннер'!$C:$C=$B818,'Генеральный баннер'!$I:$I=$C818)), 0) "),0.0)</f>
        <v>0</v>
      </c>
      <c r="S818" s="91">
        <f>IFERROR(__xludf.DUMMYFUNCTION("IFERROR(SUM(filter('Генеральный баннер'!$AH:$AH, 'Генеральный баннер'!$B:$B=$A818,'Генеральный баннер'!$C:$C=$B818,'Генеральный баннер'!$I:$I=$C818)), 0) "),0.0)</f>
        <v>0</v>
      </c>
      <c r="T818" s="91" t="str">
        <f>IFERROR(__xludf.DUMMYFUNCTION("IFERROR(REGEXREPLACE(unique(filter('Генеральный баннер'!$A:$A, 'Генеральный баннер'!$B:$B=$A818,'Генеральный баннер'!$C:$C=$B818,'Генеральный баннер'!$I:$I=$C818)), ""\d+"", """"),"""")"),"")</f>
        <v/>
      </c>
      <c r="U818" s="91" t="str">
        <f>IFERROR(__xludf.DUMMYFUNCTION("IFERROR(unique(filter('Генеральный баннер'!$F:$F, 'Генеральный баннер'!$B:$B=$A818,'Генеральный баннер'!$C:$C=$B818,'Генеральный баннер'!$I:$I=$C818)),"""")"),"")</f>
        <v/>
      </c>
      <c r="V818" s="92" t="str">
        <f t="shared" si="3"/>
        <v/>
      </c>
      <c r="W818" s="93">
        <f>IFERROR(__xludf.DUMMYFUNCTION("IFERROR(SWITCH(lower(join("" "",U818:V818)),""а миллионник"", 62.5,""б миллионник"", 75,""а мск"", 50, ""б мск"", 62.5, ""a остальное"", 70, ""б остальное"", 80)/100,0)"),0.0)</f>
        <v>0</v>
      </c>
      <c r="X818" s="91">
        <f t="shared" si="4"/>
        <v>0</v>
      </c>
    </row>
    <row r="819">
      <c r="A819" s="12"/>
      <c r="B819" s="12"/>
      <c r="C819" s="12"/>
      <c r="D819" s="91">
        <f>IFERROR(__xludf.DUMMYFUNCTION("IFERROR(sum(filter('Основной эфир'!$AA:$AA, 'Основной эфир'!$B:$B=$A819,'Основной эфир'!$C:$C=$B819,'Основной эфир'!$I:$I=$C819)), 0) "),0.0)</f>
        <v>0</v>
      </c>
      <c r="E819" s="91">
        <f>IFERROR(__xludf.DUMMYFUNCTION("IFERROR(sum(filter('Основной эфир'!$AC:$AC, 'Основной эфир'!$B:$B=$A819,'Основной эфир'!$C:$C=$B819,'Основной эфир'!$I:$I=$C819)), 0) "),0.0)</f>
        <v>0</v>
      </c>
      <c r="F819" s="91">
        <f>IFERROR(__xludf.DUMMYFUNCTION("IFERROR(sum(filter('Основной эфир'!$O:$O, 'Основной эфир'!$B:$B=$A819,'Основной эфир'!$C:$C=$B819,'Основной эфир'!$I:$I=$C819)), 0) "),0.0)</f>
        <v>0</v>
      </c>
      <c r="G819" s="91">
        <f>IFERROR(__xludf.DUMMYFUNCTION("IFERROR(sum(filter('Основной эфир'!$Q:$Q, 'Основной эфир'!$B:$B=$A819,'Основной эфир'!$C:$C=$B819,'Основной эфир'!$I:$I=$C819)), 0) "),0.0)</f>
        <v>0</v>
      </c>
      <c r="H819" s="91">
        <f>IFERROR(__xludf.DUMMYFUNCTION("IFERROR(AVERAGE(filter('Основной эфир'!$Y:$Y, 'Основной эфир'!$B:$B=$A819,'Основной эфир'!$C:$C=$B819,'Основной эфир'!$I:$I=$C819)), 0) "),0.0)</f>
        <v>0</v>
      </c>
      <c r="I819" s="91">
        <f>IFERROR(__xludf.DUMMYFUNCTION("IFERROR(AVERAGE(filter('Основной эфир'!$AE:$AE, 'Основной эфир'!$B:$B=$A819,'Основной эфир'!$C:$C=$B819,'Основной эфир'!$I:$I=$C819)), 0) "),0.0)</f>
        <v>0</v>
      </c>
      <c r="J819" s="91">
        <f>IFERROR(__xludf.DUMMYFUNCTION("IFERROR(SUM(filter('Основной эфир'!$AL:$AL, 'Основной эфир'!$B:$B=$A819,'Основной эфир'!$C:$C=$B819,'Основной эфир'!$I:$I=$C819)), 0) "),0.0)</f>
        <v>0</v>
      </c>
      <c r="K819" s="91" t="str">
        <f>IFERROR(__xludf.DUMMYFUNCTION("IFERROR(REGEXREPLACE(unique(filter('Основной эфир'!$A:$A, 'Основной эфир'!$B:$B=$A819,'Основной эфир'!$C:$C=$B819,'Основной эфир'!$I:$I=$C819)), ""\d+"", """"),"""")"),"")</f>
        <v/>
      </c>
      <c r="L819" s="91" t="str">
        <f>IFERROR(__xludf.DUMMYFUNCTION("IFERROR(unique(filter('Основной эфир'!$F:$F, 'Основной эфир'!$B:$B=$A819,'Основной эфир'!$C:$C=$B819,'Основной эфир'!$I:$I=$C819)),"""")"),"")</f>
        <v/>
      </c>
      <c r="M819" s="92" t="str">
        <f t="shared" si="1"/>
        <v/>
      </c>
      <c r="N819" s="93">
        <f>IFERROR(__xludf.DUMMYFUNCTION("IFERROR(SWITCH(lower(join("" "",L819:M819)),""а миллионник"", 62.5,""б миллионник"", 75,""а мск"", 50, ""б мск"", 62.5, ""a остальное"", 70, ""б остальное"", 80)/100,0)"),0.0)</f>
        <v>0</v>
      </c>
      <c r="O819" s="91">
        <f t="shared" si="2"/>
        <v>0</v>
      </c>
      <c r="P819" s="91">
        <f>IFERROR(__xludf.DUMMYFUNCTION("IFERROR(sum(filter('Генеральный баннер'!$O:$O, 'Генеральный баннер'!$B:$B=$A819,'Генеральный баннер'!$C:$C=$B819,'Генеральный баннер'!$I:$I=$C819)), 0) "),0.0)</f>
        <v>0</v>
      </c>
      <c r="Q819" s="91">
        <f>IFERROR(__xludf.DUMMYFUNCTION("IFERROR(sum(filter('Генеральный баннер'!$Q:$Q, 'Генеральный баннер'!$B:$B=$A819,'Генеральный баннер'!$C:$C=$B819,'Генеральный баннер'!$I:$I=$C819)), 0) "),0.0)</f>
        <v>0</v>
      </c>
      <c r="R819" s="91">
        <f>IFERROR(__xludf.DUMMYFUNCTION("IFERROR(AVERAGE(filter('Генеральный баннер'!$AA:$AA, 'Генеральный баннер'!$B:$B=$A819,'Генеральный баннер'!$C:$C=$B819,'Генеральный баннер'!$I:$I=$C819)), 0) "),0.0)</f>
        <v>0</v>
      </c>
      <c r="S819" s="91">
        <f>IFERROR(__xludf.DUMMYFUNCTION("IFERROR(SUM(filter('Генеральный баннер'!$AH:$AH, 'Генеральный баннер'!$B:$B=$A819,'Генеральный баннер'!$C:$C=$B819,'Генеральный баннер'!$I:$I=$C819)), 0) "),0.0)</f>
        <v>0</v>
      </c>
      <c r="T819" s="91" t="str">
        <f>IFERROR(__xludf.DUMMYFUNCTION("IFERROR(REGEXREPLACE(unique(filter('Генеральный баннер'!$A:$A, 'Генеральный баннер'!$B:$B=$A819,'Генеральный баннер'!$C:$C=$B819,'Генеральный баннер'!$I:$I=$C819)), ""\d+"", """"),"""")"),"")</f>
        <v/>
      </c>
      <c r="U819" s="91" t="str">
        <f>IFERROR(__xludf.DUMMYFUNCTION("IFERROR(unique(filter('Генеральный баннер'!$F:$F, 'Генеральный баннер'!$B:$B=$A819,'Генеральный баннер'!$C:$C=$B819,'Генеральный баннер'!$I:$I=$C819)),"""")"),"")</f>
        <v/>
      </c>
      <c r="V819" s="92" t="str">
        <f t="shared" si="3"/>
        <v/>
      </c>
      <c r="W819" s="93">
        <f>IFERROR(__xludf.DUMMYFUNCTION("IFERROR(SWITCH(lower(join("" "",U819:V819)),""а миллионник"", 62.5,""б миллионник"", 75,""а мск"", 50, ""б мск"", 62.5, ""a остальное"", 70, ""б остальное"", 80)/100,0)"),0.0)</f>
        <v>0</v>
      </c>
      <c r="X819" s="91">
        <f t="shared" si="4"/>
        <v>0</v>
      </c>
    </row>
    <row r="820">
      <c r="A820" s="12"/>
      <c r="B820" s="12"/>
      <c r="C820" s="12"/>
      <c r="D820" s="91">
        <f>IFERROR(__xludf.DUMMYFUNCTION("IFERROR(sum(filter('Основной эфир'!$AA:$AA, 'Основной эфир'!$B:$B=$A820,'Основной эфир'!$C:$C=$B820,'Основной эфир'!$I:$I=$C820)), 0) "),0.0)</f>
        <v>0</v>
      </c>
      <c r="E820" s="91">
        <f>IFERROR(__xludf.DUMMYFUNCTION("IFERROR(sum(filter('Основной эфир'!$AC:$AC, 'Основной эфир'!$B:$B=$A820,'Основной эфир'!$C:$C=$B820,'Основной эфир'!$I:$I=$C820)), 0) "),0.0)</f>
        <v>0</v>
      </c>
      <c r="F820" s="91">
        <f>IFERROR(__xludf.DUMMYFUNCTION("IFERROR(sum(filter('Основной эфир'!$O:$O, 'Основной эфир'!$B:$B=$A820,'Основной эфир'!$C:$C=$B820,'Основной эфир'!$I:$I=$C820)), 0) "),0.0)</f>
        <v>0</v>
      </c>
      <c r="G820" s="91">
        <f>IFERROR(__xludf.DUMMYFUNCTION("IFERROR(sum(filter('Основной эфир'!$Q:$Q, 'Основной эфир'!$B:$B=$A820,'Основной эфир'!$C:$C=$B820,'Основной эфир'!$I:$I=$C820)), 0) "),0.0)</f>
        <v>0</v>
      </c>
      <c r="H820" s="91">
        <f>IFERROR(__xludf.DUMMYFUNCTION("IFERROR(AVERAGE(filter('Основной эфир'!$Y:$Y, 'Основной эфир'!$B:$B=$A820,'Основной эфир'!$C:$C=$B820,'Основной эфир'!$I:$I=$C820)), 0) "),0.0)</f>
        <v>0</v>
      </c>
      <c r="I820" s="91">
        <f>IFERROR(__xludf.DUMMYFUNCTION("IFERROR(AVERAGE(filter('Основной эфир'!$AE:$AE, 'Основной эфир'!$B:$B=$A820,'Основной эфир'!$C:$C=$B820,'Основной эфир'!$I:$I=$C820)), 0) "),0.0)</f>
        <v>0</v>
      </c>
      <c r="J820" s="91">
        <f>IFERROR(__xludf.DUMMYFUNCTION("IFERROR(SUM(filter('Основной эфир'!$AL:$AL, 'Основной эфир'!$B:$B=$A820,'Основной эфир'!$C:$C=$B820,'Основной эфир'!$I:$I=$C820)), 0) "),0.0)</f>
        <v>0</v>
      </c>
      <c r="K820" s="91" t="str">
        <f>IFERROR(__xludf.DUMMYFUNCTION("IFERROR(REGEXREPLACE(unique(filter('Основной эфир'!$A:$A, 'Основной эфир'!$B:$B=$A820,'Основной эфир'!$C:$C=$B820,'Основной эфир'!$I:$I=$C820)), ""\d+"", """"),"""")"),"")</f>
        <v/>
      </c>
      <c r="L820" s="91" t="str">
        <f>IFERROR(__xludf.DUMMYFUNCTION("IFERROR(unique(filter('Основной эфир'!$F:$F, 'Основной эфир'!$B:$B=$A820,'Основной эфир'!$C:$C=$B820,'Основной эфир'!$I:$I=$C820)),"""")"),"")</f>
        <v/>
      </c>
      <c r="M820" s="92" t="str">
        <f t="shared" si="1"/>
        <v/>
      </c>
      <c r="N820" s="93">
        <f>IFERROR(__xludf.DUMMYFUNCTION("IFERROR(SWITCH(lower(join("" "",L820:M820)),""а миллионник"", 62.5,""б миллионник"", 75,""а мск"", 50, ""б мск"", 62.5, ""a остальное"", 70, ""б остальное"", 80)/100,0)"),0.0)</f>
        <v>0</v>
      </c>
      <c r="O820" s="91">
        <f t="shared" si="2"/>
        <v>0</v>
      </c>
      <c r="P820" s="91">
        <f>IFERROR(__xludf.DUMMYFUNCTION("IFERROR(sum(filter('Генеральный баннер'!$O:$O, 'Генеральный баннер'!$B:$B=$A820,'Генеральный баннер'!$C:$C=$B820,'Генеральный баннер'!$I:$I=$C820)), 0) "),0.0)</f>
        <v>0</v>
      </c>
      <c r="Q820" s="91">
        <f>IFERROR(__xludf.DUMMYFUNCTION("IFERROR(sum(filter('Генеральный баннер'!$Q:$Q, 'Генеральный баннер'!$B:$B=$A820,'Генеральный баннер'!$C:$C=$B820,'Генеральный баннер'!$I:$I=$C820)), 0) "),0.0)</f>
        <v>0</v>
      </c>
      <c r="R820" s="91">
        <f>IFERROR(__xludf.DUMMYFUNCTION("IFERROR(AVERAGE(filter('Генеральный баннер'!$AA:$AA, 'Генеральный баннер'!$B:$B=$A820,'Генеральный баннер'!$C:$C=$B820,'Генеральный баннер'!$I:$I=$C820)), 0) "),0.0)</f>
        <v>0</v>
      </c>
      <c r="S820" s="91">
        <f>IFERROR(__xludf.DUMMYFUNCTION("IFERROR(SUM(filter('Генеральный баннер'!$AH:$AH, 'Генеральный баннер'!$B:$B=$A820,'Генеральный баннер'!$C:$C=$B820,'Генеральный баннер'!$I:$I=$C820)), 0) "),0.0)</f>
        <v>0</v>
      </c>
      <c r="T820" s="91" t="str">
        <f>IFERROR(__xludf.DUMMYFUNCTION("IFERROR(REGEXREPLACE(unique(filter('Генеральный баннер'!$A:$A, 'Генеральный баннер'!$B:$B=$A820,'Генеральный баннер'!$C:$C=$B820,'Генеральный баннер'!$I:$I=$C820)), ""\d+"", """"),"""")"),"")</f>
        <v/>
      </c>
      <c r="U820" s="91" t="str">
        <f>IFERROR(__xludf.DUMMYFUNCTION("IFERROR(unique(filter('Генеральный баннер'!$F:$F, 'Генеральный баннер'!$B:$B=$A820,'Генеральный баннер'!$C:$C=$B820,'Генеральный баннер'!$I:$I=$C820)),"""")"),"")</f>
        <v/>
      </c>
      <c r="V820" s="92" t="str">
        <f t="shared" si="3"/>
        <v/>
      </c>
      <c r="W820" s="93">
        <f>IFERROR(__xludf.DUMMYFUNCTION("IFERROR(SWITCH(lower(join("" "",U820:V820)),""а миллионник"", 62.5,""б миллионник"", 75,""а мск"", 50, ""б мск"", 62.5, ""a остальное"", 70, ""б остальное"", 80)/100,0)"),0.0)</f>
        <v>0</v>
      </c>
      <c r="X820" s="91">
        <f t="shared" si="4"/>
        <v>0</v>
      </c>
    </row>
    <row r="821">
      <c r="A821" s="12"/>
      <c r="B821" s="12"/>
      <c r="C821" s="12"/>
      <c r="D821" s="91">
        <f>IFERROR(__xludf.DUMMYFUNCTION("IFERROR(sum(filter('Основной эфир'!$AA:$AA, 'Основной эфир'!$B:$B=$A821,'Основной эфир'!$C:$C=$B821,'Основной эфир'!$I:$I=$C821)), 0) "),0.0)</f>
        <v>0</v>
      </c>
      <c r="E821" s="91">
        <f>IFERROR(__xludf.DUMMYFUNCTION("IFERROR(sum(filter('Основной эфир'!$AC:$AC, 'Основной эфир'!$B:$B=$A821,'Основной эфир'!$C:$C=$B821,'Основной эфир'!$I:$I=$C821)), 0) "),0.0)</f>
        <v>0</v>
      </c>
      <c r="F821" s="91">
        <f>IFERROR(__xludf.DUMMYFUNCTION("IFERROR(sum(filter('Основной эфир'!$O:$O, 'Основной эфир'!$B:$B=$A821,'Основной эфир'!$C:$C=$B821,'Основной эфир'!$I:$I=$C821)), 0) "),0.0)</f>
        <v>0</v>
      </c>
      <c r="G821" s="91">
        <f>IFERROR(__xludf.DUMMYFUNCTION("IFERROR(sum(filter('Основной эфир'!$Q:$Q, 'Основной эфир'!$B:$B=$A821,'Основной эфир'!$C:$C=$B821,'Основной эфир'!$I:$I=$C821)), 0) "),0.0)</f>
        <v>0</v>
      </c>
      <c r="H821" s="91">
        <f>IFERROR(__xludf.DUMMYFUNCTION("IFERROR(AVERAGE(filter('Основной эфир'!$Y:$Y, 'Основной эфир'!$B:$B=$A821,'Основной эфир'!$C:$C=$B821,'Основной эфир'!$I:$I=$C821)), 0) "),0.0)</f>
        <v>0</v>
      </c>
      <c r="I821" s="91">
        <f>IFERROR(__xludf.DUMMYFUNCTION("IFERROR(AVERAGE(filter('Основной эфир'!$AE:$AE, 'Основной эфир'!$B:$B=$A821,'Основной эфир'!$C:$C=$B821,'Основной эфир'!$I:$I=$C821)), 0) "),0.0)</f>
        <v>0</v>
      </c>
      <c r="J821" s="91">
        <f>IFERROR(__xludf.DUMMYFUNCTION("IFERROR(SUM(filter('Основной эфир'!$AL:$AL, 'Основной эфир'!$B:$B=$A821,'Основной эфир'!$C:$C=$B821,'Основной эфир'!$I:$I=$C821)), 0) "),0.0)</f>
        <v>0</v>
      </c>
      <c r="K821" s="91" t="str">
        <f>IFERROR(__xludf.DUMMYFUNCTION("IFERROR(REGEXREPLACE(unique(filter('Основной эфир'!$A:$A, 'Основной эфир'!$B:$B=$A821,'Основной эфир'!$C:$C=$B821,'Основной эфир'!$I:$I=$C821)), ""\d+"", """"),"""")"),"")</f>
        <v/>
      </c>
      <c r="L821" s="91" t="str">
        <f>IFERROR(__xludf.DUMMYFUNCTION("IFERROR(unique(filter('Основной эфир'!$F:$F, 'Основной эфир'!$B:$B=$A821,'Основной эфир'!$C:$C=$B821,'Основной эфир'!$I:$I=$C821)),"""")"),"")</f>
        <v/>
      </c>
      <c r="M821" s="92" t="str">
        <f t="shared" si="1"/>
        <v/>
      </c>
      <c r="N821" s="93">
        <f>IFERROR(__xludf.DUMMYFUNCTION("IFERROR(SWITCH(lower(join("" "",L821:M821)),""а миллионник"", 62.5,""б миллионник"", 75,""а мск"", 50, ""б мск"", 62.5, ""a остальное"", 70, ""б остальное"", 80)/100,0)"),0.0)</f>
        <v>0</v>
      </c>
      <c r="O821" s="91">
        <f t="shared" si="2"/>
        <v>0</v>
      </c>
      <c r="P821" s="91">
        <f>IFERROR(__xludf.DUMMYFUNCTION("IFERROR(sum(filter('Генеральный баннер'!$O:$O, 'Генеральный баннер'!$B:$B=$A821,'Генеральный баннер'!$C:$C=$B821,'Генеральный баннер'!$I:$I=$C821)), 0) "),0.0)</f>
        <v>0</v>
      </c>
      <c r="Q821" s="91">
        <f>IFERROR(__xludf.DUMMYFUNCTION("IFERROR(sum(filter('Генеральный баннер'!$Q:$Q, 'Генеральный баннер'!$B:$B=$A821,'Генеральный баннер'!$C:$C=$B821,'Генеральный баннер'!$I:$I=$C821)), 0) "),0.0)</f>
        <v>0</v>
      </c>
      <c r="R821" s="91">
        <f>IFERROR(__xludf.DUMMYFUNCTION("IFERROR(AVERAGE(filter('Генеральный баннер'!$AA:$AA, 'Генеральный баннер'!$B:$B=$A821,'Генеральный баннер'!$C:$C=$B821,'Генеральный баннер'!$I:$I=$C821)), 0) "),0.0)</f>
        <v>0</v>
      </c>
      <c r="S821" s="91">
        <f>IFERROR(__xludf.DUMMYFUNCTION("IFERROR(SUM(filter('Генеральный баннер'!$AH:$AH, 'Генеральный баннер'!$B:$B=$A821,'Генеральный баннер'!$C:$C=$B821,'Генеральный баннер'!$I:$I=$C821)), 0) "),0.0)</f>
        <v>0</v>
      </c>
      <c r="T821" s="91" t="str">
        <f>IFERROR(__xludf.DUMMYFUNCTION("IFERROR(REGEXREPLACE(unique(filter('Генеральный баннер'!$A:$A, 'Генеральный баннер'!$B:$B=$A821,'Генеральный баннер'!$C:$C=$B821,'Генеральный баннер'!$I:$I=$C821)), ""\d+"", """"),"""")"),"")</f>
        <v/>
      </c>
      <c r="U821" s="91" t="str">
        <f>IFERROR(__xludf.DUMMYFUNCTION("IFERROR(unique(filter('Генеральный баннер'!$F:$F, 'Генеральный баннер'!$B:$B=$A821,'Генеральный баннер'!$C:$C=$B821,'Генеральный баннер'!$I:$I=$C821)),"""")"),"")</f>
        <v/>
      </c>
      <c r="V821" s="92" t="str">
        <f t="shared" si="3"/>
        <v/>
      </c>
      <c r="W821" s="93">
        <f>IFERROR(__xludf.DUMMYFUNCTION("IFERROR(SWITCH(lower(join("" "",U821:V821)),""а миллионник"", 62.5,""б миллионник"", 75,""а мск"", 50, ""б мск"", 62.5, ""a остальное"", 70, ""б остальное"", 80)/100,0)"),0.0)</f>
        <v>0</v>
      </c>
      <c r="X821" s="91">
        <f t="shared" si="4"/>
        <v>0</v>
      </c>
    </row>
    <row r="822">
      <c r="A822" s="12"/>
      <c r="B822" s="12"/>
      <c r="C822" s="12"/>
      <c r="D822" s="91">
        <f>IFERROR(__xludf.DUMMYFUNCTION("IFERROR(sum(filter('Основной эфир'!$AA:$AA, 'Основной эфир'!$B:$B=$A822,'Основной эфир'!$C:$C=$B822,'Основной эфир'!$I:$I=$C822)), 0) "),0.0)</f>
        <v>0</v>
      </c>
      <c r="E822" s="91">
        <f>IFERROR(__xludf.DUMMYFUNCTION("IFERROR(sum(filter('Основной эфир'!$AC:$AC, 'Основной эфир'!$B:$B=$A822,'Основной эфир'!$C:$C=$B822,'Основной эфир'!$I:$I=$C822)), 0) "),0.0)</f>
        <v>0</v>
      </c>
      <c r="F822" s="91">
        <f>IFERROR(__xludf.DUMMYFUNCTION("IFERROR(sum(filter('Основной эфир'!$O:$O, 'Основной эфир'!$B:$B=$A822,'Основной эфир'!$C:$C=$B822,'Основной эфир'!$I:$I=$C822)), 0) "),0.0)</f>
        <v>0</v>
      </c>
      <c r="G822" s="91">
        <f>IFERROR(__xludf.DUMMYFUNCTION("IFERROR(sum(filter('Основной эфир'!$Q:$Q, 'Основной эфир'!$B:$B=$A822,'Основной эфир'!$C:$C=$B822,'Основной эфир'!$I:$I=$C822)), 0) "),0.0)</f>
        <v>0</v>
      </c>
      <c r="H822" s="91">
        <f>IFERROR(__xludf.DUMMYFUNCTION("IFERROR(AVERAGE(filter('Основной эфир'!$Y:$Y, 'Основной эфир'!$B:$B=$A822,'Основной эфир'!$C:$C=$B822,'Основной эфир'!$I:$I=$C822)), 0) "),0.0)</f>
        <v>0</v>
      </c>
      <c r="I822" s="91">
        <f>IFERROR(__xludf.DUMMYFUNCTION("IFERROR(AVERAGE(filter('Основной эфир'!$AE:$AE, 'Основной эфир'!$B:$B=$A822,'Основной эфир'!$C:$C=$B822,'Основной эфир'!$I:$I=$C822)), 0) "),0.0)</f>
        <v>0</v>
      </c>
      <c r="J822" s="91">
        <f>IFERROR(__xludf.DUMMYFUNCTION("IFERROR(SUM(filter('Основной эфир'!$AL:$AL, 'Основной эфир'!$B:$B=$A822,'Основной эфир'!$C:$C=$B822,'Основной эфир'!$I:$I=$C822)), 0) "),0.0)</f>
        <v>0</v>
      </c>
      <c r="K822" s="91" t="str">
        <f>IFERROR(__xludf.DUMMYFUNCTION("IFERROR(REGEXREPLACE(unique(filter('Основной эфир'!$A:$A, 'Основной эфир'!$B:$B=$A822,'Основной эфир'!$C:$C=$B822,'Основной эфир'!$I:$I=$C822)), ""\d+"", """"),"""")"),"")</f>
        <v/>
      </c>
      <c r="L822" s="91" t="str">
        <f>IFERROR(__xludf.DUMMYFUNCTION("IFERROR(unique(filter('Основной эфир'!$F:$F, 'Основной эфир'!$B:$B=$A822,'Основной эфир'!$C:$C=$B822,'Основной эфир'!$I:$I=$C822)),"""")"),"")</f>
        <v/>
      </c>
      <c r="M822" s="92" t="str">
        <f t="shared" si="1"/>
        <v/>
      </c>
      <c r="N822" s="93">
        <f>IFERROR(__xludf.DUMMYFUNCTION("IFERROR(SWITCH(lower(join("" "",L822:M822)),""а миллионник"", 62.5,""б миллионник"", 75,""а мск"", 50, ""б мск"", 62.5, ""a остальное"", 70, ""б остальное"", 80)/100,0)"),0.0)</f>
        <v>0</v>
      </c>
      <c r="O822" s="91">
        <f t="shared" si="2"/>
        <v>0</v>
      </c>
      <c r="P822" s="91">
        <f>IFERROR(__xludf.DUMMYFUNCTION("IFERROR(sum(filter('Генеральный баннер'!$O:$O, 'Генеральный баннер'!$B:$B=$A822,'Генеральный баннер'!$C:$C=$B822,'Генеральный баннер'!$I:$I=$C822)), 0) "),0.0)</f>
        <v>0</v>
      </c>
      <c r="Q822" s="91">
        <f>IFERROR(__xludf.DUMMYFUNCTION("IFERROR(sum(filter('Генеральный баннер'!$Q:$Q, 'Генеральный баннер'!$B:$B=$A822,'Генеральный баннер'!$C:$C=$B822,'Генеральный баннер'!$I:$I=$C822)), 0) "),0.0)</f>
        <v>0</v>
      </c>
      <c r="R822" s="91">
        <f>IFERROR(__xludf.DUMMYFUNCTION("IFERROR(AVERAGE(filter('Генеральный баннер'!$AA:$AA, 'Генеральный баннер'!$B:$B=$A822,'Генеральный баннер'!$C:$C=$B822,'Генеральный баннер'!$I:$I=$C822)), 0) "),0.0)</f>
        <v>0</v>
      </c>
      <c r="S822" s="91">
        <f>IFERROR(__xludf.DUMMYFUNCTION("IFERROR(SUM(filter('Генеральный баннер'!$AH:$AH, 'Генеральный баннер'!$B:$B=$A822,'Генеральный баннер'!$C:$C=$B822,'Генеральный баннер'!$I:$I=$C822)), 0) "),0.0)</f>
        <v>0</v>
      </c>
      <c r="T822" s="91" t="str">
        <f>IFERROR(__xludf.DUMMYFUNCTION("IFERROR(REGEXREPLACE(unique(filter('Генеральный баннер'!$A:$A, 'Генеральный баннер'!$B:$B=$A822,'Генеральный баннер'!$C:$C=$B822,'Генеральный баннер'!$I:$I=$C822)), ""\d+"", """"),"""")"),"")</f>
        <v/>
      </c>
      <c r="U822" s="91" t="str">
        <f>IFERROR(__xludf.DUMMYFUNCTION("IFERROR(unique(filter('Генеральный баннер'!$F:$F, 'Генеральный баннер'!$B:$B=$A822,'Генеральный баннер'!$C:$C=$B822,'Генеральный баннер'!$I:$I=$C822)),"""")"),"")</f>
        <v/>
      </c>
      <c r="V822" s="92" t="str">
        <f t="shared" si="3"/>
        <v/>
      </c>
      <c r="W822" s="93">
        <f>IFERROR(__xludf.DUMMYFUNCTION("IFERROR(SWITCH(lower(join("" "",U822:V822)),""а миллионник"", 62.5,""б миллионник"", 75,""а мск"", 50, ""б мск"", 62.5, ""a остальное"", 70, ""б остальное"", 80)/100,0)"),0.0)</f>
        <v>0</v>
      </c>
      <c r="X822" s="91">
        <f t="shared" si="4"/>
        <v>0</v>
      </c>
    </row>
    <row r="823">
      <c r="A823" s="12"/>
      <c r="B823" s="12"/>
      <c r="C823" s="12"/>
      <c r="D823" s="91">
        <f>IFERROR(__xludf.DUMMYFUNCTION("IFERROR(sum(filter('Основной эфир'!$AA:$AA, 'Основной эфир'!$B:$B=$A823,'Основной эфир'!$C:$C=$B823,'Основной эфир'!$I:$I=$C823)), 0) "),0.0)</f>
        <v>0</v>
      </c>
      <c r="E823" s="91">
        <f>IFERROR(__xludf.DUMMYFUNCTION("IFERROR(sum(filter('Основной эфир'!$AC:$AC, 'Основной эфир'!$B:$B=$A823,'Основной эфир'!$C:$C=$B823,'Основной эфир'!$I:$I=$C823)), 0) "),0.0)</f>
        <v>0</v>
      </c>
      <c r="F823" s="91">
        <f>IFERROR(__xludf.DUMMYFUNCTION("IFERROR(sum(filter('Основной эфир'!$O:$O, 'Основной эфир'!$B:$B=$A823,'Основной эфир'!$C:$C=$B823,'Основной эфир'!$I:$I=$C823)), 0) "),0.0)</f>
        <v>0</v>
      </c>
      <c r="G823" s="91">
        <f>IFERROR(__xludf.DUMMYFUNCTION("IFERROR(sum(filter('Основной эфир'!$Q:$Q, 'Основной эфир'!$B:$B=$A823,'Основной эфир'!$C:$C=$B823,'Основной эфир'!$I:$I=$C823)), 0) "),0.0)</f>
        <v>0</v>
      </c>
      <c r="H823" s="91">
        <f>IFERROR(__xludf.DUMMYFUNCTION("IFERROR(AVERAGE(filter('Основной эфир'!$Y:$Y, 'Основной эфир'!$B:$B=$A823,'Основной эфир'!$C:$C=$B823,'Основной эфир'!$I:$I=$C823)), 0) "),0.0)</f>
        <v>0</v>
      </c>
      <c r="I823" s="91">
        <f>IFERROR(__xludf.DUMMYFUNCTION("IFERROR(AVERAGE(filter('Основной эфир'!$AE:$AE, 'Основной эфир'!$B:$B=$A823,'Основной эфир'!$C:$C=$B823,'Основной эфир'!$I:$I=$C823)), 0) "),0.0)</f>
        <v>0</v>
      </c>
      <c r="J823" s="91">
        <f>IFERROR(__xludf.DUMMYFUNCTION("IFERROR(SUM(filter('Основной эфир'!$AL:$AL, 'Основной эфир'!$B:$B=$A823,'Основной эфир'!$C:$C=$B823,'Основной эфир'!$I:$I=$C823)), 0) "),0.0)</f>
        <v>0</v>
      </c>
      <c r="K823" s="91" t="str">
        <f>IFERROR(__xludf.DUMMYFUNCTION("IFERROR(REGEXREPLACE(unique(filter('Основной эфир'!$A:$A, 'Основной эфир'!$B:$B=$A823,'Основной эфир'!$C:$C=$B823,'Основной эфир'!$I:$I=$C823)), ""\d+"", """"),"""")"),"")</f>
        <v/>
      </c>
      <c r="L823" s="91" t="str">
        <f>IFERROR(__xludf.DUMMYFUNCTION("IFERROR(unique(filter('Основной эфир'!$F:$F, 'Основной эфир'!$B:$B=$A823,'Основной эфир'!$C:$C=$B823,'Основной эфир'!$I:$I=$C823)),"""")"),"")</f>
        <v/>
      </c>
      <c r="M823" s="92" t="str">
        <f t="shared" si="1"/>
        <v/>
      </c>
      <c r="N823" s="93">
        <f>IFERROR(__xludf.DUMMYFUNCTION("IFERROR(SWITCH(lower(join("" "",L823:M823)),""а миллионник"", 62.5,""б миллионник"", 75,""а мск"", 50, ""б мск"", 62.5, ""a остальное"", 70, ""б остальное"", 80)/100,0)"),0.0)</f>
        <v>0</v>
      </c>
      <c r="O823" s="91">
        <f t="shared" si="2"/>
        <v>0</v>
      </c>
      <c r="P823" s="91">
        <f>IFERROR(__xludf.DUMMYFUNCTION("IFERROR(sum(filter('Генеральный баннер'!$O:$O, 'Генеральный баннер'!$B:$B=$A823,'Генеральный баннер'!$C:$C=$B823,'Генеральный баннер'!$I:$I=$C823)), 0) "),0.0)</f>
        <v>0</v>
      </c>
      <c r="Q823" s="91">
        <f>IFERROR(__xludf.DUMMYFUNCTION("IFERROR(sum(filter('Генеральный баннер'!$Q:$Q, 'Генеральный баннер'!$B:$B=$A823,'Генеральный баннер'!$C:$C=$B823,'Генеральный баннер'!$I:$I=$C823)), 0) "),0.0)</f>
        <v>0</v>
      </c>
      <c r="R823" s="91">
        <f>IFERROR(__xludf.DUMMYFUNCTION("IFERROR(AVERAGE(filter('Генеральный баннер'!$AA:$AA, 'Генеральный баннер'!$B:$B=$A823,'Генеральный баннер'!$C:$C=$B823,'Генеральный баннер'!$I:$I=$C823)), 0) "),0.0)</f>
        <v>0</v>
      </c>
      <c r="S823" s="91">
        <f>IFERROR(__xludf.DUMMYFUNCTION("IFERROR(SUM(filter('Генеральный баннер'!$AH:$AH, 'Генеральный баннер'!$B:$B=$A823,'Генеральный баннер'!$C:$C=$B823,'Генеральный баннер'!$I:$I=$C823)), 0) "),0.0)</f>
        <v>0</v>
      </c>
      <c r="T823" s="91" t="str">
        <f>IFERROR(__xludf.DUMMYFUNCTION("IFERROR(REGEXREPLACE(unique(filter('Генеральный баннер'!$A:$A, 'Генеральный баннер'!$B:$B=$A823,'Генеральный баннер'!$C:$C=$B823,'Генеральный баннер'!$I:$I=$C823)), ""\d+"", """"),"""")"),"")</f>
        <v/>
      </c>
      <c r="U823" s="91" t="str">
        <f>IFERROR(__xludf.DUMMYFUNCTION("IFERROR(unique(filter('Генеральный баннер'!$F:$F, 'Генеральный баннер'!$B:$B=$A823,'Генеральный баннер'!$C:$C=$B823,'Генеральный баннер'!$I:$I=$C823)),"""")"),"")</f>
        <v/>
      </c>
      <c r="V823" s="92" t="str">
        <f t="shared" si="3"/>
        <v/>
      </c>
      <c r="W823" s="93">
        <f>IFERROR(__xludf.DUMMYFUNCTION("IFERROR(SWITCH(lower(join("" "",U823:V823)),""а миллионник"", 62.5,""б миллионник"", 75,""а мск"", 50, ""б мск"", 62.5, ""a остальное"", 70, ""б остальное"", 80)/100,0)"),0.0)</f>
        <v>0</v>
      </c>
      <c r="X823" s="91">
        <f t="shared" si="4"/>
        <v>0</v>
      </c>
    </row>
    <row r="824">
      <c r="A824" s="12"/>
      <c r="B824" s="12"/>
      <c r="C824" s="12"/>
      <c r="D824" s="91">
        <f>IFERROR(__xludf.DUMMYFUNCTION("IFERROR(sum(filter('Основной эфир'!$AA:$AA, 'Основной эфир'!$B:$B=$A824,'Основной эфир'!$C:$C=$B824,'Основной эфир'!$I:$I=$C824)), 0) "),0.0)</f>
        <v>0</v>
      </c>
      <c r="E824" s="91">
        <f>IFERROR(__xludf.DUMMYFUNCTION("IFERROR(sum(filter('Основной эфир'!$AC:$AC, 'Основной эфир'!$B:$B=$A824,'Основной эфир'!$C:$C=$B824,'Основной эфир'!$I:$I=$C824)), 0) "),0.0)</f>
        <v>0</v>
      </c>
      <c r="F824" s="91">
        <f>IFERROR(__xludf.DUMMYFUNCTION("IFERROR(sum(filter('Основной эфир'!$O:$O, 'Основной эфир'!$B:$B=$A824,'Основной эфир'!$C:$C=$B824,'Основной эфир'!$I:$I=$C824)), 0) "),0.0)</f>
        <v>0</v>
      </c>
      <c r="G824" s="91">
        <f>IFERROR(__xludf.DUMMYFUNCTION("IFERROR(sum(filter('Основной эфир'!$Q:$Q, 'Основной эфир'!$B:$B=$A824,'Основной эфир'!$C:$C=$B824,'Основной эфир'!$I:$I=$C824)), 0) "),0.0)</f>
        <v>0</v>
      </c>
      <c r="H824" s="91">
        <f>IFERROR(__xludf.DUMMYFUNCTION("IFERROR(AVERAGE(filter('Основной эфир'!$Y:$Y, 'Основной эфир'!$B:$B=$A824,'Основной эфир'!$C:$C=$B824,'Основной эфир'!$I:$I=$C824)), 0) "),0.0)</f>
        <v>0</v>
      </c>
      <c r="I824" s="91">
        <f>IFERROR(__xludf.DUMMYFUNCTION("IFERROR(AVERAGE(filter('Основной эфир'!$AE:$AE, 'Основной эфир'!$B:$B=$A824,'Основной эфир'!$C:$C=$B824,'Основной эфир'!$I:$I=$C824)), 0) "),0.0)</f>
        <v>0</v>
      </c>
      <c r="J824" s="91">
        <f>IFERROR(__xludf.DUMMYFUNCTION("IFERROR(SUM(filter('Основной эфир'!$AL:$AL, 'Основной эфир'!$B:$B=$A824,'Основной эфир'!$C:$C=$B824,'Основной эфир'!$I:$I=$C824)), 0) "),0.0)</f>
        <v>0</v>
      </c>
      <c r="K824" s="91" t="str">
        <f>IFERROR(__xludf.DUMMYFUNCTION("IFERROR(REGEXREPLACE(unique(filter('Основной эфир'!$A:$A, 'Основной эфир'!$B:$B=$A824,'Основной эфир'!$C:$C=$B824,'Основной эфир'!$I:$I=$C824)), ""\d+"", """"),"""")"),"")</f>
        <v/>
      </c>
      <c r="L824" s="91" t="str">
        <f>IFERROR(__xludf.DUMMYFUNCTION("IFERROR(unique(filter('Основной эфир'!$F:$F, 'Основной эфир'!$B:$B=$A824,'Основной эфир'!$C:$C=$B824,'Основной эфир'!$I:$I=$C824)),"""")"),"")</f>
        <v/>
      </c>
      <c r="M824" s="92" t="str">
        <f t="shared" si="1"/>
        <v/>
      </c>
      <c r="N824" s="93">
        <f>IFERROR(__xludf.DUMMYFUNCTION("IFERROR(SWITCH(lower(join("" "",L824:M824)),""а миллионник"", 62.5,""б миллионник"", 75,""а мск"", 50, ""б мск"", 62.5, ""a остальное"", 70, ""б остальное"", 80)/100,0)"),0.0)</f>
        <v>0</v>
      </c>
      <c r="O824" s="91">
        <f t="shared" si="2"/>
        <v>0</v>
      </c>
      <c r="P824" s="91">
        <f>IFERROR(__xludf.DUMMYFUNCTION("IFERROR(sum(filter('Генеральный баннер'!$O:$O, 'Генеральный баннер'!$B:$B=$A824,'Генеральный баннер'!$C:$C=$B824,'Генеральный баннер'!$I:$I=$C824)), 0) "),0.0)</f>
        <v>0</v>
      </c>
      <c r="Q824" s="91">
        <f>IFERROR(__xludf.DUMMYFUNCTION("IFERROR(sum(filter('Генеральный баннер'!$Q:$Q, 'Генеральный баннер'!$B:$B=$A824,'Генеральный баннер'!$C:$C=$B824,'Генеральный баннер'!$I:$I=$C824)), 0) "),0.0)</f>
        <v>0</v>
      </c>
      <c r="R824" s="91">
        <f>IFERROR(__xludf.DUMMYFUNCTION("IFERROR(AVERAGE(filter('Генеральный баннер'!$AA:$AA, 'Генеральный баннер'!$B:$B=$A824,'Генеральный баннер'!$C:$C=$B824,'Генеральный баннер'!$I:$I=$C824)), 0) "),0.0)</f>
        <v>0</v>
      </c>
      <c r="S824" s="91">
        <f>IFERROR(__xludf.DUMMYFUNCTION("IFERROR(SUM(filter('Генеральный баннер'!$AH:$AH, 'Генеральный баннер'!$B:$B=$A824,'Генеральный баннер'!$C:$C=$B824,'Генеральный баннер'!$I:$I=$C824)), 0) "),0.0)</f>
        <v>0</v>
      </c>
      <c r="T824" s="91" t="str">
        <f>IFERROR(__xludf.DUMMYFUNCTION("IFERROR(REGEXREPLACE(unique(filter('Генеральный баннер'!$A:$A, 'Генеральный баннер'!$B:$B=$A824,'Генеральный баннер'!$C:$C=$B824,'Генеральный баннер'!$I:$I=$C824)), ""\d+"", """"),"""")"),"")</f>
        <v/>
      </c>
      <c r="U824" s="91" t="str">
        <f>IFERROR(__xludf.DUMMYFUNCTION("IFERROR(unique(filter('Генеральный баннер'!$F:$F, 'Генеральный баннер'!$B:$B=$A824,'Генеральный баннер'!$C:$C=$B824,'Генеральный баннер'!$I:$I=$C824)),"""")"),"")</f>
        <v/>
      </c>
      <c r="V824" s="92" t="str">
        <f t="shared" si="3"/>
        <v/>
      </c>
      <c r="W824" s="93">
        <f>IFERROR(__xludf.DUMMYFUNCTION("IFERROR(SWITCH(lower(join("" "",U824:V824)),""а миллионник"", 62.5,""б миллионник"", 75,""а мск"", 50, ""б мск"", 62.5, ""a остальное"", 70, ""б остальное"", 80)/100,0)"),0.0)</f>
        <v>0</v>
      </c>
      <c r="X824" s="91">
        <f t="shared" si="4"/>
        <v>0</v>
      </c>
    </row>
    <row r="825">
      <c r="A825" s="12"/>
      <c r="B825" s="12"/>
      <c r="C825" s="12"/>
      <c r="D825" s="91">
        <f>IFERROR(__xludf.DUMMYFUNCTION("IFERROR(sum(filter('Основной эфир'!$AA:$AA, 'Основной эфир'!$B:$B=$A825,'Основной эфир'!$C:$C=$B825,'Основной эфир'!$I:$I=$C825)), 0) "),0.0)</f>
        <v>0</v>
      </c>
      <c r="E825" s="91">
        <f>IFERROR(__xludf.DUMMYFUNCTION("IFERROR(sum(filter('Основной эфир'!$AC:$AC, 'Основной эфир'!$B:$B=$A825,'Основной эфир'!$C:$C=$B825,'Основной эфир'!$I:$I=$C825)), 0) "),0.0)</f>
        <v>0</v>
      </c>
      <c r="F825" s="91">
        <f>IFERROR(__xludf.DUMMYFUNCTION("IFERROR(sum(filter('Основной эфир'!$O:$O, 'Основной эфир'!$B:$B=$A825,'Основной эфир'!$C:$C=$B825,'Основной эфир'!$I:$I=$C825)), 0) "),0.0)</f>
        <v>0</v>
      </c>
      <c r="G825" s="91">
        <f>IFERROR(__xludf.DUMMYFUNCTION("IFERROR(sum(filter('Основной эфир'!$Q:$Q, 'Основной эфир'!$B:$B=$A825,'Основной эфир'!$C:$C=$B825,'Основной эфир'!$I:$I=$C825)), 0) "),0.0)</f>
        <v>0</v>
      </c>
      <c r="H825" s="91">
        <f>IFERROR(__xludf.DUMMYFUNCTION("IFERROR(AVERAGE(filter('Основной эфир'!$Y:$Y, 'Основной эфир'!$B:$B=$A825,'Основной эфир'!$C:$C=$B825,'Основной эфир'!$I:$I=$C825)), 0) "),0.0)</f>
        <v>0</v>
      </c>
      <c r="I825" s="91">
        <f>IFERROR(__xludf.DUMMYFUNCTION("IFERROR(AVERAGE(filter('Основной эфир'!$AE:$AE, 'Основной эфир'!$B:$B=$A825,'Основной эфир'!$C:$C=$B825,'Основной эфир'!$I:$I=$C825)), 0) "),0.0)</f>
        <v>0</v>
      </c>
      <c r="J825" s="91">
        <f>IFERROR(__xludf.DUMMYFUNCTION("IFERROR(SUM(filter('Основной эфир'!$AL:$AL, 'Основной эфир'!$B:$B=$A825,'Основной эфир'!$C:$C=$B825,'Основной эфир'!$I:$I=$C825)), 0) "),0.0)</f>
        <v>0</v>
      </c>
      <c r="K825" s="91" t="str">
        <f>IFERROR(__xludf.DUMMYFUNCTION("IFERROR(REGEXREPLACE(unique(filter('Основной эфир'!$A:$A, 'Основной эфир'!$B:$B=$A825,'Основной эфир'!$C:$C=$B825,'Основной эфир'!$I:$I=$C825)), ""\d+"", """"),"""")"),"")</f>
        <v/>
      </c>
      <c r="L825" s="91" t="str">
        <f>IFERROR(__xludf.DUMMYFUNCTION("IFERROR(unique(filter('Основной эфир'!$F:$F, 'Основной эфир'!$B:$B=$A825,'Основной эфир'!$C:$C=$B825,'Основной эфир'!$I:$I=$C825)),"""")"),"")</f>
        <v/>
      </c>
      <c r="M825" s="92" t="str">
        <f t="shared" si="1"/>
        <v/>
      </c>
      <c r="N825" s="93">
        <f>IFERROR(__xludf.DUMMYFUNCTION("IFERROR(SWITCH(lower(join("" "",L825:M825)),""а миллионник"", 62.5,""б миллионник"", 75,""а мск"", 50, ""б мск"", 62.5, ""a остальное"", 70, ""б остальное"", 80)/100,0)"),0.0)</f>
        <v>0</v>
      </c>
      <c r="O825" s="91">
        <f t="shared" si="2"/>
        <v>0</v>
      </c>
      <c r="P825" s="91">
        <f>IFERROR(__xludf.DUMMYFUNCTION("IFERROR(sum(filter('Генеральный баннер'!$O:$O, 'Генеральный баннер'!$B:$B=$A825,'Генеральный баннер'!$C:$C=$B825,'Генеральный баннер'!$I:$I=$C825)), 0) "),0.0)</f>
        <v>0</v>
      </c>
      <c r="Q825" s="91">
        <f>IFERROR(__xludf.DUMMYFUNCTION("IFERROR(sum(filter('Генеральный баннер'!$Q:$Q, 'Генеральный баннер'!$B:$B=$A825,'Генеральный баннер'!$C:$C=$B825,'Генеральный баннер'!$I:$I=$C825)), 0) "),0.0)</f>
        <v>0</v>
      </c>
      <c r="R825" s="91">
        <f>IFERROR(__xludf.DUMMYFUNCTION("IFERROR(AVERAGE(filter('Генеральный баннер'!$AA:$AA, 'Генеральный баннер'!$B:$B=$A825,'Генеральный баннер'!$C:$C=$B825,'Генеральный баннер'!$I:$I=$C825)), 0) "),0.0)</f>
        <v>0</v>
      </c>
      <c r="S825" s="91">
        <f>IFERROR(__xludf.DUMMYFUNCTION("IFERROR(SUM(filter('Генеральный баннер'!$AH:$AH, 'Генеральный баннер'!$B:$B=$A825,'Генеральный баннер'!$C:$C=$B825,'Генеральный баннер'!$I:$I=$C825)), 0) "),0.0)</f>
        <v>0</v>
      </c>
      <c r="T825" s="91" t="str">
        <f>IFERROR(__xludf.DUMMYFUNCTION("IFERROR(REGEXREPLACE(unique(filter('Генеральный баннер'!$A:$A, 'Генеральный баннер'!$B:$B=$A825,'Генеральный баннер'!$C:$C=$B825,'Генеральный баннер'!$I:$I=$C825)), ""\d+"", """"),"""")"),"")</f>
        <v/>
      </c>
      <c r="U825" s="91" t="str">
        <f>IFERROR(__xludf.DUMMYFUNCTION("IFERROR(unique(filter('Генеральный баннер'!$F:$F, 'Генеральный баннер'!$B:$B=$A825,'Генеральный баннер'!$C:$C=$B825,'Генеральный баннер'!$I:$I=$C825)),"""")"),"")</f>
        <v/>
      </c>
      <c r="V825" s="92" t="str">
        <f t="shared" si="3"/>
        <v/>
      </c>
      <c r="W825" s="93">
        <f>IFERROR(__xludf.DUMMYFUNCTION("IFERROR(SWITCH(lower(join("" "",U825:V825)),""а миллионник"", 62.5,""б миллионник"", 75,""а мск"", 50, ""б мск"", 62.5, ""a остальное"", 70, ""б остальное"", 80)/100,0)"),0.0)</f>
        <v>0</v>
      </c>
      <c r="X825" s="91">
        <f t="shared" si="4"/>
        <v>0</v>
      </c>
    </row>
    <row r="826">
      <c r="A826" s="12"/>
      <c r="B826" s="12"/>
      <c r="C826" s="12"/>
      <c r="D826" s="91">
        <f>IFERROR(__xludf.DUMMYFUNCTION("IFERROR(sum(filter('Основной эфир'!$AA:$AA, 'Основной эфир'!$B:$B=$A826,'Основной эфир'!$C:$C=$B826,'Основной эфир'!$I:$I=$C826)), 0) "),0.0)</f>
        <v>0</v>
      </c>
      <c r="E826" s="91">
        <f>IFERROR(__xludf.DUMMYFUNCTION("IFERROR(sum(filter('Основной эфир'!$AC:$AC, 'Основной эфир'!$B:$B=$A826,'Основной эфир'!$C:$C=$B826,'Основной эфир'!$I:$I=$C826)), 0) "),0.0)</f>
        <v>0</v>
      </c>
      <c r="F826" s="91">
        <f>IFERROR(__xludf.DUMMYFUNCTION("IFERROR(sum(filter('Основной эфир'!$O:$O, 'Основной эфир'!$B:$B=$A826,'Основной эфир'!$C:$C=$B826,'Основной эфир'!$I:$I=$C826)), 0) "),0.0)</f>
        <v>0</v>
      </c>
      <c r="G826" s="91">
        <f>IFERROR(__xludf.DUMMYFUNCTION("IFERROR(sum(filter('Основной эфир'!$Q:$Q, 'Основной эфир'!$B:$B=$A826,'Основной эфир'!$C:$C=$B826,'Основной эфир'!$I:$I=$C826)), 0) "),0.0)</f>
        <v>0</v>
      </c>
      <c r="H826" s="91">
        <f>IFERROR(__xludf.DUMMYFUNCTION("IFERROR(AVERAGE(filter('Основной эфир'!$Y:$Y, 'Основной эфир'!$B:$B=$A826,'Основной эфир'!$C:$C=$B826,'Основной эфир'!$I:$I=$C826)), 0) "),0.0)</f>
        <v>0</v>
      </c>
      <c r="I826" s="91">
        <f>IFERROR(__xludf.DUMMYFUNCTION("IFERROR(AVERAGE(filter('Основной эфир'!$AE:$AE, 'Основной эфир'!$B:$B=$A826,'Основной эфир'!$C:$C=$B826,'Основной эфир'!$I:$I=$C826)), 0) "),0.0)</f>
        <v>0</v>
      </c>
      <c r="J826" s="91">
        <f>IFERROR(__xludf.DUMMYFUNCTION("IFERROR(SUM(filter('Основной эфир'!$AL:$AL, 'Основной эфир'!$B:$B=$A826,'Основной эфир'!$C:$C=$B826,'Основной эфир'!$I:$I=$C826)), 0) "),0.0)</f>
        <v>0</v>
      </c>
      <c r="K826" s="91" t="str">
        <f>IFERROR(__xludf.DUMMYFUNCTION("IFERROR(REGEXREPLACE(unique(filter('Основной эфир'!$A:$A, 'Основной эфир'!$B:$B=$A826,'Основной эфир'!$C:$C=$B826,'Основной эфир'!$I:$I=$C826)), ""\d+"", """"),"""")"),"")</f>
        <v/>
      </c>
      <c r="L826" s="91" t="str">
        <f>IFERROR(__xludf.DUMMYFUNCTION("IFERROR(unique(filter('Основной эфир'!$F:$F, 'Основной эфир'!$B:$B=$A826,'Основной эфир'!$C:$C=$B826,'Основной эфир'!$I:$I=$C826)),"""")"),"")</f>
        <v/>
      </c>
      <c r="M826" s="92" t="str">
        <f t="shared" si="1"/>
        <v/>
      </c>
      <c r="N826" s="93">
        <f>IFERROR(__xludf.DUMMYFUNCTION("IFERROR(SWITCH(lower(join("" "",L826:M826)),""а миллионник"", 62.5,""б миллионник"", 75,""а мск"", 50, ""б мск"", 62.5, ""a остальное"", 70, ""б остальное"", 80)/100,0)"),0.0)</f>
        <v>0</v>
      </c>
      <c r="O826" s="91">
        <f t="shared" si="2"/>
        <v>0</v>
      </c>
      <c r="P826" s="91">
        <f>IFERROR(__xludf.DUMMYFUNCTION("IFERROR(sum(filter('Генеральный баннер'!$O:$O, 'Генеральный баннер'!$B:$B=$A826,'Генеральный баннер'!$C:$C=$B826,'Генеральный баннер'!$I:$I=$C826)), 0) "),0.0)</f>
        <v>0</v>
      </c>
      <c r="Q826" s="91">
        <f>IFERROR(__xludf.DUMMYFUNCTION("IFERROR(sum(filter('Генеральный баннер'!$Q:$Q, 'Генеральный баннер'!$B:$B=$A826,'Генеральный баннер'!$C:$C=$B826,'Генеральный баннер'!$I:$I=$C826)), 0) "),0.0)</f>
        <v>0</v>
      </c>
      <c r="R826" s="91">
        <f>IFERROR(__xludf.DUMMYFUNCTION("IFERROR(AVERAGE(filter('Генеральный баннер'!$AA:$AA, 'Генеральный баннер'!$B:$B=$A826,'Генеральный баннер'!$C:$C=$B826,'Генеральный баннер'!$I:$I=$C826)), 0) "),0.0)</f>
        <v>0</v>
      </c>
      <c r="S826" s="91">
        <f>IFERROR(__xludf.DUMMYFUNCTION("IFERROR(SUM(filter('Генеральный баннер'!$AH:$AH, 'Генеральный баннер'!$B:$B=$A826,'Генеральный баннер'!$C:$C=$B826,'Генеральный баннер'!$I:$I=$C826)), 0) "),0.0)</f>
        <v>0</v>
      </c>
      <c r="T826" s="91" t="str">
        <f>IFERROR(__xludf.DUMMYFUNCTION("IFERROR(REGEXREPLACE(unique(filter('Генеральный баннер'!$A:$A, 'Генеральный баннер'!$B:$B=$A826,'Генеральный баннер'!$C:$C=$B826,'Генеральный баннер'!$I:$I=$C826)), ""\d+"", """"),"""")"),"")</f>
        <v/>
      </c>
      <c r="U826" s="91" t="str">
        <f>IFERROR(__xludf.DUMMYFUNCTION("IFERROR(unique(filter('Генеральный баннер'!$F:$F, 'Генеральный баннер'!$B:$B=$A826,'Генеральный баннер'!$C:$C=$B826,'Генеральный баннер'!$I:$I=$C826)),"""")"),"")</f>
        <v/>
      </c>
      <c r="V826" s="92" t="str">
        <f t="shared" si="3"/>
        <v/>
      </c>
      <c r="W826" s="93">
        <f>IFERROR(__xludf.DUMMYFUNCTION("IFERROR(SWITCH(lower(join("" "",U826:V826)),""а миллионник"", 62.5,""б миллионник"", 75,""а мск"", 50, ""б мск"", 62.5, ""a остальное"", 70, ""б остальное"", 80)/100,0)"),0.0)</f>
        <v>0</v>
      </c>
      <c r="X826" s="91">
        <f t="shared" si="4"/>
        <v>0</v>
      </c>
    </row>
    <row r="827">
      <c r="A827" s="12"/>
      <c r="B827" s="12"/>
      <c r="C827" s="12"/>
      <c r="D827" s="91">
        <f>IFERROR(__xludf.DUMMYFUNCTION("IFERROR(sum(filter('Основной эфир'!$AA:$AA, 'Основной эфир'!$B:$B=$A827,'Основной эфир'!$C:$C=$B827,'Основной эфир'!$I:$I=$C827)), 0) "),0.0)</f>
        <v>0</v>
      </c>
      <c r="E827" s="91">
        <f>IFERROR(__xludf.DUMMYFUNCTION("IFERROR(sum(filter('Основной эфир'!$AC:$AC, 'Основной эфир'!$B:$B=$A827,'Основной эфир'!$C:$C=$B827,'Основной эфир'!$I:$I=$C827)), 0) "),0.0)</f>
        <v>0</v>
      </c>
      <c r="F827" s="91">
        <f>IFERROR(__xludf.DUMMYFUNCTION("IFERROR(sum(filter('Основной эфир'!$O:$O, 'Основной эфир'!$B:$B=$A827,'Основной эфир'!$C:$C=$B827,'Основной эфир'!$I:$I=$C827)), 0) "),0.0)</f>
        <v>0</v>
      </c>
      <c r="G827" s="91">
        <f>IFERROR(__xludf.DUMMYFUNCTION("IFERROR(sum(filter('Основной эфир'!$Q:$Q, 'Основной эфир'!$B:$B=$A827,'Основной эфир'!$C:$C=$B827,'Основной эфир'!$I:$I=$C827)), 0) "),0.0)</f>
        <v>0</v>
      </c>
      <c r="H827" s="91">
        <f>IFERROR(__xludf.DUMMYFUNCTION("IFERROR(AVERAGE(filter('Основной эфир'!$Y:$Y, 'Основной эфир'!$B:$B=$A827,'Основной эфир'!$C:$C=$B827,'Основной эфир'!$I:$I=$C827)), 0) "),0.0)</f>
        <v>0</v>
      </c>
      <c r="I827" s="91">
        <f>IFERROR(__xludf.DUMMYFUNCTION("IFERROR(AVERAGE(filter('Основной эфир'!$AE:$AE, 'Основной эфир'!$B:$B=$A827,'Основной эфир'!$C:$C=$B827,'Основной эфир'!$I:$I=$C827)), 0) "),0.0)</f>
        <v>0</v>
      </c>
      <c r="J827" s="91">
        <f>IFERROR(__xludf.DUMMYFUNCTION("IFERROR(SUM(filter('Основной эфир'!$AL:$AL, 'Основной эфир'!$B:$B=$A827,'Основной эфир'!$C:$C=$B827,'Основной эфир'!$I:$I=$C827)), 0) "),0.0)</f>
        <v>0</v>
      </c>
      <c r="K827" s="91" t="str">
        <f>IFERROR(__xludf.DUMMYFUNCTION("IFERROR(REGEXREPLACE(unique(filter('Основной эфир'!$A:$A, 'Основной эфир'!$B:$B=$A827,'Основной эфир'!$C:$C=$B827,'Основной эфир'!$I:$I=$C827)), ""\d+"", """"),"""")"),"")</f>
        <v/>
      </c>
      <c r="L827" s="91" t="str">
        <f>IFERROR(__xludf.DUMMYFUNCTION("IFERROR(unique(filter('Основной эфир'!$F:$F, 'Основной эфир'!$B:$B=$A827,'Основной эфир'!$C:$C=$B827,'Основной эфир'!$I:$I=$C827)),"""")"),"")</f>
        <v/>
      </c>
      <c r="M827" s="92" t="str">
        <f t="shared" si="1"/>
        <v/>
      </c>
      <c r="N827" s="93">
        <f>IFERROR(__xludf.DUMMYFUNCTION("IFERROR(SWITCH(lower(join("" "",L827:M827)),""а миллионник"", 62.5,""б миллионник"", 75,""а мск"", 50, ""б мск"", 62.5, ""a остальное"", 70, ""б остальное"", 80)/100,0)"),0.0)</f>
        <v>0</v>
      </c>
      <c r="O827" s="91">
        <f t="shared" si="2"/>
        <v>0</v>
      </c>
      <c r="P827" s="91">
        <f>IFERROR(__xludf.DUMMYFUNCTION("IFERROR(sum(filter('Генеральный баннер'!$O:$O, 'Генеральный баннер'!$B:$B=$A827,'Генеральный баннер'!$C:$C=$B827,'Генеральный баннер'!$I:$I=$C827)), 0) "),0.0)</f>
        <v>0</v>
      </c>
      <c r="Q827" s="91">
        <f>IFERROR(__xludf.DUMMYFUNCTION("IFERROR(sum(filter('Генеральный баннер'!$Q:$Q, 'Генеральный баннер'!$B:$B=$A827,'Генеральный баннер'!$C:$C=$B827,'Генеральный баннер'!$I:$I=$C827)), 0) "),0.0)</f>
        <v>0</v>
      </c>
      <c r="R827" s="91">
        <f>IFERROR(__xludf.DUMMYFUNCTION("IFERROR(AVERAGE(filter('Генеральный баннер'!$AA:$AA, 'Генеральный баннер'!$B:$B=$A827,'Генеральный баннер'!$C:$C=$B827,'Генеральный баннер'!$I:$I=$C827)), 0) "),0.0)</f>
        <v>0</v>
      </c>
      <c r="S827" s="91">
        <f>IFERROR(__xludf.DUMMYFUNCTION("IFERROR(SUM(filter('Генеральный баннер'!$AH:$AH, 'Генеральный баннер'!$B:$B=$A827,'Генеральный баннер'!$C:$C=$B827,'Генеральный баннер'!$I:$I=$C827)), 0) "),0.0)</f>
        <v>0</v>
      </c>
      <c r="T827" s="91" t="str">
        <f>IFERROR(__xludf.DUMMYFUNCTION("IFERROR(REGEXREPLACE(unique(filter('Генеральный баннер'!$A:$A, 'Генеральный баннер'!$B:$B=$A827,'Генеральный баннер'!$C:$C=$B827,'Генеральный баннер'!$I:$I=$C827)), ""\d+"", """"),"""")"),"")</f>
        <v/>
      </c>
      <c r="U827" s="91" t="str">
        <f>IFERROR(__xludf.DUMMYFUNCTION("IFERROR(unique(filter('Генеральный баннер'!$F:$F, 'Генеральный баннер'!$B:$B=$A827,'Генеральный баннер'!$C:$C=$B827,'Генеральный баннер'!$I:$I=$C827)),"""")"),"")</f>
        <v/>
      </c>
      <c r="V827" s="92" t="str">
        <f t="shared" si="3"/>
        <v/>
      </c>
      <c r="W827" s="93">
        <f>IFERROR(__xludf.DUMMYFUNCTION("IFERROR(SWITCH(lower(join("" "",U827:V827)),""а миллионник"", 62.5,""б миллионник"", 75,""а мск"", 50, ""б мск"", 62.5, ""a остальное"", 70, ""б остальное"", 80)/100,0)"),0.0)</f>
        <v>0</v>
      </c>
      <c r="X827" s="91">
        <f t="shared" si="4"/>
        <v>0</v>
      </c>
    </row>
    <row r="828">
      <c r="A828" s="12"/>
      <c r="B828" s="12"/>
      <c r="C828" s="12"/>
      <c r="D828" s="91">
        <f>IFERROR(__xludf.DUMMYFUNCTION("IFERROR(sum(filter('Основной эфир'!$AA:$AA, 'Основной эфир'!$B:$B=$A828,'Основной эфир'!$C:$C=$B828,'Основной эфир'!$I:$I=$C828)), 0) "),0.0)</f>
        <v>0</v>
      </c>
      <c r="E828" s="91">
        <f>IFERROR(__xludf.DUMMYFUNCTION("IFERROR(sum(filter('Основной эфир'!$AC:$AC, 'Основной эфир'!$B:$B=$A828,'Основной эфир'!$C:$C=$B828,'Основной эфир'!$I:$I=$C828)), 0) "),0.0)</f>
        <v>0</v>
      </c>
      <c r="F828" s="91">
        <f>IFERROR(__xludf.DUMMYFUNCTION("IFERROR(sum(filter('Основной эфир'!$O:$O, 'Основной эфир'!$B:$B=$A828,'Основной эфир'!$C:$C=$B828,'Основной эфир'!$I:$I=$C828)), 0) "),0.0)</f>
        <v>0</v>
      </c>
      <c r="G828" s="91">
        <f>IFERROR(__xludf.DUMMYFUNCTION("IFERROR(sum(filter('Основной эфир'!$Q:$Q, 'Основной эфир'!$B:$B=$A828,'Основной эфир'!$C:$C=$B828,'Основной эфир'!$I:$I=$C828)), 0) "),0.0)</f>
        <v>0</v>
      </c>
      <c r="H828" s="91">
        <f>IFERROR(__xludf.DUMMYFUNCTION("IFERROR(AVERAGE(filter('Основной эфир'!$Y:$Y, 'Основной эфир'!$B:$B=$A828,'Основной эфир'!$C:$C=$B828,'Основной эфир'!$I:$I=$C828)), 0) "),0.0)</f>
        <v>0</v>
      </c>
      <c r="I828" s="91">
        <f>IFERROR(__xludf.DUMMYFUNCTION("IFERROR(AVERAGE(filter('Основной эфир'!$AE:$AE, 'Основной эфир'!$B:$B=$A828,'Основной эфир'!$C:$C=$B828,'Основной эфир'!$I:$I=$C828)), 0) "),0.0)</f>
        <v>0</v>
      </c>
      <c r="J828" s="91">
        <f>IFERROR(__xludf.DUMMYFUNCTION("IFERROR(SUM(filter('Основной эфир'!$AL:$AL, 'Основной эфир'!$B:$B=$A828,'Основной эфир'!$C:$C=$B828,'Основной эфир'!$I:$I=$C828)), 0) "),0.0)</f>
        <v>0</v>
      </c>
      <c r="K828" s="91" t="str">
        <f>IFERROR(__xludf.DUMMYFUNCTION("IFERROR(REGEXREPLACE(unique(filter('Основной эфир'!$A:$A, 'Основной эфир'!$B:$B=$A828,'Основной эфир'!$C:$C=$B828,'Основной эфир'!$I:$I=$C828)), ""\d+"", """"),"""")"),"")</f>
        <v/>
      </c>
      <c r="L828" s="91" t="str">
        <f>IFERROR(__xludf.DUMMYFUNCTION("IFERROR(unique(filter('Основной эфир'!$F:$F, 'Основной эфир'!$B:$B=$A828,'Основной эфир'!$C:$C=$B828,'Основной эфир'!$I:$I=$C828)),"""")"),"")</f>
        <v/>
      </c>
      <c r="M828" s="92" t="str">
        <f t="shared" si="1"/>
        <v/>
      </c>
      <c r="N828" s="93">
        <f>IFERROR(__xludf.DUMMYFUNCTION("IFERROR(SWITCH(lower(join("" "",L828:M828)),""а миллионник"", 62.5,""б миллионник"", 75,""а мск"", 50, ""б мск"", 62.5, ""a остальное"", 70, ""б остальное"", 80)/100,0)"),0.0)</f>
        <v>0</v>
      </c>
      <c r="O828" s="91">
        <f t="shared" si="2"/>
        <v>0</v>
      </c>
      <c r="P828" s="91">
        <f>IFERROR(__xludf.DUMMYFUNCTION("IFERROR(sum(filter('Генеральный баннер'!$O:$O, 'Генеральный баннер'!$B:$B=$A828,'Генеральный баннер'!$C:$C=$B828,'Генеральный баннер'!$I:$I=$C828)), 0) "),0.0)</f>
        <v>0</v>
      </c>
      <c r="Q828" s="91">
        <f>IFERROR(__xludf.DUMMYFUNCTION("IFERROR(sum(filter('Генеральный баннер'!$Q:$Q, 'Генеральный баннер'!$B:$B=$A828,'Генеральный баннер'!$C:$C=$B828,'Генеральный баннер'!$I:$I=$C828)), 0) "),0.0)</f>
        <v>0</v>
      </c>
      <c r="R828" s="91">
        <f>IFERROR(__xludf.DUMMYFUNCTION("IFERROR(AVERAGE(filter('Генеральный баннер'!$AA:$AA, 'Генеральный баннер'!$B:$B=$A828,'Генеральный баннер'!$C:$C=$B828,'Генеральный баннер'!$I:$I=$C828)), 0) "),0.0)</f>
        <v>0</v>
      </c>
      <c r="S828" s="91">
        <f>IFERROR(__xludf.DUMMYFUNCTION("IFERROR(SUM(filter('Генеральный баннер'!$AH:$AH, 'Генеральный баннер'!$B:$B=$A828,'Генеральный баннер'!$C:$C=$B828,'Генеральный баннер'!$I:$I=$C828)), 0) "),0.0)</f>
        <v>0</v>
      </c>
      <c r="T828" s="91" t="str">
        <f>IFERROR(__xludf.DUMMYFUNCTION("IFERROR(REGEXREPLACE(unique(filter('Генеральный баннер'!$A:$A, 'Генеральный баннер'!$B:$B=$A828,'Генеральный баннер'!$C:$C=$B828,'Генеральный баннер'!$I:$I=$C828)), ""\d+"", """"),"""")"),"")</f>
        <v/>
      </c>
      <c r="U828" s="91" t="str">
        <f>IFERROR(__xludf.DUMMYFUNCTION("IFERROR(unique(filter('Генеральный баннер'!$F:$F, 'Генеральный баннер'!$B:$B=$A828,'Генеральный баннер'!$C:$C=$B828,'Генеральный баннер'!$I:$I=$C828)),"""")"),"")</f>
        <v/>
      </c>
      <c r="V828" s="92" t="str">
        <f t="shared" si="3"/>
        <v/>
      </c>
      <c r="W828" s="93">
        <f>IFERROR(__xludf.DUMMYFUNCTION("IFERROR(SWITCH(lower(join("" "",U828:V828)),""а миллионник"", 62.5,""б миллионник"", 75,""а мск"", 50, ""б мск"", 62.5, ""a остальное"", 70, ""б остальное"", 80)/100,0)"),0.0)</f>
        <v>0</v>
      </c>
      <c r="X828" s="91">
        <f t="shared" si="4"/>
        <v>0</v>
      </c>
    </row>
    <row r="829">
      <c r="A829" s="12"/>
      <c r="B829" s="12"/>
      <c r="C829" s="12"/>
      <c r="D829" s="91">
        <f>IFERROR(__xludf.DUMMYFUNCTION("IFERROR(sum(filter('Основной эфир'!$AA:$AA, 'Основной эфир'!$B:$B=$A829,'Основной эфир'!$C:$C=$B829,'Основной эфир'!$I:$I=$C829)), 0) "),0.0)</f>
        <v>0</v>
      </c>
      <c r="E829" s="91">
        <f>IFERROR(__xludf.DUMMYFUNCTION("IFERROR(sum(filter('Основной эфир'!$AC:$AC, 'Основной эфир'!$B:$B=$A829,'Основной эфир'!$C:$C=$B829,'Основной эфир'!$I:$I=$C829)), 0) "),0.0)</f>
        <v>0</v>
      </c>
      <c r="F829" s="91">
        <f>IFERROR(__xludf.DUMMYFUNCTION("IFERROR(sum(filter('Основной эфир'!$O:$O, 'Основной эфир'!$B:$B=$A829,'Основной эфир'!$C:$C=$B829,'Основной эфир'!$I:$I=$C829)), 0) "),0.0)</f>
        <v>0</v>
      </c>
      <c r="G829" s="91">
        <f>IFERROR(__xludf.DUMMYFUNCTION("IFERROR(sum(filter('Основной эфир'!$Q:$Q, 'Основной эфир'!$B:$B=$A829,'Основной эфир'!$C:$C=$B829,'Основной эфир'!$I:$I=$C829)), 0) "),0.0)</f>
        <v>0</v>
      </c>
      <c r="H829" s="91">
        <f>IFERROR(__xludf.DUMMYFUNCTION("IFERROR(AVERAGE(filter('Основной эфир'!$Y:$Y, 'Основной эфир'!$B:$B=$A829,'Основной эфир'!$C:$C=$B829,'Основной эфир'!$I:$I=$C829)), 0) "),0.0)</f>
        <v>0</v>
      </c>
      <c r="I829" s="91">
        <f>IFERROR(__xludf.DUMMYFUNCTION("IFERROR(AVERAGE(filter('Основной эфир'!$AE:$AE, 'Основной эфир'!$B:$B=$A829,'Основной эфир'!$C:$C=$B829,'Основной эфир'!$I:$I=$C829)), 0) "),0.0)</f>
        <v>0</v>
      </c>
      <c r="J829" s="91">
        <f>IFERROR(__xludf.DUMMYFUNCTION("IFERROR(SUM(filter('Основной эфир'!$AL:$AL, 'Основной эфир'!$B:$B=$A829,'Основной эфир'!$C:$C=$B829,'Основной эфир'!$I:$I=$C829)), 0) "),0.0)</f>
        <v>0</v>
      </c>
      <c r="K829" s="91" t="str">
        <f>IFERROR(__xludf.DUMMYFUNCTION("IFERROR(REGEXREPLACE(unique(filter('Основной эфир'!$A:$A, 'Основной эфир'!$B:$B=$A829,'Основной эфир'!$C:$C=$B829,'Основной эфир'!$I:$I=$C829)), ""\d+"", """"),"""")"),"")</f>
        <v/>
      </c>
      <c r="L829" s="91" t="str">
        <f>IFERROR(__xludf.DUMMYFUNCTION("IFERROR(unique(filter('Основной эфир'!$F:$F, 'Основной эфир'!$B:$B=$A829,'Основной эфир'!$C:$C=$B829,'Основной эфир'!$I:$I=$C829)),"""")"),"")</f>
        <v/>
      </c>
      <c r="M829" s="92" t="str">
        <f t="shared" si="1"/>
        <v/>
      </c>
      <c r="N829" s="93">
        <f>IFERROR(__xludf.DUMMYFUNCTION("IFERROR(SWITCH(lower(join("" "",L829:M829)),""а миллионник"", 62.5,""б миллионник"", 75,""а мск"", 50, ""б мск"", 62.5, ""a остальное"", 70, ""б остальное"", 80)/100,0)"),0.0)</f>
        <v>0</v>
      </c>
      <c r="O829" s="91">
        <f t="shared" si="2"/>
        <v>0</v>
      </c>
      <c r="P829" s="91">
        <f>IFERROR(__xludf.DUMMYFUNCTION("IFERROR(sum(filter('Генеральный баннер'!$O:$O, 'Генеральный баннер'!$B:$B=$A829,'Генеральный баннер'!$C:$C=$B829,'Генеральный баннер'!$I:$I=$C829)), 0) "),0.0)</f>
        <v>0</v>
      </c>
      <c r="Q829" s="91">
        <f>IFERROR(__xludf.DUMMYFUNCTION("IFERROR(sum(filter('Генеральный баннер'!$Q:$Q, 'Генеральный баннер'!$B:$B=$A829,'Генеральный баннер'!$C:$C=$B829,'Генеральный баннер'!$I:$I=$C829)), 0) "),0.0)</f>
        <v>0</v>
      </c>
      <c r="R829" s="91">
        <f>IFERROR(__xludf.DUMMYFUNCTION("IFERROR(AVERAGE(filter('Генеральный баннер'!$AA:$AA, 'Генеральный баннер'!$B:$B=$A829,'Генеральный баннер'!$C:$C=$B829,'Генеральный баннер'!$I:$I=$C829)), 0) "),0.0)</f>
        <v>0</v>
      </c>
      <c r="S829" s="91">
        <f>IFERROR(__xludf.DUMMYFUNCTION("IFERROR(SUM(filter('Генеральный баннер'!$AH:$AH, 'Генеральный баннер'!$B:$B=$A829,'Генеральный баннер'!$C:$C=$B829,'Генеральный баннер'!$I:$I=$C829)), 0) "),0.0)</f>
        <v>0</v>
      </c>
      <c r="T829" s="91" t="str">
        <f>IFERROR(__xludf.DUMMYFUNCTION("IFERROR(REGEXREPLACE(unique(filter('Генеральный баннер'!$A:$A, 'Генеральный баннер'!$B:$B=$A829,'Генеральный баннер'!$C:$C=$B829,'Генеральный баннер'!$I:$I=$C829)), ""\d+"", """"),"""")"),"")</f>
        <v/>
      </c>
      <c r="U829" s="91" t="str">
        <f>IFERROR(__xludf.DUMMYFUNCTION("IFERROR(unique(filter('Генеральный баннер'!$F:$F, 'Генеральный баннер'!$B:$B=$A829,'Генеральный баннер'!$C:$C=$B829,'Генеральный баннер'!$I:$I=$C829)),"""")"),"")</f>
        <v/>
      </c>
      <c r="V829" s="92" t="str">
        <f t="shared" si="3"/>
        <v/>
      </c>
      <c r="W829" s="93">
        <f>IFERROR(__xludf.DUMMYFUNCTION("IFERROR(SWITCH(lower(join("" "",U829:V829)),""а миллионник"", 62.5,""б миллионник"", 75,""а мск"", 50, ""б мск"", 62.5, ""a остальное"", 70, ""б остальное"", 80)/100,0)"),0.0)</f>
        <v>0</v>
      </c>
      <c r="X829" s="91">
        <f t="shared" si="4"/>
        <v>0</v>
      </c>
    </row>
    <row r="830">
      <c r="A830" s="12"/>
      <c r="B830" s="12"/>
      <c r="C830" s="12"/>
      <c r="D830" s="91">
        <f>IFERROR(__xludf.DUMMYFUNCTION("IFERROR(sum(filter('Основной эфир'!$AA:$AA, 'Основной эфир'!$B:$B=$A830,'Основной эфир'!$C:$C=$B830,'Основной эфир'!$I:$I=$C830)), 0) "),0.0)</f>
        <v>0</v>
      </c>
      <c r="E830" s="91">
        <f>IFERROR(__xludf.DUMMYFUNCTION("IFERROR(sum(filter('Основной эфир'!$AC:$AC, 'Основной эфир'!$B:$B=$A830,'Основной эфир'!$C:$C=$B830,'Основной эфир'!$I:$I=$C830)), 0) "),0.0)</f>
        <v>0</v>
      </c>
      <c r="F830" s="91">
        <f>IFERROR(__xludf.DUMMYFUNCTION("IFERROR(sum(filter('Основной эфир'!$O:$O, 'Основной эфир'!$B:$B=$A830,'Основной эфир'!$C:$C=$B830,'Основной эфир'!$I:$I=$C830)), 0) "),0.0)</f>
        <v>0</v>
      </c>
      <c r="G830" s="91">
        <f>IFERROR(__xludf.DUMMYFUNCTION("IFERROR(sum(filter('Основной эфир'!$Q:$Q, 'Основной эфир'!$B:$B=$A830,'Основной эфир'!$C:$C=$B830,'Основной эфир'!$I:$I=$C830)), 0) "),0.0)</f>
        <v>0</v>
      </c>
      <c r="H830" s="91">
        <f>IFERROR(__xludf.DUMMYFUNCTION("IFERROR(AVERAGE(filter('Основной эфир'!$Y:$Y, 'Основной эфир'!$B:$B=$A830,'Основной эфир'!$C:$C=$B830,'Основной эфир'!$I:$I=$C830)), 0) "),0.0)</f>
        <v>0</v>
      </c>
      <c r="I830" s="91">
        <f>IFERROR(__xludf.DUMMYFUNCTION("IFERROR(AVERAGE(filter('Основной эфир'!$AE:$AE, 'Основной эфир'!$B:$B=$A830,'Основной эфир'!$C:$C=$B830,'Основной эфир'!$I:$I=$C830)), 0) "),0.0)</f>
        <v>0</v>
      </c>
      <c r="J830" s="91">
        <f>IFERROR(__xludf.DUMMYFUNCTION("IFERROR(SUM(filter('Основной эфир'!$AL:$AL, 'Основной эфир'!$B:$B=$A830,'Основной эфир'!$C:$C=$B830,'Основной эфир'!$I:$I=$C830)), 0) "),0.0)</f>
        <v>0</v>
      </c>
      <c r="K830" s="91" t="str">
        <f>IFERROR(__xludf.DUMMYFUNCTION("IFERROR(REGEXREPLACE(unique(filter('Основной эфир'!$A:$A, 'Основной эфир'!$B:$B=$A830,'Основной эфир'!$C:$C=$B830,'Основной эфир'!$I:$I=$C830)), ""\d+"", """"),"""")"),"")</f>
        <v/>
      </c>
      <c r="L830" s="91" t="str">
        <f>IFERROR(__xludf.DUMMYFUNCTION("IFERROR(unique(filter('Основной эфир'!$F:$F, 'Основной эфир'!$B:$B=$A830,'Основной эфир'!$C:$C=$B830,'Основной эфир'!$I:$I=$C830)),"""")"),"")</f>
        <v/>
      </c>
      <c r="M830" s="92" t="str">
        <f t="shared" si="1"/>
        <v/>
      </c>
      <c r="N830" s="93">
        <f>IFERROR(__xludf.DUMMYFUNCTION("IFERROR(SWITCH(lower(join("" "",L830:M830)),""а миллионник"", 62.5,""б миллионник"", 75,""а мск"", 50, ""б мск"", 62.5, ""a остальное"", 70, ""б остальное"", 80)/100,0)"),0.0)</f>
        <v>0</v>
      </c>
      <c r="O830" s="91">
        <f t="shared" si="2"/>
        <v>0</v>
      </c>
      <c r="P830" s="91">
        <f>IFERROR(__xludf.DUMMYFUNCTION("IFERROR(sum(filter('Генеральный баннер'!$O:$O, 'Генеральный баннер'!$B:$B=$A830,'Генеральный баннер'!$C:$C=$B830,'Генеральный баннер'!$I:$I=$C830)), 0) "),0.0)</f>
        <v>0</v>
      </c>
      <c r="Q830" s="91">
        <f>IFERROR(__xludf.DUMMYFUNCTION("IFERROR(sum(filter('Генеральный баннер'!$Q:$Q, 'Генеральный баннер'!$B:$B=$A830,'Генеральный баннер'!$C:$C=$B830,'Генеральный баннер'!$I:$I=$C830)), 0) "),0.0)</f>
        <v>0</v>
      </c>
      <c r="R830" s="91">
        <f>IFERROR(__xludf.DUMMYFUNCTION("IFERROR(AVERAGE(filter('Генеральный баннер'!$AA:$AA, 'Генеральный баннер'!$B:$B=$A830,'Генеральный баннер'!$C:$C=$B830,'Генеральный баннер'!$I:$I=$C830)), 0) "),0.0)</f>
        <v>0</v>
      </c>
      <c r="S830" s="91">
        <f>IFERROR(__xludf.DUMMYFUNCTION("IFERROR(SUM(filter('Генеральный баннер'!$AH:$AH, 'Генеральный баннер'!$B:$B=$A830,'Генеральный баннер'!$C:$C=$B830,'Генеральный баннер'!$I:$I=$C830)), 0) "),0.0)</f>
        <v>0</v>
      </c>
      <c r="T830" s="91" t="str">
        <f>IFERROR(__xludf.DUMMYFUNCTION("IFERROR(REGEXREPLACE(unique(filter('Генеральный баннер'!$A:$A, 'Генеральный баннер'!$B:$B=$A830,'Генеральный баннер'!$C:$C=$B830,'Генеральный баннер'!$I:$I=$C830)), ""\d+"", """"),"""")"),"")</f>
        <v/>
      </c>
      <c r="U830" s="91" t="str">
        <f>IFERROR(__xludf.DUMMYFUNCTION("IFERROR(unique(filter('Генеральный баннер'!$F:$F, 'Генеральный баннер'!$B:$B=$A830,'Генеральный баннер'!$C:$C=$B830,'Генеральный баннер'!$I:$I=$C830)),"""")"),"")</f>
        <v/>
      </c>
      <c r="V830" s="92" t="str">
        <f t="shared" si="3"/>
        <v/>
      </c>
      <c r="W830" s="93">
        <f>IFERROR(__xludf.DUMMYFUNCTION("IFERROR(SWITCH(lower(join("" "",U830:V830)),""а миллионник"", 62.5,""б миллионник"", 75,""а мск"", 50, ""б мск"", 62.5, ""a остальное"", 70, ""б остальное"", 80)/100,0)"),0.0)</f>
        <v>0</v>
      </c>
      <c r="X830" s="91">
        <f t="shared" si="4"/>
        <v>0</v>
      </c>
    </row>
    <row r="831">
      <c r="A831" s="12"/>
      <c r="B831" s="12"/>
      <c r="C831" s="12"/>
      <c r="D831" s="91">
        <f>IFERROR(__xludf.DUMMYFUNCTION("IFERROR(sum(filter('Основной эфир'!$AA:$AA, 'Основной эфир'!$B:$B=$A831,'Основной эфир'!$C:$C=$B831,'Основной эфир'!$I:$I=$C831)), 0) "),0.0)</f>
        <v>0</v>
      </c>
      <c r="E831" s="91">
        <f>IFERROR(__xludf.DUMMYFUNCTION("IFERROR(sum(filter('Основной эфир'!$AC:$AC, 'Основной эфир'!$B:$B=$A831,'Основной эфир'!$C:$C=$B831,'Основной эфир'!$I:$I=$C831)), 0) "),0.0)</f>
        <v>0</v>
      </c>
      <c r="F831" s="91">
        <f>IFERROR(__xludf.DUMMYFUNCTION("IFERROR(sum(filter('Основной эфир'!$O:$O, 'Основной эфир'!$B:$B=$A831,'Основной эфир'!$C:$C=$B831,'Основной эфир'!$I:$I=$C831)), 0) "),0.0)</f>
        <v>0</v>
      </c>
      <c r="G831" s="91">
        <f>IFERROR(__xludf.DUMMYFUNCTION("IFERROR(sum(filter('Основной эфир'!$Q:$Q, 'Основной эфир'!$B:$B=$A831,'Основной эфир'!$C:$C=$B831,'Основной эфир'!$I:$I=$C831)), 0) "),0.0)</f>
        <v>0</v>
      </c>
      <c r="H831" s="91">
        <f>IFERROR(__xludf.DUMMYFUNCTION("IFERROR(AVERAGE(filter('Основной эфир'!$Y:$Y, 'Основной эфир'!$B:$B=$A831,'Основной эфир'!$C:$C=$B831,'Основной эфир'!$I:$I=$C831)), 0) "),0.0)</f>
        <v>0</v>
      </c>
      <c r="I831" s="91">
        <f>IFERROR(__xludf.DUMMYFUNCTION("IFERROR(AVERAGE(filter('Основной эфир'!$AE:$AE, 'Основной эфир'!$B:$B=$A831,'Основной эфир'!$C:$C=$B831,'Основной эфир'!$I:$I=$C831)), 0) "),0.0)</f>
        <v>0</v>
      </c>
      <c r="J831" s="91">
        <f>IFERROR(__xludf.DUMMYFUNCTION("IFERROR(SUM(filter('Основной эфир'!$AL:$AL, 'Основной эфир'!$B:$B=$A831,'Основной эфир'!$C:$C=$B831,'Основной эфир'!$I:$I=$C831)), 0) "),0.0)</f>
        <v>0</v>
      </c>
      <c r="K831" s="91" t="str">
        <f>IFERROR(__xludf.DUMMYFUNCTION("IFERROR(REGEXREPLACE(unique(filter('Основной эфир'!$A:$A, 'Основной эфир'!$B:$B=$A831,'Основной эфир'!$C:$C=$B831,'Основной эфир'!$I:$I=$C831)), ""\d+"", """"),"""")"),"")</f>
        <v/>
      </c>
      <c r="L831" s="91" t="str">
        <f>IFERROR(__xludf.DUMMYFUNCTION("IFERROR(unique(filter('Основной эфир'!$F:$F, 'Основной эфир'!$B:$B=$A831,'Основной эфир'!$C:$C=$B831,'Основной эфир'!$I:$I=$C831)),"""")"),"")</f>
        <v/>
      </c>
      <c r="M831" s="92" t="str">
        <f t="shared" si="1"/>
        <v/>
      </c>
      <c r="N831" s="93">
        <f>IFERROR(__xludf.DUMMYFUNCTION("IFERROR(SWITCH(lower(join("" "",L831:M831)),""а миллионник"", 62.5,""б миллионник"", 75,""а мск"", 50, ""б мск"", 62.5, ""a остальное"", 70, ""б остальное"", 80)/100,0)"),0.0)</f>
        <v>0</v>
      </c>
      <c r="O831" s="91">
        <f t="shared" si="2"/>
        <v>0</v>
      </c>
      <c r="P831" s="91">
        <f>IFERROR(__xludf.DUMMYFUNCTION("IFERROR(sum(filter('Генеральный баннер'!$O:$O, 'Генеральный баннер'!$B:$B=$A831,'Генеральный баннер'!$C:$C=$B831,'Генеральный баннер'!$I:$I=$C831)), 0) "),0.0)</f>
        <v>0</v>
      </c>
      <c r="Q831" s="91">
        <f>IFERROR(__xludf.DUMMYFUNCTION("IFERROR(sum(filter('Генеральный баннер'!$Q:$Q, 'Генеральный баннер'!$B:$B=$A831,'Генеральный баннер'!$C:$C=$B831,'Генеральный баннер'!$I:$I=$C831)), 0) "),0.0)</f>
        <v>0</v>
      </c>
      <c r="R831" s="91">
        <f>IFERROR(__xludf.DUMMYFUNCTION("IFERROR(AVERAGE(filter('Генеральный баннер'!$AA:$AA, 'Генеральный баннер'!$B:$B=$A831,'Генеральный баннер'!$C:$C=$B831,'Генеральный баннер'!$I:$I=$C831)), 0) "),0.0)</f>
        <v>0</v>
      </c>
      <c r="S831" s="91">
        <f>IFERROR(__xludf.DUMMYFUNCTION("IFERROR(SUM(filter('Генеральный баннер'!$AH:$AH, 'Генеральный баннер'!$B:$B=$A831,'Генеральный баннер'!$C:$C=$B831,'Генеральный баннер'!$I:$I=$C831)), 0) "),0.0)</f>
        <v>0</v>
      </c>
      <c r="T831" s="91" t="str">
        <f>IFERROR(__xludf.DUMMYFUNCTION("IFERROR(REGEXREPLACE(unique(filter('Генеральный баннер'!$A:$A, 'Генеральный баннер'!$B:$B=$A831,'Генеральный баннер'!$C:$C=$B831,'Генеральный баннер'!$I:$I=$C831)), ""\d+"", """"),"""")"),"")</f>
        <v/>
      </c>
      <c r="U831" s="91" t="str">
        <f>IFERROR(__xludf.DUMMYFUNCTION("IFERROR(unique(filter('Генеральный баннер'!$F:$F, 'Генеральный баннер'!$B:$B=$A831,'Генеральный баннер'!$C:$C=$B831,'Генеральный баннер'!$I:$I=$C831)),"""")"),"")</f>
        <v/>
      </c>
      <c r="V831" s="92" t="str">
        <f t="shared" si="3"/>
        <v/>
      </c>
      <c r="W831" s="93">
        <f>IFERROR(__xludf.DUMMYFUNCTION("IFERROR(SWITCH(lower(join("" "",U831:V831)),""а миллионник"", 62.5,""б миллионник"", 75,""а мск"", 50, ""б мск"", 62.5, ""a остальное"", 70, ""б остальное"", 80)/100,0)"),0.0)</f>
        <v>0</v>
      </c>
      <c r="X831" s="91">
        <f t="shared" si="4"/>
        <v>0</v>
      </c>
    </row>
    <row r="832">
      <c r="A832" s="12"/>
      <c r="B832" s="12"/>
      <c r="C832" s="12"/>
      <c r="D832" s="91">
        <f>IFERROR(__xludf.DUMMYFUNCTION("IFERROR(sum(filter('Основной эфир'!$AA:$AA, 'Основной эфир'!$B:$B=$A832,'Основной эфир'!$C:$C=$B832,'Основной эфир'!$I:$I=$C832)), 0) "),0.0)</f>
        <v>0</v>
      </c>
      <c r="E832" s="91">
        <f>IFERROR(__xludf.DUMMYFUNCTION("IFERROR(sum(filter('Основной эфир'!$AC:$AC, 'Основной эфир'!$B:$B=$A832,'Основной эфир'!$C:$C=$B832,'Основной эфир'!$I:$I=$C832)), 0) "),0.0)</f>
        <v>0</v>
      </c>
      <c r="F832" s="91">
        <f>IFERROR(__xludf.DUMMYFUNCTION("IFERROR(sum(filter('Основной эфир'!$O:$O, 'Основной эфир'!$B:$B=$A832,'Основной эфир'!$C:$C=$B832,'Основной эфир'!$I:$I=$C832)), 0) "),0.0)</f>
        <v>0</v>
      </c>
      <c r="G832" s="91">
        <f>IFERROR(__xludf.DUMMYFUNCTION("IFERROR(sum(filter('Основной эфир'!$Q:$Q, 'Основной эфир'!$B:$B=$A832,'Основной эфир'!$C:$C=$B832,'Основной эфир'!$I:$I=$C832)), 0) "),0.0)</f>
        <v>0</v>
      </c>
      <c r="H832" s="91">
        <f>IFERROR(__xludf.DUMMYFUNCTION("IFERROR(AVERAGE(filter('Основной эфир'!$Y:$Y, 'Основной эфир'!$B:$B=$A832,'Основной эфир'!$C:$C=$B832,'Основной эфир'!$I:$I=$C832)), 0) "),0.0)</f>
        <v>0</v>
      </c>
      <c r="I832" s="91">
        <f>IFERROR(__xludf.DUMMYFUNCTION("IFERROR(AVERAGE(filter('Основной эфир'!$AE:$AE, 'Основной эфир'!$B:$B=$A832,'Основной эфир'!$C:$C=$B832,'Основной эфир'!$I:$I=$C832)), 0) "),0.0)</f>
        <v>0</v>
      </c>
      <c r="J832" s="91">
        <f>IFERROR(__xludf.DUMMYFUNCTION("IFERROR(SUM(filter('Основной эфир'!$AL:$AL, 'Основной эфир'!$B:$B=$A832,'Основной эфир'!$C:$C=$B832,'Основной эфир'!$I:$I=$C832)), 0) "),0.0)</f>
        <v>0</v>
      </c>
      <c r="K832" s="91" t="str">
        <f>IFERROR(__xludf.DUMMYFUNCTION("IFERROR(REGEXREPLACE(unique(filter('Основной эфир'!$A:$A, 'Основной эфир'!$B:$B=$A832,'Основной эфир'!$C:$C=$B832,'Основной эфир'!$I:$I=$C832)), ""\d+"", """"),"""")"),"")</f>
        <v/>
      </c>
      <c r="L832" s="91" t="str">
        <f>IFERROR(__xludf.DUMMYFUNCTION("IFERROR(unique(filter('Основной эфир'!$F:$F, 'Основной эфир'!$B:$B=$A832,'Основной эфир'!$C:$C=$B832,'Основной эфир'!$I:$I=$C832)),"""")"),"")</f>
        <v/>
      </c>
      <c r="M832" s="92" t="str">
        <f t="shared" si="1"/>
        <v/>
      </c>
      <c r="N832" s="93">
        <f>IFERROR(__xludf.DUMMYFUNCTION("IFERROR(SWITCH(lower(join("" "",L832:M832)),""а миллионник"", 62.5,""б миллионник"", 75,""а мск"", 50, ""б мск"", 62.5, ""a остальное"", 70, ""б остальное"", 80)/100,0)"),0.0)</f>
        <v>0</v>
      </c>
      <c r="O832" s="91">
        <f t="shared" si="2"/>
        <v>0</v>
      </c>
      <c r="P832" s="91">
        <f>IFERROR(__xludf.DUMMYFUNCTION("IFERROR(sum(filter('Генеральный баннер'!$O:$O, 'Генеральный баннер'!$B:$B=$A832,'Генеральный баннер'!$C:$C=$B832,'Генеральный баннер'!$I:$I=$C832)), 0) "),0.0)</f>
        <v>0</v>
      </c>
      <c r="Q832" s="91">
        <f>IFERROR(__xludf.DUMMYFUNCTION("IFERROR(sum(filter('Генеральный баннер'!$Q:$Q, 'Генеральный баннер'!$B:$B=$A832,'Генеральный баннер'!$C:$C=$B832,'Генеральный баннер'!$I:$I=$C832)), 0) "),0.0)</f>
        <v>0</v>
      </c>
      <c r="R832" s="91">
        <f>IFERROR(__xludf.DUMMYFUNCTION("IFERROR(AVERAGE(filter('Генеральный баннер'!$AA:$AA, 'Генеральный баннер'!$B:$B=$A832,'Генеральный баннер'!$C:$C=$B832,'Генеральный баннер'!$I:$I=$C832)), 0) "),0.0)</f>
        <v>0</v>
      </c>
      <c r="S832" s="91">
        <f>IFERROR(__xludf.DUMMYFUNCTION("IFERROR(SUM(filter('Генеральный баннер'!$AH:$AH, 'Генеральный баннер'!$B:$B=$A832,'Генеральный баннер'!$C:$C=$B832,'Генеральный баннер'!$I:$I=$C832)), 0) "),0.0)</f>
        <v>0</v>
      </c>
      <c r="T832" s="91" t="str">
        <f>IFERROR(__xludf.DUMMYFUNCTION("IFERROR(REGEXREPLACE(unique(filter('Генеральный баннер'!$A:$A, 'Генеральный баннер'!$B:$B=$A832,'Генеральный баннер'!$C:$C=$B832,'Генеральный баннер'!$I:$I=$C832)), ""\d+"", """"),"""")"),"")</f>
        <v/>
      </c>
      <c r="U832" s="91" t="str">
        <f>IFERROR(__xludf.DUMMYFUNCTION("IFERROR(unique(filter('Генеральный баннер'!$F:$F, 'Генеральный баннер'!$B:$B=$A832,'Генеральный баннер'!$C:$C=$B832,'Генеральный баннер'!$I:$I=$C832)),"""")"),"")</f>
        <v/>
      </c>
      <c r="V832" s="92" t="str">
        <f t="shared" si="3"/>
        <v/>
      </c>
      <c r="W832" s="93">
        <f>IFERROR(__xludf.DUMMYFUNCTION("IFERROR(SWITCH(lower(join("" "",U832:V832)),""а миллионник"", 62.5,""б миллионник"", 75,""а мск"", 50, ""б мск"", 62.5, ""a остальное"", 70, ""б остальное"", 80)/100,0)"),0.0)</f>
        <v>0</v>
      </c>
      <c r="X832" s="91">
        <f t="shared" si="4"/>
        <v>0</v>
      </c>
    </row>
    <row r="833">
      <c r="A833" s="12"/>
      <c r="B833" s="12"/>
      <c r="C833" s="12"/>
      <c r="D833" s="91">
        <f>IFERROR(__xludf.DUMMYFUNCTION("IFERROR(sum(filter('Основной эфир'!$AA:$AA, 'Основной эфир'!$B:$B=$A833,'Основной эфир'!$C:$C=$B833,'Основной эфир'!$I:$I=$C833)), 0) "),0.0)</f>
        <v>0</v>
      </c>
      <c r="E833" s="91">
        <f>IFERROR(__xludf.DUMMYFUNCTION("IFERROR(sum(filter('Основной эфир'!$AC:$AC, 'Основной эфир'!$B:$B=$A833,'Основной эфир'!$C:$C=$B833,'Основной эфир'!$I:$I=$C833)), 0) "),0.0)</f>
        <v>0</v>
      </c>
      <c r="F833" s="91">
        <f>IFERROR(__xludf.DUMMYFUNCTION("IFERROR(sum(filter('Основной эфир'!$O:$O, 'Основной эфир'!$B:$B=$A833,'Основной эфир'!$C:$C=$B833,'Основной эфир'!$I:$I=$C833)), 0) "),0.0)</f>
        <v>0</v>
      </c>
      <c r="G833" s="91">
        <f>IFERROR(__xludf.DUMMYFUNCTION("IFERROR(sum(filter('Основной эфир'!$Q:$Q, 'Основной эфир'!$B:$B=$A833,'Основной эфир'!$C:$C=$B833,'Основной эфир'!$I:$I=$C833)), 0) "),0.0)</f>
        <v>0</v>
      </c>
      <c r="H833" s="91">
        <f>IFERROR(__xludf.DUMMYFUNCTION("IFERROR(AVERAGE(filter('Основной эфир'!$Y:$Y, 'Основной эфир'!$B:$B=$A833,'Основной эфир'!$C:$C=$B833,'Основной эфир'!$I:$I=$C833)), 0) "),0.0)</f>
        <v>0</v>
      </c>
      <c r="I833" s="91">
        <f>IFERROR(__xludf.DUMMYFUNCTION("IFERROR(AVERAGE(filter('Основной эфир'!$AE:$AE, 'Основной эфир'!$B:$B=$A833,'Основной эфир'!$C:$C=$B833,'Основной эфир'!$I:$I=$C833)), 0) "),0.0)</f>
        <v>0</v>
      </c>
      <c r="J833" s="91">
        <f>IFERROR(__xludf.DUMMYFUNCTION("IFERROR(SUM(filter('Основной эфир'!$AL:$AL, 'Основной эфир'!$B:$B=$A833,'Основной эфир'!$C:$C=$B833,'Основной эфир'!$I:$I=$C833)), 0) "),0.0)</f>
        <v>0</v>
      </c>
      <c r="K833" s="91" t="str">
        <f>IFERROR(__xludf.DUMMYFUNCTION("IFERROR(REGEXREPLACE(unique(filter('Основной эфир'!$A:$A, 'Основной эфир'!$B:$B=$A833,'Основной эфир'!$C:$C=$B833,'Основной эфир'!$I:$I=$C833)), ""\d+"", """"),"""")"),"")</f>
        <v/>
      </c>
      <c r="L833" s="91" t="str">
        <f>IFERROR(__xludf.DUMMYFUNCTION("IFERROR(unique(filter('Основной эфир'!$F:$F, 'Основной эфир'!$B:$B=$A833,'Основной эфир'!$C:$C=$B833,'Основной эфир'!$I:$I=$C833)),"""")"),"")</f>
        <v/>
      </c>
      <c r="M833" s="92" t="str">
        <f t="shared" si="1"/>
        <v/>
      </c>
      <c r="N833" s="93">
        <f>IFERROR(__xludf.DUMMYFUNCTION("IFERROR(SWITCH(lower(join("" "",L833:M833)),""а миллионник"", 62.5,""б миллионник"", 75,""а мск"", 50, ""б мск"", 62.5, ""a остальное"", 70, ""б остальное"", 80)/100,0)"),0.0)</f>
        <v>0</v>
      </c>
      <c r="O833" s="91">
        <f t="shared" si="2"/>
        <v>0</v>
      </c>
      <c r="P833" s="91">
        <f>IFERROR(__xludf.DUMMYFUNCTION("IFERROR(sum(filter('Генеральный баннер'!$O:$O, 'Генеральный баннер'!$B:$B=$A833,'Генеральный баннер'!$C:$C=$B833,'Генеральный баннер'!$I:$I=$C833)), 0) "),0.0)</f>
        <v>0</v>
      </c>
      <c r="Q833" s="91">
        <f>IFERROR(__xludf.DUMMYFUNCTION("IFERROR(sum(filter('Генеральный баннер'!$Q:$Q, 'Генеральный баннер'!$B:$B=$A833,'Генеральный баннер'!$C:$C=$B833,'Генеральный баннер'!$I:$I=$C833)), 0) "),0.0)</f>
        <v>0</v>
      </c>
      <c r="R833" s="91">
        <f>IFERROR(__xludf.DUMMYFUNCTION("IFERROR(AVERAGE(filter('Генеральный баннер'!$AA:$AA, 'Генеральный баннер'!$B:$B=$A833,'Генеральный баннер'!$C:$C=$B833,'Генеральный баннер'!$I:$I=$C833)), 0) "),0.0)</f>
        <v>0</v>
      </c>
      <c r="S833" s="91">
        <f>IFERROR(__xludf.DUMMYFUNCTION("IFERROR(SUM(filter('Генеральный баннер'!$AH:$AH, 'Генеральный баннер'!$B:$B=$A833,'Генеральный баннер'!$C:$C=$B833,'Генеральный баннер'!$I:$I=$C833)), 0) "),0.0)</f>
        <v>0</v>
      </c>
      <c r="T833" s="91" t="str">
        <f>IFERROR(__xludf.DUMMYFUNCTION("IFERROR(REGEXREPLACE(unique(filter('Генеральный баннер'!$A:$A, 'Генеральный баннер'!$B:$B=$A833,'Генеральный баннер'!$C:$C=$B833,'Генеральный баннер'!$I:$I=$C833)), ""\d+"", """"),"""")"),"")</f>
        <v/>
      </c>
      <c r="U833" s="91" t="str">
        <f>IFERROR(__xludf.DUMMYFUNCTION("IFERROR(unique(filter('Генеральный баннер'!$F:$F, 'Генеральный баннер'!$B:$B=$A833,'Генеральный баннер'!$C:$C=$B833,'Генеральный баннер'!$I:$I=$C833)),"""")"),"")</f>
        <v/>
      </c>
      <c r="V833" s="92" t="str">
        <f t="shared" si="3"/>
        <v/>
      </c>
      <c r="W833" s="93">
        <f>IFERROR(__xludf.DUMMYFUNCTION("IFERROR(SWITCH(lower(join("" "",U833:V833)),""а миллионник"", 62.5,""б миллионник"", 75,""а мск"", 50, ""б мск"", 62.5, ""a остальное"", 70, ""б остальное"", 80)/100,0)"),0.0)</f>
        <v>0</v>
      </c>
      <c r="X833" s="91">
        <f t="shared" si="4"/>
        <v>0</v>
      </c>
    </row>
    <row r="834">
      <c r="A834" s="12"/>
      <c r="B834" s="12"/>
      <c r="C834" s="12"/>
      <c r="D834" s="91">
        <f>IFERROR(__xludf.DUMMYFUNCTION("IFERROR(sum(filter('Основной эфир'!$AA:$AA, 'Основной эфир'!$B:$B=$A834,'Основной эфир'!$C:$C=$B834,'Основной эфир'!$I:$I=$C834)), 0) "),0.0)</f>
        <v>0</v>
      </c>
      <c r="E834" s="91">
        <f>IFERROR(__xludf.DUMMYFUNCTION("IFERROR(sum(filter('Основной эфир'!$AC:$AC, 'Основной эфир'!$B:$B=$A834,'Основной эфир'!$C:$C=$B834,'Основной эфир'!$I:$I=$C834)), 0) "),0.0)</f>
        <v>0</v>
      </c>
      <c r="F834" s="91">
        <f>IFERROR(__xludf.DUMMYFUNCTION("IFERROR(sum(filter('Основной эфир'!$O:$O, 'Основной эфир'!$B:$B=$A834,'Основной эфир'!$C:$C=$B834,'Основной эфир'!$I:$I=$C834)), 0) "),0.0)</f>
        <v>0</v>
      </c>
      <c r="G834" s="91">
        <f>IFERROR(__xludf.DUMMYFUNCTION("IFERROR(sum(filter('Основной эфир'!$Q:$Q, 'Основной эфир'!$B:$B=$A834,'Основной эфир'!$C:$C=$B834,'Основной эфир'!$I:$I=$C834)), 0) "),0.0)</f>
        <v>0</v>
      </c>
      <c r="H834" s="91">
        <f>IFERROR(__xludf.DUMMYFUNCTION("IFERROR(AVERAGE(filter('Основной эфир'!$Y:$Y, 'Основной эфир'!$B:$B=$A834,'Основной эфир'!$C:$C=$B834,'Основной эфир'!$I:$I=$C834)), 0) "),0.0)</f>
        <v>0</v>
      </c>
      <c r="I834" s="91">
        <f>IFERROR(__xludf.DUMMYFUNCTION("IFERROR(AVERAGE(filter('Основной эфир'!$AE:$AE, 'Основной эфир'!$B:$B=$A834,'Основной эфир'!$C:$C=$B834,'Основной эфир'!$I:$I=$C834)), 0) "),0.0)</f>
        <v>0</v>
      </c>
      <c r="J834" s="91">
        <f>IFERROR(__xludf.DUMMYFUNCTION("IFERROR(SUM(filter('Основной эфир'!$AL:$AL, 'Основной эфир'!$B:$B=$A834,'Основной эфир'!$C:$C=$B834,'Основной эфир'!$I:$I=$C834)), 0) "),0.0)</f>
        <v>0</v>
      </c>
      <c r="K834" s="91" t="str">
        <f>IFERROR(__xludf.DUMMYFUNCTION("IFERROR(REGEXREPLACE(unique(filter('Основной эфир'!$A:$A, 'Основной эфир'!$B:$B=$A834,'Основной эфир'!$C:$C=$B834,'Основной эфир'!$I:$I=$C834)), ""\d+"", """"),"""")"),"")</f>
        <v/>
      </c>
      <c r="L834" s="91" t="str">
        <f>IFERROR(__xludf.DUMMYFUNCTION("IFERROR(unique(filter('Основной эфир'!$F:$F, 'Основной эфир'!$B:$B=$A834,'Основной эфир'!$C:$C=$B834,'Основной эфир'!$I:$I=$C834)),"""")"),"")</f>
        <v/>
      </c>
      <c r="M834" s="92" t="str">
        <f t="shared" si="1"/>
        <v/>
      </c>
      <c r="N834" s="93">
        <f>IFERROR(__xludf.DUMMYFUNCTION("IFERROR(SWITCH(lower(join("" "",L834:M834)),""а миллионник"", 62.5,""б миллионник"", 75,""а мск"", 50, ""б мск"", 62.5, ""a остальное"", 70, ""б остальное"", 80)/100,0)"),0.0)</f>
        <v>0</v>
      </c>
      <c r="O834" s="91">
        <f t="shared" si="2"/>
        <v>0</v>
      </c>
      <c r="P834" s="91">
        <f>IFERROR(__xludf.DUMMYFUNCTION("IFERROR(sum(filter('Генеральный баннер'!$O:$O, 'Генеральный баннер'!$B:$B=$A834,'Генеральный баннер'!$C:$C=$B834,'Генеральный баннер'!$I:$I=$C834)), 0) "),0.0)</f>
        <v>0</v>
      </c>
      <c r="Q834" s="91">
        <f>IFERROR(__xludf.DUMMYFUNCTION("IFERROR(sum(filter('Генеральный баннер'!$Q:$Q, 'Генеральный баннер'!$B:$B=$A834,'Генеральный баннер'!$C:$C=$B834,'Генеральный баннер'!$I:$I=$C834)), 0) "),0.0)</f>
        <v>0</v>
      </c>
      <c r="R834" s="91">
        <f>IFERROR(__xludf.DUMMYFUNCTION("IFERROR(AVERAGE(filter('Генеральный баннер'!$AA:$AA, 'Генеральный баннер'!$B:$B=$A834,'Генеральный баннер'!$C:$C=$B834,'Генеральный баннер'!$I:$I=$C834)), 0) "),0.0)</f>
        <v>0</v>
      </c>
      <c r="S834" s="91">
        <f>IFERROR(__xludf.DUMMYFUNCTION("IFERROR(SUM(filter('Генеральный баннер'!$AH:$AH, 'Генеральный баннер'!$B:$B=$A834,'Генеральный баннер'!$C:$C=$B834,'Генеральный баннер'!$I:$I=$C834)), 0) "),0.0)</f>
        <v>0</v>
      </c>
      <c r="T834" s="91" t="str">
        <f>IFERROR(__xludf.DUMMYFUNCTION("IFERROR(REGEXREPLACE(unique(filter('Генеральный баннер'!$A:$A, 'Генеральный баннер'!$B:$B=$A834,'Генеральный баннер'!$C:$C=$B834,'Генеральный баннер'!$I:$I=$C834)), ""\d+"", """"),"""")"),"")</f>
        <v/>
      </c>
      <c r="U834" s="91" t="str">
        <f>IFERROR(__xludf.DUMMYFUNCTION("IFERROR(unique(filter('Генеральный баннер'!$F:$F, 'Генеральный баннер'!$B:$B=$A834,'Генеральный баннер'!$C:$C=$B834,'Генеральный баннер'!$I:$I=$C834)),"""")"),"")</f>
        <v/>
      </c>
      <c r="V834" s="92" t="str">
        <f t="shared" si="3"/>
        <v/>
      </c>
      <c r="W834" s="93">
        <f>IFERROR(__xludf.DUMMYFUNCTION("IFERROR(SWITCH(lower(join("" "",U834:V834)),""а миллионник"", 62.5,""б миллионник"", 75,""а мск"", 50, ""б мск"", 62.5, ""a остальное"", 70, ""б остальное"", 80)/100,0)"),0.0)</f>
        <v>0</v>
      </c>
      <c r="X834" s="91">
        <f t="shared" si="4"/>
        <v>0</v>
      </c>
    </row>
    <row r="835">
      <c r="A835" s="12"/>
      <c r="B835" s="12"/>
      <c r="C835" s="12"/>
      <c r="D835" s="91">
        <f>IFERROR(__xludf.DUMMYFUNCTION("IFERROR(sum(filter('Основной эфир'!$AA:$AA, 'Основной эфир'!$B:$B=$A835,'Основной эфир'!$C:$C=$B835,'Основной эфир'!$I:$I=$C835)), 0) "),0.0)</f>
        <v>0</v>
      </c>
      <c r="E835" s="91">
        <f>IFERROR(__xludf.DUMMYFUNCTION("IFERROR(sum(filter('Основной эфир'!$AC:$AC, 'Основной эфир'!$B:$B=$A835,'Основной эфир'!$C:$C=$B835,'Основной эфир'!$I:$I=$C835)), 0) "),0.0)</f>
        <v>0</v>
      </c>
      <c r="F835" s="91">
        <f>IFERROR(__xludf.DUMMYFUNCTION("IFERROR(sum(filter('Основной эфир'!$O:$O, 'Основной эфир'!$B:$B=$A835,'Основной эфир'!$C:$C=$B835,'Основной эфир'!$I:$I=$C835)), 0) "),0.0)</f>
        <v>0</v>
      </c>
      <c r="G835" s="91">
        <f>IFERROR(__xludf.DUMMYFUNCTION("IFERROR(sum(filter('Основной эфир'!$Q:$Q, 'Основной эфир'!$B:$B=$A835,'Основной эфир'!$C:$C=$B835,'Основной эфир'!$I:$I=$C835)), 0) "),0.0)</f>
        <v>0</v>
      </c>
      <c r="H835" s="91">
        <f>IFERROR(__xludf.DUMMYFUNCTION("IFERROR(AVERAGE(filter('Основной эфир'!$Y:$Y, 'Основной эфир'!$B:$B=$A835,'Основной эфир'!$C:$C=$B835,'Основной эфир'!$I:$I=$C835)), 0) "),0.0)</f>
        <v>0</v>
      </c>
      <c r="I835" s="91">
        <f>IFERROR(__xludf.DUMMYFUNCTION("IFERROR(AVERAGE(filter('Основной эфир'!$AE:$AE, 'Основной эфир'!$B:$B=$A835,'Основной эфир'!$C:$C=$B835,'Основной эфир'!$I:$I=$C835)), 0) "),0.0)</f>
        <v>0</v>
      </c>
      <c r="J835" s="91">
        <f>IFERROR(__xludf.DUMMYFUNCTION("IFERROR(SUM(filter('Основной эфир'!$AL:$AL, 'Основной эфир'!$B:$B=$A835,'Основной эфир'!$C:$C=$B835,'Основной эфир'!$I:$I=$C835)), 0) "),0.0)</f>
        <v>0</v>
      </c>
      <c r="K835" s="91" t="str">
        <f>IFERROR(__xludf.DUMMYFUNCTION("IFERROR(REGEXREPLACE(unique(filter('Основной эфир'!$A:$A, 'Основной эфир'!$B:$B=$A835,'Основной эфир'!$C:$C=$B835,'Основной эфир'!$I:$I=$C835)), ""\d+"", """"),"""")"),"")</f>
        <v/>
      </c>
      <c r="L835" s="91" t="str">
        <f>IFERROR(__xludf.DUMMYFUNCTION("IFERROR(unique(filter('Основной эфир'!$F:$F, 'Основной эфир'!$B:$B=$A835,'Основной эфир'!$C:$C=$B835,'Основной эфир'!$I:$I=$C835)),"""")"),"")</f>
        <v/>
      </c>
      <c r="M835" s="92" t="str">
        <f t="shared" si="1"/>
        <v/>
      </c>
      <c r="N835" s="93">
        <f>IFERROR(__xludf.DUMMYFUNCTION("IFERROR(SWITCH(lower(join("" "",L835:M835)),""а миллионник"", 62.5,""б миллионник"", 75,""а мск"", 50, ""б мск"", 62.5, ""a остальное"", 70, ""б остальное"", 80)/100,0)"),0.0)</f>
        <v>0</v>
      </c>
      <c r="O835" s="91">
        <f t="shared" si="2"/>
        <v>0</v>
      </c>
      <c r="P835" s="91">
        <f>IFERROR(__xludf.DUMMYFUNCTION("IFERROR(sum(filter('Генеральный баннер'!$O:$O, 'Генеральный баннер'!$B:$B=$A835,'Генеральный баннер'!$C:$C=$B835,'Генеральный баннер'!$I:$I=$C835)), 0) "),0.0)</f>
        <v>0</v>
      </c>
      <c r="Q835" s="91">
        <f>IFERROR(__xludf.DUMMYFUNCTION("IFERROR(sum(filter('Генеральный баннер'!$Q:$Q, 'Генеральный баннер'!$B:$B=$A835,'Генеральный баннер'!$C:$C=$B835,'Генеральный баннер'!$I:$I=$C835)), 0) "),0.0)</f>
        <v>0</v>
      </c>
      <c r="R835" s="91">
        <f>IFERROR(__xludf.DUMMYFUNCTION("IFERROR(AVERAGE(filter('Генеральный баннер'!$AA:$AA, 'Генеральный баннер'!$B:$B=$A835,'Генеральный баннер'!$C:$C=$B835,'Генеральный баннер'!$I:$I=$C835)), 0) "),0.0)</f>
        <v>0</v>
      </c>
      <c r="S835" s="91">
        <f>IFERROR(__xludf.DUMMYFUNCTION("IFERROR(SUM(filter('Генеральный баннер'!$AH:$AH, 'Генеральный баннер'!$B:$B=$A835,'Генеральный баннер'!$C:$C=$B835,'Генеральный баннер'!$I:$I=$C835)), 0) "),0.0)</f>
        <v>0</v>
      </c>
      <c r="T835" s="91" t="str">
        <f>IFERROR(__xludf.DUMMYFUNCTION("IFERROR(REGEXREPLACE(unique(filter('Генеральный баннер'!$A:$A, 'Генеральный баннер'!$B:$B=$A835,'Генеральный баннер'!$C:$C=$B835,'Генеральный баннер'!$I:$I=$C835)), ""\d+"", """"),"""")"),"")</f>
        <v/>
      </c>
      <c r="U835" s="91" t="str">
        <f>IFERROR(__xludf.DUMMYFUNCTION("IFERROR(unique(filter('Генеральный баннер'!$F:$F, 'Генеральный баннер'!$B:$B=$A835,'Генеральный баннер'!$C:$C=$B835,'Генеральный баннер'!$I:$I=$C835)),"""")"),"")</f>
        <v/>
      </c>
      <c r="V835" s="92" t="str">
        <f t="shared" si="3"/>
        <v/>
      </c>
      <c r="W835" s="93">
        <f>IFERROR(__xludf.DUMMYFUNCTION("IFERROR(SWITCH(lower(join("" "",U835:V835)),""а миллионник"", 62.5,""б миллионник"", 75,""а мск"", 50, ""б мск"", 62.5, ""a остальное"", 70, ""б остальное"", 80)/100,0)"),0.0)</f>
        <v>0</v>
      </c>
      <c r="X835" s="91">
        <f t="shared" si="4"/>
        <v>0</v>
      </c>
    </row>
    <row r="836">
      <c r="A836" s="12"/>
      <c r="B836" s="12"/>
      <c r="C836" s="12"/>
      <c r="D836" s="91">
        <f>IFERROR(__xludf.DUMMYFUNCTION("IFERROR(sum(filter('Основной эфир'!$AA:$AA, 'Основной эфир'!$B:$B=$A836,'Основной эфир'!$C:$C=$B836,'Основной эфир'!$I:$I=$C836)), 0) "),0.0)</f>
        <v>0</v>
      </c>
      <c r="E836" s="91">
        <f>IFERROR(__xludf.DUMMYFUNCTION("IFERROR(sum(filter('Основной эфир'!$AC:$AC, 'Основной эфир'!$B:$B=$A836,'Основной эфир'!$C:$C=$B836,'Основной эфир'!$I:$I=$C836)), 0) "),0.0)</f>
        <v>0</v>
      </c>
      <c r="F836" s="91">
        <f>IFERROR(__xludf.DUMMYFUNCTION("IFERROR(sum(filter('Основной эфир'!$O:$O, 'Основной эфир'!$B:$B=$A836,'Основной эфир'!$C:$C=$B836,'Основной эфир'!$I:$I=$C836)), 0) "),0.0)</f>
        <v>0</v>
      </c>
      <c r="G836" s="91">
        <f>IFERROR(__xludf.DUMMYFUNCTION("IFERROR(sum(filter('Основной эфир'!$Q:$Q, 'Основной эфир'!$B:$B=$A836,'Основной эфир'!$C:$C=$B836,'Основной эфир'!$I:$I=$C836)), 0) "),0.0)</f>
        <v>0</v>
      </c>
      <c r="H836" s="91">
        <f>IFERROR(__xludf.DUMMYFUNCTION("IFERROR(AVERAGE(filter('Основной эфир'!$Y:$Y, 'Основной эфир'!$B:$B=$A836,'Основной эфир'!$C:$C=$B836,'Основной эфир'!$I:$I=$C836)), 0) "),0.0)</f>
        <v>0</v>
      </c>
      <c r="I836" s="91">
        <f>IFERROR(__xludf.DUMMYFUNCTION("IFERROR(AVERAGE(filter('Основной эфир'!$AE:$AE, 'Основной эфир'!$B:$B=$A836,'Основной эфир'!$C:$C=$B836,'Основной эфир'!$I:$I=$C836)), 0) "),0.0)</f>
        <v>0</v>
      </c>
      <c r="J836" s="91">
        <f>IFERROR(__xludf.DUMMYFUNCTION("IFERROR(SUM(filter('Основной эфир'!$AL:$AL, 'Основной эфир'!$B:$B=$A836,'Основной эфир'!$C:$C=$B836,'Основной эфир'!$I:$I=$C836)), 0) "),0.0)</f>
        <v>0</v>
      </c>
      <c r="K836" s="91" t="str">
        <f>IFERROR(__xludf.DUMMYFUNCTION("IFERROR(REGEXREPLACE(unique(filter('Основной эфир'!$A:$A, 'Основной эфир'!$B:$B=$A836,'Основной эфир'!$C:$C=$B836,'Основной эфир'!$I:$I=$C836)), ""\d+"", """"),"""")"),"")</f>
        <v/>
      </c>
      <c r="L836" s="91" t="str">
        <f>IFERROR(__xludf.DUMMYFUNCTION("IFERROR(unique(filter('Основной эфир'!$F:$F, 'Основной эфир'!$B:$B=$A836,'Основной эфир'!$C:$C=$B836,'Основной эфир'!$I:$I=$C836)),"""")"),"")</f>
        <v/>
      </c>
      <c r="M836" s="92" t="str">
        <f t="shared" si="1"/>
        <v/>
      </c>
      <c r="N836" s="93">
        <f>IFERROR(__xludf.DUMMYFUNCTION("IFERROR(SWITCH(lower(join("" "",L836:M836)),""а миллионник"", 62.5,""б миллионник"", 75,""а мск"", 50, ""б мск"", 62.5, ""a остальное"", 70, ""б остальное"", 80)/100,0)"),0.0)</f>
        <v>0</v>
      </c>
      <c r="O836" s="91">
        <f t="shared" si="2"/>
        <v>0</v>
      </c>
      <c r="P836" s="91">
        <f>IFERROR(__xludf.DUMMYFUNCTION("IFERROR(sum(filter('Генеральный баннер'!$O:$O, 'Генеральный баннер'!$B:$B=$A836,'Генеральный баннер'!$C:$C=$B836,'Генеральный баннер'!$I:$I=$C836)), 0) "),0.0)</f>
        <v>0</v>
      </c>
      <c r="Q836" s="91">
        <f>IFERROR(__xludf.DUMMYFUNCTION("IFERROR(sum(filter('Генеральный баннер'!$Q:$Q, 'Генеральный баннер'!$B:$B=$A836,'Генеральный баннер'!$C:$C=$B836,'Генеральный баннер'!$I:$I=$C836)), 0) "),0.0)</f>
        <v>0</v>
      </c>
      <c r="R836" s="91">
        <f>IFERROR(__xludf.DUMMYFUNCTION("IFERROR(AVERAGE(filter('Генеральный баннер'!$AA:$AA, 'Генеральный баннер'!$B:$B=$A836,'Генеральный баннер'!$C:$C=$B836,'Генеральный баннер'!$I:$I=$C836)), 0) "),0.0)</f>
        <v>0</v>
      </c>
      <c r="S836" s="91">
        <f>IFERROR(__xludf.DUMMYFUNCTION("IFERROR(SUM(filter('Генеральный баннер'!$AH:$AH, 'Генеральный баннер'!$B:$B=$A836,'Генеральный баннер'!$C:$C=$B836,'Генеральный баннер'!$I:$I=$C836)), 0) "),0.0)</f>
        <v>0</v>
      </c>
      <c r="T836" s="91" t="str">
        <f>IFERROR(__xludf.DUMMYFUNCTION("IFERROR(REGEXREPLACE(unique(filter('Генеральный баннер'!$A:$A, 'Генеральный баннер'!$B:$B=$A836,'Генеральный баннер'!$C:$C=$B836,'Генеральный баннер'!$I:$I=$C836)), ""\d+"", """"),"""")"),"")</f>
        <v/>
      </c>
      <c r="U836" s="91" t="str">
        <f>IFERROR(__xludf.DUMMYFUNCTION("IFERROR(unique(filter('Генеральный баннер'!$F:$F, 'Генеральный баннер'!$B:$B=$A836,'Генеральный баннер'!$C:$C=$B836,'Генеральный баннер'!$I:$I=$C836)),"""")"),"")</f>
        <v/>
      </c>
      <c r="V836" s="92" t="str">
        <f t="shared" si="3"/>
        <v/>
      </c>
      <c r="W836" s="93">
        <f>IFERROR(__xludf.DUMMYFUNCTION("IFERROR(SWITCH(lower(join("" "",U836:V836)),""а миллионник"", 62.5,""б миллионник"", 75,""а мск"", 50, ""б мск"", 62.5, ""a остальное"", 70, ""б остальное"", 80)/100,0)"),0.0)</f>
        <v>0</v>
      </c>
      <c r="X836" s="91">
        <f t="shared" si="4"/>
        <v>0</v>
      </c>
    </row>
    <row r="837">
      <c r="A837" s="12"/>
      <c r="B837" s="12"/>
      <c r="C837" s="12"/>
      <c r="D837" s="91">
        <f>IFERROR(__xludf.DUMMYFUNCTION("IFERROR(sum(filter('Основной эфир'!$AA:$AA, 'Основной эфир'!$B:$B=$A837,'Основной эфир'!$C:$C=$B837,'Основной эфир'!$I:$I=$C837)), 0) "),0.0)</f>
        <v>0</v>
      </c>
      <c r="E837" s="91">
        <f>IFERROR(__xludf.DUMMYFUNCTION("IFERROR(sum(filter('Основной эфир'!$AC:$AC, 'Основной эфир'!$B:$B=$A837,'Основной эфир'!$C:$C=$B837,'Основной эфир'!$I:$I=$C837)), 0) "),0.0)</f>
        <v>0</v>
      </c>
      <c r="F837" s="91">
        <f>IFERROR(__xludf.DUMMYFUNCTION("IFERROR(sum(filter('Основной эфир'!$O:$O, 'Основной эфир'!$B:$B=$A837,'Основной эфир'!$C:$C=$B837,'Основной эфир'!$I:$I=$C837)), 0) "),0.0)</f>
        <v>0</v>
      </c>
      <c r="G837" s="91">
        <f>IFERROR(__xludf.DUMMYFUNCTION("IFERROR(sum(filter('Основной эфир'!$Q:$Q, 'Основной эфир'!$B:$B=$A837,'Основной эфир'!$C:$C=$B837,'Основной эфир'!$I:$I=$C837)), 0) "),0.0)</f>
        <v>0</v>
      </c>
      <c r="H837" s="91">
        <f>IFERROR(__xludf.DUMMYFUNCTION("IFERROR(AVERAGE(filter('Основной эфир'!$Y:$Y, 'Основной эфир'!$B:$B=$A837,'Основной эфир'!$C:$C=$B837,'Основной эфир'!$I:$I=$C837)), 0) "),0.0)</f>
        <v>0</v>
      </c>
      <c r="I837" s="91">
        <f>IFERROR(__xludf.DUMMYFUNCTION("IFERROR(AVERAGE(filter('Основной эфир'!$AE:$AE, 'Основной эфир'!$B:$B=$A837,'Основной эфир'!$C:$C=$B837,'Основной эфир'!$I:$I=$C837)), 0) "),0.0)</f>
        <v>0</v>
      </c>
      <c r="J837" s="91">
        <f>IFERROR(__xludf.DUMMYFUNCTION("IFERROR(SUM(filter('Основной эфир'!$AL:$AL, 'Основной эфир'!$B:$B=$A837,'Основной эфир'!$C:$C=$B837,'Основной эфир'!$I:$I=$C837)), 0) "),0.0)</f>
        <v>0</v>
      </c>
      <c r="K837" s="91" t="str">
        <f>IFERROR(__xludf.DUMMYFUNCTION("IFERROR(REGEXREPLACE(unique(filter('Основной эфир'!$A:$A, 'Основной эфир'!$B:$B=$A837,'Основной эфир'!$C:$C=$B837,'Основной эфир'!$I:$I=$C837)), ""\d+"", """"),"""")"),"")</f>
        <v/>
      </c>
      <c r="L837" s="91" t="str">
        <f>IFERROR(__xludf.DUMMYFUNCTION("IFERROR(unique(filter('Основной эфир'!$F:$F, 'Основной эфир'!$B:$B=$A837,'Основной эфир'!$C:$C=$B837,'Основной эфир'!$I:$I=$C837)),"""")"),"")</f>
        <v/>
      </c>
      <c r="M837" s="92" t="str">
        <f t="shared" si="1"/>
        <v/>
      </c>
      <c r="N837" s="93">
        <f>IFERROR(__xludf.DUMMYFUNCTION("IFERROR(SWITCH(lower(join("" "",L837:M837)),""а миллионник"", 62.5,""б миллионник"", 75,""а мск"", 50, ""б мск"", 62.5, ""a остальное"", 70, ""б остальное"", 80)/100,0)"),0.0)</f>
        <v>0</v>
      </c>
      <c r="O837" s="91">
        <f t="shared" si="2"/>
        <v>0</v>
      </c>
      <c r="P837" s="91">
        <f>IFERROR(__xludf.DUMMYFUNCTION("IFERROR(sum(filter('Генеральный баннер'!$O:$O, 'Генеральный баннер'!$B:$B=$A837,'Генеральный баннер'!$C:$C=$B837,'Генеральный баннер'!$I:$I=$C837)), 0) "),0.0)</f>
        <v>0</v>
      </c>
      <c r="Q837" s="91">
        <f>IFERROR(__xludf.DUMMYFUNCTION("IFERROR(sum(filter('Генеральный баннер'!$Q:$Q, 'Генеральный баннер'!$B:$B=$A837,'Генеральный баннер'!$C:$C=$B837,'Генеральный баннер'!$I:$I=$C837)), 0) "),0.0)</f>
        <v>0</v>
      </c>
      <c r="R837" s="91">
        <f>IFERROR(__xludf.DUMMYFUNCTION("IFERROR(AVERAGE(filter('Генеральный баннер'!$AA:$AA, 'Генеральный баннер'!$B:$B=$A837,'Генеральный баннер'!$C:$C=$B837,'Генеральный баннер'!$I:$I=$C837)), 0) "),0.0)</f>
        <v>0</v>
      </c>
      <c r="S837" s="91">
        <f>IFERROR(__xludf.DUMMYFUNCTION("IFERROR(SUM(filter('Генеральный баннер'!$AH:$AH, 'Генеральный баннер'!$B:$B=$A837,'Генеральный баннер'!$C:$C=$B837,'Генеральный баннер'!$I:$I=$C837)), 0) "),0.0)</f>
        <v>0</v>
      </c>
      <c r="T837" s="91" t="str">
        <f>IFERROR(__xludf.DUMMYFUNCTION("IFERROR(REGEXREPLACE(unique(filter('Генеральный баннер'!$A:$A, 'Генеральный баннер'!$B:$B=$A837,'Генеральный баннер'!$C:$C=$B837,'Генеральный баннер'!$I:$I=$C837)), ""\d+"", """"),"""")"),"")</f>
        <v/>
      </c>
      <c r="U837" s="91" t="str">
        <f>IFERROR(__xludf.DUMMYFUNCTION("IFERROR(unique(filter('Генеральный баннер'!$F:$F, 'Генеральный баннер'!$B:$B=$A837,'Генеральный баннер'!$C:$C=$B837,'Генеральный баннер'!$I:$I=$C837)),"""")"),"")</f>
        <v/>
      </c>
      <c r="V837" s="92" t="str">
        <f t="shared" si="3"/>
        <v/>
      </c>
      <c r="W837" s="93">
        <f>IFERROR(__xludf.DUMMYFUNCTION("IFERROR(SWITCH(lower(join("" "",U837:V837)),""а миллионник"", 62.5,""б миллионник"", 75,""а мск"", 50, ""б мск"", 62.5, ""a остальное"", 70, ""б остальное"", 80)/100,0)"),0.0)</f>
        <v>0</v>
      </c>
      <c r="X837" s="91">
        <f t="shared" si="4"/>
        <v>0</v>
      </c>
    </row>
    <row r="838">
      <c r="A838" s="12"/>
      <c r="B838" s="12"/>
      <c r="C838" s="12"/>
      <c r="D838" s="91">
        <f>IFERROR(__xludf.DUMMYFUNCTION("IFERROR(sum(filter('Основной эфир'!$AA:$AA, 'Основной эфир'!$B:$B=$A838,'Основной эфир'!$C:$C=$B838,'Основной эфир'!$I:$I=$C838)), 0) "),0.0)</f>
        <v>0</v>
      </c>
      <c r="E838" s="91">
        <f>IFERROR(__xludf.DUMMYFUNCTION("IFERROR(sum(filter('Основной эфир'!$AC:$AC, 'Основной эфир'!$B:$B=$A838,'Основной эфир'!$C:$C=$B838,'Основной эфир'!$I:$I=$C838)), 0) "),0.0)</f>
        <v>0</v>
      </c>
      <c r="F838" s="91">
        <f>IFERROR(__xludf.DUMMYFUNCTION("IFERROR(sum(filter('Основной эфир'!$O:$O, 'Основной эфир'!$B:$B=$A838,'Основной эфир'!$C:$C=$B838,'Основной эфир'!$I:$I=$C838)), 0) "),0.0)</f>
        <v>0</v>
      </c>
      <c r="G838" s="91">
        <f>IFERROR(__xludf.DUMMYFUNCTION("IFERROR(sum(filter('Основной эфир'!$Q:$Q, 'Основной эфир'!$B:$B=$A838,'Основной эфир'!$C:$C=$B838,'Основной эфир'!$I:$I=$C838)), 0) "),0.0)</f>
        <v>0</v>
      </c>
      <c r="H838" s="91">
        <f>IFERROR(__xludf.DUMMYFUNCTION("IFERROR(AVERAGE(filter('Основной эфир'!$Y:$Y, 'Основной эфир'!$B:$B=$A838,'Основной эфир'!$C:$C=$B838,'Основной эфир'!$I:$I=$C838)), 0) "),0.0)</f>
        <v>0</v>
      </c>
      <c r="I838" s="91">
        <f>IFERROR(__xludf.DUMMYFUNCTION("IFERROR(AVERAGE(filter('Основной эфир'!$AE:$AE, 'Основной эфир'!$B:$B=$A838,'Основной эфир'!$C:$C=$B838,'Основной эфир'!$I:$I=$C838)), 0) "),0.0)</f>
        <v>0</v>
      </c>
      <c r="J838" s="91">
        <f>IFERROR(__xludf.DUMMYFUNCTION("IFERROR(SUM(filter('Основной эфир'!$AL:$AL, 'Основной эфир'!$B:$B=$A838,'Основной эфир'!$C:$C=$B838,'Основной эфир'!$I:$I=$C838)), 0) "),0.0)</f>
        <v>0</v>
      </c>
      <c r="K838" s="91" t="str">
        <f>IFERROR(__xludf.DUMMYFUNCTION("IFERROR(REGEXREPLACE(unique(filter('Основной эфир'!$A:$A, 'Основной эфир'!$B:$B=$A838,'Основной эфир'!$C:$C=$B838,'Основной эфир'!$I:$I=$C838)), ""\d+"", """"),"""")"),"")</f>
        <v/>
      </c>
      <c r="L838" s="91" t="str">
        <f>IFERROR(__xludf.DUMMYFUNCTION("IFERROR(unique(filter('Основной эфир'!$F:$F, 'Основной эфир'!$B:$B=$A838,'Основной эфир'!$C:$C=$B838,'Основной эфир'!$I:$I=$C838)),"""")"),"")</f>
        <v/>
      </c>
      <c r="M838" s="92" t="str">
        <f t="shared" si="1"/>
        <v/>
      </c>
      <c r="N838" s="93">
        <f>IFERROR(__xludf.DUMMYFUNCTION("IFERROR(SWITCH(lower(join("" "",L838:M838)),""а миллионник"", 62.5,""б миллионник"", 75,""а мск"", 50, ""б мск"", 62.5, ""a остальное"", 70, ""б остальное"", 80)/100,0)"),0.0)</f>
        <v>0</v>
      </c>
      <c r="O838" s="91">
        <f t="shared" si="2"/>
        <v>0</v>
      </c>
      <c r="P838" s="91">
        <f>IFERROR(__xludf.DUMMYFUNCTION("IFERROR(sum(filter('Генеральный баннер'!$O:$O, 'Генеральный баннер'!$B:$B=$A838,'Генеральный баннер'!$C:$C=$B838,'Генеральный баннер'!$I:$I=$C838)), 0) "),0.0)</f>
        <v>0</v>
      </c>
      <c r="Q838" s="91">
        <f>IFERROR(__xludf.DUMMYFUNCTION("IFERROR(sum(filter('Генеральный баннер'!$Q:$Q, 'Генеральный баннер'!$B:$B=$A838,'Генеральный баннер'!$C:$C=$B838,'Генеральный баннер'!$I:$I=$C838)), 0) "),0.0)</f>
        <v>0</v>
      </c>
      <c r="R838" s="91">
        <f>IFERROR(__xludf.DUMMYFUNCTION("IFERROR(AVERAGE(filter('Генеральный баннер'!$AA:$AA, 'Генеральный баннер'!$B:$B=$A838,'Генеральный баннер'!$C:$C=$B838,'Генеральный баннер'!$I:$I=$C838)), 0) "),0.0)</f>
        <v>0</v>
      </c>
      <c r="S838" s="91">
        <f>IFERROR(__xludf.DUMMYFUNCTION("IFERROR(SUM(filter('Генеральный баннер'!$AH:$AH, 'Генеральный баннер'!$B:$B=$A838,'Генеральный баннер'!$C:$C=$B838,'Генеральный баннер'!$I:$I=$C838)), 0) "),0.0)</f>
        <v>0</v>
      </c>
      <c r="T838" s="91" t="str">
        <f>IFERROR(__xludf.DUMMYFUNCTION("IFERROR(REGEXREPLACE(unique(filter('Генеральный баннер'!$A:$A, 'Генеральный баннер'!$B:$B=$A838,'Генеральный баннер'!$C:$C=$B838,'Генеральный баннер'!$I:$I=$C838)), ""\d+"", """"),"""")"),"")</f>
        <v/>
      </c>
      <c r="U838" s="91" t="str">
        <f>IFERROR(__xludf.DUMMYFUNCTION("IFERROR(unique(filter('Генеральный баннер'!$F:$F, 'Генеральный баннер'!$B:$B=$A838,'Генеральный баннер'!$C:$C=$B838,'Генеральный баннер'!$I:$I=$C838)),"""")"),"")</f>
        <v/>
      </c>
      <c r="V838" s="92" t="str">
        <f t="shared" si="3"/>
        <v/>
      </c>
      <c r="W838" s="93">
        <f>IFERROR(__xludf.DUMMYFUNCTION("IFERROR(SWITCH(lower(join("" "",U838:V838)),""а миллионник"", 62.5,""б миллионник"", 75,""а мск"", 50, ""б мск"", 62.5, ""a остальное"", 70, ""б остальное"", 80)/100,0)"),0.0)</f>
        <v>0</v>
      </c>
      <c r="X838" s="91">
        <f t="shared" si="4"/>
        <v>0</v>
      </c>
    </row>
    <row r="839">
      <c r="A839" s="12"/>
      <c r="B839" s="12"/>
      <c r="C839" s="12"/>
      <c r="D839" s="91">
        <f>IFERROR(__xludf.DUMMYFUNCTION("IFERROR(sum(filter('Основной эфир'!$AA:$AA, 'Основной эфир'!$B:$B=$A839,'Основной эфир'!$C:$C=$B839,'Основной эфир'!$I:$I=$C839)), 0) "),0.0)</f>
        <v>0</v>
      </c>
      <c r="E839" s="91">
        <f>IFERROR(__xludf.DUMMYFUNCTION("IFERROR(sum(filter('Основной эфир'!$AC:$AC, 'Основной эфир'!$B:$B=$A839,'Основной эфир'!$C:$C=$B839,'Основной эфир'!$I:$I=$C839)), 0) "),0.0)</f>
        <v>0</v>
      </c>
      <c r="F839" s="91">
        <f>IFERROR(__xludf.DUMMYFUNCTION("IFERROR(sum(filter('Основной эфир'!$O:$O, 'Основной эфир'!$B:$B=$A839,'Основной эфир'!$C:$C=$B839,'Основной эфир'!$I:$I=$C839)), 0) "),0.0)</f>
        <v>0</v>
      </c>
      <c r="G839" s="91">
        <f>IFERROR(__xludf.DUMMYFUNCTION("IFERROR(sum(filter('Основной эфир'!$Q:$Q, 'Основной эфир'!$B:$B=$A839,'Основной эфир'!$C:$C=$B839,'Основной эфир'!$I:$I=$C839)), 0) "),0.0)</f>
        <v>0</v>
      </c>
      <c r="H839" s="91">
        <f>IFERROR(__xludf.DUMMYFUNCTION("IFERROR(AVERAGE(filter('Основной эфир'!$Y:$Y, 'Основной эфир'!$B:$B=$A839,'Основной эфир'!$C:$C=$B839,'Основной эфир'!$I:$I=$C839)), 0) "),0.0)</f>
        <v>0</v>
      </c>
      <c r="I839" s="91">
        <f>IFERROR(__xludf.DUMMYFUNCTION("IFERROR(AVERAGE(filter('Основной эфир'!$AE:$AE, 'Основной эфир'!$B:$B=$A839,'Основной эфир'!$C:$C=$B839,'Основной эфир'!$I:$I=$C839)), 0) "),0.0)</f>
        <v>0</v>
      </c>
      <c r="J839" s="91">
        <f>IFERROR(__xludf.DUMMYFUNCTION("IFERROR(SUM(filter('Основной эфир'!$AL:$AL, 'Основной эфир'!$B:$B=$A839,'Основной эфир'!$C:$C=$B839,'Основной эфир'!$I:$I=$C839)), 0) "),0.0)</f>
        <v>0</v>
      </c>
      <c r="K839" s="91" t="str">
        <f>IFERROR(__xludf.DUMMYFUNCTION("IFERROR(REGEXREPLACE(unique(filter('Основной эфир'!$A:$A, 'Основной эфир'!$B:$B=$A839,'Основной эфир'!$C:$C=$B839,'Основной эфир'!$I:$I=$C839)), ""\d+"", """"),"""")"),"")</f>
        <v/>
      </c>
      <c r="L839" s="91" t="str">
        <f>IFERROR(__xludf.DUMMYFUNCTION("IFERROR(unique(filter('Основной эфир'!$F:$F, 'Основной эфир'!$B:$B=$A839,'Основной эфир'!$C:$C=$B839,'Основной эфир'!$I:$I=$C839)),"""")"),"")</f>
        <v/>
      </c>
      <c r="M839" s="92" t="str">
        <f t="shared" si="1"/>
        <v/>
      </c>
      <c r="N839" s="93">
        <f>IFERROR(__xludf.DUMMYFUNCTION("IFERROR(SWITCH(lower(join("" "",L839:M839)),""а миллионник"", 62.5,""б миллионник"", 75,""а мск"", 50, ""б мск"", 62.5, ""a остальное"", 70, ""б остальное"", 80)/100,0)"),0.0)</f>
        <v>0</v>
      </c>
      <c r="O839" s="91">
        <f t="shared" si="2"/>
        <v>0</v>
      </c>
      <c r="P839" s="91">
        <f>IFERROR(__xludf.DUMMYFUNCTION("IFERROR(sum(filter('Генеральный баннер'!$O:$O, 'Генеральный баннер'!$B:$B=$A839,'Генеральный баннер'!$C:$C=$B839,'Генеральный баннер'!$I:$I=$C839)), 0) "),0.0)</f>
        <v>0</v>
      </c>
      <c r="Q839" s="91">
        <f>IFERROR(__xludf.DUMMYFUNCTION("IFERROR(sum(filter('Генеральный баннер'!$Q:$Q, 'Генеральный баннер'!$B:$B=$A839,'Генеральный баннер'!$C:$C=$B839,'Генеральный баннер'!$I:$I=$C839)), 0) "),0.0)</f>
        <v>0</v>
      </c>
      <c r="R839" s="91">
        <f>IFERROR(__xludf.DUMMYFUNCTION("IFERROR(AVERAGE(filter('Генеральный баннер'!$AA:$AA, 'Генеральный баннер'!$B:$B=$A839,'Генеральный баннер'!$C:$C=$B839,'Генеральный баннер'!$I:$I=$C839)), 0) "),0.0)</f>
        <v>0</v>
      </c>
      <c r="S839" s="91">
        <f>IFERROR(__xludf.DUMMYFUNCTION("IFERROR(SUM(filter('Генеральный баннер'!$AH:$AH, 'Генеральный баннер'!$B:$B=$A839,'Генеральный баннер'!$C:$C=$B839,'Генеральный баннер'!$I:$I=$C839)), 0) "),0.0)</f>
        <v>0</v>
      </c>
      <c r="T839" s="91" t="str">
        <f>IFERROR(__xludf.DUMMYFUNCTION("IFERROR(REGEXREPLACE(unique(filter('Генеральный баннер'!$A:$A, 'Генеральный баннер'!$B:$B=$A839,'Генеральный баннер'!$C:$C=$B839,'Генеральный баннер'!$I:$I=$C839)), ""\d+"", """"),"""")"),"")</f>
        <v/>
      </c>
      <c r="U839" s="91" t="str">
        <f>IFERROR(__xludf.DUMMYFUNCTION("IFERROR(unique(filter('Генеральный баннер'!$F:$F, 'Генеральный баннер'!$B:$B=$A839,'Генеральный баннер'!$C:$C=$B839,'Генеральный баннер'!$I:$I=$C839)),"""")"),"")</f>
        <v/>
      </c>
      <c r="V839" s="92" t="str">
        <f t="shared" si="3"/>
        <v/>
      </c>
      <c r="W839" s="93">
        <f>IFERROR(__xludf.DUMMYFUNCTION("IFERROR(SWITCH(lower(join("" "",U839:V839)),""а миллионник"", 62.5,""б миллионник"", 75,""а мск"", 50, ""б мск"", 62.5, ""a остальное"", 70, ""б остальное"", 80)/100,0)"),0.0)</f>
        <v>0</v>
      </c>
      <c r="X839" s="91">
        <f t="shared" si="4"/>
        <v>0</v>
      </c>
    </row>
    <row r="840">
      <c r="A840" s="12"/>
      <c r="B840" s="12"/>
      <c r="C840" s="12"/>
      <c r="D840" s="91">
        <f>IFERROR(__xludf.DUMMYFUNCTION("IFERROR(sum(filter('Основной эфир'!$AA:$AA, 'Основной эфир'!$B:$B=$A840,'Основной эфир'!$C:$C=$B840,'Основной эфир'!$I:$I=$C840)), 0) "),0.0)</f>
        <v>0</v>
      </c>
      <c r="E840" s="91">
        <f>IFERROR(__xludf.DUMMYFUNCTION("IFERROR(sum(filter('Основной эфир'!$AC:$AC, 'Основной эфир'!$B:$B=$A840,'Основной эфир'!$C:$C=$B840,'Основной эфир'!$I:$I=$C840)), 0) "),0.0)</f>
        <v>0</v>
      </c>
      <c r="F840" s="91">
        <f>IFERROR(__xludf.DUMMYFUNCTION("IFERROR(sum(filter('Основной эфир'!$O:$O, 'Основной эфир'!$B:$B=$A840,'Основной эфир'!$C:$C=$B840,'Основной эфир'!$I:$I=$C840)), 0) "),0.0)</f>
        <v>0</v>
      </c>
      <c r="G840" s="91">
        <f>IFERROR(__xludf.DUMMYFUNCTION("IFERROR(sum(filter('Основной эфир'!$Q:$Q, 'Основной эфир'!$B:$B=$A840,'Основной эфир'!$C:$C=$B840,'Основной эфир'!$I:$I=$C840)), 0) "),0.0)</f>
        <v>0</v>
      </c>
      <c r="H840" s="91">
        <f>IFERROR(__xludf.DUMMYFUNCTION("IFERROR(AVERAGE(filter('Основной эфир'!$Y:$Y, 'Основной эфир'!$B:$B=$A840,'Основной эфир'!$C:$C=$B840,'Основной эфир'!$I:$I=$C840)), 0) "),0.0)</f>
        <v>0</v>
      </c>
      <c r="I840" s="91">
        <f>IFERROR(__xludf.DUMMYFUNCTION("IFERROR(AVERAGE(filter('Основной эфир'!$AE:$AE, 'Основной эфир'!$B:$B=$A840,'Основной эфир'!$C:$C=$B840,'Основной эфир'!$I:$I=$C840)), 0) "),0.0)</f>
        <v>0</v>
      </c>
      <c r="J840" s="91">
        <f>IFERROR(__xludf.DUMMYFUNCTION("IFERROR(SUM(filter('Основной эфир'!$AL:$AL, 'Основной эфир'!$B:$B=$A840,'Основной эфир'!$C:$C=$B840,'Основной эфир'!$I:$I=$C840)), 0) "),0.0)</f>
        <v>0</v>
      </c>
      <c r="K840" s="91" t="str">
        <f>IFERROR(__xludf.DUMMYFUNCTION("IFERROR(REGEXREPLACE(unique(filter('Основной эфир'!$A:$A, 'Основной эфир'!$B:$B=$A840,'Основной эфир'!$C:$C=$B840,'Основной эфир'!$I:$I=$C840)), ""\d+"", """"),"""")"),"")</f>
        <v/>
      </c>
      <c r="L840" s="91" t="str">
        <f>IFERROR(__xludf.DUMMYFUNCTION("IFERROR(unique(filter('Основной эфир'!$F:$F, 'Основной эфир'!$B:$B=$A840,'Основной эфир'!$C:$C=$B840,'Основной эфир'!$I:$I=$C840)),"""")"),"")</f>
        <v/>
      </c>
      <c r="M840" s="92" t="str">
        <f t="shared" si="1"/>
        <v/>
      </c>
      <c r="N840" s="93">
        <f>IFERROR(__xludf.DUMMYFUNCTION("IFERROR(SWITCH(lower(join("" "",L840:M840)),""а миллионник"", 62.5,""б миллионник"", 75,""а мск"", 50, ""б мск"", 62.5, ""a остальное"", 70, ""б остальное"", 80)/100,0)"),0.0)</f>
        <v>0</v>
      </c>
      <c r="O840" s="91">
        <f t="shared" si="2"/>
        <v>0</v>
      </c>
      <c r="P840" s="91">
        <f>IFERROR(__xludf.DUMMYFUNCTION("IFERROR(sum(filter('Генеральный баннер'!$O:$O, 'Генеральный баннер'!$B:$B=$A840,'Генеральный баннер'!$C:$C=$B840,'Генеральный баннер'!$I:$I=$C840)), 0) "),0.0)</f>
        <v>0</v>
      </c>
      <c r="Q840" s="91">
        <f>IFERROR(__xludf.DUMMYFUNCTION("IFERROR(sum(filter('Генеральный баннер'!$Q:$Q, 'Генеральный баннер'!$B:$B=$A840,'Генеральный баннер'!$C:$C=$B840,'Генеральный баннер'!$I:$I=$C840)), 0) "),0.0)</f>
        <v>0</v>
      </c>
      <c r="R840" s="91">
        <f>IFERROR(__xludf.DUMMYFUNCTION("IFERROR(AVERAGE(filter('Генеральный баннер'!$AA:$AA, 'Генеральный баннер'!$B:$B=$A840,'Генеральный баннер'!$C:$C=$B840,'Генеральный баннер'!$I:$I=$C840)), 0) "),0.0)</f>
        <v>0</v>
      </c>
      <c r="S840" s="91">
        <f>IFERROR(__xludf.DUMMYFUNCTION("IFERROR(SUM(filter('Генеральный баннер'!$AH:$AH, 'Генеральный баннер'!$B:$B=$A840,'Генеральный баннер'!$C:$C=$B840,'Генеральный баннер'!$I:$I=$C840)), 0) "),0.0)</f>
        <v>0</v>
      </c>
      <c r="T840" s="91" t="str">
        <f>IFERROR(__xludf.DUMMYFUNCTION("IFERROR(REGEXREPLACE(unique(filter('Генеральный баннер'!$A:$A, 'Генеральный баннер'!$B:$B=$A840,'Генеральный баннер'!$C:$C=$B840,'Генеральный баннер'!$I:$I=$C840)), ""\d+"", """"),"""")"),"")</f>
        <v/>
      </c>
      <c r="U840" s="91" t="str">
        <f>IFERROR(__xludf.DUMMYFUNCTION("IFERROR(unique(filter('Генеральный баннер'!$F:$F, 'Генеральный баннер'!$B:$B=$A840,'Генеральный баннер'!$C:$C=$B840,'Генеральный баннер'!$I:$I=$C840)),"""")"),"")</f>
        <v/>
      </c>
      <c r="V840" s="92" t="str">
        <f t="shared" si="3"/>
        <v/>
      </c>
      <c r="W840" s="93">
        <f>IFERROR(__xludf.DUMMYFUNCTION("IFERROR(SWITCH(lower(join("" "",U840:V840)),""а миллионник"", 62.5,""б миллионник"", 75,""а мск"", 50, ""б мск"", 62.5, ""a остальное"", 70, ""б остальное"", 80)/100,0)"),0.0)</f>
        <v>0</v>
      </c>
      <c r="X840" s="91">
        <f t="shared" si="4"/>
        <v>0</v>
      </c>
    </row>
    <row r="841">
      <c r="A841" s="12"/>
      <c r="B841" s="12"/>
      <c r="C841" s="12"/>
      <c r="D841" s="91">
        <f>IFERROR(__xludf.DUMMYFUNCTION("IFERROR(sum(filter('Основной эфир'!$AA:$AA, 'Основной эфир'!$B:$B=$A841,'Основной эфир'!$C:$C=$B841,'Основной эфир'!$I:$I=$C841)), 0) "),0.0)</f>
        <v>0</v>
      </c>
      <c r="E841" s="91">
        <f>IFERROR(__xludf.DUMMYFUNCTION("IFERROR(sum(filter('Основной эфир'!$AC:$AC, 'Основной эфир'!$B:$B=$A841,'Основной эфир'!$C:$C=$B841,'Основной эфир'!$I:$I=$C841)), 0) "),0.0)</f>
        <v>0</v>
      </c>
      <c r="F841" s="91">
        <f>IFERROR(__xludf.DUMMYFUNCTION("IFERROR(sum(filter('Основной эфир'!$O:$O, 'Основной эфир'!$B:$B=$A841,'Основной эфир'!$C:$C=$B841,'Основной эфир'!$I:$I=$C841)), 0) "),0.0)</f>
        <v>0</v>
      </c>
      <c r="G841" s="91">
        <f>IFERROR(__xludf.DUMMYFUNCTION("IFERROR(sum(filter('Основной эфир'!$Q:$Q, 'Основной эфир'!$B:$B=$A841,'Основной эфир'!$C:$C=$B841,'Основной эфир'!$I:$I=$C841)), 0) "),0.0)</f>
        <v>0</v>
      </c>
      <c r="H841" s="91">
        <f>IFERROR(__xludf.DUMMYFUNCTION("IFERROR(AVERAGE(filter('Основной эфир'!$Y:$Y, 'Основной эфир'!$B:$B=$A841,'Основной эфир'!$C:$C=$B841,'Основной эфир'!$I:$I=$C841)), 0) "),0.0)</f>
        <v>0</v>
      </c>
      <c r="I841" s="91">
        <f>IFERROR(__xludf.DUMMYFUNCTION("IFERROR(AVERAGE(filter('Основной эфир'!$AE:$AE, 'Основной эфир'!$B:$B=$A841,'Основной эфир'!$C:$C=$B841,'Основной эфир'!$I:$I=$C841)), 0) "),0.0)</f>
        <v>0</v>
      </c>
      <c r="J841" s="91">
        <f>IFERROR(__xludf.DUMMYFUNCTION("IFERROR(SUM(filter('Основной эфир'!$AL:$AL, 'Основной эфир'!$B:$B=$A841,'Основной эфир'!$C:$C=$B841,'Основной эфир'!$I:$I=$C841)), 0) "),0.0)</f>
        <v>0</v>
      </c>
      <c r="K841" s="91" t="str">
        <f>IFERROR(__xludf.DUMMYFUNCTION("IFERROR(REGEXREPLACE(unique(filter('Основной эфир'!$A:$A, 'Основной эфир'!$B:$B=$A841,'Основной эфир'!$C:$C=$B841,'Основной эфир'!$I:$I=$C841)), ""\d+"", """"),"""")"),"")</f>
        <v/>
      </c>
      <c r="L841" s="91" t="str">
        <f>IFERROR(__xludf.DUMMYFUNCTION("IFERROR(unique(filter('Основной эфир'!$F:$F, 'Основной эфир'!$B:$B=$A841,'Основной эфир'!$C:$C=$B841,'Основной эфир'!$I:$I=$C841)),"""")"),"")</f>
        <v/>
      </c>
      <c r="M841" s="92" t="str">
        <f t="shared" si="1"/>
        <v/>
      </c>
      <c r="N841" s="93">
        <f>IFERROR(__xludf.DUMMYFUNCTION("IFERROR(SWITCH(lower(join("" "",L841:M841)),""а миллионник"", 62.5,""б миллионник"", 75,""а мск"", 50, ""б мск"", 62.5, ""a остальное"", 70, ""б остальное"", 80)/100,0)"),0.0)</f>
        <v>0</v>
      </c>
      <c r="O841" s="91">
        <f t="shared" si="2"/>
        <v>0</v>
      </c>
      <c r="P841" s="91">
        <f>IFERROR(__xludf.DUMMYFUNCTION("IFERROR(sum(filter('Генеральный баннер'!$O:$O, 'Генеральный баннер'!$B:$B=$A841,'Генеральный баннер'!$C:$C=$B841,'Генеральный баннер'!$I:$I=$C841)), 0) "),0.0)</f>
        <v>0</v>
      </c>
      <c r="Q841" s="91">
        <f>IFERROR(__xludf.DUMMYFUNCTION("IFERROR(sum(filter('Генеральный баннер'!$Q:$Q, 'Генеральный баннер'!$B:$B=$A841,'Генеральный баннер'!$C:$C=$B841,'Генеральный баннер'!$I:$I=$C841)), 0) "),0.0)</f>
        <v>0</v>
      </c>
      <c r="R841" s="91">
        <f>IFERROR(__xludf.DUMMYFUNCTION("IFERROR(AVERAGE(filter('Генеральный баннер'!$AA:$AA, 'Генеральный баннер'!$B:$B=$A841,'Генеральный баннер'!$C:$C=$B841,'Генеральный баннер'!$I:$I=$C841)), 0) "),0.0)</f>
        <v>0</v>
      </c>
      <c r="S841" s="91">
        <f>IFERROR(__xludf.DUMMYFUNCTION("IFERROR(SUM(filter('Генеральный баннер'!$AH:$AH, 'Генеральный баннер'!$B:$B=$A841,'Генеральный баннер'!$C:$C=$B841,'Генеральный баннер'!$I:$I=$C841)), 0) "),0.0)</f>
        <v>0</v>
      </c>
      <c r="T841" s="91" t="str">
        <f>IFERROR(__xludf.DUMMYFUNCTION("IFERROR(REGEXREPLACE(unique(filter('Генеральный баннер'!$A:$A, 'Генеральный баннер'!$B:$B=$A841,'Генеральный баннер'!$C:$C=$B841,'Генеральный баннер'!$I:$I=$C841)), ""\d+"", """"),"""")"),"")</f>
        <v/>
      </c>
      <c r="U841" s="91" t="str">
        <f>IFERROR(__xludf.DUMMYFUNCTION("IFERROR(unique(filter('Генеральный баннер'!$F:$F, 'Генеральный баннер'!$B:$B=$A841,'Генеральный баннер'!$C:$C=$B841,'Генеральный баннер'!$I:$I=$C841)),"""")"),"")</f>
        <v/>
      </c>
      <c r="V841" s="92" t="str">
        <f t="shared" si="3"/>
        <v/>
      </c>
      <c r="W841" s="93">
        <f>IFERROR(__xludf.DUMMYFUNCTION("IFERROR(SWITCH(lower(join("" "",U841:V841)),""а миллионник"", 62.5,""б миллионник"", 75,""а мск"", 50, ""б мск"", 62.5, ""a остальное"", 70, ""б остальное"", 80)/100,0)"),0.0)</f>
        <v>0</v>
      </c>
      <c r="X841" s="91">
        <f t="shared" si="4"/>
        <v>0</v>
      </c>
    </row>
    <row r="842">
      <c r="A842" s="12"/>
      <c r="B842" s="12"/>
      <c r="C842" s="12"/>
      <c r="D842" s="91">
        <f>IFERROR(__xludf.DUMMYFUNCTION("IFERROR(sum(filter('Основной эфир'!$AA:$AA, 'Основной эфир'!$B:$B=$A842,'Основной эфир'!$C:$C=$B842,'Основной эфир'!$I:$I=$C842)), 0) "),0.0)</f>
        <v>0</v>
      </c>
      <c r="E842" s="91">
        <f>IFERROR(__xludf.DUMMYFUNCTION("IFERROR(sum(filter('Основной эфир'!$AC:$AC, 'Основной эфир'!$B:$B=$A842,'Основной эфир'!$C:$C=$B842,'Основной эфир'!$I:$I=$C842)), 0) "),0.0)</f>
        <v>0</v>
      </c>
      <c r="F842" s="91">
        <f>IFERROR(__xludf.DUMMYFUNCTION("IFERROR(sum(filter('Основной эфир'!$O:$O, 'Основной эфир'!$B:$B=$A842,'Основной эфир'!$C:$C=$B842,'Основной эфир'!$I:$I=$C842)), 0) "),0.0)</f>
        <v>0</v>
      </c>
      <c r="G842" s="91">
        <f>IFERROR(__xludf.DUMMYFUNCTION("IFERROR(sum(filter('Основной эфир'!$Q:$Q, 'Основной эфир'!$B:$B=$A842,'Основной эфир'!$C:$C=$B842,'Основной эфир'!$I:$I=$C842)), 0) "),0.0)</f>
        <v>0</v>
      </c>
      <c r="H842" s="91">
        <f>IFERROR(__xludf.DUMMYFUNCTION("IFERROR(AVERAGE(filter('Основной эфир'!$Y:$Y, 'Основной эфир'!$B:$B=$A842,'Основной эфир'!$C:$C=$B842,'Основной эфир'!$I:$I=$C842)), 0) "),0.0)</f>
        <v>0</v>
      </c>
      <c r="I842" s="91">
        <f>IFERROR(__xludf.DUMMYFUNCTION("IFERROR(AVERAGE(filter('Основной эфир'!$AE:$AE, 'Основной эфир'!$B:$B=$A842,'Основной эфир'!$C:$C=$B842,'Основной эфир'!$I:$I=$C842)), 0) "),0.0)</f>
        <v>0</v>
      </c>
      <c r="J842" s="91">
        <f>IFERROR(__xludf.DUMMYFUNCTION("IFERROR(SUM(filter('Основной эфир'!$AL:$AL, 'Основной эфир'!$B:$B=$A842,'Основной эфир'!$C:$C=$B842,'Основной эфир'!$I:$I=$C842)), 0) "),0.0)</f>
        <v>0</v>
      </c>
      <c r="K842" s="91" t="str">
        <f>IFERROR(__xludf.DUMMYFUNCTION("IFERROR(REGEXREPLACE(unique(filter('Основной эфир'!$A:$A, 'Основной эфир'!$B:$B=$A842,'Основной эфир'!$C:$C=$B842,'Основной эфир'!$I:$I=$C842)), ""\d+"", """"),"""")"),"")</f>
        <v/>
      </c>
      <c r="L842" s="91" t="str">
        <f>IFERROR(__xludf.DUMMYFUNCTION("IFERROR(unique(filter('Основной эфир'!$F:$F, 'Основной эфир'!$B:$B=$A842,'Основной эфир'!$C:$C=$B842,'Основной эфир'!$I:$I=$C842)),"""")"),"")</f>
        <v/>
      </c>
      <c r="M842" s="92" t="str">
        <f t="shared" si="1"/>
        <v/>
      </c>
      <c r="N842" s="93">
        <f>IFERROR(__xludf.DUMMYFUNCTION("IFERROR(SWITCH(lower(join("" "",L842:M842)),""а миллионник"", 62.5,""б миллионник"", 75,""а мск"", 50, ""б мск"", 62.5, ""a остальное"", 70, ""б остальное"", 80)/100,0)"),0.0)</f>
        <v>0</v>
      </c>
      <c r="O842" s="91">
        <f t="shared" si="2"/>
        <v>0</v>
      </c>
      <c r="P842" s="91">
        <f>IFERROR(__xludf.DUMMYFUNCTION("IFERROR(sum(filter('Генеральный баннер'!$O:$O, 'Генеральный баннер'!$B:$B=$A842,'Генеральный баннер'!$C:$C=$B842,'Генеральный баннер'!$I:$I=$C842)), 0) "),0.0)</f>
        <v>0</v>
      </c>
      <c r="Q842" s="91">
        <f>IFERROR(__xludf.DUMMYFUNCTION("IFERROR(sum(filter('Генеральный баннер'!$Q:$Q, 'Генеральный баннер'!$B:$B=$A842,'Генеральный баннер'!$C:$C=$B842,'Генеральный баннер'!$I:$I=$C842)), 0) "),0.0)</f>
        <v>0</v>
      </c>
      <c r="R842" s="91">
        <f>IFERROR(__xludf.DUMMYFUNCTION("IFERROR(AVERAGE(filter('Генеральный баннер'!$AA:$AA, 'Генеральный баннер'!$B:$B=$A842,'Генеральный баннер'!$C:$C=$B842,'Генеральный баннер'!$I:$I=$C842)), 0) "),0.0)</f>
        <v>0</v>
      </c>
      <c r="S842" s="91">
        <f>IFERROR(__xludf.DUMMYFUNCTION("IFERROR(SUM(filter('Генеральный баннер'!$AH:$AH, 'Генеральный баннер'!$B:$B=$A842,'Генеральный баннер'!$C:$C=$B842,'Генеральный баннер'!$I:$I=$C842)), 0) "),0.0)</f>
        <v>0</v>
      </c>
      <c r="T842" s="91" t="str">
        <f>IFERROR(__xludf.DUMMYFUNCTION("IFERROR(REGEXREPLACE(unique(filter('Генеральный баннер'!$A:$A, 'Генеральный баннер'!$B:$B=$A842,'Генеральный баннер'!$C:$C=$B842,'Генеральный баннер'!$I:$I=$C842)), ""\d+"", """"),"""")"),"")</f>
        <v/>
      </c>
      <c r="U842" s="91" t="str">
        <f>IFERROR(__xludf.DUMMYFUNCTION("IFERROR(unique(filter('Генеральный баннер'!$F:$F, 'Генеральный баннер'!$B:$B=$A842,'Генеральный баннер'!$C:$C=$B842,'Генеральный баннер'!$I:$I=$C842)),"""")"),"")</f>
        <v/>
      </c>
      <c r="V842" s="92" t="str">
        <f t="shared" si="3"/>
        <v/>
      </c>
      <c r="W842" s="93">
        <f>IFERROR(__xludf.DUMMYFUNCTION("IFERROR(SWITCH(lower(join("" "",U842:V842)),""а миллионник"", 62.5,""б миллионник"", 75,""а мск"", 50, ""б мск"", 62.5, ""a остальное"", 70, ""б остальное"", 80)/100,0)"),0.0)</f>
        <v>0</v>
      </c>
      <c r="X842" s="91">
        <f t="shared" si="4"/>
        <v>0</v>
      </c>
    </row>
    <row r="843">
      <c r="A843" s="12"/>
      <c r="B843" s="12"/>
      <c r="C843" s="12"/>
      <c r="D843" s="91">
        <f>IFERROR(__xludf.DUMMYFUNCTION("IFERROR(sum(filter('Основной эфир'!$AA:$AA, 'Основной эфир'!$B:$B=$A843,'Основной эфир'!$C:$C=$B843,'Основной эфир'!$I:$I=$C843)), 0) "),0.0)</f>
        <v>0</v>
      </c>
      <c r="E843" s="91">
        <f>IFERROR(__xludf.DUMMYFUNCTION("IFERROR(sum(filter('Основной эфир'!$AC:$AC, 'Основной эфир'!$B:$B=$A843,'Основной эфир'!$C:$C=$B843,'Основной эфир'!$I:$I=$C843)), 0) "),0.0)</f>
        <v>0</v>
      </c>
      <c r="F843" s="91">
        <f>IFERROR(__xludf.DUMMYFUNCTION("IFERROR(sum(filter('Основной эфир'!$O:$O, 'Основной эфир'!$B:$B=$A843,'Основной эфир'!$C:$C=$B843,'Основной эфир'!$I:$I=$C843)), 0) "),0.0)</f>
        <v>0</v>
      </c>
      <c r="G843" s="91">
        <f>IFERROR(__xludf.DUMMYFUNCTION("IFERROR(sum(filter('Основной эфир'!$Q:$Q, 'Основной эфир'!$B:$B=$A843,'Основной эфир'!$C:$C=$B843,'Основной эфир'!$I:$I=$C843)), 0) "),0.0)</f>
        <v>0</v>
      </c>
      <c r="H843" s="91">
        <f>IFERROR(__xludf.DUMMYFUNCTION("IFERROR(AVERAGE(filter('Основной эфир'!$Y:$Y, 'Основной эфир'!$B:$B=$A843,'Основной эфир'!$C:$C=$B843,'Основной эфир'!$I:$I=$C843)), 0) "),0.0)</f>
        <v>0</v>
      </c>
      <c r="I843" s="91">
        <f>IFERROR(__xludf.DUMMYFUNCTION("IFERROR(AVERAGE(filter('Основной эфир'!$AE:$AE, 'Основной эфир'!$B:$B=$A843,'Основной эфир'!$C:$C=$B843,'Основной эфир'!$I:$I=$C843)), 0) "),0.0)</f>
        <v>0</v>
      </c>
      <c r="J843" s="91">
        <f>IFERROR(__xludf.DUMMYFUNCTION("IFERROR(SUM(filter('Основной эфир'!$AL:$AL, 'Основной эфир'!$B:$B=$A843,'Основной эфир'!$C:$C=$B843,'Основной эфир'!$I:$I=$C843)), 0) "),0.0)</f>
        <v>0</v>
      </c>
      <c r="K843" s="91" t="str">
        <f>IFERROR(__xludf.DUMMYFUNCTION("IFERROR(REGEXREPLACE(unique(filter('Основной эфир'!$A:$A, 'Основной эфир'!$B:$B=$A843,'Основной эфир'!$C:$C=$B843,'Основной эфир'!$I:$I=$C843)), ""\d+"", """"),"""")"),"")</f>
        <v/>
      </c>
      <c r="L843" s="91" t="str">
        <f>IFERROR(__xludf.DUMMYFUNCTION("IFERROR(unique(filter('Основной эфир'!$F:$F, 'Основной эфир'!$B:$B=$A843,'Основной эфир'!$C:$C=$B843,'Основной эфир'!$I:$I=$C843)),"""")"),"")</f>
        <v/>
      </c>
      <c r="M843" s="92" t="str">
        <f t="shared" si="1"/>
        <v/>
      </c>
      <c r="N843" s="93">
        <f>IFERROR(__xludf.DUMMYFUNCTION("IFERROR(SWITCH(lower(join("" "",L843:M843)),""а миллионник"", 62.5,""б миллионник"", 75,""а мск"", 50, ""б мск"", 62.5, ""a остальное"", 70, ""б остальное"", 80)/100,0)"),0.0)</f>
        <v>0</v>
      </c>
      <c r="O843" s="91">
        <f t="shared" si="2"/>
        <v>0</v>
      </c>
      <c r="P843" s="91">
        <f>IFERROR(__xludf.DUMMYFUNCTION("IFERROR(sum(filter('Генеральный баннер'!$O:$O, 'Генеральный баннер'!$B:$B=$A843,'Генеральный баннер'!$C:$C=$B843,'Генеральный баннер'!$I:$I=$C843)), 0) "),0.0)</f>
        <v>0</v>
      </c>
      <c r="Q843" s="91">
        <f>IFERROR(__xludf.DUMMYFUNCTION("IFERROR(sum(filter('Генеральный баннер'!$Q:$Q, 'Генеральный баннер'!$B:$B=$A843,'Генеральный баннер'!$C:$C=$B843,'Генеральный баннер'!$I:$I=$C843)), 0) "),0.0)</f>
        <v>0</v>
      </c>
      <c r="R843" s="91">
        <f>IFERROR(__xludf.DUMMYFUNCTION("IFERROR(AVERAGE(filter('Генеральный баннер'!$AA:$AA, 'Генеральный баннер'!$B:$B=$A843,'Генеральный баннер'!$C:$C=$B843,'Генеральный баннер'!$I:$I=$C843)), 0) "),0.0)</f>
        <v>0</v>
      </c>
      <c r="S843" s="91">
        <f>IFERROR(__xludf.DUMMYFUNCTION("IFERROR(SUM(filter('Генеральный баннер'!$AH:$AH, 'Генеральный баннер'!$B:$B=$A843,'Генеральный баннер'!$C:$C=$B843,'Генеральный баннер'!$I:$I=$C843)), 0) "),0.0)</f>
        <v>0</v>
      </c>
      <c r="T843" s="91" t="str">
        <f>IFERROR(__xludf.DUMMYFUNCTION("IFERROR(REGEXREPLACE(unique(filter('Генеральный баннер'!$A:$A, 'Генеральный баннер'!$B:$B=$A843,'Генеральный баннер'!$C:$C=$B843,'Генеральный баннер'!$I:$I=$C843)), ""\d+"", """"),"""")"),"")</f>
        <v/>
      </c>
      <c r="U843" s="91" t="str">
        <f>IFERROR(__xludf.DUMMYFUNCTION("IFERROR(unique(filter('Генеральный баннер'!$F:$F, 'Генеральный баннер'!$B:$B=$A843,'Генеральный баннер'!$C:$C=$B843,'Генеральный баннер'!$I:$I=$C843)),"""")"),"")</f>
        <v/>
      </c>
      <c r="V843" s="92" t="str">
        <f t="shared" si="3"/>
        <v/>
      </c>
      <c r="W843" s="93">
        <f>IFERROR(__xludf.DUMMYFUNCTION("IFERROR(SWITCH(lower(join("" "",U843:V843)),""а миллионник"", 62.5,""б миллионник"", 75,""а мск"", 50, ""б мск"", 62.5, ""a остальное"", 70, ""б остальное"", 80)/100,0)"),0.0)</f>
        <v>0</v>
      </c>
      <c r="X843" s="91">
        <f t="shared" si="4"/>
        <v>0</v>
      </c>
    </row>
    <row r="844">
      <c r="A844" s="12"/>
      <c r="B844" s="12"/>
      <c r="C844" s="12"/>
      <c r="D844" s="91">
        <f>IFERROR(__xludf.DUMMYFUNCTION("IFERROR(sum(filter('Основной эфир'!$AA:$AA, 'Основной эфир'!$B:$B=$A844,'Основной эфир'!$C:$C=$B844,'Основной эфир'!$I:$I=$C844)), 0) "),0.0)</f>
        <v>0</v>
      </c>
      <c r="E844" s="91">
        <f>IFERROR(__xludf.DUMMYFUNCTION("IFERROR(sum(filter('Основной эфир'!$AC:$AC, 'Основной эфир'!$B:$B=$A844,'Основной эфир'!$C:$C=$B844,'Основной эфир'!$I:$I=$C844)), 0) "),0.0)</f>
        <v>0</v>
      </c>
      <c r="F844" s="91">
        <f>IFERROR(__xludf.DUMMYFUNCTION("IFERROR(sum(filter('Основной эфир'!$O:$O, 'Основной эфир'!$B:$B=$A844,'Основной эфир'!$C:$C=$B844,'Основной эфир'!$I:$I=$C844)), 0) "),0.0)</f>
        <v>0</v>
      </c>
      <c r="G844" s="91">
        <f>IFERROR(__xludf.DUMMYFUNCTION("IFERROR(sum(filter('Основной эфир'!$Q:$Q, 'Основной эфир'!$B:$B=$A844,'Основной эфир'!$C:$C=$B844,'Основной эфир'!$I:$I=$C844)), 0) "),0.0)</f>
        <v>0</v>
      </c>
      <c r="H844" s="91">
        <f>IFERROR(__xludf.DUMMYFUNCTION("IFERROR(AVERAGE(filter('Основной эфир'!$Y:$Y, 'Основной эфир'!$B:$B=$A844,'Основной эфир'!$C:$C=$B844,'Основной эфир'!$I:$I=$C844)), 0) "),0.0)</f>
        <v>0</v>
      </c>
      <c r="I844" s="91">
        <f>IFERROR(__xludf.DUMMYFUNCTION("IFERROR(AVERAGE(filter('Основной эфир'!$AE:$AE, 'Основной эфир'!$B:$B=$A844,'Основной эфир'!$C:$C=$B844,'Основной эфир'!$I:$I=$C844)), 0) "),0.0)</f>
        <v>0</v>
      </c>
      <c r="J844" s="91">
        <f>IFERROR(__xludf.DUMMYFUNCTION("IFERROR(SUM(filter('Основной эфир'!$AL:$AL, 'Основной эфир'!$B:$B=$A844,'Основной эфир'!$C:$C=$B844,'Основной эфир'!$I:$I=$C844)), 0) "),0.0)</f>
        <v>0</v>
      </c>
      <c r="K844" s="91" t="str">
        <f>IFERROR(__xludf.DUMMYFUNCTION("IFERROR(REGEXREPLACE(unique(filter('Основной эфир'!$A:$A, 'Основной эфир'!$B:$B=$A844,'Основной эфир'!$C:$C=$B844,'Основной эфир'!$I:$I=$C844)), ""\d+"", """"),"""")"),"")</f>
        <v/>
      </c>
      <c r="L844" s="91" t="str">
        <f>IFERROR(__xludf.DUMMYFUNCTION("IFERROR(unique(filter('Основной эфир'!$F:$F, 'Основной эфир'!$B:$B=$A844,'Основной эфир'!$C:$C=$B844,'Основной эфир'!$I:$I=$C844)),"""")"),"")</f>
        <v/>
      </c>
      <c r="M844" s="92" t="str">
        <f t="shared" si="1"/>
        <v/>
      </c>
      <c r="N844" s="93">
        <f>IFERROR(__xludf.DUMMYFUNCTION("IFERROR(SWITCH(lower(join("" "",L844:M844)),""а миллионник"", 62.5,""б миллионник"", 75,""а мск"", 50, ""б мск"", 62.5, ""a остальное"", 70, ""б остальное"", 80)/100,0)"),0.0)</f>
        <v>0</v>
      </c>
      <c r="O844" s="91">
        <f t="shared" si="2"/>
        <v>0</v>
      </c>
      <c r="P844" s="91">
        <f>IFERROR(__xludf.DUMMYFUNCTION("IFERROR(sum(filter('Генеральный баннер'!$O:$O, 'Генеральный баннер'!$B:$B=$A844,'Генеральный баннер'!$C:$C=$B844,'Генеральный баннер'!$I:$I=$C844)), 0) "),0.0)</f>
        <v>0</v>
      </c>
      <c r="Q844" s="91">
        <f>IFERROR(__xludf.DUMMYFUNCTION("IFERROR(sum(filter('Генеральный баннер'!$Q:$Q, 'Генеральный баннер'!$B:$B=$A844,'Генеральный баннер'!$C:$C=$B844,'Генеральный баннер'!$I:$I=$C844)), 0) "),0.0)</f>
        <v>0</v>
      </c>
      <c r="R844" s="91">
        <f>IFERROR(__xludf.DUMMYFUNCTION("IFERROR(AVERAGE(filter('Генеральный баннер'!$AA:$AA, 'Генеральный баннер'!$B:$B=$A844,'Генеральный баннер'!$C:$C=$B844,'Генеральный баннер'!$I:$I=$C844)), 0) "),0.0)</f>
        <v>0</v>
      </c>
      <c r="S844" s="91">
        <f>IFERROR(__xludf.DUMMYFUNCTION("IFERROR(SUM(filter('Генеральный баннер'!$AH:$AH, 'Генеральный баннер'!$B:$B=$A844,'Генеральный баннер'!$C:$C=$B844,'Генеральный баннер'!$I:$I=$C844)), 0) "),0.0)</f>
        <v>0</v>
      </c>
      <c r="T844" s="91" t="str">
        <f>IFERROR(__xludf.DUMMYFUNCTION("IFERROR(REGEXREPLACE(unique(filter('Генеральный баннер'!$A:$A, 'Генеральный баннер'!$B:$B=$A844,'Генеральный баннер'!$C:$C=$B844,'Генеральный баннер'!$I:$I=$C844)), ""\d+"", """"),"""")"),"")</f>
        <v/>
      </c>
      <c r="U844" s="91" t="str">
        <f>IFERROR(__xludf.DUMMYFUNCTION("IFERROR(unique(filter('Генеральный баннер'!$F:$F, 'Генеральный баннер'!$B:$B=$A844,'Генеральный баннер'!$C:$C=$B844,'Генеральный баннер'!$I:$I=$C844)),"""")"),"")</f>
        <v/>
      </c>
      <c r="V844" s="92" t="str">
        <f t="shared" si="3"/>
        <v/>
      </c>
      <c r="W844" s="93">
        <f>IFERROR(__xludf.DUMMYFUNCTION("IFERROR(SWITCH(lower(join("" "",U844:V844)),""а миллионник"", 62.5,""б миллионник"", 75,""а мск"", 50, ""б мск"", 62.5, ""a остальное"", 70, ""б остальное"", 80)/100,0)"),0.0)</f>
        <v>0</v>
      </c>
      <c r="X844" s="91">
        <f t="shared" si="4"/>
        <v>0</v>
      </c>
    </row>
    <row r="845">
      <c r="A845" s="12"/>
      <c r="B845" s="12"/>
      <c r="C845" s="12"/>
      <c r="D845" s="91">
        <f>IFERROR(__xludf.DUMMYFUNCTION("IFERROR(sum(filter('Основной эфир'!$AA:$AA, 'Основной эфир'!$B:$B=$A845,'Основной эфир'!$C:$C=$B845,'Основной эфир'!$I:$I=$C845)), 0) "),0.0)</f>
        <v>0</v>
      </c>
      <c r="E845" s="91">
        <f>IFERROR(__xludf.DUMMYFUNCTION("IFERROR(sum(filter('Основной эфир'!$AC:$AC, 'Основной эфир'!$B:$B=$A845,'Основной эфир'!$C:$C=$B845,'Основной эфир'!$I:$I=$C845)), 0) "),0.0)</f>
        <v>0</v>
      </c>
      <c r="F845" s="91">
        <f>IFERROR(__xludf.DUMMYFUNCTION("IFERROR(sum(filter('Основной эфир'!$O:$O, 'Основной эфир'!$B:$B=$A845,'Основной эфир'!$C:$C=$B845,'Основной эфир'!$I:$I=$C845)), 0) "),0.0)</f>
        <v>0</v>
      </c>
      <c r="G845" s="91">
        <f>IFERROR(__xludf.DUMMYFUNCTION("IFERROR(sum(filter('Основной эфир'!$Q:$Q, 'Основной эфир'!$B:$B=$A845,'Основной эфир'!$C:$C=$B845,'Основной эфир'!$I:$I=$C845)), 0) "),0.0)</f>
        <v>0</v>
      </c>
      <c r="H845" s="91">
        <f>IFERROR(__xludf.DUMMYFUNCTION("IFERROR(AVERAGE(filter('Основной эфир'!$Y:$Y, 'Основной эфир'!$B:$B=$A845,'Основной эфир'!$C:$C=$B845,'Основной эфир'!$I:$I=$C845)), 0) "),0.0)</f>
        <v>0</v>
      </c>
      <c r="I845" s="91">
        <f>IFERROR(__xludf.DUMMYFUNCTION("IFERROR(AVERAGE(filter('Основной эфир'!$AE:$AE, 'Основной эфир'!$B:$B=$A845,'Основной эфир'!$C:$C=$B845,'Основной эфир'!$I:$I=$C845)), 0) "),0.0)</f>
        <v>0</v>
      </c>
      <c r="J845" s="91">
        <f>IFERROR(__xludf.DUMMYFUNCTION("IFERROR(SUM(filter('Основной эфир'!$AL:$AL, 'Основной эфир'!$B:$B=$A845,'Основной эфир'!$C:$C=$B845,'Основной эфир'!$I:$I=$C845)), 0) "),0.0)</f>
        <v>0</v>
      </c>
      <c r="K845" s="91" t="str">
        <f>IFERROR(__xludf.DUMMYFUNCTION("IFERROR(REGEXREPLACE(unique(filter('Основной эфир'!$A:$A, 'Основной эфир'!$B:$B=$A845,'Основной эфир'!$C:$C=$B845,'Основной эфир'!$I:$I=$C845)), ""\d+"", """"),"""")"),"")</f>
        <v/>
      </c>
      <c r="L845" s="91" t="str">
        <f>IFERROR(__xludf.DUMMYFUNCTION("IFERROR(unique(filter('Основной эфир'!$F:$F, 'Основной эфир'!$B:$B=$A845,'Основной эфир'!$C:$C=$B845,'Основной эфир'!$I:$I=$C845)),"""")"),"")</f>
        <v/>
      </c>
      <c r="M845" s="92" t="str">
        <f t="shared" si="1"/>
        <v/>
      </c>
      <c r="N845" s="93">
        <f>IFERROR(__xludf.DUMMYFUNCTION("IFERROR(SWITCH(lower(join("" "",L845:M845)),""а миллионник"", 62.5,""б миллионник"", 75,""а мск"", 50, ""б мск"", 62.5, ""a остальное"", 70, ""б остальное"", 80)/100,0)"),0.0)</f>
        <v>0</v>
      </c>
      <c r="O845" s="91">
        <f t="shared" si="2"/>
        <v>0</v>
      </c>
      <c r="P845" s="91">
        <f>IFERROR(__xludf.DUMMYFUNCTION("IFERROR(sum(filter('Генеральный баннер'!$O:$O, 'Генеральный баннер'!$B:$B=$A845,'Генеральный баннер'!$C:$C=$B845,'Генеральный баннер'!$I:$I=$C845)), 0) "),0.0)</f>
        <v>0</v>
      </c>
      <c r="Q845" s="91">
        <f>IFERROR(__xludf.DUMMYFUNCTION("IFERROR(sum(filter('Генеральный баннер'!$Q:$Q, 'Генеральный баннер'!$B:$B=$A845,'Генеральный баннер'!$C:$C=$B845,'Генеральный баннер'!$I:$I=$C845)), 0) "),0.0)</f>
        <v>0</v>
      </c>
      <c r="R845" s="91">
        <f>IFERROR(__xludf.DUMMYFUNCTION("IFERROR(AVERAGE(filter('Генеральный баннер'!$AA:$AA, 'Генеральный баннер'!$B:$B=$A845,'Генеральный баннер'!$C:$C=$B845,'Генеральный баннер'!$I:$I=$C845)), 0) "),0.0)</f>
        <v>0</v>
      </c>
      <c r="S845" s="91">
        <f>IFERROR(__xludf.DUMMYFUNCTION("IFERROR(SUM(filter('Генеральный баннер'!$AH:$AH, 'Генеральный баннер'!$B:$B=$A845,'Генеральный баннер'!$C:$C=$B845,'Генеральный баннер'!$I:$I=$C845)), 0) "),0.0)</f>
        <v>0</v>
      </c>
      <c r="T845" s="91" t="str">
        <f>IFERROR(__xludf.DUMMYFUNCTION("IFERROR(REGEXREPLACE(unique(filter('Генеральный баннер'!$A:$A, 'Генеральный баннер'!$B:$B=$A845,'Генеральный баннер'!$C:$C=$B845,'Генеральный баннер'!$I:$I=$C845)), ""\d+"", """"),"""")"),"")</f>
        <v/>
      </c>
      <c r="U845" s="91" t="str">
        <f>IFERROR(__xludf.DUMMYFUNCTION("IFERROR(unique(filter('Генеральный баннер'!$F:$F, 'Генеральный баннер'!$B:$B=$A845,'Генеральный баннер'!$C:$C=$B845,'Генеральный баннер'!$I:$I=$C845)),"""")"),"")</f>
        <v/>
      </c>
      <c r="V845" s="92" t="str">
        <f t="shared" si="3"/>
        <v/>
      </c>
      <c r="W845" s="93">
        <f>IFERROR(__xludf.DUMMYFUNCTION("IFERROR(SWITCH(lower(join("" "",U845:V845)),""а миллионник"", 62.5,""б миллионник"", 75,""а мск"", 50, ""б мск"", 62.5, ""a остальное"", 70, ""б остальное"", 80)/100,0)"),0.0)</f>
        <v>0</v>
      </c>
      <c r="X845" s="91">
        <f t="shared" si="4"/>
        <v>0</v>
      </c>
    </row>
    <row r="846">
      <c r="A846" s="12"/>
      <c r="B846" s="12"/>
      <c r="C846" s="12"/>
      <c r="D846" s="91">
        <f>IFERROR(__xludf.DUMMYFUNCTION("IFERROR(sum(filter('Основной эфир'!$AA:$AA, 'Основной эфир'!$B:$B=$A846,'Основной эфир'!$C:$C=$B846,'Основной эфир'!$I:$I=$C846)), 0) "),0.0)</f>
        <v>0</v>
      </c>
      <c r="E846" s="91">
        <f>IFERROR(__xludf.DUMMYFUNCTION("IFERROR(sum(filter('Основной эфир'!$AC:$AC, 'Основной эфир'!$B:$B=$A846,'Основной эфир'!$C:$C=$B846,'Основной эфир'!$I:$I=$C846)), 0) "),0.0)</f>
        <v>0</v>
      </c>
      <c r="F846" s="91">
        <f>IFERROR(__xludf.DUMMYFUNCTION("IFERROR(sum(filter('Основной эфир'!$O:$O, 'Основной эфир'!$B:$B=$A846,'Основной эфир'!$C:$C=$B846,'Основной эфир'!$I:$I=$C846)), 0) "),0.0)</f>
        <v>0</v>
      </c>
      <c r="G846" s="91">
        <f>IFERROR(__xludf.DUMMYFUNCTION("IFERROR(sum(filter('Основной эфир'!$Q:$Q, 'Основной эфир'!$B:$B=$A846,'Основной эфир'!$C:$C=$B846,'Основной эфир'!$I:$I=$C846)), 0) "),0.0)</f>
        <v>0</v>
      </c>
      <c r="H846" s="91">
        <f>IFERROR(__xludf.DUMMYFUNCTION("IFERROR(AVERAGE(filter('Основной эфир'!$Y:$Y, 'Основной эфир'!$B:$B=$A846,'Основной эфир'!$C:$C=$B846,'Основной эфир'!$I:$I=$C846)), 0) "),0.0)</f>
        <v>0</v>
      </c>
      <c r="I846" s="91">
        <f>IFERROR(__xludf.DUMMYFUNCTION("IFERROR(AVERAGE(filter('Основной эфир'!$AE:$AE, 'Основной эфир'!$B:$B=$A846,'Основной эфир'!$C:$C=$B846,'Основной эфир'!$I:$I=$C846)), 0) "),0.0)</f>
        <v>0</v>
      </c>
      <c r="J846" s="91">
        <f>IFERROR(__xludf.DUMMYFUNCTION("IFERROR(SUM(filter('Основной эфир'!$AL:$AL, 'Основной эфир'!$B:$B=$A846,'Основной эфир'!$C:$C=$B846,'Основной эфир'!$I:$I=$C846)), 0) "),0.0)</f>
        <v>0</v>
      </c>
      <c r="K846" s="91" t="str">
        <f>IFERROR(__xludf.DUMMYFUNCTION("IFERROR(REGEXREPLACE(unique(filter('Основной эфир'!$A:$A, 'Основной эфир'!$B:$B=$A846,'Основной эфир'!$C:$C=$B846,'Основной эфир'!$I:$I=$C846)), ""\d+"", """"),"""")"),"")</f>
        <v/>
      </c>
      <c r="L846" s="91" t="str">
        <f>IFERROR(__xludf.DUMMYFUNCTION("IFERROR(unique(filter('Основной эфир'!$F:$F, 'Основной эфир'!$B:$B=$A846,'Основной эфир'!$C:$C=$B846,'Основной эфир'!$I:$I=$C846)),"""")"),"")</f>
        <v/>
      </c>
      <c r="M846" s="92" t="str">
        <f t="shared" si="1"/>
        <v/>
      </c>
      <c r="N846" s="93">
        <f>IFERROR(__xludf.DUMMYFUNCTION("IFERROR(SWITCH(lower(join("" "",L846:M846)),""а миллионник"", 62.5,""б миллионник"", 75,""а мск"", 50, ""б мск"", 62.5, ""a остальное"", 70, ""б остальное"", 80)/100,0)"),0.0)</f>
        <v>0</v>
      </c>
      <c r="O846" s="91">
        <f t="shared" si="2"/>
        <v>0</v>
      </c>
      <c r="P846" s="91">
        <f>IFERROR(__xludf.DUMMYFUNCTION("IFERROR(sum(filter('Генеральный баннер'!$O:$O, 'Генеральный баннер'!$B:$B=$A846,'Генеральный баннер'!$C:$C=$B846,'Генеральный баннер'!$I:$I=$C846)), 0) "),0.0)</f>
        <v>0</v>
      </c>
      <c r="Q846" s="91">
        <f>IFERROR(__xludf.DUMMYFUNCTION("IFERROR(sum(filter('Генеральный баннер'!$Q:$Q, 'Генеральный баннер'!$B:$B=$A846,'Генеральный баннер'!$C:$C=$B846,'Генеральный баннер'!$I:$I=$C846)), 0) "),0.0)</f>
        <v>0</v>
      </c>
      <c r="R846" s="91">
        <f>IFERROR(__xludf.DUMMYFUNCTION("IFERROR(AVERAGE(filter('Генеральный баннер'!$AA:$AA, 'Генеральный баннер'!$B:$B=$A846,'Генеральный баннер'!$C:$C=$B846,'Генеральный баннер'!$I:$I=$C846)), 0) "),0.0)</f>
        <v>0</v>
      </c>
      <c r="S846" s="91">
        <f>IFERROR(__xludf.DUMMYFUNCTION("IFERROR(SUM(filter('Генеральный баннер'!$AH:$AH, 'Генеральный баннер'!$B:$B=$A846,'Генеральный баннер'!$C:$C=$B846,'Генеральный баннер'!$I:$I=$C846)), 0) "),0.0)</f>
        <v>0</v>
      </c>
      <c r="T846" s="91" t="str">
        <f>IFERROR(__xludf.DUMMYFUNCTION("IFERROR(REGEXREPLACE(unique(filter('Генеральный баннер'!$A:$A, 'Генеральный баннер'!$B:$B=$A846,'Генеральный баннер'!$C:$C=$B846,'Генеральный баннер'!$I:$I=$C846)), ""\d+"", """"),"""")"),"")</f>
        <v/>
      </c>
      <c r="U846" s="91" t="str">
        <f>IFERROR(__xludf.DUMMYFUNCTION("IFERROR(unique(filter('Генеральный баннер'!$F:$F, 'Генеральный баннер'!$B:$B=$A846,'Генеральный баннер'!$C:$C=$B846,'Генеральный баннер'!$I:$I=$C846)),"""")"),"")</f>
        <v/>
      </c>
      <c r="V846" s="92" t="str">
        <f t="shared" si="3"/>
        <v/>
      </c>
      <c r="W846" s="93">
        <f>IFERROR(__xludf.DUMMYFUNCTION("IFERROR(SWITCH(lower(join("" "",U846:V846)),""а миллионник"", 62.5,""б миллионник"", 75,""а мск"", 50, ""б мск"", 62.5, ""a остальное"", 70, ""б остальное"", 80)/100,0)"),0.0)</f>
        <v>0</v>
      </c>
      <c r="X846" s="91">
        <f t="shared" si="4"/>
        <v>0</v>
      </c>
    </row>
    <row r="847">
      <c r="A847" s="12"/>
      <c r="B847" s="12"/>
      <c r="C847" s="12"/>
      <c r="D847" s="91">
        <f>IFERROR(__xludf.DUMMYFUNCTION("IFERROR(sum(filter('Основной эфир'!$AA:$AA, 'Основной эфир'!$B:$B=$A847,'Основной эфир'!$C:$C=$B847,'Основной эфир'!$I:$I=$C847)), 0) "),0.0)</f>
        <v>0</v>
      </c>
      <c r="E847" s="91">
        <f>IFERROR(__xludf.DUMMYFUNCTION("IFERROR(sum(filter('Основной эфир'!$AC:$AC, 'Основной эфир'!$B:$B=$A847,'Основной эфир'!$C:$C=$B847,'Основной эфир'!$I:$I=$C847)), 0) "),0.0)</f>
        <v>0</v>
      </c>
      <c r="F847" s="91">
        <f>IFERROR(__xludf.DUMMYFUNCTION("IFERROR(sum(filter('Основной эфир'!$O:$O, 'Основной эфир'!$B:$B=$A847,'Основной эфир'!$C:$C=$B847,'Основной эфир'!$I:$I=$C847)), 0) "),0.0)</f>
        <v>0</v>
      </c>
      <c r="G847" s="91">
        <f>IFERROR(__xludf.DUMMYFUNCTION("IFERROR(sum(filter('Основной эфир'!$Q:$Q, 'Основной эфир'!$B:$B=$A847,'Основной эфир'!$C:$C=$B847,'Основной эфир'!$I:$I=$C847)), 0) "),0.0)</f>
        <v>0</v>
      </c>
      <c r="H847" s="91">
        <f>IFERROR(__xludf.DUMMYFUNCTION("IFERROR(AVERAGE(filter('Основной эфир'!$Y:$Y, 'Основной эфир'!$B:$B=$A847,'Основной эфир'!$C:$C=$B847,'Основной эфир'!$I:$I=$C847)), 0) "),0.0)</f>
        <v>0</v>
      </c>
      <c r="I847" s="91">
        <f>IFERROR(__xludf.DUMMYFUNCTION("IFERROR(AVERAGE(filter('Основной эфир'!$AE:$AE, 'Основной эфир'!$B:$B=$A847,'Основной эфир'!$C:$C=$B847,'Основной эфир'!$I:$I=$C847)), 0) "),0.0)</f>
        <v>0</v>
      </c>
      <c r="J847" s="91">
        <f>IFERROR(__xludf.DUMMYFUNCTION("IFERROR(SUM(filter('Основной эфир'!$AL:$AL, 'Основной эфир'!$B:$B=$A847,'Основной эфир'!$C:$C=$B847,'Основной эфир'!$I:$I=$C847)), 0) "),0.0)</f>
        <v>0</v>
      </c>
      <c r="K847" s="91" t="str">
        <f>IFERROR(__xludf.DUMMYFUNCTION("IFERROR(REGEXREPLACE(unique(filter('Основной эфир'!$A:$A, 'Основной эфир'!$B:$B=$A847,'Основной эфир'!$C:$C=$B847,'Основной эфир'!$I:$I=$C847)), ""\d+"", """"),"""")"),"")</f>
        <v/>
      </c>
      <c r="L847" s="91" t="str">
        <f>IFERROR(__xludf.DUMMYFUNCTION("IFERROR(unique(filter('Основной эфир'!$F:$F, 'Основной эфир'!$B:$B=$A847,'Основной эфир'!$C:$C=$B847,'Основной эфир'!$I:$I=$C847)),"""")"),"")</f>
        <v/>
      </c>
      <c r="M847" s="92" t="str">
        <f t="shared" si="1"/>
        <v/>
      </c>
      <c r="N847" s="93">
        <f>IFERROR(__xludf.DUMMYFUNCTION("IFERROR(SWITCH(lower(join("" "",L847:M847)),""а миллионник"", 62.5,""б миллионник"", 75,""а мск"", 50, ""б мск"", 62.5, ""a остальное"", 70, ""б остальное"", 80)/100,0)"),0.0)</f>
        <v>0</v>
      </c>
      <c r="O847" s="91">
        <f t="shared" si="2"/>
        <v>0</v>
      </c>
      <c r="P847" s="91">
        <f>IFERROR(__xludf.DUMMYFUNCTION("IFERROR(sum(filter('Генеральный баннер'!$O:$O, 'Генеральный баннер'!$B:$B=$A847,'Генеральный баннер'!$C:$C=$B847,'Генеральный баннер'!$I:$I=$C847)), 0) "),0.0)</f>
        <v>0</v>
      </c>
      <c r="Q847" s="91">
        <f>IFERROR(__xludf.DUMMYFUNCTION("IFERROR(sum(filter('Генеральный баннер'!$Q:$Q, 'Генеральный баннер'!$B:$B=$A847,'Генеральный баннер'!$C:$C=$B847,'Генеральный баннер'!$I:$I=$C847)), 0) "),0.0)</f>
        <v>0</v>
      </c>
      <c r="R847" s="91">
        <f>IFERROR(__xludf.DUMMYFUNCTION("IFERROR(AVERAGE(filter('Генеральный баннер'!$AA:$AA, 'Генеральный баннер'!$B:$B=$A847,'Генеральный баннер'!$C:$C=$B847,'Генеральный баннер'!$I:$I=$C847)), 0) "),0.0)</f>
        <v>0</v>
      </c>
      <c r="S847" s="91">
        <f>IFERROR(__xludf.DUMMYFUNCTION("IFERROR(SUM(filter('Генеральный баннер'!$AH:$AH, 'Генеральный баннер'!$B:$B=$A847,'Генеральный баннер'!$C:$C=$B847,'Генеральный баннер'!$I:$I=$C847)), 0) "),0.0)</f>
        <v>0</v>
      </c>
      <c r="T847" s="91" t="str">
        <f>IFERROR(__xludf.DUMMYFUNCTION("IFERROR(REGEXREPLACE(unique(filter('Генеральный баннер'!$A:$A, 'Генеральный баннер'!$B:$B=$A847,'Генеральный баннер'!$C:$C=$B847,'Генеральный баннер'!$I:$I=$C847)), ""\d+"", """"),"""")"),"")</f>
        <v/>
      </c>
      <c r="U847" s="91" t="str">
        <f>IFERROR(__xludf.DUMMYFUNCTION("IFERROR(unique(filter('Генеральный баннер'!$F:$F, 'Генеральный баннер'!$B:$B=$A847,'Генеральный баннер'!$C:$C=$B847,'Генеральный баннер'!$I:$I=$C847)),"""")"),"")</f>
        <v/>
      </c>
      <c r="V847" s="92" t="str">
        <f t="shared" si="3"/>
        <v/>
      </c>
      <c r="W847" s="93">
        <f>IFERROR(__xludf.DUMMYFUNCTION("IFERROR(SWITCH(lower(join("" "",U847:V847)),""а миллионник"", 62.5,""б миллионник"", 75,""а мск"", 50, ""б мск"", 62.5, ""a остальное"", 70, ""б остальное"", 80)/100,0)"),0.0)</f>
        <v>0</v>
      </c>
      <c r="X847" s="91">
        <f t="shared" si="4"/>
        <v>0</v>
      </c>
    </row>
    <row r="848">
      <c r="A848" s="12"/>
      <c r="B848" s="12"/>
      <c r="C848" s="12"/>
      <c r="D848" s="91">
        <f>IFERROR(__xludf.DUMMYFUNCTION("IFERROR(sum(filter('Основной эфир'!$AA:$AA, 'Основной эфир'!$B:$B=$A848,'Основной эфир'!$C:$C=$B848,'Основной эфир'!$I:$I=$C848)), 0) "),0.0)</f>
        <v>0</v>
      </c>
      <c r="E848" s="91">
        <f>IFERROR(__xludf.DUMMYFUNCTION("IFERROR(sum(filter('Основной эфир'!$AC:$AC, 'Основной эфир'!$B:$B=$A848,'Основной эфир'!$C:$C=$B848,'Основной эфир'!$I:$I=$C848)), 0) "),0.0)</f>
        <v>0</v>
      </c>
      <c r="F848" s="91">
        <f>IFERROR(__xludf.DUMMYFUNCTION("IFERROR(sum(filter('Основной эфир'!$O:$O, 'Основной эфир'!$B:$B=$A848,'Основной эфир'!$C:$C=$B848,'Основной эфир'!$I:$I=$C848)), 0) "),0.0)</f>
        <v>0</v>
      </c>
      <c r="G848" s="91">
        <f>IFERROR(__xludf.DUMMYFUNCTION("IFERROR(sum(filter('Основной эфир'!$Q:$Q, 'Основной эфир'!$B:$B=$A848,'Основной эфир'!$C:$C=$B848,'Основной эфир'!$I:$I=$C848)), 0) "),0.0)</f>
        <v>0</v>
      </c>
      <c r="H848" s="91">
        <f>IFERROR(__xludf.DUMMYFUNCTION("IFERROR(AVERAGE(filter('Основной эфир'!$Y:$Y, 'Основной эфир'!$B:$B=$A848,'Основной эфир'!$C:$C=$B848,'Основной эфир'!$I:$I=$C848)), 0) "),0.0)</f>
        <v>0</v>
      </c>
      <c r="I848" s="91">
        <f>IFERROR(__xludf.DUMMYFUNCTION("IFERROR(AVERAGE(filter('Основной эфир'!$AE:$AE, 'Основной эфир'!$B:$B=$A848,'Основной эфир'!$C:$C=$B848,'Основной эфир'!$I:$I=$C848)), 0) "),0.0)</f>
        <v>0</v>
      </c>
      <c r="J848" s="91">
        <f>IFERROR(__xludf.DUMMYFUNCTION("IFERROR(SUM(filter('Основной эфир'!$AL:$AL, 'Основной эфир'!$B:$B=$A848,'Основной эфир'!$C:$C=$B848,'Основной эфир'!$I:$I=$C848)), 0) "),0.0)</f>
        <v>0</v>
      </c>
      <c r="K848" s="91" t="str">
        <f>IFERROR(__xludf.DUMMYFUNCTION("IFERROR(REGEXREPLACE(unique(filter('Основной эфир'!$A:$A, 'Основной эфир'!$B:$B=$A848,'Основной эфир'!$C:$C=$B848,'Основной эфир'!$I:$I=$C848)), ""\d+"", """"),"""")"),"")</f>
        <v/>
      </c>
      <c r="L848" s="91" t="str">
        <f>IFERROR(__xludf.DUMMYFUNCTION("IFERROR(unique(filter('Основной эфир'!$F:$F, 'Основной эфир'!$B:$B=$A848,'Основной эфир'!$C:$C=$B848,'Основной эфир'!$I:$I=$C848)),"""")"),"")</f>
        <v/>
      </c>
      <c r="M848" s="92" t="str">
        <f t="shared" si="1"/>
        <v/>
      </c>
      <c r="N848" s="93">
        <f>IFERROR(__xludf.DUMMYFUNCTION("IFERROR(SWITCH(lower(join("" "",L848:M848)),""а миллионник"", 62.5,""б миллионник"", 75,""а мск"", 50, ""б мск"", 62.5, ""a остальное"", 70, ""б остальное"", 80)/100,0)"),0.0)</f>
        <v>0</v>
      </c>
      <c r="O848" s="91">
        <f t="shared" si="2"/>
        <v>0</v>
      </c>
      <c r="P848" s="91">
        <f>IFERROR(__xludf.DUMMYFUNCTION("IFERROR(sum(filter('Генеральный баннер'!$O:$O, 'Генеральный баннер'!$B:$B=$A848,'Генеральный баннер'!$C:$C=$B848,'Генеральный баннер'!$I:$I=$C848)), 0) "),0.0)</f>
        <v>0</v>
      </c>
      <c r="Q848" s="91">
        <f>IFERROR(__xludf.DUMMYFUNCTION("IFERROR(sum(filter('Генеральный баннер'!$Q:$Q, 'Генеральный баннер'!$B:$B=$A848,'Генеральный баннер'!$C:$C=$B848,'Генеральный баннер'!$I:$I=$C848)), 0) "),0.0)</f>
        <v>0</v>
      </c>
      <c r="R848" s="91">
        <f>IFERROR(__xludf.DUMMYFUNCTION("IFERROR(AVERAGE(filter('Генеральный баннер'!$AA:$AA, 'Генеральный баннер'!$B:$B=$A848,'Генеральный баннер'!$C:$C=$B848,'Генеральный баннер'!$I:$I=$C848)), 0) "),0.0)</f>
        <v>0</v>
      </c>
      <c r="S848" s="91">
        <f>IFERROR(__xludf.DUMMYFUNCTION("IFERROR(SUM(filter('Генеральный баннер'!$AH:$AH, 'Генеральный баннер'!$B:$B=$A848,'Генеральный баннер'!$C:$C=$B848,'Генеральный баннер'!$I:$I=$C848)), 0) "),0.0)</f>
        <v>0</v>
      </c>
      <c r="T848" s="91" t="str">
        <f>IFERROR(__xludf.DUMMYFUNCTION("IFERROR(REGEXREPLACE(unique(filter('Генеральный баннер'!$A:$A, 'Генеральный баннер'!$B:$B=$A848,'Генеральный баннер'!$C:$C=$B848,'Генеральный баннер'!$I:$I=$C848)), ""\d+"", """"),"""")"),"")</f>
        <v/>
      </c>
      <c r="U848" s="91" t="str">
        <f>IFERROR(__xludf.DUMMYFUNCTION("IFERROR(unique(filter('Генеральный баннер'!$F:$F, 'Генеральный баннер'!$B:$B=$A848,'Генеральный баннер'!$C:$C=$B848,'Генеральный баннер'!$I:$I=$C848)),"""")"),"")</f>
        <v/>
      </c>
      <c r="V848" s="92" t="str">
        <f t="shared" si="3"/>
        <v/>
      </c>
      <c r="W848" s="93">
        <f>IFERROR(__xludf.DUMMYFUNCTION("IFERROR(SWITCH(lower(join("" "",U848:V848)),""а миллионник"", 62.5,""б миллионник"", 75,""а мск"", 50, ""б мск"", 62.5, ""a остальное"", 70, ""б остальное"", 80)/100,0)"),0.0)</f>
        <v>0</v>
      </c>
      <c r="X848" s="91">
        <f t="shared" si="4"/>
        <v>0</v>
      </c>
    </row>
    <row r="849">
      <c r="A849" s="12"/>
      <c r="B849" s="12"/>
      <c r="C849" s="12"/>
      <c r="D849" s="91">
        <f>IFERROR(__xludf.DUMMYFUNCTION("IFERROR(sum(filter('Основной эфир'!$AA:$AA, 'Основной эфир'!$B:$B=$A849,'Основной эфир'!$C:$C=$B849,'Основной эфир'!$I:$I=$C849)), 0) "),0.0)</f>
        <v>0</v>
      </c>
      <c r="E849" s="91">
        <f>IFERROR(__xludf.DUMMYFUNCTION("IFERROR(sum(filter('Основной эфир'!$AC:$AC, 'Основной эфир'!$B:$B=$A849,'Основной эфир'!$C:$C=$B849,'Основной эфир'!$I:$I=$C849)), 0) "),0.0)</f>
        <v>0</v>
      </c>
      <c r="F849" s="91">
        <f>IFERROR(__xludf.DUMMYFUNCTION("IFERROR(sum(filter('Основной эфир'!$O:$O, 'Основной эфир'!$B:$B=$A849,'Основной эфир'!$C:$C=$B849,'Основной эфир'!$I:$I=$C849)), 0) "),0.0)</f>
        <v>0</v>
      </c>
      <c r="G849" s="91">
        <f>IFERROR(__xludf.DUMMYFUNCTION("IFERROR(sum(filter('Основной эфир'!$Q:$Q, 'Основной эфир'!$B:$B=$A849,'Основной эфир'!$C:$C=$B849,'Основной эфир'!$I:$I=$C849)), 0) "),0.0)</f>
        <v>0</v>
      </c>
      <c r="H849" s="91">
        <f>IFERROR(__xludf.DUMMYFUNCTION("IFERROR(AVERAGE(filter('Основной эфир'!$Y:$Y, 'Основной эфир'!$B:$B=$A849,'Основной эфир'!$C:$C=$B849,'Основной эфир'!$I:$I=$C849)), 0) "),0.0)</f>
        <v>0</v>
      </c>
      <c r="I849" s="91">
        <f>IFERROR(__xludf.DUMMYFUNCTION("IFERROR(AVERAGE(filter('Основной эфир'!$AE:$AE, 'Основной эфир'!$B:$B=$A849,'Основной эфир'!$C:$C=$B849,'Основной эфир'!$I:$I=$C849)), 0) "),0.0)</f>
        <v>0</v>
      </c>
      <c r="J849" s="91">
        <f>IFERROR(__xludf.DUMMYFUNCTION("IFERROR(SUM(filter('Основной эфир'!$AL:$AL, 'Основной эфир'!$B:$B=$A849,'Основной эфир'!$C:$C=$B849,'Основной эфир'!$I:$I=$C849)), 0) "),0.0)</f>
        <v>0</v>
      </c>
      <c r="K849" s="91" t="str">
        <f>IFERROR(__xludf.DUMMYFUNCTION("IFERROR(REGEXREPLACE(unique(filter('Основной эфир'!$A:$A, 'Основной эфир'!$B:$B=$A849,'Основной эфир'!$C:$C=$B849,'Основной эфир'!$I:$I=$C849)), ""\d+"", """"),"""")"),"")</f>
        <v/>
      </c>
      <c r="L849" s="91" t="str">
        <f>IFERROR(__xludf.DUMMYFUNCTION("IFERROR(unique(filter('Основной эфир'!$F:$F, 'Основной эфир'!$B:$B=$A849,'Основной эфир'!$C:$C=$B849,'Основной эфир'!$I:$I=$C849)),"""")"),"")</f>
        <v/>
      </c>
      <c r="M849" s="92" t="str">
        <f t="shared" si="1"/>
        <v/>
      </c>
      <c r="N849" s="93">
        <f>IFERROR(__xludf.DUMMYFUNCTION("IFERROR(SWITCH(lower(join("" "",L849:M849)),""а миллионник"", 62.5,""б миллионник"", 75,""а мск"", 50, ""б мск"", 62.5, ""a остальное"", 70, ""б остальное"", 80)/100,0)"),0.0)</f>
        <v>0</v>
      </c>
      <c r="O849" s="91">
        <f t="shared" si="2"/>
        <v>0</v>
      </c>
      <c r="P849" s="91">
        <f>IFERROR(__xludf.DUMMYFUNCTION("IFERROR(sum(filter('Генеральный баннер'!$O:$O, 'Генеральный баннер'!$B:$B=$A849,'Генеральный баннер'!$C:$C=$B849,'Генеральный баннер'!$I:$I=$C849)), 0) "),0.0)</f>
        <v>0</v>
      </c>
      <c r="Q849" s="91">
        <f>IFERROR(__xludf.DUMMYFUNCTION("IFERROR(sum(filter('Генеральный баннер'!$Q:$Q, 'Генеральный баннер'!$B:$B=$A849,'Генеральный баннер'!$C:$C=$B849,'Генеральный баннер'!$I:$I=$C849)), 0) "),0.0)</f>
        <v>0</v>
      </c>
      <c r="R849" s="91">
        <f>IFERROR(__xludf.DUMMYFUNCTION("IFERROR(AVERAGE(filter('Генеральный баннер'!$AA:$AA, 'Генеральный баннер'!$B:$B=$A849,'Генеральный баннер'!$C:$C=$B849,'Генеральный баннер'!$I:$I=$C849)), 0) "),0.0)</f>
        <v>0</v>
      </c>
      <c r="S849" s="91">
        <f>IFERROR(__xludf.DUMMYFUNCTION("IFERROR(SUM(filter('Генеральный баннер'!$AH:$AH, 'Генеральный баннер'!$B:$B=$A849,'Генеральный баннер'!$C:$C=$B849,'Генеральный баннер'!$I:$I=$C849)), 0) "),0.0)</f>
        <v>0</v>
      </c>
      <c r="T849" s="91" t="str">
        <f>IFERROR(__xludf.DUMMYFUNCTION("IFERROR(REGEXREPLACE(unique(filter('Генеральный баннер'!$A:$A, 'Генеральный баннер'!$B:$B=$A849,'Генеральный баннер'!$C:$C=$B849,'Генеральный баннер'!$I:$I=$C849)), ""\d+"", """"),"""")"),"")</f>
        <v/>
      </c>
      <c r="U849" s="91" t="str">
        <f>IFERROR(__xludf.DUMMYFUNCTION("IFERROR(unique(filter('Генеральный баннер'!$F:$F, 'Генеральный баннер'!$B:$B=$A849,'Генеральный баннер'!$C:$C=$B849,'Генеральный баннер'!$I:$I=$C849)),"""")"),"")</f>
        <v/>
      </c>
      <c r="V849" s="92" t="str">
        <f t="shared" si="3"/>
        <v/>
      </c>
      <c r="W849" s="93">
        <f>IFERROR(__xludf.DUMMYFUNCTION("IFERROR(SWITCH(lower(join("" "",U849:V849)),""а миллионник"", 62.5,""б миллионник"", 75,""а мск"", 50, ""б мск"", 62.5, ""a остальное"", 70, ""б остальное"", 80)/100,0)"),0.0)</f>
        <v>0</v>
      </c>
      <c r="X849" s="91">
        <f t="shared" si="4"/>
        <v>0</v>
      </c>
    </row>
    <row r="850">
      <c r="A850" s="12"/>
      <c r="B850" s="12"/>
      <c r="C850" s="12"/>
      <c r="D850" s="91">
        <f>IFERROR(__xludf.DUMMYFUNCTION("IFERROR(sum(filter('Основной эфир'!$AA:$AA, 'Основной эфир'!$B:$B=$A850,'Основной эфир'!$C:$C=$B850,'Основной эфир'!$I:$I=$C850)), 0) "),0.0)</f>
        <v>0</v>
      </c>
      <c r="E850" s="91">
        <f>IFERROR(__xludf.DUMMYFUNCTION("IFERROR(sum(filter('Основной эфир'!$AC:$AC, 'Основной эфир'!$B:$B=$A850,'Основной эфир'!$C:$C=$B850,'Основной эфир'!$I:$I=$C850)), 0) "),0.0)</f>
        <v>0</v>
      </c>
      <c r="F850" s="91">
        <f>IFERROR(__xludf.DUMMYFUNCTION("IFERROR(sum(filter('Основной эфир'!$O:$O, 'Основной эфир'!$B:$B=$A850,'Основной эфир'!$C:$C=$B850,'Основной эфир'!$I:$I=$C850)), 0) "),0.0)</f>
        <v>0</v>
      </c>
      <c r="G850" s="91">
        <f>IFERROR(__xludf.DUMMYFUNCTION("IFERROR(sum(filter('Основной эфир'!$Q:$Q, 'Основной эфир'!$B:$B=$A850,'Основной эфир'!$C:$C=$B850,'Основной эфир'!$I:$I=$C850)), 0) "),0.0)</f>
        <v>0</v>
      </c>
      <c r="H850" s="91">
        <f>IFERROR(__xludf.DUMMYFUNCTION("IFERROR(AVERAGE(filter('Основной эфир'!$Y:$Y, 'Основной эфир'!$B:$B=$A850,'Основной эфир'!$C:$C=$B850,'Основной эфир'!$I:$I=$C850)), 0) "),0.0)</f>
        <v>0</v>
      </c>
      <c r="I850" s="91">
        <f>IFERROR(__xludf.DUMMYFUNCTION("IFERROR(AVERAGE(filter('Основной эфир'!$AE:$AE, 'Основной эфир'!$B:$B=$A850,'Основной эфир'!$C:$C=$B850,'Основной эфир'!$I:$I=$C850)), 0) "),0.0)</f>
        <v>0</v>
      </c>
      <c r="J850" s="91">
        <f>IFERROR(__xludf.DUMMYFUNCTION("IFERROR(SUM(filter('Основной эфир'!$AL:$AL, 'Основной эфир'!$B:$B=$A850,'Основной эфир'!$C:$C=$B850,'Основной эфир'!$I:$I=$C850)), 0) "),0.0)</f>
        <v>0</v>
      </c>
      <c r="K850" s="91" t="str">
        <f>IFERROR(__xludf.DUMMYFUNCTION("IFERROR(REGEXREPLACE(unique(filter('Основной эфир'!$A:$A, 'Основной эфир'!$B:$B=$A850,'Основной эфир'!$C:$C=$B850,'Основной эфир'!$I:$I=$C850)), ""\d+"", """"),"""")"),"")</f>
        <v/>
      </c>
      <c r="L850" s="91" t="str">
        <f>IFERROR(__xludf.DUMMYFUNCTION("IFERROR(unique(filter('Основной эфир'!$F:$F, 'Основной эфир'!$B:$B=$A850,'Основной эфир'!$C:$C=$B850,'Основной эфир'!$I:$I=$C850)),"""")"),"")</f>
        <v/>
      </c>
      <c r="M850" s="92" t="str">
        <f t="shared" si="1"/>
        <v/>
      </c>
      <c r="N850" s="93">
        <f>IFERROR(__xludf.DUMMYFUNCTION("IFERROR(SWITCH(lower(join("" "",L850:M850)),""а миллионник"", 62.5,""б миллионник"", 75,""а мск"", 50, ""б мск"", 62.5, ""a остальное"", 70, ""б остальное"", 80)/100,0)"),0.0)</f>
        <v>0</v>
      </c>
      <c r="O850" s="91">
        <f t="shared" si="2"/>
        <v>0</v>
      </c>
      <c r="P850" s="91">
        <f>IFERROR(__xludf.DUMMYFUNCTION("IFERROR(sum(filter('Генеральный баннер'!$O:$O, 'Генеральный баннер'!$B:$B=$A850,'Генеральный баннер'!$C:$C=$B850,'Генеральный баннер'!$I:$I=$C850)), 0) "),0.0)</f>
        <v>0</v>
      </c>
      <c r="Q850" s="91">
        <f>IFERROR(__xludf.DUMMYFUNCTION("IFERROR(sum(filter('Генеральный баннер'!$Q:$Q, 'Генеральный баннер'!$B:$B=$A850,'Генеральный баннер'!$C:$C=$B850,'Генеральный баннер'!$I:$I=$C850)), 0) "),0.0)</f>
        <v>0</v>
      </c>
      <c r="R850" s="91">
        <f>IFERROR(__xludf.DUMMYFUNCTION("IFERROR(AVERAGE(filter('Генеральный баннер'!$AA:$AA, 'Генеральный баннер'!$B:$B=$A850,'Генеральный баннер'!$C:$C=$B850,'Генеральный баннер'!$I:$I=$C850)), 0) "),0.0)</f>
        <v>0</v>
      </c>
      <c r="S850" s="91">
        <f>IFERROR(__xludf.DUMMYFUNCTION("IFERROR(SUM(filter('Генеральный баннер'!$AH:$AH, 'Генеральный баннер'!$B:$B=$A850,'Генеральный баннер'!$C:$C=$B850,'Генеральный баннер'!$I:$I=$C850)), 0) "),0.0)</f>
        <v>0</v>
      </c>
      <c r="T850" s="91" t="str">
        <f>IFERROR(__xludf.DUMMYFUNCTION("IFERROR(REGEXREPLACE(unique(filter('Генеральный баннер'!$A:$A, 'Генеральный баннер'!$B:$B=$A850,'Генеральный баннер'!$C:$C=$B850,'Генеральный баннер'!$I:$I=$C850)), ""\d+"", """"),"""")"),"")</f>
        <v/>
      </c>
      <c r="U850" s="91" t="str">
        <f>IFERROR(__xludf.DUMMYFUNCTION("IFERROR(unique(filter('Генеральный баннер'!$F:$F, 'Генеральный баннер'!$B:$B=$A850,'Генеральный баннер'!$C:$C=$B850,'Генеральный баннер'!$I:$I=$C850)),"""")"),"")</f>
        <v/>
      </c>
      <c r="V850" s="92" t="str">
        <f t="shared" si="3"/>
        <v/>
      </c>
      <c r="W850" s="93">
        <f>IFERROR(__xludf.DUMMYFUNCTION("IFERROR(SWITCH(lower(join("" "",U850:V850)),""а миллионник"", 62.5,""б миллионник"", 75,""а мск"", 50, ""б мск"", 62.5, ""a остальное"", 70, ""б остальное"", 80)/100,0)"),0.0)</f>
        <v>0</v>
      </c>
      <c r="X850" s="91">
        <f t="shared" si="4"/>
        <v>0</v>
      </c>
    </row>
    <row r="851">
      <c r="A851" s="12"/>
      <c r="B851" s="12"/>
      <c r="C851" s="12"/>
      <c r="D851" s="91">
        <f>IFERROR(__xludf.DUMMYFUNCTION("IFERROR(sum(filter('Основной эфир'!$AA:$AA, 'Основной эфир'!$B:$B=$A851,'Основной эфир'!$C:$C=$B851,'Основной эфир'!$I:$I=$C851)), 0) "),0.0)</f>
        <v>0</v>
      </c>
      <c r="E851" s="91">
        <f>IFERROR(__xludf.DUMMYFUNCTION("IFERROR(sum(filter('Основной эфир'!$AC:$AC, 'Основной эфир'!$B:$B=$A851,'Основной эфир'!$C:$C=$B851,'Основной эфир'!$I:$I=$C851)), 0) "),0.0)</f>
        <v>0</v>
      </c>
      <c r="F851" s="91">
        <f>IFERROR(__xludf.DUMMYFUNCTION("IFERROR(sum(filter('Основной эфир'!$O:$O, 'Основной эфир'!$B:$B=$A851,'Основной эфир'!$C:$C=$B851,'Основной эфир'!$I:$I=$C851)), 0) "),0.0)</f>
        <v>0</v>
      </c>
      <c r="G851" s="91">
        <f>IFERROR(__xludf.DUMMYFUNCTION("IFERROR(sum(filter('Основной эфир'!$Q:$Q, 'Основной эфир'!$B:$B=$A851,'Основной эфир'!$C:$C=$B851,'Основной эфир'!$I:$I=$C851)), 0) "),0.0)</f>
        <v>0</v>
      </c>
      <c r="H851" s="91">
        <f>IFERROR(__xludf.DUMMYFUNCTION("IFERROR(AVERAGE(filter('Основной эфир'!$Y:$Y, 'Основной эфир'!$B:$B=$A851,'Основной эфир'!$C:$C=$B851,'Основной эфир'!$I:$I=$C851)), 0) "),0.0)</f>
        <v>0</v>
      </c>
      <c r="I851" s="91">
        <f>IFERROR(__xludf.DUMMYFUNCTION("IFERROR(AVERAGE(filter('Основной эфир'!$AE:$AE, 'Основной эфир'!$B:$B=$A851,'Основной эфир'!$C:$C=$B851,'Основной эфир'!$I:$I=$C851)), 0) "),0.0)</f>
        <v>0</v>
      </c>
      <c r="J851" s="91">
        <f>IFERROR(__xludf.DUMMYFUNCTION("IFERROR(SUM(filter('Основной эфир'!$AL:$AL, 'Основной эфир'!$B:$B=$A851,'Основной эфир'!$C:$C=$B851,'Основной эфир'!$I:$I=$C851)), 0) "),0.0)</f>
        <v>0</v>
      </c>
      <c r="K851" s="91" t="str">
        <f>IFERROR(__xludf.DUMMYFUNCTION("IFERROR(REGEXREPLACE(unique(filter('Основной эфир'!$A:$A, 'Основной эфир'!$B:$B=$A851,'Основной эфир'!$C:$C=$B851,'Основной эфир'!$I:$I=$C851)), ""\d+"", """"),"""")"),"")</f>
        <v/>
      </c>
      <c r="L851" s="91" t="str">
        <f>IFERROR(__xludf.DUMMYFUNCTION("IFERROR(unique(filter('Основной эфир'!$F:$F, 'Основной эфир'!$B:$B=$A851,'Основной эфир'!$C:$C=$B851,'Основной эфир'!$I:$I=$C851)),"""")"),"")</f>
        <v/>
      </c>
      <c r="M851" s="92" t="str">
        <f t="shared" si="1"/>
        <v/>
      </c>
      <c r="N851" s="93">
        <f>IFERROR(__xludf.DUMMYFUNCTION("IFERROR(SWITCH(lower(join("" "",L851:M851)),""а миллионник"", 62.5,""б миллионник"", 75,""а мск"", 50, ""б мск"", 62.5, ""a остальное"", 70, ""б остальное"", 80)/100,0)"),0.0)</f>
        <v>0</v>
      </c>
      <c r="O851" s="91">
        <f t="shared" si="2"/>
        <v>0</v>
      </c>
      <c r="P851" s="91">
        <f>IFERROR(__xludf.DUMMYFUNCTION("IFERROR(sum(filter('Генеральный баннер'!$O:$O, 'Генеральный баннер'!$B:$B=$A851,'Генеральный баннер'!$C:$C=$B851,'Генеральный баннер'!$I:$I=$C851)), 0) "),0.0)</f>
        <v>0</v>
      </c>
      <c r="Q851" s="91">
        <f>IFERROR(__xludf.DUMMYFUNCTION("IFERROR(sum(filter('Генеральный баннер'!$Q:$Q, 'Генеральный баннер'!$B:$B=$A851,'Генеральный баннер'!$C:$C=$B851,'Генеральный баннер'!$I:$I=$C851)), 0) "),0.0)</f>
        <v>0</v>
      </c>
      <c r="R851" s="91">
        <f>IFERROR(__xludf.DUMMYFUNCTION("IFERROR(AVERAGE(filter('Генеральный баннер'!$AA:$AA, 'Генеральный баннер'!$B:$B=$A851,'Генеральный баннер'!$C:$C=$B851,'Генеральный баннер'!$I:$I=$C851)), 0) "),0.0)</f>
        <v>0</v>
      </c>
      <c r="S851" s="91">
        <f>IFERROR(__xludf.DUMMYFUNCTION("IFERROR(SUM(filter('Генеральный баннер'!$AH:$AH, 'Генеральный баннер'!$B:$B=$A851,'Генеральный баннер'!$C:$C=$B851,'Генеральный баннер'!$I:$I=$C851)), 0) "),0.0)</f>
        <v>0</v>
      </c>
      <c r="T851" s="91" t="str">
        <f>IFERROR(__xludf.DUMMYFUNCTION("IFERROR(REGEXREPLACE(unique(filter('Генеральный баннер'!$A:$A, 'Генеральный баннер'!$B:$B=$A851,'Генеральный баннер'!$C:$C=$B851,'Генеральный баннер'!$I:$I=$C851)), ""\d+"", """"),"""")"),"")</f>
        <v/>
      </c>
      <c r="U851" s="91" t="str">
        <f>IFERROR(__xludf.DUMMYFUNCTION("IFERROR(unique(filter('Генеральный баннер'!$F:$F, 'Генеральный баннер'!$B:$B=$A851,'Генеральный баннер'!$C:$C=$B851,'Генеральный баннер'!$I:$I=$C851)),"""")"),"")</f>
        <v/>
      </c>
      <c r="V851" s="92" t="str">
        <f t="shared" si="3"/>
        <v/>
      </c>
      <c r="W851" s="93">
        <f>IFERROR(__xludf.DUMMYFUNCTION("IFERROR(SWITCH(lower(join("" "",U851:V851)),""а миллионник"", 62.5,""б миллионник"", 75,""а мск"", 50, ""б мск"", 62.5, ""a остальное"", 70, ""б остальное"", 80)/100,0)"),0.0)</f>
        <v>0</v>
      </c>
      <c r="X851" s="91">
        <f t="shared" si="4"/>
        <v>0</v>
      </c>
    </row>
    <row r="852">
      <c r="A852" s="12"/>
      <c r="B852" s="12"/>
      <c r="C852" s="12"/>
      <c r="D852" s="91">
        <f>IFERROR(__xludf.DUMMYFUNCTION("IFERROR(sum(filter('Основной эфир'!$AA:$AA, 'Основной эфир'!$B:$B=$A852,'Основной эфир'!$C:$C=$B852,'Основной эфир'!$I:$I=$C852)), 0) "),0.0)</f>
        <v>0</v>
      </c>
      <c r="E852" s="91">
        <f>IFERROR(__xludf.DUMMYFUNCTION("IFERROR(sum(filter('Основной эфир'!$AC:$AC, 'Основной эфир'!$B:$B=$A852,'Основной эфир'!$C:$C=$B852,'Основной эфир'!$I:$I=$C852)), 0) "),0.0)</f>
        <v>0</v>
      </c>
      <c r="F852" s="91">
        <f>IFERROR(__xludf.DUMMYFUNCTION("IFERROR(sum(filter('Основной эфир'!$O:$O, 'Основной эфир'!$B:$B=$A852,'Основной эфир'!$C:$C=$B852,'Основной эфир'!$I:$I=$C852)), 0) "),0.0)</f>
        <v>0</v>
      </c>
      <c r="G852" s="91">
        <f>IFERROR(__xludf.DUMMYFUNCTION("IFERROR(sum(filter('Основной эфир'!$Q:$Q, 'Основной эфир'!$B:$B=$A852,'Основной эфир'!$C:$C=$B852,'Основной эфир'!$I:$I=$C852)), 0) "),0.0)</f>
        <v>0</v>
      </c>
      <c r="H852" s="91">
        <f>IFERROR(__xludf.DUMMYFUNCTION("IFERROR(AVERAGE(filter('Основной эфир'!$Y:$Y, 'Основной эфир'!$B:$B=$A852,'Основной эфир'!$C:$C=$B852,'Основной эфир'!$I:$I=$C852)), 0) "),0.0)</f>
        <v>0</v>
      </c>
      <c r="I852" s="91">
        <f>IFERROR(__xludf.DUMMYFUNCTION("IFERROR(AVERAGE(filter('Основной эфир'!$AE:$AE, 'Основной эфир'!$B:$B=$A852,'Основной эфир'!$C:$C=$B852,'Основной эфир'!$I:$I=$C852)), 0) "),0.0)</f>
        <v>0</v>
      </c>
      <c r="J852" s="91">
        <f>IFERROR(__xludf.DUMMYFUNCTION("IFERROR(SUM(filter('Основной эфир'!$AL:$AL, 'Основной эфир'!$B:$B=$A852,'Основной эфир'!$C:$C=$B852,'Основной эфир'!$I:$I=$C852)), 0) "),0.0)</f>
        <v>0</v>
      </c>
      <c r="K852" s="91" t="str">
        <f>IFERROR(__xludf.DUMMYFUNCTION("IFERROR(REGEXREPLACE(unique(filter('Основной эфир'!$A:$A, 'Основной эфир'!$B:$B=$A852,'Основной эфир'!$C:$C=$B852,'Основной эфир'!$I:$I=$C852)), ""\d+"", """"),"""")"),"")</f>
        <v/>
      </c>
      <c r="L852" s="91" t="str">
        <f>IFERROR(__xludf.DUMMYFUNCTION("IFERROR(unique(filter('Основной эфир'!$F:$F, 'Основной эфир'!$B:$B=$A852,'Основной эфир'!$C:$C=$B852,'Основной эфир'!$I:$I=$C852)),"""")"),"")</f>
        <v/>
      </c>
      <c r="M852" s="92" t="str">
        <f t="shared" si="1"/>
        <v/>
      </c>
      <c r="N852" s="93">
        <f>IFERROR(__xludf.DUMMYFUNCTION("IFERROR(SWITCH(lower(join("" "",L852:M852)),""а миллионник"", 62.5,""б миллионник"", 75,""а мск"", 50, ""б мск"", 62.5, ""a остальное"", 70, ""б остальное"", 80)/100,0)"),0.0)</f>
        <v>0</v>
      </c>
      <c r="O852" s="91">
        <f t="shared" si="2"/>
        <v>0</v>
      </c>
      <c r="P852" s="91">
        <f>IFERROR(__xludf.DUMMYFUNCTION("IFERROR(sum(filter('Генеральный баннер'!$O:$O, 'Генеральный баннер'!$B:$B=$A852,'Генеральный баннер'!$C:$C=$B852,'Генеральный баннер'!$I:$I=$C852)), 0) "),0.0)</f>
        <v>0</v>
      </c>
      <c r="Q852" s="91">
        <f>IFERROR(__xludf.DUMMYFUNCTION("IFERROR(sum(filter('Генеральный баннер'!$Q:$Q, 'Генеральный баннер'!$B:$B=$A852,'Генеральный баннер'!$C:$C=$B852,'Генеральный баннер'!$I:$I=$C852)), 0) "),0.0)</f>
        <v>0</v>
      </c>
      <c r="R852" s="91">
        <f>IFERROR(__xludf.DUMMYFUNCTION("IFERROR(AVERAGE(filter('Генеральный баннер'!$AA:$AA, 'Генеральный баннер'!$B:$B=$A852,'Генеральный баннер'!$C:$C=$B852,'Генеральный баннер'!$I:$I=$C852)), 0) "),0.0)</f>
        <v>0</v>
      </c>
      <c r="S852" s="91">
        <f>IFERROR(__xludf.DUMMYFUNCTION("IFERROR(SUM(filter('Генеральный баннер'!$AH:$AH, 'Генеральный баннер'!$B:$B=$A852,'Генеральный баннер'!$C:$C=$B852,'Генеральный баннер'!$I:$I=$C852)), 0) "),0.0)</f>
        <v>0</v>
      </c>
      <c r="T852" s="91" t="str">
        <f>IFERROR(__xludf.DUMMYFUNCTION("IFERROR(REGEXREPLACE(unique(filter('Генеральный баннер'!$A:$A, 'Генеральный баннер'!$B:$B=$A852,'Генеральный баннер'!$C:$C=$B852,'Генеральный баннер'!$I:$I=$C852)), ""\d+"", """"),"""")"),"")</f>
        <v/>
      </c>
      <c r="U852" s="91" t="str">
        <f>IFERROR(__xludf.DUMMYFUNCTION("IFERROR(unique(filter('Генеральный баннер'!$F:$F, 'Генеральный баннер'!$B:$B=$A852,'Генеральный баннер'!$C:$C=$B852,'Генеральный баннер'!$I:$I=$C852)),"""")"),"")</f>
        <v/>
      </c>
      <c r="V852" s="92" t="str">
        <f t="shared" si="3"/>
        <v/>
      </c>
      <c r="W852" s="93">
        <f>IFERROR(__xludf.DUMMYFUNCTION("IFERROR(SWITCH(lower(join("" "",U852:V852)),""а миллионник"", 62.5,""б миллионник"", 75,""а мск"", 50, ""б мск"", 62.5, ""a остальное"", 70, ""б остальное"", 80)/100,0)"),0.0)</f>
        <v>0</v>
      </c>
      <c r="X852" s="91">
        <f t="shared" si="4"/>
        <v>0</v>
      </c>
    </row>
    <row r="853">
      <c r="A853" s="12"/>
      <c r="B853" s="12"/>
      <c r="C853" s="12"/>
      <c r="D853" s="91">
        <f>IFERROR(__xludf.DUMMYFUNCTION("IFERROR(sum(filter('Основной эфир'!$AA:$AA, 'Основной эфир'!$B:$B=$A853,'Основной эфир'!$C:$C=$B853,'Основной эфир'!$I:$I=$C853)), 0) "),0.0)</f>
        <v>0</v>
      </c>
      <c r="E853" s="91">
        <f>IFERROR(__xludf.DUMMYFUNCTION("IFERROR(sum(filter('Основной эфир'!$AC:$AC, 'Основной эфир'!$B:$B=$A853,'Основной эфир'!$C:$C=$B853,'Основной эфир'!$I:$I=$C853)), 0) "),0.0)</f>
        <v>0</v>
      </c>
      <c r="F853" s="91">
        <f>IFERROR(__xludf.DUMMYFUNCTION("IFERROR(sum(filter('Основной эфир'!$O:$O, 'Основной эфир'!$B:$B=$A853,'Основной эфир'!$C:$C=$B853,'Основной эфир'!$I:$I=$C853)), 0) "),0.0)</f>
        <v>0</v>
      </c>
      <c r="G853" s="91">
        <f>IFERROR(__xludf.DUMMYFUNCTION("IFERROR(sum(filter('Основной эфир'!$Q:$Q, 'Основной эфир'!$B:$B=$A853,'Основной эфир'!$C:$C=$B853,'Основной эфир'!$I:$I=$C853)), 0) "),0.0)</f>
        <v>0</v>
      </c>
      <c r="H853" s="91">
        <f>IFERROR(__xludf.DUMMYFUNCTION("IFERROR(AVERAGE(filter('Основной эфир'!$Y:$Y, 'Основной эфир'!$B:$B=$A853,'Основной эфир'!$C:$C=$B853,'Основной эфир'!$I:$I=$C853)), 0) "),0.0)</f>
        <v>0</v>
      </c>
      <c r="I853" s="91">
        <f>IFERROR(__xludf.DUMMYFUNCTION("IFERROR(AVERAGE(filter('Основной эфир'!$AE:$AE, 'Основной эфир'!$B:$B=$A853,'Основной эфир'!$C:$C=$B853,'Основной эфир'!$I:$I=$C853)), 0) "),0.0)</f>
        <v>0</v>
      </c>
      <c r="J853" s="91">
        <f>IFERROR(__xludf.DUMMYFUNCTION("IFERROR(SUM(filter('Основной эфир'!$AL:$AL, 'Основной эфир'!$B:$B=$A853,'Основной эфир'!$C:$C=$B853,'Основной эфир'!$I:$I=$C853)), 0) "),0.0)</f>
        <v>0</v>
      </c>
      <c r="K853" s="91" t="str">
        <f>IFERROR(__xludf.DUMMYFUNCTION("IFERROR(REGEXREPLACE(unique(filter('Основной эфир'!$A:$A, 'Основной эфир'!$B:$B=$A853,'Основной эфир'!$C:$C=$B853,'Основной эфир'!$I:$I=$C853)), ""\d+"", """"),"""")"),"")</f>
        <v/>
      </c>
      <c r="L853" s="91" t="str">
        <f>IFERROR(__xludf.DUMMYFUNCTION("IFERROR(unique(filter('Основной эфир'!$F:$F, 'Основной эфир'!$B:$B=$A853,'Основной эфир'!$C:$C=$B853,'Основной эфир'!$I:$I=$C853)),"""")"),"")</f>
        <v/>
      </c>
      <c r="M853" s="92" t="str">
        <f t="shared" si="1"/>
        <v/>
      </c>
      <c r="N853" s="93">
        <f>IFERROR(__xludf.DUMMYFUNCTION("IFERROR(SWITCH(lower(join("" "",L853:M853)),""а миллионник"", 62.5,""б миллионник"", 75,""а мск"", 50, ""б мск"", 62.5, ""a остальное"", 70, ""б остальное"", 80)/100,0)"),0.0)</f>
        <v>0</v>
      </c>
      <c r="O853" s="91">
        <f t="shared" si="2"/>
        <v>0</v>
      </c>
      <c r="P853" s="91">
        <f>IFERROR(__xludf.DUMMYFUNCTION("IFERROR(sum(filter('Генеральный баннер'!$O:$O, 'Генеральный баннер'!$B:$B=$A853,'Генеральный баннер'!$C:$C=$B853,'Генеральный баннер'!$I:$I=$C853)), 0) "),0.0)</f>
        <v>0</v>
      </c>
      <c r="Q853" s="91">
        <f>IFERROR(__xludf.DUMMYFUNCTION("IFERROR(sum(filter('Генеральный баннер'!$Q:$Q, 'Генеральный баннер'!$B:$B=$A853,'Генеральный баннер'!$C:$C=$B853,'Генеральный баннер'!$I:$I=$C853)), 0) "),0.0)</f>
        <v>0</v>
      </c>
      <c r="R853" s="91">
        <f>IFERROR(__xludf.DUMMYFUNCTION("IFERROR(AVERAGE(filter('Генеральный баннер'!$AA:$AA, 'Генеральный баннер'!$B:$B=$A853,'Генеральный баннер'!$C:$C=$B853,'Генеральный баннер'!$I:$I=$C853)), 0) "),0.0)</f>
        <v>0</v>
      </c>
      <c r="S853" s="91">
        <f>IFERROR(__xludf.DUMMYFUNCTION("IFERROR(SUM(filter('Генеральный баннер'!$AH:$AH, 'Генеральный баннер'!$B:$B=$A853,'Генеральный баннер'!$C:$C=$B853,'Генеральный баннер'!$I:$I=$C853)), 0) "),0.0)</f>
        <v>0</v>
      </c>
      <c r="T853" s="91" t="str">
        <f>IFERROR(__xludf.DUMMYFUNCTION("IFERROR(REGEXREPLACE(unique(filter('Генеральный баннер'!$A:$A, 'Генеральный баннер'!$B:$B=$A853,'Генеральный баннер'!$C:$C=$B853,'Генеральный баннер'!$I:$I=$C853)), ""\d+"", """"),"""")"),"")</f>
        <v/>
      </c>
      <c r="U853" s="91" t="str">
        <f>IFERROR(__xludf.DUMMYFUNCTION("IFERROR(unique(filter('Генеральный баннер'!$F:$F, 'Генеральный баннер'!$B:$B=$A853,'Генеральный баннер'!$C:$C=$B853,'Генеральный баннер'!$I:$I=$C853)),"""")"),"")</f>
        <v/>
      </c>
      <c r="V853" s="92" t="str">
        <f t="shared" si="3"/>
        <v/>
      </c>
      <c r="W853" s="93">
        <f>IFERROR(__xludf.DUMMYFUNCTION("IFERROR(SWITCH(lower(join("" "",U853:V853)),""а миллионник"", 62.5,""б миллионник"", 75,""а мск"", 50, ""б мск"", 62.5, ""a остальное"", 70, ""б остальное"", 80)/100,0)"),0.0)</f>
        <v>0</v>
      </c>
      <c r="X853" s="91">
        <f t="shared" si="4"/>
        <v>0</v>
      </c>
    </row>
    <row r="854">
      <c r="A854" s="12"/>
      <c r="B854" s="12"/>
      <c r="C854" s="12"/>
      <c r="D854" s="91">
        <f>IFERROR(__xludf.DUMMYFUNCTION("IFERROR(sum(filter('Основной эфир'!$AA:$AA, 'Основной эфир'!$B:$B=$A854,'Основной эфир'!$C:$C=$B854,'Основной эфир'!$I:$I=$C854)), 0) "),0.0)</f>
        <v>0</v>
      </c>
      <c r="E854" s="91">
        <f>IFERROR(__xludf.DUMMYFUNCTION("IFERROR(sum(filter('Основной эфир'!$AC:$AC, 'Основной эфир'!$B:$B=$A854,'Основной эфир'!$C:$C=$B854,'Основной эфир'!$I:$I=$C854)), 0) "),0.0)</f>
        <v>0</v>
      </c>
      <c r="F854" s="91">
        <f>IFERROR(__xludf.DUMMYFUNCTION("IFERROR(sum(filter('Основной эфир'!$O:$O, 'Основной эфир'!$B:$B=$A854,'Основной эфир'!$C:$C=$B854,'Основной эфир'!$I:$I=$C854)), 0) "),0.0)</f>
        <v>0</v>
      </c>
      <c r="G854" s="91">
        <f>IFERROR(__xludf.DUMMYFUNCTION("IFERROR(sum(filter('Основной эфир'!$Q:$Q, 'Основной эфир'!$B:$B=$A854,'Основной эфир'!$C:$C=$B854,'Основной эфир'!$I:$I=$C854)), 0) "),0.0)</f>
        <v>0</v>
      </c>
      <c r="H854" s="91">
        <f>IFERROR(__xludf.DUMMYFUNCTION("IFERROR(AVERAGE(filter('Основной эфир'!$Y:$Y, 'Основной эфир'!$B:$B=$A854,'Основной эфир'!$C:$C=$B854,'Основной эфир'!$I:$I=$C854)), 0) "),0.0)</f>
        <v>0</v>
      </c>
      <c r="I854" s="91">
        <f>IFERROR(__xludf.DUMMYFUNCTION("IFERROR(AVERAGE(filter('Основной эфир'!$AE:$AE, 'Основной эфир'!$B:$B=$A854,'Основной эфир'!$C:$C=$B854,'Основной эфир'!$I:$I=$C854)), 0) "),0.0)</f>
        <v>0</v>
      </c>
      <c r="J854" s="91">
        <f>IFERROR(__xludf.DUMMYFUNCTION("IFERROR(SUM(filter('Основной эфир'!$AL:$AL, 'Основной эфир'!$B:$B=$A854,'Основной эфир'!$C:$C=$B854,'Основной эфир'!$I:$I=$C854)), 0) "),0.0)</f>
        <v>0</v>
      </c>
      <c r="K854" s="91" t="str">
        <f>IFERROR(__xludf.DUMMYFUNCTION("IFERROR(REGEXREPLACE(unique(filter('Основной эфир'!$A:$A, 'Основной эфир'!$B:$B=$A854,'Основной эфир'!$C:$C=$B854,'Основной эфир'!$I:$I=$C854)), ""\d+"", """"),"""")"),"")</f>
        <v/>
      </c>
      <c r="L854" s="91" t="str">
        <f>IFERROR(__xludf.DUMMYFUNCTION("IFERROR(unique(filter('Основной эфир'!$F:$F, 'Основной эфир'!$B:$B=$A854,'Основной эфир'!$C:$C=$B854,'Основной эфир'!$I:$I=$C854)),"""")"),"")</f>
        <v/>
      </c>
      <c r="M854" s="92" t="str">
        <f t="shared" si="1"/>
        <v/>
      </c>
      <c r="N854" s="93">
        <f>IFERROR(__xludf.DUMMYFUNCTION("IFERROR(SWITCH(lower(join("" "",L854:M854)),""а миллионник"", 62.5,""б миллионник"", 75,""а мск"", 50, ""б мск"", 62.5, ""a остальное"", 70, ""б остальное"", 80)/100,0)"),0.0)</f>
        <v>0</v>
      </c>
      <c r="O854" s="91">
        <f t="shared" si="2"/>
        <v>0</v>
      </c>
      <c r="P854" s="91">
        <f>IFERROR(__xludf.DUMMYFUNCTION("IFERROR(sum(filter('Генеральный баннер'!$O:$O, 'Генеральный баннер'!$B:$B=$A854,'Генеральный баннер'!$C:$C=$B854,'Генеральный баннер'!$I:$I=$C854)), 0) "),0.0)</f>
        <v>0</v>
      </c>
      <c r="Q854" s="91">
        <f>IFERROR(__xludf.DUMMYFUNCTION("IFERROR(sum(filter('Генеральный баннер'!$Q:$Q, 'Генеральный баннер'!$B:$B=$A854,'Генеральный баннер'!$C:$C=$B854,'Генеральный баннер'!$I:$I=$C854)), 0) "),0.0)</f>
        <v>0</v>
      </c>
      <c r="R854" s="91">
        <f>IFERROR(__xludf.DUMMYFUNCTION("IFERROR(AVERAGE(filter('Генеральный баннер'!$AA:$AA, 'Генеральный баннер'!$B:$B=$A854,'Генеральный баннер'!$C:$C=$B854,'Генеральный баннер'!$I:$I=$C854)), 0) "),0.0)</f>
        <v>0</v>
      </c>
      <c r="S854" s="91">
        <f>IFERROR(__xludf.DUMMYFUNCTION("IFERROR(SUM(filter('Генеральный баннер'!$AH:$AH, 'Генеральный баннер'!$B:$B=$A854,'Генеральный баннер'!$C:$C=$B854,'Генеральный баннер'!$I:$I=$C854)), 0) "),0.0)</f>
        <v>0</v>
      </c>
      <c r="T854" s="91" t="str">
        <f>IFERROR(__xludf.DUMMYFUNCTION("IFERROR(REGEXREPLACE(unique(filter('Генеральный баннер'!$A:$A, 'Генеральный баннер'!$B:$B=$A854,'Генеральный баннер'!$C:$C=$B854,'Генеральный баннер'!$I:$I=$C854)), ""\d+"", """"),"""")"),"")</f>
        <v/>
      </c>
      <c r="U854" s="91" t="str">
        <f>IFERROR(__xludf.DUMMYFUNCTION("IFERROR(unique(filter('Генеральный баннер'!$F:$F, 'Генеральный баннер'!$B:$B=$A854,'Генеральный баннер'!$C:$C=$B854,'Генеральный баннер'!$I:$I=$C854)),"""")"),"")</f>
        <v/>
      </c>
      <c r="V854" s="92" t="str">
        <f t="shared" si="3"/>
        <v/>
      </c>
      <c r="W854" s="93">
        <f>IFERROR(__xludf.DUMMYFUNCTION("IFERROR(SWITCH(lower(join("" "",U854:V854)),""а миллионник"", 62.5,""б миллионник"", 75,""а мск"", 50, ""б мск"", 62.5, ""a остальное"", 70, ""б остальное"", 80)/100,0)"),0.0)</f>
        <v>0</v>
      </c>
      <c r="X854" s="91">
        <f t="shared" si="4"/>
        <v>0</v>
      </c>
    </row>
    <row r="855">
      <c r="A855" s="12"/>
      <c r="B855" s="12"/>
      <c r="C855" s="12"/>
      <c r="D855" s="91">
        <f>IFERROR(__xludf.DUMMYFUNCTION("IFERROR(sum(filter('Основной эфир'!$AA:$AA, 'Основной эфир'!$B:$B=$A855,'Основной эфир'!$C:$C=$B855,'Основной эфир'!$I:$I=$C855)), 0) "),0.0)</f>
        <v>0</v>
      </c>
      <c r="E855" s="91">
        <f>IFERROR(__xludf.DUMMYFUNCTION("IFERROR(sum(filter('Основной эфир'!$AC:$AC, 'Основной эфир'!$B:$B=$A855,'Основной эфир'!$C:$C=$B855,'Основной эфир'!$I:$I=$C855)), 0) "),0.0)</f>
        <v>0</v>
      </c>
      <c r="F855" s="91">
        <f>IFERROR(__xludf.DUMMYFUNCTION("IFERROR(sum(filter('Основной эфир'!$O:$O, 'Основной эфир'!$B:$B=$A855,'Основной эфир'!$C:$C=$B855,'Основной эфир'!$I:$I=$C855)), 0) "),0.0)</f>
        <v>0</v>
      </c>
      <c r="G855" s="91">
        <f>IFERROR(__xludf.DUMMYFUNCTION("IFERROR(sum(filter('Основной эфир'!$Q:$Q, 'Основной эфир'!$B:$B=$A855,'Основной эфир'!$C:$C=$B855,'Основной эфир'!$I:$I=$C855)), 0) "),0.0)</f>
        <v>0</v>
      </c>
      <c r="H855" s="91">
        <f>IFERROR(__xludf.DUMMYFUNCTION("IFERROR(AVERAGE(filter('Основной эфир'!$Y:$Y, 'Основной эфир'!$B:$B=$A855,'Основной эфир'!$C:$C=$B855,'Основной эфир'!$I:$I=$C855)), 0) "),0.0)</f>
        <v>0</v>
      </c>
      <c r="I855" s="91">
        <f>IFERROR(__xludf.DUMMYFUNCTION("IFERROR(AVERAGE(filter('Основной эфир'!$AE:$AE, 'Основной эфир'!$B:$B=$A855,'Основной эфир'!$C:$C=$B855,'Основной эфир'!$I:$I=$C855)), 0) "),0.0)</f>
        <v>0</v>
      </c>
      <c r="J855" s="91">
        <f>IFERROR(__xludf.DUMMYFUNCTION("IFERROR(SUM(filter('Основной эфир'!$AL:$AL, 'Основной эфир'!$B:$B=$A855,'Основной эфир'!$C:$C=$B855,'Основной эфир'!$I:$I=$C855)), 0) "),0.0)</f>
        <v>0</v>
      </c>
      <c r="K855" s="91" t="str">
        <f>IFERROR(__xludf.DUMMYFUNCTION("IFERROR(REGEXREPLACE(unique(filter('Основной эфир'!$A:$A, 'Основной эфир'!$B:$B=$A855,'Основной эфир'!$C:$C=$B855,'Основной эфир'!$I:$I=$C855)), ""\d+"", """"),"""")"),"")</f>
        <v/>
      </c>
      <c r="L855" s="91" t="str">
        <f>IFERROR(__xludf.DUMMYFUNCTION("IFERROR(unique(filter('Основной эфир'!$F:$F, 'Основной эфир'!$B:$B=$A855,'Основной эфир'!$C:$C=$B855,'Основной эфир'!$I:$I=$C855)),"""")"),"")</f>
        <v/>
      </c>
      <c r="M855" s="92" t="str">
        <f t="shared" si="1"/>
        <v/>
      </c>
      <c r="N855" s="93">
        <f>IFERROR(__xludf.DUMMYFUNCTION("IFERROR(SWITCH(lower(join("" "",L855:M855)),""а миллионник"", 62.5,""б миллионник"", 75,""а мск"", 50, ""б мск"", 62.5, ""a остальное"", 70, ""б остальное"", 80)/100,0)"),0.0)</f>
        <v>0</v>
      </c>
      <c r="O855" s="91">
        <f t="shared" si="2"/>
        <v>0</v>
      </c>
      <c r="P855" s="91">
        <f>IFERROR(__xludf.DUMMYFUNCTION("IFERROR(sum(filter('Генеральный баннер'!$O:$O, 'Генеральный баннер'!$B:$B=$A855,'Генеральный баннер'!$C:$C=$B855,'Генеральный баннер'!$I:$I=$C855)), 0) "),0.0)</f>
        <v>0</v>
      </c>
      <c r="Q855" s="91">
        <f>IFERROR(__xludf.DUMMYFUNCTION("IFERROR(sum(filter('Генеральный баннер'!$Q:$Q, 'Генеральный баннер'!$B:$B=$A855,'Генеральный баннер'!$C:$C=$B855,'Генеральный баннер'!$I:$I=$C855)), 0) "),0.0)</f>
        <v>0</v>
      </c>
      <c r="R855" s="91">
        <f>IFERROR(__xludf.DUMMYFUNCTION("IFERROR(AVERAGE(filter('Генеральный баннер'!$AA:$AA, 'Генеральный баннер'!$B:$B=$A855,'Генеральный баннер'!$C:$C=$B855,'Генеральный баннер'!$I:$I=$C855)), 0) "),0.0)</f>
        <v>0</v>
      </c>
      <c r="S855" s="91">
        <f>IFERROR(__xludf.DUMMYFUNCTION("IFERROR(SUM(filter('Генеральный баннер'!$AH:$AH, 'Генеральный баннер'!$B:$B=$A855,'Генеральный баннер'!$C:$C=$B855,'Генеральный баннер'!$I:$I=$C855)), 0) "),0.0)</f>
        <v>0</v>
      </c>
      <c r="T855" s="91" t="str">
        <f>IFERROR(__xludf.DUMMYFUNCTION("IFERROR(REGEXREPLACE(unique(filter('Генеральный баннер'!$A:$A, 'Генеральный баннер'!$B:$B=$A855,'Генеральный баннер'!$C:$C=$B855,'Генеральный баннер'!$I:$I=$C855)), ""\d+"", """"),"""")"),"")</f>
        <v/>
      </c>
      <c r="U855" s="91" t="str">
        <f>IFERROR(__xludf.DUMMYFUNCTION("IFERROR(unique(filter('Генеральный баннер'!$F:$F, 'Генеральный баннер'!$B:$B=$A855,'Генеральный баннер'!$C:$C=$B855,'Генеральный баннер'!$I:$I=$C855)),"""")"),"")</f>
        <v/>
      </c>
      <c r="V855" s="92" t="str">
        <f t="shared" si="3"/>
        <v/>
      </c>
      <c r="W855" s="93">
        <f>IFERROR(__xludf.DUMMYFUNCTION("IFERROR(SWITCH(lower(join("" "",U855:V855)),""а миллионник"", 62.5,""б миллионник"", 75,""а мск"", 50, ""б мск"", 62.5, ""a остальное"", 70, ""б остальное"", 80)/100,0)"),0.0)</f>
        <v>0</v>
      </c>
      <c r="X855" s="91">
        <f t="shared" si="4"/>
        <v>0</v>
      </c>
    </row>
    <row r="856">
      <c r="A856" s="12"/>
      <c r="B856" s="12"/>
      <c r="C856" s="12"/>
      <c r="D856" s="91">
        <f>IFERROR(__xludf.DUMMYFUNCTION("IFERROR(sum(filter('Основной эфир'!$AA:$AA, 'Основной эфир'!$B:$B=$A856,'Основной эфир'!$C:$C=$B856,'Основной эфир'!$I:$I=$C856)), 0) "),0.0)</f>
        <v>0</v>
      </c>
      <c r="E856" s="91">
        <f>IFERROR(__xludf.DUMMYFUNCTION("IFERROR(sum(filter('Основной эфир'!$AC:$AC, 'Основной эфир'!$B:$B=$A856,'Основной эфир'!$C:$C=$B856,'Основной эфир'!$I:$I=$C856)), 0) "),0.0)</f>
        <v>0</v>
      </c>
      <c r="F856" s="91">
        <f>IFERROR(__xludf.DUMMYFUNCTION("IFERROR(sum(filter('Основной эфир'!$O:$O, 'Основной эфир'!$B:$B=$A856,'Основной эфир'!$C:$C=$B856,'Основной эфир'!$I:$I=$C856)), 0) "),0.0)</f>
        <v>0</v>
      </c>
      <c r="G856" s="91">
        <f>IFERROR(__xludf.DUMMYFUNCTION("IFERROR(sum(filter('Основной эфир'!$Q:$Q, 'Основной эфир'!$B:$B=$A856,'Основной эфир'!$C:$C=$B856,'Основной эфир'!$I:$I=$C856)), 0) "),0.0)</f>
        <v>0</v>
      </c>
      <c r="H856" s="91">
        <f>IFERROR(__xludf.DUMMYFUNCTION("IFERROR(AVERAGE(filter('Основной эфир'!$Y:$Y, 'Основной эфир'!$B:$B=$A856,'Основной эфир'!$C:$C=$B856,'Основной эфир'!$I:$I=$C856)), 0) "),0.0)</f>
        <v>0</v>
      </c>
      <c r="I856" s="91">
        <f>IFERROR(__xludf.DUMMYFUNCTION("IFERROR(AVERAGE(filter('Основной эфир'!$AE:$AE, 'Основной эфир'!$B:$B=$A856,'Основной эфир'!$C:$C=$B856,'Основной эфир'!$I:$I=$C856)), 0) "),0.0)</f>
        <v>0</v>
      </c>
      <c r="J856" s="91">
        <f>IFERROR(__xludf.DUMMYFUNCTION("IFERROR(SUM(filter('Основной эфир'!$AL:$AL, 'Основной эфир'!$B:$B=$A856,'Основной эфир'!$C:$C=$B856,'Основной эфир'!$I:$I=$C856)), 0) "),0.0)</f>
        <v>0</v>
      </c>
      <c r="K856" s="91" t="str">
        <f>IFERROR(__xludf.DUMMYFUNCTION("IFERROR(REGEXREPLACE(unique(filter('Основной эфир'!$A:$A, 'Основной эфир'!$B:$B=$A856,'Основной эфир'!$C:$C=$B856,'Основной эфир'!$I:$I=$C856)), ""\d+"", """"),"""")"),"")</f>
        <v/>
      </c>
      <c r="L856" s="91" t="str">
        <f>IFERROR(__xludf.DUMMYFUNCTION("IFERROR(unique(filter('Основной эфир'!$F:$F, 'Основной эфир'!$B:$B=$A856,'Основной эфир'!$C:$C=$B856,'Основной эфир'!$I:$I=$C856)),"""")"),"")</f>
        <v/>
      </c>
      <c r="M856" s="92" t="str">
        <f t="shared" si="1"/>
        <v/>
      </c>
      <c r="N856" s="93">
        <f>IFERROR(__xludf.DUMMYFUNCTION("IFERROR(SWITCH(lower(join("" "",L856:M856)),""а миллионник"", 62.5,""б миллионник"", 75,""а мск"", 50, ""б мск"", 62.5, ""a остальное"", 70, ""б остальное"", 80)/100,0)"),0.0)</f>
        <v>0</v>
      </c>
      <c r="O856" s="91">
        <f t="shared" si="2"/>
        <v>0</v>
      </c>
      <c r="P856" s="91">
        <f>IFERROR(__xludf.DUMMYFUNCTION("IFERROR(sum(filter('Генеральный баннер'!$O:$O, 'Генеральный баннер'!$B:$B=$A856,'Генеральный баннер'!$C:$C=$B856,'Генеральный баннер'!$I:$I=$C856)), 0) "),0.0)</f>
        <v>0</v>
      </c>
      <c r="Q856" s="91">
        <f>IFERROR(__xludf.DUMMYFUNCTION("IFERROR(sum(filter('Генеральный баннер'!$Q:$Q, 'Генеральный баннер'!$B:$B=$A856,'Генеральный баннер'!$C:$C=$B856,'Генеральный баннер'!$I:$I=$C856)), 0) "),0.0)</f>
        <v>0</v>
      </c>
      <c r="R856" s="91">
        <f>IFERROR(__xludf.DUMMYFUNCTION("IFERROR(AVERAGE(filter('Генеральный баннер'!$AA:$AA, 'Генеральный баннер'!$B:$B=$A856,'Генеральный баннер'!$C:$C=$B856,'Генеральный баннер'!$I:$I=$C856)), 0) "),0.0)</f>
        <v>0</v>
      </c>
      <c r="S856" s="91">
        <f>IFERROR(__xludf.DUMMYFUNCTION("IFERROR(SUM(filter('Генеральный баннер'!$AH:$AH, 'Генеральный баннер'!$B:$B=$A856,'Генеральный баннер'!$C:$C=$B856,'Генеральный баннер'!$I:$I=$C856)), 0) "),0.0)</f>
        <v>0</v>
      </c>
      <c r="T856" s="91" t="str">
        <f>IFERROR(__xludf.DUMMYFUNCTION("IFERROR(REGEXREPLACE(unique(filter('Генеральный баннер'!$A:$A, 'Генеральный баннер'!$B:$B=$A856,'Генеральный баннер'!$C:$C=$B856,'Генеральный баннер'!$I:$I=$C856)), ""\d+"", """"),"""")"),"")</f>
        <v/>
      </c>
      <c r="U856" s="91" t="str">
        <f>IFERROR(__xludf.DUMMYFUNCTION("IFERROR(unique(filter('Генеральный баннер'!$F:$F, 'Генеральный баннер'!$B:$B=$A856,'Генеральный баннер'!$C:$C=$B856,'Генеральный баннер'!$I:$I=$C856)),"""")"),"")</f>
        <v/>
      </c>
      <c r="V856" s="92" t="str">
        <f t="shared" si="3"/>
        <v/>
      </c>
      <c r="W856" s="93">
        <f>IFERROR(__xludf.DUMMYFUNCTION("IFERROR(SWITCH(lower(join("" "",U856:V856)),""а миллионник"", 62.5,""б миллионник"", 75,""а мск"", 50, ""б мск"", 62.5, ""a остальное"", 70, ""б остальное"", 80)/100,0)"),0.0)</f>
        <v>0</v>
      </c>
      <c r="X856" s="91">
        <f t="shared" si="4"/>
        <v>0</v>
      </c>
    </row>
    <row r="857">
      <c r="A857" s="12"/>
      <c r="B857" s="12"/>
      <c r="C857" s="12"/>
      <c r="D857" s="91">
        <f>IFERROR(__xludf.DUMMYFUNCTION("IFERROR(sum(filter('Основной эфир'!$AA:$AA, 'Основной эфир'!$B:$B=$A857,'Основной эфир'!$C:$C=$B857,'Основной эфир'!$I:$I=$C857)), 0) "),0.0)</f>
        <v>0</v>
      </c>
      <c r="E857" s="91">
        <f>IFERROR(__xludf.DUMMYFUNCTION("IFERROR(sum(filter('Основной эфир'!$AC:$AC, 'Основной эфир'!$B:$B=$A857,'Основной эфир'!$C:$C=$B857,'Основной эфир'!$I:$I=$C857)), 0) "),0.0)</f>
        <v>0</v>
      </c>
      <c r="F857" s="91">
        <f>IFERROR(__xludf.DUMMYFUNCTION("IFERROR(sum(filter('Основной эфир'!$O:$O, 'Основной эфир'!$B:$B=$A857,'Основной эфир'!$C:$C=$B857,'Основной эфир'!$I:$I=$C857)), 0) "),0.0)</f>
        <v>0</v>
      </c>
      <c r="G857" s="91">
        <f>IFERROR(__xludf.DUMMYFUNCTION("IFERROR(sum(filter('Основной эфир'!$Q:$Q, 'Основной эфир'!$B:$B=$A857,'Основной эфир'!$C:$C=$B857,'Основной эфир'!$I:$I=$C857)), 0) "),0.0)</f>
        <v>0</v>
      </c>
      <c r="H857" s="91">
        <f>IFERROR(__xludf.DUMMYFUNCTION("IFERROR(AVERAGE(filter('Основной эфир'!$Y:$Y, 'Основной эфир'!$B:$B=$A857,'Основной эфир'!$C:$C=$B857,'Основной эфир'!$I:$I=$C857)), 0) "),0.0)</f>
        <v>0</v>
      </c>
      <c r="I857" s="91">
        <f>IFERROR(__xludf.DUMMYFUNCTION("IFERROR(AVERAGE(filter('Основной эфир'!$AE:$AE, 'Основной эфир'!$B:$B=$A857,'Основной эфир'!$C:$C=$B857,'Основной эфир'!$I:$I=$C857)), 0) "),0.0)</f>
        <v>0</v>
      </c>
      <c r="J857" s="91">
        <f>IFERROR(__xludf.DUMMYFUNCTION("IFERROR(SUM(filter('Основной эфир'!$AL:$AL, 'Основной эфир'!$B:$B=$A857,'Основной эфир'!$C:$C=$B857,'Основной эфир'!$I:$I=$C857)), 0) "),0.0)</f>
        <v>0</v>
      </c>
      <c r="K857" s="91" t="str">
        <f>IFERROR(__xludf.DUMMYFUNCTION("IFERROR(REGEXREPLACE(unique(filter('Основной эфир'!$A:$A, 'Основной эфир'!$B:$B=$A857,'Основной эфир'!$C:$C=$B857,'Основной эфир'!$I:$I=$C857)), ""\d+"", """"),"""")"),"")</f>
        <v/>
      </c>
      <c r="L857" s="91" t="str">
        <f>IFERROR(__xludf.DUMMYFUNCTION("IFERROR(unique(filter('Основной эфир'!$F:$F, 'Основной эфир'!$B:$B=$A857,'Основной эфир'!$C:$C=$B857,'Основной эфир'!$I:$I=$C857)),"""")"),"")</f>
        <v/>
      </c>
      <c r="M857" s="92" t="str">
        <f t="shared" si="1"/>
        <v/>
      </c>
      <c r="N857" s="93">
        <f>IFERROR(__xludf.DUMMYFUNCTION("IFERROR(SWITCH(lower(join("" "",L857:M857)),""а миллионник"", 62.5,""б миллионник"", 75,""а мск"", 50, ""б мск"", 62.5, ""a остальное"", 70, ""б остальное"", 80)/100,0)"),0.0)</f>
        <v>0</v>
      </c>
      <c r="O857" s="91">
        <f t="shared" si="2"/>
        <v>0</v>
      </c>
      <c r="P857" s="91">
        <f>IFERROR(__xludf.DUMMYFUNCTION("IFERROR(sum(filter('Генеральный баннер'!$O:$O, 'Генеральный баннер'!$B:$B=$A857,'Генеральный баннер'!$C:$C=$B857,'Генеральный баннер'!$I:$I=$C857)), 0) "),0.0)</f>
        <v>0</v>
      </c>
      <c r="Q857" s="91">
        <f>IFERROR(__xludf.DUMMYFUNCTION("IFERROR(sum(filter('Генеральный баннер'!$Q:$Q, 'Генеральный баннер'!$B:$B=$A857,'Генеральный баннер'!$C:$C=$B857,'Генеральный баннер'!$I:$I=$C857)), 0) "),0.0)</f>
        <v>0</v>
      </c>
      <c r="R857" s="91">
        <f>IFERROR(__xludf.DUMMYFUNCTION("IFERROR(AVERAGE(filter('Генеральный баннер'!$AA:$AA, 'Генеральный баннер'!$B:$B=$A857,'Генеральный баннер'!$C:$C=$B857,'Генеральный баннер'!$I:$I=$C857)), 0) "),0.0)</f>
        <v>0</v>
      </c>
      <c r="S857" s="91">
        <f>IFERROR(__xludf.DUMMYFUNCTION("IFERROR(SUM(filter('Генеральный баннер'!$AH:$AH, 'Генеральный баннер'!$B:$B=$A857,'Генеральный баннер'!$C:$C=$B857,'Генеральный баннер'!$I:$I=$C857)), 0) "),0.0)</f>
        <v>0</v>
      </c>
      <c r="T857" s="91" t="str">
        <f>IFERROR(__xludf.DUMMYFUNCTION("IFERROR(REGEXREPLACE(unique(filter('Генеральный баннер'!$A:$A, 'Генеральный баннер'!$B:$B=$A857,'Генеральный баннер'!$C:$C=$B857,'Генеральный баннер'!$I:$I=$C857)), ""\d+"", """"),"""")"),"")</f>
        <v/>
      </c>
      <c r="U857" s="91" t="str">
        <f>IFERROR(__xludf.DUMMYFUNCTION("IFERROR(unique(filter('Генеральный баннер'!$F:$F, 'Генеральный баннер'!$B:$B=$A857,'Генеральный баннер'!$C:$C=$B857,'Генеральный баннер'!$I:$I=$C857)),"""")"),"")</f>
        <v/>
      </c>
      <c r="V857" s="92" t="str">
        <f t="shared" si="3"/>
        <v/>
      </c>
      <c r="W857" s="93">
        <f>IFERROR(__xludf.DUMMYFUNCTION("IFERROR(SWITCH(lower(join("" "",U857:V857)),""а миллионник"", 62.5,""б миллионник"", 75,""а мск"", 50, ""б мск"", 62.5, ""a остальное"", 70, ""б остальное"", 80)/100,0)"),0.0)</f>
        <v>0</v>
      </c>
      <c r="X857" s="91">
        <f t="shared" si="4"/>
        <v>0</v>
      </c>
    </row>
    <row r="858">
      <c r="A858" s="12"/>
      <c r="B858" s="12"/>
      <c r="C858" s="12"/>
      <c r="D858" s="91">
        <f>IFERROR(__xludf.DUMMYFUNCTION("IFERROR(sum(filter('Основной эфир'!$AA:$AA, 'Основной эфир'!$B:$B=$A858,'Основной эфир'!$C:$C=$B858,'Основной эфир'!$I:$I=$C858)), 0) "),0.0)</f>
        <v>0</v>
      </c>
      <c r="E858" s="91">
        <f>IFERROR(__xludf.DUMMYFUNCTION("IFERROR(sum(filter('Основной эфир'!$AC:$AC, 'Основной эфир'!$B:$B=$A858,'Основной эфир'!$C:$C=$B858,'Основной эфир'!$I:$I=$C858)), 0) "),0.0)</f>
        <v>0</v>
      </c>
      <c r="F858" s="91">
        <f>IFERROR(__xludf.DUMMYFUNCTION("IFERROR(sum(filter('Основной эфир'!$O:$O, 'Основной эфир'!$B:$B=$A858,'Основной эфир'!$C:$C=$B858,'Основной эфир'!$I:$I=$C858)), 0) "),0.0)</f>
        <v>0</v>
      </c>
      <c r="G858" s="91">
        <f>IFERROR(__xludf.DUMMYFUNCTION("IFERROR(sum(filter('Основной эфир'!$Q:$Q, 'Основной эфир'!$B:$B=$A858,'Основной эфир'!$C:$C=$B858,'Основной эфир'!$I:$I=$C858)), 0) "),0.0)</f>
        <v>0</v>
      </c>
      <c r="H858" s="91">
        <f>IFERROR(__xludf.DUMMYFUNCTION("IFERROR(AVERAGE(filter('Основной эфир'!$Y:$Y, 'Основной эфир'!$B:$B=$A858,'Основной эфир'!$C:$C=$B858,'Основной эфир'!$I:$I=$C858)), 0) "),0.0)</f>
        <v>0</v>
      </c>
      <c r="I858" s="91">
        <f>IFERROR(__xludf.DUMMYFUNCTION("IFERROR(AVERAGE(filter('Основной эфир'!$AE:$AE, 'Основной эфир'!$B:$B=$A858,'Основной эфир'!$C:$C=$B858,'Основной эфир'!$I:$I=$C858)), 0) "),0.0)</f>
        <v>0</v>
      </c>
      <c r="J858" s="91">
        <f>IFERROR(__xludf.DUMMYFUNCTION("IFERROR(SUM(filter('Основной эфир'!$AL:$AL, 'Основной эфир'!$B:$B=$A858,'Основной эфир'!$C:$C=$B858,'Основной эфир'!$I:$I=$C858)), 0) "),0.0)</f>
        <v>0</v>
      </c>
      <c r="K858" s="91" t="str">
        <f>IFERROR(__xludf.DUMMYFUNCTION("IFERROR(REGEXREPLACE(unique(filter('Основной эфир'!$A:$A, 'Основной эфир'!$B:$B=$A858,'Основной эфир'!$C:$C=$B858,'Основной эфир'!$I:$I=$C858)), ""\d+"", """"),"""")"),"")</f>
        <v/>
      </c>
      <c r="L858" s="91" t="str">
        <f>IFERROR(__xludf.DUMMYFUNCTION("IFERROR(unique(filter('Основной эфир'!$F:$F, 'Основной эфир'!$B:$B=$A858,'Основной эфир'!$C:$C=$B858,'Основной эфир'!$I:$I=$C858)),"""")"),"")</f>
        <v/>
      </c>
      <c r="M858" s="92" t="str">
        <f t="shared" si="1"/>
        <v/>
      </c>
      <c r="N858" s="93">
        <f>IFERROR(__xludf.DUMMYFUNCTION("IFERROR(SWITCH(lower(join("" "",L858:M858)),""а миллионник"", 62.5,""б миллионник"", 75,""а мск"", 50, ""б мск"", 62.5, ""a остальное"", 70, ""б остальное"", 80)/100,0)"),0.0)</f>
        <v>0</v>
      </c>
      <c r="O858" s="91">
        <f t="shared" si="2"/>
        <v>0</v>
      </c>
      <c r="P858" s="91">
        <f>IFERROR(__xludf.DUMMYFUNCTION("IFERROR(sum(filter('Генеральный баннер'!$O:$O, 'Генеральный баннер'!$B:$B=$A858,'Генеральный баннер'!$C:$C=$B858,'Генеральный баннер'!$I:$I=$C858)), 0) "),0.0)</f>
        <v>0</v>
      </c>
      <c r="Q858" s="91">
        <f>IFERROR(__xludf.DUMMYFUNCTION("IFERROR(sum(filter('Генеральный баннер'!$Q:$Q, 'Генеральный баннер'!$B:$B=$A858,'Генеральный баннер'!$C:$C=$B858,'Генеральный баннер'!$I:$I=$C858)), 0) "),0.0)</f>
        <v>0</v>
      </c>
      <c r="R858" s="91">
        <f>IFERROR(__xludf.DUMMYFUNCTION("IFERROR(AVERAGE(filter('Генеральный баннер'!$AA:$AA, 'Генеральный баннер'!$B:$B=$A858,'Генеральный баннер'!$C:$C=$B858,'Генеральный баннер'!$I:$I=$C858)), 0) "),0.0)</f>
        <v>0</v>
      </c>
      <c r="S858" s="91">
        <f>IFERROR(__xludf.DUMMYFUNCTION("IFERROR(SUM(filter('Генеральный баннер'!$AH:$AH, 'Генеральный баннер'!$B:$B=$A858,'Генеральный баннер'!$C:$C=$B858,'Генеральный баннер'!$I:$I=$C858)), 0) "),0.0)</f>
        <v>0</v>
      </c>
      <c r="T858" s="91" t="str">
        <f>IFERROR(__xludf.DUMMYFUNCTION("IFERROR(REGEXREPLACE(unique(filter('Генеральный баннер'!$A:$A, 'Генеральный баннер'!$B:$B=$A858,'Генеральный баннер'!$C:$C=$B858,'Генеральный баннер'!$I:$I=$C858)), ""\d+"", """"),"""")"),"")</f>
        <v/>
      </c>
      <c r="U858" s="91" t="str">
        <f>IFERROR(__xludf.DUMMYFUNCTION("IFERROR(unique(filter('Генеральный баннер'!$F:$F, 'Генеральный баннер'!$B:$B=$A858,'Генеральный баннер'!$C:$C=$B858,'Генеральный баннер'!$I:$I=$C858)),"""")"),"")</f>
        <v/>
      </c>
      <c r="V858" s="92" t="str">
        <f t="shared" si="3"/>
        <v/>
      </c>
      <c r="W858" s="93">
        <f>IFERROR(__xludf.DUMMYFUNCTION("IFERROR(SWITCH(lower(join("" "",U858:V858)),""а миллионник"", 62.5,""б миллионник"", 75,""а мск"", 50, ""б мск"", 62.5, ""a остальное"", 70, ""б остальное"", 80)/100,0)"),0.0)</f>
        <v>0</v>
      </c>
      <c r="X858" s="91">
        <f t="shared" si="4"/>
        <v>0</v>
      </c>
    </row>
    <row r="859">
      <c r="A859" s="12"/>
      <c r="B859" s="12"/>
      <c r="C859" s="12"/>
      <c r="D859" s="91">
        <f>IFERROR(__xludf.DUMMYFUNCTION("IFERROR(sum(filter('Основной эфир'!$AA:$AA, 'Основной эфир'!$B:$B=$A859,'Основной эфир'!$C:$C=$B859,'Основной эфир'!$I:$I=$C859)), 0) "),0.0)</f>
        <v>0</v>
      </c>
      <c r="E859" s="91">
        <f>IFERROR(__xludf.DUMMYFUNCTION("IFERROR(sum(filter('Основной эфир'!$AC:$AC, 'Основной эфир'!$B:$B=$A859,'Основной эфир'!$C:$C=$B859,'Основной эфир'!$I:$I=$C859)), 0) "),0.0)</f>
        <v>0</v>
      </c>
      <c r="F859" s="91">
        <f>IFERROR(__xludf.DUMMYFUNCTION("IFERROR(sum(filter('Основной эфир'!$O:$O, 'Основной эфир'!$B:$B=$A859,'Основной эфир'!$C:$C=$B859,'Основной эфир'!$I:$I=$C859)), 0) "),0.0)</f>
        <v>0</v>
      </c>
      <c r="G859" s="91">
        <f>IFERROR(__xludf.DUMMYFUNCTION("IFERROR(sum(filter('Основной эфир'!$Q:$Q, 'Основной эфир'!$B:$B=$A859,'Основной эфир'!$C:$C=$B859,'Основной эфир'!$I:$I=$C859)), 0) "),0.0)</f>
        <v>0</v>
      </c>
      <c r="H859" s="91">
        <f>IFERROR(__xludf.DUMMYFUNCTION("IFERROR(AVERAGE(filter('Основной эфир'!$Y:$Y, 'Основной эфир'!$B:$B=$A859,'Основной эфир'!$C:$C=$B859,'Основной эфир'!$I:$I=$C859)), 0) "),0.0)</f>
        <v>0</v>
      </c>
      <c r="I859" s="91">
        <f>IFERROR(__xludf.DUMMYFUNCTION("IFERROR(AVERAGE(filter('Основной эфир'!$AE:$AE, 'Основной эфир'!$B:$B=$A859,'Основной эфир'!$C:$C=$B859,'Основной эфир'!$I:$I=$C859)), 0) "),0.0)</f>
        <v>0</v>
      </c>
      <c r="J859" s="91">
        <f>IFERROR(__xludf.DUMMYFUNCTION("IFERROR(SUM(filter('Основной эфир'!$AL:$AL, 'Основной эфир'!$B:$B=$A859,'Основной эфир'!$C:$C=$B859,'Основной эфир'!$I:$I=$C859)), 0) "),0.0)</f>
        <v>0</v>
      </c>
      <c r="K859" s="91" t="str">
        <f>IFERROR(__xludf.DUMMYFUNCTION("IFERROR(REGEXREPLACE(unique(filter('Основной эфир'!$A:$A, 'Основной эфир'!$B:$B=$A859,'Основной эфир'!$C:$C=$B859,'Основной эфир'!$I:$I=$C859)), ""\d+"", """"),"""")"),"")</f>
        <v/>
      </c>
      <c r="L859" s="91" t="str">
        <f>IFERROR(__xludf.DUMMYFUNCTION("IFERROR(unique(filter('Основной эфир'!$F:$F, 'Основной эфир'!$B:$B=$A859,'Основной эфир'!$C:$C=$B859,'Основной эфир'!$I:$I=$C859)),"""")"),"")</f>
        <v/>
      </c>
      <c r="M859" s="92" t="str">
        <f t="shared" si="1"/>
        <v/>
      </c>
      <c r="N859" s="93">
        <f>IFERROR(__xludf.DUMMYFUNCTION("IFERROR(SWITCH(lower(join("" "",L859:M859)),""а миллионник"", 62.5,""б миллионник"", 75,""а мск"", 50, ""б мск"", 62.5, ""a остальное"", 70, ""б остальное"", 80)/100,0)"),0.0)</f>
        <v>0</v>
      </c>
      <c r="O859" s="91">
        <f t="shared" si="2"/>
        <v>0</v>
      </c>
      <c r="P859" s="91">
        <f>IFERROR(__xludf.DUMMYFUNCTION("IFERROR(sum(filter('Генеральный баннер'!$O:$O, 'Генеральный баннер'!$B:$B=$A859,'Генеральный баннер'!$C:$C=$B859,'Генеральный баннер'!$I:$I=$C859)), 0) "),0.0)</f>
        <v>0</v>
      </c>
      <c r="Q859" s="91">
        <f>IFERROR(__xludf.DUMMYFUNCTION("IFERROR(sum(filter('Генеральный баннер'!$Q:$Q, 'Генеральный баннер'!$B:$B=$A859,'Генеральный баннер'!$C:$C=$B859,'Генеральный баннер'!$I:$I=$C859)), 0) "),0.0)</f>
        <v>0</v>
      </c>
      <c r="R859" s="91">
        <f>IFERROR(__xludf.DUMMYFUNCTION("IFERROR(AVERAGE(filter('Генеральный баннер'!$AA:$AA, 'Генеральный баннер'!$B:$B=$A859,'Генеральный баннер'!$C:$C=$B859,'Генеральный баннер'!$I:$I=$C859)), 0) "),0.0)</f>
        <v>0</v>
      </c>
      <c r="S859" s="91">
        <f>IFERROR(__xludf.DUMMYFUNCTION("IFERROR(SUM(filter('Генеральный баннер'!$AH:$AH, 'Генеральный баннер'!$B:$B=$A859,'Генеральный баннер'!$C:$C=$B859,'Генеральный баннер'!$I:$I=$C859)), 0) "),0.0)</f>
        <v>0</v>
      </c>
      <c r="T859" s="91" t="str">
        <f>IFERROR(__xludf.DUMMYFUNCTION("IFERROR(REGEXREPLACE(unique(filter('Генеральный баннер'!$A:$A, 'Генеральный баннер'!$B:$B=$A859,'Генеральный баннер'!$C:$C=$B859,'Генеральный баннер'!$I:$I=$C859)), ""\d+"", """"),"""")"),"")</f>
        <v/>
      </c>
      <c r="U859" s="91" t="str">
        <f>IFERROR(__xludf.DUMMYFUNCTION("IFERROR(unique(filter('Генеральный баннер'!$F:$F, 'Генеральный баннер'!$B:$B=$A859,'Генеральный баннер'!$C:$C=$B859,'Генеральный баннер'!$I:$I=$C859)),"""")"),"")</f>
        <v/>
      </c>
      <c r="V859" s="92" t="str">
        <f t="shared" si="3"/>
        <v/>
      </c>
      <c r="W859" s="93">
        <f>IFERROR(__xludf.DUMMYFUNCTION("IFERROR(SWITCH(lower(join("" "",U859:V859)),""а миллионник"", 62.5,""б миллионник"", 75,""а мск"", 50, ""б мск"", 62.5, ""a остальное"", 70, ""б остальное"", 80)/100,0)"),0.0)</f>
        <v>0</v>
      </c>
      <c r="X859" s="91">
        <f t="shared" si="4"/>
        <v>0</v>
      </c>
    </row>
    <row r="860">
      <c r="A860" s="12"/>
      <c r="B860" s="12"/>
      <c r="C860" s="12"/>
      <c r="D860" s="91">
        <f>IFERROR(__xludf.DUMMYFUNCTION("IFERROR(sum(filter('Основной эфир'!$AA:$AA, 'Основной эфир'!$B:$B=$A860,'Основной эфир'!$C:$C=$B860,'Основной эфир'!$I:$I=$C860)), 0) "),0.0)</f>
        <v>0</v>
      </c>
      <c r="E860" s="91">
        <f>IFERROR(__xludf.DUMMYFUNCTION("IFERROR(sum(filter('Основной эфир'!$AC:$AC, 'Основной эфир'!$B:$B=$A860,'Основной эфир'!$C:$C=$B860,'Основной эфир'!$I:$I=$C860)), 0) "),0.0)</f>
        <v>0</v>
      </c>
      <c r="F860" s="91">
        <f>IFERROR(__xludf.DUMMYFUNCTION("IFERROR(sum(filter('Основной эфир'!$O:$O, 'Основной эфир'!$B:$B=$A860,'Основной эфир'!$C:$C=$B860,'Основной эфир'!$I:$I=$C860)), 0) "),0.0)</f>
        <v>0</v>
      </c>
      <c r="G860" s="91">
        <f>IFERROR(__xludf.DUMMYFUNCTION("IFERROR(sum(filter('Основной эфир'!$Q:$Q, 'Основной эфир'!$B:$B=$A860,'Основной эфир'!$C:$C=$B860,'Основной эфир'!$I:$I=$C860)), 0) "),0.0)</f>
        <v>0</v>
      </c>
      <c r="H860" s="91">
        <f>IFERROR(__xludf.DUMMYFUNCTION("IFERROR(AVERAGE(filter('Основной эфир'!$Y:$Y, 'Основной эфир'!$B:$B=$A860,'Основной эфир'!$C:$C=$B860,'Основной эфир'!$I:$I=$C860)), 0) "),0.0)</f>
        <v>0</v>
      </c>
      <c r="I860" s="91">
        <f>IFERROR(__xludf.DUMMYFUNCTION("IFERROR(AVERAGE(filter('Основной эфир'!$AE:$AE, 'Основной эфир'!$B:$B=$A860,'Основной эфир'!$C:$C=$B860,'Основной эфир'!$I:$I=$C860)), 0) "),0.0)</f>
        <v>0</v>
      </c>
      <c r="J860" s="91">
        <f>IFERROR(__xludf.DUMMYFUNCTION("IFERROR(SUM(filter('Основной эфир'!$AL:$AL, 'Основной эфир'!$B:$B=$A860,'Основной эфир'!$C:$C=$B860,'Основной эфир'!$I:$I=$C860)), 0) "),0.0)</f>
        <v>0</v>
      </c>
      <c r="K860" s="91" t="str">
        <f>IFERROR(__xludf.DUMMYFUNCTION("IFERROR(REGEXREPLACE(unique(filter('Основной эфир'!$A:$A, 'Основной эфир'!$B:$B=$A860,'Основной эфир'!$C:$C=$B860,'Основной эфир'!$I:$I=$C860)), ""\d+"", """"),"""")"),"")</f>
        <v/>
      </c>
      <c r="L860" s="91" t="str">
        <f>IFERROR(__xludf.DUMMYFUNCTION("IFERROR(unique(filter('Основной эфир'!$F:$F, 'Основной эфир'!$B:$B=$A860,'Основной эфир'!$C:$C=$B860,'Основной эфир'!$I:$I=$C860)),"""")"),"")</f>
        <v/>
      </c>
      <c r="M860" s="92" t="str">
        <f t="shared" si="1"/>
        <v/>
      </c>
      <c r="N860" s="93">
        <f>IFERROR(__xludf.DUMMYFUNCTION("IFERROR(SWITCH(lower(join("" "",L860:M860)),""а миллионник"", 62.5,""б миллионник"", 75,""а мск"", 50, ""б мск"", 62.5, ""a остальное"", 70, ""б остальное"", 80)/100,0)"),0.0)</f>
        <v>0</v>
      </c>
      <c r="O860" s="91">
        <f t="shared" si="2"/>
        <v>0</v>
      </c>
      <c r="P860" s="91">
        <f>IFERROR(__xludf.DUMMYFUNCTION("IFERROR(sum(filter('Генеральный баннер'!$O:$O, 'Генеральный баннер'!$B:$B=$A860,'Генеральный баннер'!$C:$C=$B860,'Генеральный баннер'!$I:$I=$C860)), 0) "),0.0)</f>
        <v>0</v>
      </c>
      <c r="Q860" s="91">
        <f>IFERROR(__xludf.DUMMYFUNCTION("IFERROR(sum(filter('Генеральный баннер'!$Q:$Q, 'Генеральный баннер'!$B:$B=$A860,'Генеральный баннер'!$C:$C=$B860,'Генеральный баннер'!$I:$I=$C860)), 0) "),0.0)</f>
        <v>0</v>
      </c>
      <c r="R860" s="91">
        <f>IFERROR(__xludf.DUMMYFUNCTION("IFERROR(AVERAGE(filter('Генеральный баннер'!$AA:$AA, 'Генеральный баннер'!$B:$B=$A860,'Генеральный баннер'!$C:$C=$B860,'Генеральный баннер'!$I:$I=$C860)), 0) "),0.0)</f>
        <v>0</v>
      </c>
      <c r="S860" s="91">
        <f>IFERROR(__xludf.DUMMYFUNCTION("IFERROR(SUM(filter('Генеральный баннер'!$AH:$AH, 'Генеральный баннер'!$B:$B=$A860,'Генеральный баннер'!$C:$C=$B860,'Генеральный баннер'!$I:$I=$C860)), 0) "),0.0)</f>
        <v>0</v>
      </c>
      <c r="T860" s="91" t="str">
        <f>IFERROR(__xludf.DUMMYFUNCTION("IFERROR(REGEXREPLACE(unique(filter('Генеральный баннер'!$A:$A, 'Генеральный баннер'!$B:$B=$A860,'Генеральный баннер'!$C:$C=$B860,'Генеральный баннер'!$I:$I=$C860)), ""\d+"", """"),"""")"),"")</f>
        <v/>
      </c>
      <c r="U860" s="91" t="str">
        <f>IFERROR(__xludf.DUMMYFUNCTION("IFERROR(unique(filter('Генеральный баннер'!$F:$F, 'Генеральный баннер'!$B:$B=$A860,'Генеральный баннер'!$C:$C=$B860,'Генеральный баннер'!$I:$I=$C860)),"""")"),"")</f>
        <v/>
      </c>
      <c r="V860" s="92" t="str">
        <f t="shared" si="3"/>
        <v/>
      </c>
      <c r="W860" s="93">
        <f>IFERROR(__xludf.DUMMYFUNCTION("IFERROR(SWITCH(lower(join("" "",U860:V860)),""а миллионник"", 62.5,""б миллионник"", 75,""а мск"", 50, ""б мск"", 62.5, ""a остальное"", 70, ""б остальное"", 80)/100,0)"),0.0)</f>
        <v>0</v>
      </c>
      <c r="X860" s="91">
        <f t="shared" si="4"/>
        <v>0</v>
      </c>
    </row>
    <row r="861">
      <c r="A861" s="12"/>
      <c r="B861" s="12"/>
      <c r="C861" s="12"/>
      <c r="D861" s="91">
        <f>IFERROR(__xludf.DUMMYFUNCTION("IFERROR(sum(filter('Основной эфир'!$AA:$AA, 'Основной эфир'!$B:$B=$A861,'Основной эфир'!$C:$C=$B861,'Основной эфир'!$I:$I=$C861)), 0) "),0.0)</f>
        <v>0</v>
      </c>
      <c r="E861" s="91">
        <f>IFERROR(__xludf.DUMMYFUNCTION("IFERROR(sum(filter('Основной эфир'!$AC:$AC, 'Основной эфир'!$B:$B=$A861,'Основной эфир'!$C:$C=$B861,'Основной эфир'!$I:$I=$C861)), 0) "),0.0)</f>
        <v>0</v>
      </c>
      <c r="F861" s="91">
        <f>IFERROR(__xludf.DUMMYFUNCTION("IFERROR(sum(filter('Основной эфир'!$O:$O, 'Основной эфир'!$B:$B=$A861,'Основной эфир'!$C:$C=$B861,'Основной эфир'!$I:$I=$C861)), 0) "),0.0)</f>
        <v>0</v>
      </c>
      <c r="G861" s="91">
        <f>IFERROR(__xludf.DUMMYFUNCTION("IFERROR(sum(filter('Основной эфир'!$Q:$Q, 'Основной эфир'!$B:$B=$A861,'Основной эфир'!$C:$C=$B861,'Основной эфир'!$I:$I=$C861)), 0) "),0.0)</f>
        <v>0</v>
      </c>
      <c r="H861" s="91">
        <f>IFERROR(__xludf.DUMMYFUNCTION("IFERROR(AVERAGE(filter('Основной эфир'!$Y:$Y, 'Основной эфир'!$B:$B=$A861,'Основной эфир'!$C:$C=$B861,'Основной эфир'!$I:$I=$C861)), 0) "),0.0)</f>
        <v>0</v>
      </c>
      <c r="I861" s="91">
        <f>IFERROR(__xludf.DUMMYFUNCTION("IFERROR(AVERAGE(filter('Основной эфир'!$AE:$AE, 'Основной эфир'!$B:$B=$A861,'Основной эфир'!$C:$C=$B861,'Основной эфир'!$I:$I=$C861)), 0) "),0.0)</f>
        <v>0</v>
      </c>
      <c r="J861" s="91">
        <f>IFERROR(__xludf.DUMMYFUNCTION("IFERROR(SUM(filter('Основной эфир'!$AL:$AL, 'Основной эфир'!$B:$B=$A861,'Основной эфир'!$C:$C=$B861,'Основной эфир'!$I:$I=$C861)), 0) "),0.0)</f>
        <v>0</v>
      </c>
      <c r="K861" s="91" t="str">
        <f>IFERROR(__xludf.DUMMYFUNCTION("IFERROR(REGEXREPLACE(unique(filter('Основной эфир'!$A:$A, 'Основной эфир'!$B:$B=$A861,'Основной эфир'!$C:$C=$B861,'Основной эфир'!$I:$I=$C861)), ""\d+"", """"),"""")"),"")</f>
        <v/>
      </c>
      <c r="L861" s="91" t="str">
        <f>IFERROR(__xludf.DUMMYFUNCTION("IFERROR(unique(filter('Основной эфир'!$F:$F, 'Основной эфир'!$B:$B=$A861,'Основной эфир'!$C:$C=$B861,'Основной эфир'!$I:$I=$C861)),"""")"),"")</f>
        <v/>
      </c>
      <c r="M861" s="92" t="str">
        <f t="shared" si="1"/>
        <v/>
      </c>
      <c r="N861" s="93">
        <f>IFERROR(__xludf.DUMMYFUNCTION("IFERROR(SWITCH(lower(join("" "",L861:M861)),""а миллионник"", 62.5,""б миллионник"", 75,""а мск"", 50, ""б мск"", 62.5, ""a остальное"", 70, ""б остальное"", 80)/100,0)"),0.0)</f>
        <v>0</v>
      </c>
      <c r="O861" s="91">
        <f t="shared" si="2"/>
        <v>0</v>
      </c>
      <c r="P861" s="91">
        <f>IFERROR(__xludf.DUMMYFUNCTION("IFERROR(sum(filter('Генеральный баннер'!$O:$O, 'Генеральный баннер'!$B:$B=$A861,'Генеральный баннер'!$C:$C=$B861,'Генеральный баннер'!$I:$I=$C861)), 0) "),0.0)</f>
        <v>0</v>
      </c>
      <c r="Q861" s="91">
        <f>IFERROR(__xludf.DUMMYFUNCTION("IFERROR(sum(filter('Генеральный баннер'!$Q:$Q, 'Генеральный баннер'!$B:$B=$A861,'Генеральный баннер'!$C:$C=$B861,'Генеральный баннер'!$I:$I=$C861)), 0) "),0.0)</f>
        <v>0</v>
      </c>
      <c r="R861" s="91">
        <f>IFERROR(__xludf.DUMMYFUNCTION("IFERROR(AVERAGE(filter('Генеральный баннер'!$AA:$AA, 'Генеральный баннер'!$B:$B=$A861,'Генеральный баннер'!$C:$C=$B861,'Генеральный баннер'!$I:$I=$C861)), 0) "),0.0)</f>
        <v>0</v>
      </c>
      <c r="S861" s="91">
        <f>IFERROR(__xludf.DUMMYFUNCTION("IFERROR(SUM(filter('Генеральный баннер'!$AH:$AH, 'Генеральный баннер'!$B:$B=$A861,'Генеральный баннер'!$C:$C=$B861,'Генеральный баннер'!$I:$I=$C861)), 0) "),0.0)</f>
        <v>0</v>
      </c>
      <c r="T861" s="91" t="str">
        <f>IFERROR(__xludf.DUMMYFUNCTION("IFERROR(REGEXREPLACE(unique(filter('Генеральный баннер'!$A:$A, 'Генеральный баннер'!$B:$B=$A861,'Генеральный баннер'!$C:$C=$B861,'Генеральный баннер'!$I:$I=$C861)), ""\d+"", """"),"""")"),"")</f>
        <v/>
      </c>
      <c r="U861" s="91" t="str">
        <f>IFERROR(__xludf.DUMMYFUNCTION("IFERROR(unique(filter('Генеральный баннер'!$F:$F, 'Генеральный баннер'!$B:$B=$A861,'Генеральный баннер'!$C:$C=$B861,'Генеральный баннер'!$I:$I=$C861)),"""")"),"")</f>
        <v/>
      </c>
      <c r="V861" s="92" t="str">
        <f t="shared" si="3"/>
        <v/>
      </c>
      <c r="W861" s="93">
        <f>IFERROR(__xludf.DUMMYFUNCTION("IFERROR(SWITCH(lower(join("" "",U861:V861)),""а миллионник"", 62.5,""б миллионник"", 75,""а мск"", 50, ""б мск"", 62.5, ""a остальное"", 70, ""б остальное"", 80)/100,0)"),0.0)</f>
        <v>0</v>
      </c>
      <c r="X861" s="91">
        <f t="shared" si="4"/>
        <v>0</v>
      </c>
    </row>
    <row r="862">
      <c r="A862" s="12"/>
      <c r="B862" s="12"/>
      <c r="C862" s="12"/>
      <c r="D862" s="91">
        <f>IFERROR(__xludf.DUMMYFUNCTION("IFERROR(sum(filter('Основной эфир'!$AA:$AA, 'Основной эфир'!$B:$B=$A862,'Основной эфир'!$C:$C=$B862,'Основной эфир'!$I:$I=$C862)), 0) "),0.0)</f>
        <v>0</v>
      </c>
      <c r="E862" s="91">
        <f>IFERROR(__xludf.DUMMYFUNCTION("IFERROR(sum(filter('Основной эфир'!$AC:$AC, 'Основной эфир'!$B:$B=$A862,'Основной эфир'!$C:$C=$B862,'Основной эфир'!$I:$I=$C862)), 0) "),0.0)</f>
        <v>0</v>
      </c>
      <c r="F862" s="91">
        <f>IFERROR(__xludf.DUMMYFUNCTION("IFERROR(sum(filter('Основной эфир'!$O:$O, 'Основной эфир'!$B:$B=$A862,'Основной эфир'!$C:$C=$B862,'Основной эфир'!$I:$I=$C862)), 0) "),0.0)</f>
        <v>0</v>
      </c>
      <c r="G862" s="91">
        <f>IFERROR(__xludf.DUMMYFUNCTION("IFERROR(sum(filter('Основной эфир'!$Q:$Q, 'Основной эфир'!$B:$B=$A862,'Основной эфир'!$C:$C=$B862,'Основной эфир'!$I:$I=$C862)), 0) "),0.0)</f>
        <v>0</v>
      </c>
      <c r="H862" s="91">
        <f>IFERROR(__xludf.DUMMYFUNCTION("IFERROR(AVERAGE(filter('Основной эфир'!$Y:$Y, 'Основной эфир'!$B:$B=$A862,'Основной эфир'!$C:$C=$B862,'Основной эфир'!$I:$I=$C862)), 0) "),0.0)</f>
        <v>0</v>
      </c>
      <c r="I862" s="91">
        <f>IFERROR(__xludf.DUMMYFUNCTION("IFERROR(AVERAGE(filter('Основной эфир'!$AE:$AE, 'Основной эфир'!$B:$B=$A862,'Основной эфир'!$C:$C=$B862,'Основной эфир'!$I:$I=$C862)), 0) "),0.0)</f>
        <v>0</v>
      </c>
      <c r="J862" s="91">
        <f>IFERROR(__xludf.DUMMYFUNCTION("IFERROR(SUM(filter('Основной эфир'!$AL:$AL, 'Основной эфир'!$B:$B=$A862,'Основной эфир'!$C:$C=$B862,'Основной эфир'!$I:$I=$C862)), 0) "),0.0)</f>
        <v>0</v>
      </c>
      <c r="K862" s="91" t="str">
        <f>IFERROR(__xludf.DUMMYFUNCTION("IFERROR(REGEXREPLACE(unique(filter('Основной эфир'!$A:$A, 'Основной эфир'!$B:$B=$A862,'Основной эфир'!$C:$C=$B862,'Основной эфир'!$I:$I=$C862)), ""\d+"", """"),"""")"),"")</f>
        <v/>
      </c>
      <c r="L862" s="91" t="str">
        <f>IFERROR(__xludf.DUMMYFUNCTION("IFERROR(unique(filter('Основной эфир'!$F:$F, 'Основной эфир'!$B:$B=$A862,'Основной эфир'!$C:$C=$B862,'Основной эфир'!$I:$I=$C862)),"""")"),"")</f>
        <v/>
      </c>
      <c r="M862" s="92" t="str">
        <f t="shared" si="1"/>
        <v/>
      </c>
      <c r="N862" s="93">
        <f>IFERROR(__xludf.DUMMYFUNCTION("IFERROR(SWITCH(lower(join("" "",L862:M862)),""а миллионник"", 62.5,""б миллионник"", 75,""а мск"", 50, ""б мск"", 62.5, ""a остальное"", 70, ""б остальное"", 80)/100,0)"),0.0)</f>
        <v>0</v>
      </c>
      <c r="O862" s="91">
        <f t="shared" si="2"/>
        <v>0</v>
      </c>
      <c r="P862" s="91">
        <f>IFERROR(__xludf.DUMMYFUNCTION("IFERROR(sum(filter('Генеральный баннер'!$O:$O, 'Генеральный баннер'!$B:$B=$A862,'Генеральный баннер'!$C:$C=$B862,'Генеральный баннер'!$I:$I=$C862)), 0) "),0.0)</f>
        <v>0</v>
      </c>
      <c r="Q862" s="91">
        <f>IFERROR(__xludf.DUMMYFUNCTION("IFERROR(sum(filter('Генеральный баннер'!$Q:$Q, 'Генеральный баннер'!$B:$B=$A862,'Генеральный баннер'!$C:$C=$B862,'Генеральный баннер'!$I:$I=$C862)), 0) "),0.0)</f>
        <v>0</v>
      </c>
      <c r="R862" s="91">
        <f>IFERROR(__xludf.DUMMYFUNCTION("IFERROR(AVERAGE(filter('Генеральный баннер'!$AA:$AA, 'Генеральный баннер'!$B:$B=$A862,'Генеральный баннер'!$C:$C=$B862,'Генеральный баннер'!$I:$I=$C862)), 0) "),0.0)</f>
        <v>0</v>
      </c>
      <c r="S862" s="91">
        <f>IFERROR(__xludf.DUMMYFUNCTION("IFERROR(SUM(filter('Генеральный баннер'!$AH:$AH, 'Генеральный баннер'!$B:$B=$A862,'Генеральный баннер'!$C:$C=$B862,'Генеральный баннер'!$I:$I=$C862)), 0) "),0.0)</f>
        <v>0</v>
      </c>
      <c r="T862" s="91" t="str">
        <f>IFERROR(__xludf.DUMMYFUNCTION("IFERROR(REGEXREPLACE(unique(filter('Генеральный баннер'!$A:$A, 'Генеральный баннер'!$B:$B=$A862,'Генеральный баннер'!$C:$C=$B862,'Генеральный баннер'!$I:$I=$C862)), ""\d+"", """"),"""")"),"")</f>
        <v/>
      </c>
      <c r="U862" s="91" t="str">
        <f>IFERROR(__xludf.DUMMYFUNCTION("IFERROR(unique(filter('Генеральный баннер'!$F:$F, 'Генеральный баннер'!$B:$B=$A862,'Генеральный баннер'!$C:$C=$B862,'Генеральный баннер'!$I:$I=$C862)),"""")"),"")</f>
        <v/>
      </c>
      <c r="V862" s="92" t="str">
        <f t="shared" si="3"/>
        <v/>
      </c>
      <c r="W862" s="93">
        <f>IFERROR(__xludf.DUMMYFUNCTION("IFERROR(SWITCH(lower(join("" "",U862:V862)),""а миллионник"", 62.5,""б миллионник"", 75,""а мск"", 50, ""б мск"", 62.5, ""a остальное"", 70, ""б остальное"", 80)/100,0)"),0.0)</f>
        <v>0</v>
      </c>
      <c r="X862" s="91">
        <f t="shared" si="4"/>
        <v>0</v>
      </c>
    </row>
    <row r="863">
      <c r="A863" s="12"/>
      <c r="B863" s="12"/>
      <c r="C863" s="12"/>
      <c r="D863" s="91">
        <f>IFERROR(__xludf.DUMMYFUNCTION("IFERROR(sum(filter('Основной эфир'!$AA:$AA, 'Основной эфир'!$B:$B=$A863,'Основной эфир'!$C:$C=$B863,'Основной эфир'!$I:$I=$C863)), 0) "),0.0)</f>
        <v>0</v>
      </c>
      <c r="E863" s="91">
        <f>IFERROR(__xludf.DUMMYFUNCTION("IFERROR(sum(filter('Основной эфир'!$AC:$AC, 'Основной эфир'!$B:$B=$A863,'Основной эфир'!$C:$C=$B863,'Основной эфир'!$I:$I=$C863)), 0) "),0.0)</f>
        <v>0</v>
      </c>
      <c r="F863" s="91">
        <f>IFERROR(__xludf.DUMMYFUNCTION("IFERROR(sum(filter('Основной эфир'!$O:$O, 'Основной эфир'!$B:$B=$A863,'Основной эфир'!$C:$C=$B863,'Основной эфир'!$I:$I=$C863)), 0) "),0.0)</f>
        <v>0</v>
      </c>
      <c r="G863" s="91">
        <f>IFERROR(__xludf.DUMMYFUNCTION("IFERROR(sum(filter('Основной эфир'!$Q:$Q, 'Основной эфир'!$B:$B=$A863,'Основной эфир'!$C:$C=$B863,'Основной эфир'!$I:$I=$C863)), 0) "),0.0)</f>
        <v>0</v>
      </c>
      <c r="H863" s="91">
        <f>IFERROR(__xludf.DUMMYFUNCTION("IFERROR(AVERAGE(filter('Основной эфир'!$Y:$Y, 'Основной эфир'!$B:$B=$A863,'Основной эфир'!$C:$C=$B863,'Основной эфир'!$I:$I=$C863)), 0) "),0.0)</f>
        <v>0</v>
      </c>
      <c r="I863" s="91">
        <f>IFERROR(__xludf.DUMMYFUNCTION("IFERROR(AVERAGE(filter('Основной эфир'!$AE:$AE, 'Основной эфир'!$B:$B=$A863,'Основной эфир'!$C:$C=$B863,'Основной эфир'!$I:$I=$C863)), 0) "),0.0)</f>
        <v>0</v>
      </c>
      <c r="J863" s="91">
        <f>IFERROR(__xludf.DUMMYFUNCTION("IFERROR(SUM(filter('Основной эфир'!$AL:$AL, 'Основной эфир'!$B:$B=$A863,'Основной эфир'!$C:$C=$B863,'Основной эфир'!$I:$I=$C863)), 0) "),0.0)</f>
        <v>0</v>
      </c>
      <c r="K863" s="91" t="str">
        <f>IFERROR(__xludf.DUMMYFUNCTION("IFERROR(REGEXREPLACE(unique(filter('Основной эфир'!$A:$A, 'Основной эфир'!$B:$B=$A863,'Основной эфир'!$C:$C=$B863,'Основной эфир'!$I:$I=$C863)), ""\d+"", """"),"""")"),"")</f>
        <v/>
      </c>
      <c r="L863" s="91" t="str">
        <f>IFERROR(__xludf.DUMMYFUNCTION("IFERROR(unique(filter('Основной эфир'!$F:$F, 'Основной эфир'!$B:$B=$A863,'Основной эфир'!$C:$C=$B863,'Основной эфир'!$I:$I=$C863)),"""")"),"")</f>
        <v/>
      </c>
      <c r="M863" s="92" t="str">
        <f t="shared" si="1"/>
        <v/>
      </c>
      <c r="N863" s="93">
        <f>IFERROR(__xludf.DUMMYFUNCTION("IFERROR(SWITCH(lower(join("" "",L863:M863)),""а миллионник"", 62.5,""б миллионник"", 75,""а мск"", 50, ""б мск"", 62.5, ""a остальное"", 70, ""б остальное"", 80)/100,0)"),0.0)</f>
        <v>0</v>
      </c>
      <c r="O863" s="91">
        <f t="shared" si="2"/>
        <v>0</v>
      </c>
      <c r="P863" s="91">
        <f>IFERROR(__xludf.DUMMYFUNCTION("IFERROR(sum(filter('Генеральный баннер'!$O:$O, 'Генеральный баннер'!$B:$B=$A863,'Генеральный баннер'!$C:$C=$B863,'Генеральный баннер'!$I:$I=$C863)), 0) "),0.0)</f>
        <v>0</v>
      </c>
      <c r="Q863" s="91">
        <f>IFERROR(__xludf.DUMMYFUNCTION("IFERROR(sum(filter('Генеральный баннер'!$Q:$Q, 'Генеральный баннер'!$B:$B=$A863,'Генеральный баннер'!$C:$C=$B863,'Генеральный баннер'!$I:$I=$C863)), 0) "),0.0)</f>
        <v>0</v>
      </c>
      <c r="R863" s="91">
        <f>IFERROR(__xludf.DUMMYFUNCTION("IFERROR(AVERAGE(filter('Генеральный баннер'!$AA:$AA, 'Генеральный баннер'!$B:$B=$A863,'Генеральный баннер'!$C:$C=$B863,'Генеральный баннер'!$I:$I=$C863)), 0) "),0.0)</f>
        <v>0</v>
      </c>
      <c r="S863" s="91">
        <f>IFERROR(__xludf.DUMMYFUNCTION("IFERROR(SUM(filter('Генеральный баннер'!$AH:$AH, 'Генеральный баннер'!$B:$B=$A863,'Генеральный баннер'!$C:$C=$B863,'Генеральный баннер'!$I:$I=$C863)), 0) "),0.0)</f>
        <v>0</v>
      </c>
      <c r="T863" s="91" t="str">
        <f>IFERROR(__xludf.DUMMYFUNCTION("IFERROR(REGEXREPLACE(unique(filter('Генеральный баннер'!$A:$A, 'Генеральный баннер'!$B:$B=$A863,'Генеральный баннер'!$C:$C=$B863,'Генеральный баннер'!$I:$I=$C863)), ""\d+"", """"),"""")"),"")</f>
        <v/>
      </c>
      <c r="U863" s="91" t="str">
        <f>IFERROR(__xludf.DUMMYFUNCTION("IFERROR(unique(filter('Генеральный баннер'!$F:$F, 'Генеральный баннер'!$B:$B=$A863,'Генеральный баннер'!$C:$C=$B863,'Генеральный баннер'!$I:$I=$C863)),"""")"),"")</f>
        <v/>
      </c>
      <c r="V863" s="92" t="str">
        <f t="shared" si="3"/>
        <v/>
      </c>
      <c r="W863" s="93">
        <f>IFERROR(__xludf.DUMMYFUNCTION("IFERROR(SWITCH(lower(join("" "",U863:V863)),""а миллионник"", 62.5,""б миллионник"", 75,""а мск"", 50, ""б мск"", 62.5, ""a остальное"", 70, ""б остальное"", 80)/100,0)"),0.0)</f>
        <v>0</v>
      </c>
      <c r="X863" s="91">
        <f t="shared" si="4"/>
        <v>0</v>
      </c>
    </row>
    <row r="864">
      <c r="A864" s="12"/>
      <c r="B864" s="12"/>
      <c r="C864" s="12"/>
      <c r="D864" s="91">
        <f>IFERROR(__xludf.DUMMYFUNCTION("IFERROR(sum(filter('Основной эфир'!$AA:$AA, 'Основной эфир'!$B:$B=$A864,'Основной эфир'!$C:$C=$B864,'Основной эфир'!$I:$I=$C864)), 0) "),0.0)</f>
        <v>0</v>
      </c>
      <c r="E864" s="91">
        <f>IFERROR(__xludf.DUMMYFUNCTION("IFERROR(sum(filter('Основной эфир'!$AC:$AC, 'Основной эфир'!$B:$B=$A864,'Основной эфир'!$C:$C=$B864,'Основной эфир'!$I:$I=$C864)), 0) "),0.0)</f>
        <v>0</v>
      </c>
      <c r="F864" s="91">
        <f>IFERROR(__xludf.DUMMYFUNCTION("IFERROR(sum(filter('Основной эфир'!$O:$O, 'Основной эфир'!$B:$B=$A864,'Основной эфир'!$C:$C=$B864,'Основной эфир'!$I:$I=$C864)), 0) "),0.0)</f>
        <v>0</v>
      </c>
      <c r="G864" s="91">
        <f>IFERROR(__xludf.DUMMYFUNCTION("IFERROR(sum(filter('Основной эфир'!$Q:$Q, 'Основной эфир'!$B:$B=$A864,'Основной эфир'!$C:$C=$B864,'Основной эфир'!$I:$I=$C864)), 0) "),0.0)</f>
        <v>0</v>
      </c>
      <c r="H864" s="91">
        <f>IFERROR(__xludf.DUMMYFUNCTION("IFERROR(AVERAGE(filter('Основной эфир'!$Y:$Y, 'Основной эфир'!$B:$B=$A864,'Основной эфир'!$C:$C=$B864,'Основной эфир'!$I:$I=$C864)), 0) "),0.0)</f>
        <v>0</v>
      </c>
      <c r="I864" s="91">
        <f>IFERROR(__xludf.DUMMYFUNCTION("IFERROR(AVERAGE(filter('Основной эфир'!$AE:$AE, 'Основной эфир'!$B:$B=$A864,'Основной эфир'!$C:$C=$B864,'Основной эфир'!$I:$I=$C864)), 0) "),0.0)</f>
        <v>0</v>
      </c>
      <c r="J864" s="91">
        <f>IFERROR(__xludf.DUMMYFUNCTION("IFERROR(SUM(filter('Основной эфир'!$AL:$AL, 'Основной эфир'!$B:$B=$A864,'Основной эфир'!$C:$C=$B864,'Основной эфир'!$I:$I=$C864)), 0) "),0.0)</f>
        <v>0</v>
      </c>
      <c r="K864" s="91" t="str">
        <f>IFERROR(__xludf.DUMMYFUNCTION("IFERROR(REGEXREPLACE(unique(filter('Основной эфир'!$A:$A, 'Основной эфир'!$B:$B=$A864,'Основной эфир'!$C:$C=$B864,'Основной эфир'!$I:$I=$C864)), ""\d+"", """"),"""")"),"")</f>
        <v/>
      </c>
      <c r="L864" s="91" t="str">
        <f>IFERROR(__xludf.DUMMYFUNCTION("IFERROR(unique(filter('Основной эфир'!$F:$F, 'Основной эфир'!$B:$B=$A864,'Основной эфир'!$C:$C=$B864,'Основной эфир'!$I:$I=$C864)),"""")"),"")</f>
        <v/>
      </c>
      <c r="M864" s="92" t="str">
        <f t="shared" si="1"/>
        <v/>
      </c>
      <c r="N864" s="93">
        <f>IFERROR(__xludf.DUMMYFUNCTION("IFERROR(SWITCH(lower(join("" "",L864:M864)),""а миллионник"", 62.5,""б миллионник"", 75,""а мск"", 50, ""б мск"", 62.5, ""a остальное"", 70, ""б остальное"", 80)/100,0)"),0.0)</f>
        <v>0</v>
      </c>
      <c r="O864" s="91">
        <f t="shared" si="2"/>
        <v>0</v>
      </c>
      <c r="P864" s="91">
        <f>IFERROR(__xludf.DUMMYFUNCTION("IFERROR(sum(filter('Генеральный баннер'!$O:$O, 'Генеральный баннер'!$B:$B=$A864,'Генеральный баннер'!$C:$C=$B864,'Генеральный баннер'!$I:$I=$C864)), 0) "),0.0)</f>
        <v>0</v>
      </c>
      <c r="Q864" s="91">
        <f>IFERROR(__xludf.DUMMYFUNCTION("IFERROR(sum(filter('Генеральный баннер'!$Q:$Q, 'Генеральный баннер'!$B:$B=$A864,'Генеральный баннер'!$C:$C=$B864,'Генеральный баннер'!$I:$I=$C864)), 0) "),0.0)</f>
        <v>0</v>
      </c>
      <c r="R864" s="91">
        <f>IFERROR(__xludf.DUMMYFUNCTION("IFERROR(AVERAGE(filter('Генеральный баннер'!$AA:$AA, 'Генеральный баннер'!$B:$B=$A864,'Генеральный баннер'!$C:$C=$B864,'Генеральный баннер'!$I:$I=$C864)), 0) "),0.0)</f>
        <v>0</v>
      </c>
      <c r="S864" s="91">
        <f>IFERROR(__xludf.DUMMYFUNCTION("IFERROR(SUM(filter('Генеральный баннер'!$AH:$AH, 'Генеральный баннер'!$B:$B=$A864,'Генеральный баннер'!$C:$C=$B864,'Генеральный баннер'!$I:$I=$C864)), 0) "),0.0)</f>
        <v>0</v>
      </c>
      <c r="T864" s="91" t="str">
        <f>IFERROR(__xludf.DUMMYFUNCTION("IFERROR(REGEXREPLACE(unique(filter('Генеральный баннер'!$A:$A, 'Генеральный баннер'!$B:$B=$A864,'Генеральный баннер'!$C:$C=$B864,'Генеральный баннер'!$I:$I=$C864)), ""\d+"", """"),"""")"),"")</f>
        <v/>
      </c>
      <c r="U864" s="91" t="str">
        <f>IFERROR(__xludf.DUMMYFUNCTION("IFERROR(unique(filter('Генеральный баннер'!$F:$F, 'Генеральный баннер'!$B:$B=$A864,'Генеральный баннер'!$C:$C=$B864,'Генеральный баннер'!$I:$I=$C864)),"""")"),"")</f>
        <v/>
      </c>
      <c r="V864" s="92" t="str">
        <f t="shared" si="3"/>
        <v/>
      </c>
      <c r="W864" s="93">
        <f>IFERROR(__xludf.DUMMYFUNCTION("IFERROR(SWITCH(lower(join("" "",U864:V864)),""а миллионник"", 62.5,""б миллионник"", 75,""а мск"", 50, ""б мск"", 62.5, ""a остальное"", 70, ""б остальное"", 80)/100,0)"),0.0)</f>
        <v>0</v>
      </c>
      <c r="X864" s="91">
        <f t="shared" si="4"/>
        <v>0</v>
      </c>
    </row>
    <row r="865">
      <c r="A865" s="12"/>
      <c r="B865" s="12"/>
      <c r="C865" s="12"/>
      <c r="D865" s="91">
        <f>IFERROR(__xludf.DUMMYFUNCTION("IFERROR(sum(filter('Основной эфир'!$AA:$AA, 'Основной эфир'!$B:$B=$A865,'Основной эфир'!$C:$C=$B865,'Основной эфир'!$I:$I=$C865)), 0) "),0.0)</f>
        <v>0</v>
      </c>
      <c r="E865" s="91">
        <f>IFERROR(__xludf.DUMMYFUNCTION("IFERROR(sum(filter('Основной эфир'!$AC:$AC, 'Основной эфир'!$B:$B=$A865,'Основной эфир'!$C:$C=$B865,'Основной эфир'!$I:$I=$C865)), 0) "),0.0)</f>
        <v>0</v>
      </c>
      <c r="F865" s="91">
        <f>IFERROR(__xludf.DUMMYFUNCTION("IFERROR(sum(filter('Основной эфир'!$O:$O, 'Основной эфир'!$B:$B=$A865,'Основной эфир'!$C:$C=$B865,'Основной эфир'!$I:$I=$C865)), 0) "),0.0)</f>
        <v>0</v>
      </c>
      <c r="G865" s="91">
        <f>IFERROR(__xludf.DUMMYFUNCTION("IFERROR(sum(filter('Основной эфир'!$Q:$Q, 'Основной эфир'!$B:$B=$A865,'Основной эфир'!$C:$C=$B865,'Основной эфир'!$I:$I=$C865)), 0) "),0.0)</f>
        <v>0</v>
      </c>
      <c r="H865" s="91">
        <f>IFERROR(__xludf.DUMMYFUNCTION("IFERROR(AVERAGE(filter('Основной эфир'!$Y:$Y, 'Основной эфир'!$B:$B=$A865,'Основной эфир'!$C:$C=$B865,'Основной эфир'!$I:$I=$C865)), 0) "),0.0)</f>
        <v>0</v>
      </c>
      <c r="I865" s="91">
        <f>IFERROR(__xludf.DUMMYFUNCTION("IFERROR(AVERAGE(filter('Основной эфир'!$AE:$AE, 'Основной эфир'!$B:$B=$A865,'Основной эфир'!$C:$C=$B865,'Основной эфир'!$I:$I=$C865)), 0) "),0.0)</f>
        <v>0</v>
      </c>
      <c r="J865" s="91">
        <f>IFERROR(__xludf.DUMMYFUNCTION("IFERROR(SUM(filter('Основной эфир'!$AL:$AL, 'Основной эфир'!$B:$B=$A865,'Основной эфир'!$C:$C=$B865,'Основной эфир'!$I:$I=$C865)), 0) "),0.0)</f>
        <v>0</v>
      </c>
      <c r="K865" s="91" t="str">
        <f>IFERROR(__xludf.DUMMYFUNCTION("IFERROR(REGEXREPLACE(unique(filter('Основной эфир'!$A:$A, 'Основной эфир'!$B:$B=$A865,'Основной эфир'!$C:$C=$B865,'Основной эфир'!$I:$I=$C865)), ""\d+"", """"),"""")"),"")</f>
        <v/>
      </c>
      <c r="L865" s="91" t="str">
        <f>IFERROR(__xludf.DUMMYFUNCTION("IFERROR(unique(filter('Основной эфир'!$F:$F, 'Основной эфир'!$B:$B=$A865,'Основной эфир'!$C:$C=$B865,'Основной эфир'!$I:$I=$C865)),"""")"),"")</f>
        <v/>
      </c>
      <c r="M865" s="92" t="str">
        <f t="shared" si="1"/>
        <v/>
      </c>
      <c r="N865" s="93">
        <f>IFERROR(__xludf.DUMMYFUNCTION("IFERROR(SWITCH(lower(join("" "",L865:M865)),""а миллионник"", 62.5,""б миллионник"", 75,""а мск"", 50, ""б мск"", 62.5, ""a остальное"", 70, ""б остальное"", 80)/100,0)"),0.0)</f>
        <v>0</v>
      </c>
      <c r="O865" s="91">
        <f t="shared" si="2"/>
        <v>0</v>
      </c>
      <c r="P865" s="91">
        <f>IFERROR(__xludf.DUMMYFUNCTION("IFERROR(sum(filter('Генеральный баннер'!$O:$O, 'Генеральный баннер'!$B:$B=$A865,'Генеральный баннер'!$C:$C=$B865,'Генеральный баннер'!$I:$I=$C865)), 0) "),0.0)</f>
        <v>0</v>
      </c>
      <c r="Q865" s="91">
        <f>IFERROR(__xludf.DUMMYFUNCTION("IFERROR(sum(filter('Генеральный баннер'!$Q:$Q, 'Генеральный баннер'!$B:$B=$A865,'Генеральный баннер'!$C:$C=$B865,'Генеральный баннер'!$I:$I=$C865)), 0) "),0.0)</f>
        <v>0</v>
      </c>
      <c r="R865" s="91">
        <f>IFERROR(__xludf.DUMMYFUNCTION("IFERROR(AVERAGE(filter('Генеральный баннер'!$AA:$AA, 'Генеральный баннер'!$B:$B=$A865,'Генеральный баннер'!$C:$C=$B865,'Генеральный баннер'!$I:$I=$C865)), 0) "),0.0)</f>
        <v>0</v>
      </c>
      <c r="S865" s="91">
        <f>IFERROR(__xludf.DUMMYFUNCTION("IFERROR(SUM(filter('Генеральный баннер'!$AH:$AH, 'Генеральный баннер'!$B:$B=$A865,'Генеральный баннер'!$C:$C=$B865,'Генеральный баннер'!$I:$I=$C865)), 0) "),0.0)</f>
        <v>0</v>
      </c>
      <c r="T865" s="91" t="str">
        <f>IFERROR(__xludf.DUMMYFUNCTION("IFERROR(REGEXREPLACE(unique(filter('Генеральный баннер'!$A:$A, 'Генеральный баннер'!$B:$B=$A865,'Генеральный баннер'!$C:$C=$B865,'Генеральный баннер'!$I:$I=$C865)), ""\d+"", """"),"""")"),"")</f>
        <v/>
      </c>
      <c r="U865" s="91" t="str">
        <f>IFERROR(__xludf.DUMMYFUNCTION("IFERROR(unique(filter('Генеральный баннер'!$F:$F, 'Генеральный баннер'!$B:$B=$A865,'Генеральный баннер'!$C:$C=$B865,'Генеральный баннер'!$I:$I=$C865)),"""")"),"")</f>
        <v/>
      </c>
      <c r="V865" s="92" t="str">
        <f t="shared" si="3"/>
        <v/>
      </c>
      <c r="W865" s="93">
        <f>IFERROR(__xludf.DUMMYFUNCTION("IFERROR(SWITCH(lower(join("" "",U865:V865)),""а миллионник"", 62.5,""б миллионник"", 75,""а мск"", 50, ""б мск"", 62.5, ""a остальное"", 70, ""б остальное"", 80)/100,0)"),0.0)</f>
        <v>0</v>
      </c>
      <c r="X865" s="91">
        <f t="shared" si="4"/>
        <v>0</v>
      </c>
    </row>
    <row r="866">
      <c r="A866" s="12"/>
      <c r="B866" s="12"/>
      <c r="C866" s="12"/>
      <c r="D866" s="91">
        <f>IFERROR(__xludf.DUMMYFUNCTION("IFERROR(sum(filter('Основной эфир'!$AA:$AA, 'Основной эфир'!$B:$B=$A866,'Основной эфир'!$C:$C=$B866,'Основной эфир'!$I:$I=$C866)), 0) "),0.0)</f>
        <v>0</v>
      </c>
      <c r="E866" s="91">
        <f>IFERROR(__xludf.DUMMYFUNCTION("IFERROR(sum(filter('Основной эфир'!$AC:$AC, 'Основной эфир'!$B:$B=$A866,'Основной эфир'!$C:$C=$B866,'Основной эфир'!$I:$I=$C866)), 0) "),0.0)</f>
        <v>0</v>
      </c>
      <c r="F866" s="91">
        <f>IFERROR(__xludf.DUMMYFUNCTION("IFERROR(sum(filter('Основной эфир'!$O:$O, 'Основной эфир'!$B:$B=$A866,'Основной эфир'!$C:$C=$B866,'Основной эфир'!$I:$I=$C866)), 0) "),0.0)</f>
        <v>0</v>
      </c>
      <c r="G866" s="91">
        <f>IFERROR(__xludf.DUMMYFUNCTION("IFERROR(sum(filter('Основной эфир'!$Q:$Q, 'Основной эфир'!$B:$B=$A866,'Основной эфир'!$C:$C=$B866,'Основной эфир'!$I:$I=$C866)), 0) "),0.0)</f>
        <v>0</v>
      </c>
      <c r="H866" s="91">
        <f>IFERROR(__xludf.DUMMYFUNCTION("IFERROR(AVERAGE(filter('Основной эфир'!$Y:$Y, 'Основной эфир'!$B:$B=$A866,'Основной эфир'!$C:$C=$B866,'Основной эфир'!$I:$I=$C866)), 0) "),0.0)</f>
        <v>0</v>
      </c>
      <c r="I866" s="91">
        <f>IFERROR(__xludf.DUMMYFUNCTION("IFERROR(AVERAGE(filter('Основной эфир'!$AE:$AE, 'Основной эфир'!$B:$B=$A866,'Основной эфир'!$C:$C=$B866,'Основной эфир'!$I:$I=$C866)), 0) "),0.0)</f>
        <v>0</v>
      </c>
      <c r="J866" s="91">
        <f>IFERROR(__xludf.DUMMYFUNCTION("IFERROR(SUM(filter('Основной эфир'!$AL:$AL, 'Основной эфир'!$B:$B=$A866,'Основной эфир'!$C:$C=$B866,'Основной эфир'!$I:$I=$C866)), 0) "),0.0)</f>
        <v>0</v>
      </c>
      <c r="K866" s="91" t="str">
        <f>IFERROR(__xludf.DUMMYFUNCTION("IFERROR(REGEXREPLACE(unique(filter('Основной эфир'!$A:$A, 'Основной эфир'!$B:$B=$A866,'Основной эфир'!$C:$C=$B866,'Основной эфир'!$I:$I=$C866)), ""\d+"", """"),"""")"),"")</f>
        <v/>
      </c>
      <c r="L866" s="91" t="str">
        <f>IFERROR(__xludf.DUMMYFUNCTION("IFERROR(unique(filter('Основной эфир'!$F:$F, 'Основной эфир'!$B:$B=$A866,'Основной эфир'!$C:$C=$B866,'Основной эфир'!$I:$I=$C866)),"""")"),"")</f>
        <v/>
      </c>
      <c r="M866" s="92" t="str">
        <f t="shared" si="1"/>
        <v/>
      </c>
      <c r="N866" s="93">
        <f>IFERROR(__xludf.DUMMYFUNCTION("IFERROR(SWITCH(lower(join("" "",L866:M866)),""а миллионник"", 62.5,""б миллионник"", 75,""а мск"", 50, ""б мск"", 62.5, ""a остальное"", 70, ""б остальное"", 80)/100,0)"),0.0)</f>
        <v>0</v>
      </c>
      <c r="O866" s="91">
        <f t="shared" si="2"/>
        <v>0</v>
      </c>
      <c r="P866" s="91">
        <f>IFERROR(__xludf.DUMMYFUNCTION("IFERROR(sum(filter('Генеральный баннер'!$O:$O, 'Генеральный баннер'!$B:$B=$A866,'Генеральный баннер'!$C:$C=$B866,'Генеральный баннер'!$I:$I=$C866)), 0) "),0.0)</f>
        <v>0</v>
      </c>
      <c r="Q866" s="91">
        <f>IFERROR(__xludf.DUMMYFUNCTION("IFERROR(sum(filter('Генеральный баннер'!$Q:$Q, 'Генеральный баннер'!$B:$B=$A866,'Генеральный баннер'!$C:$C=$B866,'Генеральный баннер'!$I:$I=$C866)), 0) "),0.0)</f>
        <v>0</v>
      </c>
      <c r="R866" s="91">
        <f>IFERROR(__xludf.DUMMYFUNCTION("IFERROR(AVERAGE(filter('Генеральный баннер'!$AA:$AA, 'Генеральный баннер'!$B:$B=$A866,'Генеральный баннер'!$C:$C=$B866,'Генеральный баннер'!$I:$I=$C866)), 0) "),0.0)</f>
        <v>0</v>
      </c>
      <c r="S866" s="91">
        <f>IFERROR(__xludf.DUMMYFUNCTION("IFERROR(SUM(filter('Генеральный баннер'!$AH:$AH, 'Генеральный баннер'!$B:$B=$A866,'Генеральный баннер'!$C:$C=$B866,'Генеральный баннер'!$I:$I=$C866)), 0) "),0.0)</f>
        <v>0</v>
      </c>
      <c r="T866" s="91" t="str">
        <f>IFERROR(__xludf.DUMMYFUNCTION("IFERROR(REGEXREPLACE(unique(filter('Генеральный баннер'!$A:$A, 'Генеральный баннер'!$B:$B=$A866,'Генеральный баннер'!$C:$C=$B866,'Генеральный баннер'!$I:$I=$C866)), ""\d+"", """"),"""")"),"")</f>
        <v/>
      </c>
      <c r="U866" s="91" t="str">
        <f>IFERROR(__xludf.DUMMYFUNCTION("IFERROR(unique(filter('Генеральный баннер'!$F:$F, 'Генеральный баннер'!$B:$B=$A866,'Генеральный баннер'!$C:$C=$B866,'Генеральный баннер'!$I:$I=$C866)),"""")"),"")</f>
        <v/>
      </c>
      <c r="V866" s="92" t="str">
        <f t="shared" si="3"/>
        <v/>
      </c>
      <c r="W866" s="93">
        <f>IFERROR(__xludf.DUMMYFUNCTION("IFERROR(SWITCH(lower(join("" "",U866:V866)),""а миллионник"", 62.5,""б миллионник"", 75,""а мск"", 50, ""б мск"", 62.5, ""a остальное"", 70, ""б остальное"", 80)/100,0)"),0.0)</f>
        <v>0</v>
      </c>
      <c r="X866" s="91">
        <f t="shared" si="4"/>
        <v>0</v>
      </c>
    </row>
    <row r="867">
      <c r="A867" s="12"/>
      <c r="B867" s="12"/>
      <c r="C867" s="12"/>
      <c r="D867" s="91">
        <f>IFERROR(__xludf.DUMMYFUNCTION("IFERROR(sum(filter('Основной эфир'!$AA:$AA, 'Основной эфир'!$B:$B=$A867,'Основной эфир'!$C:$C=$B867,'Основной эфир'!$I:$I=$C867)), 0) "),0.0)</f>
        <v>0</v>
      </c>
      <c r="E867" s="91">
        <f>IFERROR(__xludf.DUMMYFUNCTION("IFERROR(sum(filter('Основной эфир'!$AC:$AC, 'Основной эфир'!$B:$B=$A867,'Основной эфир'!$C:$C=$B867,'Основной эфир'!$I:$I=$C867)), 0) "),0.0)</f>
        <v>0</v>
      </c>
      <c r="F867" s="91">
        <f>IFERROR(__xludf.DUMMYFUNCTION("IFERROR(sum(filter('Основной эфир'!$O:$O, 'Основной эфир'!$B:$B=$A867,'Основной эфир'!$C:$C=$B867,'Основной эфир'!$I:$I=$C867)), 0) "),0.0)</f>
        <v>0</v>
      </c>
      <c r="G867" s="91">
        <f>IFERROR(__xludf.DUMMYFUNCTION("IFERROR(sum(filter('Основной эфир'!$Q:$Q, 'Основной эфир'!$B:$B=$A867,'Основной эфир'!$C:$C=$B867,'Основной эфир'!$I:$I=$C867)), 0) "),0.0)</f>
        <v>0</v>
      </c>
      <c r="H867" s="91">
        <f>IFERROR(__xludf.DUMMYFUNCTION("IFERROR(AVERAGE(filter('Основной эфир'!$Y:$Y, 'Основной эфир'!$B:$B=$A867,'Основной эфир'!$C:$C=$B867,'Основной эфир'!$I:$I=$C867)), 0) "),0.0)</f>
        <v>0</v>
      </c>
      <c r="I867" s="91">
        <f>IFERROR(__xludf.DUMMYFUNCTION("IFERROR(AVERAGE(filter('Основной эфир'!$AE:$AE, 'Основной эфир'!$B:$B=$A867,'Основной эфир'!$C:$C=$B867,'Основной эфир'!$I:$I=$C867)), 0) "),0.0)</f>
        <v>0</v>
      </c>
      <c r="J867" s="91">
        <f>IFERROR(__xludf.DUMMYFUNCTION("IFERROR(SUM(filter('Основной эфир'!$AL:$AL, 'Основной эфир'!$B:$B=$A867,'Основной эфир'!$C:$C=$B867,'Основной эфир'!$I:$I=$C867)), 0) "),0.0)</f>
        <v>0</v>
      </c>
      <c r="K867" s="91" t="str">
        <f>IFERROR(__xludf.DUMMYFUNCTION("IFERROR(REGEXREPLACE(unique(filter('Основной эфир'!$A:$A, 'Основной эфир'!$B:$B=$A867,'Основной эфир'!$C:$C=$B867,'Основной эфир'!$I:$I=$C867)), ""\d+"", """"),"""")"),"")</f>
        <v/>
      </c>
      <c r="L867" s="91" t="str">
        <f>IFERROR(__xludf.DUMMYFUNCTION("IFERROR(unique(filter('Основной эфир'!$F:$F, 'Основной эфир'!$B:$B=$A867,'Основной эфир'!$C:$C=$B867,'Основной эфир'!$I:$I=$C867)),"""")"),"")</f>
        <v/>
      </c>
      <c r="M867" s="92" t="str">
        <f t="shared" si="1"/>
        <v/>
      </c>
      <c r="N867" s="93">
        <f>IFERROR(__xludf.DUMMYFUNCTION("IFERROR(SWITCH(lower(join("" "",L867:M867)),""а миллионник"", 62.5,""б миллионник"", 75,""а мск"", 50, ""б мск"", 62.5, ""a остальное"", 70, ""б остальное"", 80)/100,0)"),0.0)</f>
        <v>0</v>
      </c>
      <c r="O867" s="91">
        <f t="shared" si="2"/>
        <v>0</v>
      </c>
      <c r="P867" s="91">
        <f>IFERROR(__xludf.DUMMYFUNCTION("IFERROR(sum(filter('Генеральный баннер'!$O:$O, 'Генеральный баннер'!$B:$B=$A867,'Генеральный баннер'!$C:$C=$B867,'Генеральный баннер'!$I:$I=$C867)), 0) "),0.0)</f>
        <v>0</v>
      </c>
      <c r="Q867" s="91">
        <f>IFERROR(__xludf.DUMMYFUNCTION("IFERROR(sum(filter('Генеральный баннер'!$Q:$Q, 'Генеральный баннер'!$B:$B=$A867,'Генеральный баннер'!$C:$C=$B867,'Генеральный баннер'!$I:$I=$C867)), 0) "),0.0)</f>
        <v>0</v>
      </c>
      <c r="R867" s="91">
        <f>IFERROR(__xludf.DUMMYFUNCTION("IFERROR(AVERAGE(filter('Генеральный баннер'!$AA:$AA, 'Генеральный баннер'!$B:$B=$A867,'Генеральный баннер'!$C:$C=$B867,'Генеральный баннер'!$I:$I=$C867)), 0) "),0.0)</f>
        <v>0</v>
      </c>
      <c r="S867" s="91">
        <f>IFERROR(__xludf.DUMMYFUNCTION("IFERROR(SUM(filter('Генеральный баннер'!$AH:$AH, 'Генеральный баннер'!$B:$B=$A867,'Генеральный баннер'!$C:$C=$B867,'Генеральный баннер'!$I:$I=$C867)), 0) "),0.0)</f>
        <v>0</v>
      </c>
      <c r="T867" s="91" t="str">
        <f>IFERROR(__xludf.DUMMYFUNCTION("IFERROR(REGEXREPLACE(unique(filter('Генеральный баннер'!$A:$A, 'Генеральный баннер'!$B:$B=$A867,'Генеральный баннер'!$C:$C=$B867,'Генеральный баннер'!$I:$I=$C867)), ""\d+"", """"),"""")"),"")</f>
        <v/>
      </c>
      <c r="U867" s="91" t="str">
        <f>IFERROR(__xludf.DUMMYFUNCTION("IFERROR(unique(filter('Генеральный баннер'!$F:$F, 'Генеральный баннер'!$B:$B=$A867,'Генеральный баннер'!$C:$C=$B867,'Генеральный баннер'!$I:$I=$C867)),"""")"),"")</f>
        <v/>
      </c>
      <c r="V867" s="92" t="str">
        <f t="shared" si="3"/>
        <v/>
      </c>
      <c r="W867" s="93">
        <f>IFERROR(__xludf.DUMMYFUNCTION("IFERROR(SWITCH(lower(join("" "",U867:V867)),""а миллионник"", 62.5,""б миллионник"", 75,""а мск"", 50, ""б мск"", 62.5, ""a остальное"", 70, ""б остальное"", 80)/100,0)"),0.0)</f>
        <v>0</v>
      </c>
      <c r="X867" s="91">
        <f t="shared" si="4"/>
        <v>0</v>
      </c>
    </row>
    <row r="868">
      <c r="A868" s="12"/>
      <c r="B868" s="12"/>
      <c r="C868" s="12"/>
      <c r="D868" s="91">
        <f>IFERROR(__xludf.DUMMYFUNCTION("IFERROR(sum(filter('Основной эфир'!$AA:$AA, 'Основной эфир'!$B:$B=$A868,'Основной эфир'!$C:$C=$B868,'Основной эфир'!$I:$I=$C868)), 0) "),0.0)</f>
        <v>0</v>
      </c>
      <c r="E868" s="91">
        <f>IFERROR(__xludf.DUMMYFUNCTION("IFERROR(sum(filter('Основной эфир'!$AC:$AC, 'Основной эфир'!$B:$B=$A868,'Основной эфир'!$C:$C=$B868,'Основной эфир'!$I:$I=$C868)), 0) "),0.0)</f>
        <v>0</v>
      </c>
      <c r="F868" s="91">
        <f>IFERROR(__xludf.DUMMYFUNCTION("IFERROR(sum(filter('Основной эфир'!$O:$O, 'Основной эфир'!$B:$B=$A868,'Основной эфир'!$C:$C=$B868,'Основной эфир'!$I:$I=$C868)), 0) "),0.0)</f>
        <v>0</v>
      </c>
      <c r="G868" s="91">
        <f>IFERROR(__xludf.DUMMYFUNCTION("IFERROR(sum(filter('Основной эфир'!$Q:$Q, 'Основной эфир'!$B:$B=$A868,'Основной эфир'!$C:$C=$B868,'Основной эфир'!$I:$I=$C868)), 0) "),0.0)</f>
        <v>0</v>
      </c>
      <c r="H868" s="91">
        <f>IFERROR(__xludf.DUMMYFUNCTION("IFERROR(AVERAGE(filter('Основной эфир'!$Y:$Y, 'Основной эфир'!$B:$B=$A868,'Основной эфир'!$C:$C=$B868,'Основной эфир'!$I:$I=$C868)), 0) "),0.0)</f>
        <v>0</v>
      </c>
      <c r="I868" s="91">
        <f>IFERROR(__xludf.DUMMYFUNCTION("IFERROR(AVERAGE(filter('Основной эфир'!$AE:$AE, 'Основной эфир'!$B:$B=$A868,'Основной эфир'!$C:$C=$B868,'Основной эфир'!$I:$I=$C868)), 0) "),0.0)</f>
        <v>0</v>
      </c>
      <c r="J868" s="91">
        <f>IFERROR(__xludf.DUMMYFUNCTION("IFERROR(SUM(filter('Основной эфир'!$AL:$AL, 'Основной эфир'!$B:$B=$A868,'Основной эфир'!$C:$C=$B868,'Основной эфир'!$I:$I=$C868)), 0) "),0.0)</f>
        <v>0</v>
      </c>
      <c r="K868" s="91" t="str">
        <f>IFERROR(__xludf.DUMMYFUNCTION("IFERROR(REGEXREPLACE(unique(filter('Основной эфир'!$A:$A, 'Основной эфир'!$B:$B=$A868,'Основной эфир'!$C:$C=$B868,'Основной эфир'!$I:$I=$C868)), ""\d+"", """"),"""")"),"")</f>
        <v/>
      </c>
      <c r="L868" s="91" t="str">
        <f>IFERROR(__xludf.DUMMYFUNCTION("IFERROR(unique(filter('Основной эфир'!$F:$F, 'Основной эфир'!$B:$B=$A868,'Основной эфир'!$C:$C=$B868,'Основной эфир'!$I:$I=$C868)),"""")"),"")</f>
        <v/>
      </c>
      <c r="M868" s="92" t="str">
        <f t="shared" si="1"/>
        <v/>
      </c>
      <c r="N868" s="93">
        <f>IFERROR(__xludf.DUMMYFUNCTION("IFERROR(SWITCH(lower(join("" "",L868:M868)),""а миллионник"", 62.5,""б миллионник"", 75,""а мск"", 50, ""б мск"", 62.5, ""a остальное"", 70, ""б остальное"", 80)/100,0)"),0.0)</f>
        <v>0</v>
      </c>
      <c r="O868" s="91">
        <f t="shared" si="2"/>
        <v>0</v>
      </c>
      <c r="P868" s="91">
        <f>IFERROR(__xludf.DUMMYFUNCTION("IFERROR(sum(filter('Генеральный баннер'!$O:$O, 'Генеральный баннер'!$B:$B=$A868,'Генеральный баннер'!$C:$C=$B868,'Генеральный баннер'!$I:$I=$C868)), 0) "),0.0)</f>
        <v>0</v>
      </c>
      <c r="Q868" s="91">
        <f>IFERROR(__xludf.DUMMYFUNCTION("IFERROR(sum(filter('Генеральный баннер'!$Q:$Q, 'Генеральный баннер'!$B:$B=$A868,'Генеральный баннер'!$C:$C=$B868,'Генеральный баннер'!$I:$I=$C868)), 0) "),0.0)</f>
        <v>0</v>
      </c>
      <c r="R868" s="91">
        <f>IFERROR(__xludf.DUMMYFUNCTION("IFERROR(AVERAGE(filter('Генеральный баннер'!$AA:$AA, 'Генеральный баннер'!$B:$B=$A868,'Генеральный баннер'!$C:$C=$B868,'Генеральный баннер'!$I:$I=$C868)), 0) "),0.0)</f>
        <v>0</v>
      </c>
      <c r="S868" s="91">
        <f>IFERROR(__xludf.DUMMYFUNCTION("IFERROR(SUM(filter('Генеральный баннер'!$AH:$AH, 'Генеральный баннер'!$B:$B=$A868,'Генеральный баннер'!$C:$C=$B868,'Генеральный баннер'!$I:$I=$C868)), 0) "),0.0)</f>
        <v>0</v>
      </c>
      <c r="T868" s="91" t="str">
        <f>IFERROR(__xludf.DUMMYFUNCTION("IFERROR(REGEXREPLACE(unique(filter('Генеральный баннер'!$A:$A, 'Генеральный баннер'!$B:$B=$A868,'Генеральный баннер'!$C:$C=$B868,'Генеральный баннер'!$I:$I=$C868)), ""\d+"", """"),"""")"),"")</f>
        <v/>
      </c>
      <c r="U868" s="91" t="str">
        <f>IFERROR(__xludf.DUMMYFUNCTION("IFERROR(unique(filter('Генеральный баннер'!$F:$F, 'Генеральный баннер'!$B:$B=$A868,'Генеральный баннер'!$C:$C=$B868,'Генеральный баннер'!$I:$I=$C868)),"""")"),"")</f>
        <v/>
      </c>
      <c r="V868" s="92" t="str">
        <f t="shared" si="3"/>
        <v/>
      </c>
      <c r="W868" s="93">
        <f>IFERROR(__xludf.DUMMYFUNCTION("IFERROR(SWITCH(lower(join("" "",U868:V868)),""а миллионник"", 62.5,""б миллионник"", 75,""а мск"", 50, ""б мск"", 62.5, ""a остальное"", 70, ""б остальное"", 80)/100,0)"),0.0)</f>
        <v>0</v>
      </c>
      <c r="X868" s="91">
        <f t="shared" si="4"/>
        <v>0</v>
      </c>
    </row>
    <row r="869">
      <c r="A869" s="12"/>
      <c r="B869" s="12"/>
      <c r="C869" s="12"/>
      <c r="D869" s="91">
        <f>IFERROR(__xludf.DUMMYFUNCTION("IFERROR(sum(filter('Основной эфир'!$AA:$AA, 'Основной эфир'!$B:$B=$A869,'Основной эфир'!$C:$C=$B869,'Основной эфир'!$I:$I=$C869)), 0) "),0.0)</f>
        <v>0</v>
      </c>
      <c r="E869" s="91">
        <f>IFERROR(__xludf.DUMMYFUNCTION("IFERROR(sum(filter('Основной эфир'!$AC:$AC, 'Основной эфир'!$B:$B=$A869,'Основной эфир'!$C:$C=$B869,'Основной эфир'!$I:$I=$C869)), 0) "),0.0)</f>
        <v>0</v>
      </c>
      <c r="F869" s="91">
        <f>IFERROR(__xludf.DUMMYFUNCTION("IFERROR(sum(filter('Основной эфир'!$O:$O, 'Основной эфир'!$B:$B=$A869,'Основной эфир'!$C:$C=$B869,'Основной эфир'!$I:$I=$C869)), 0) "),0.0)</f>
        <v>0</v>
      </c>
      <c r="G869" s="91">
        <f>IFERROR(__xludf.DUMMYFUNCTION("IFERROR(sum(filter('Основной эфир'!$Q:$Q, 'Основной эфир'!$B:$B=$A869,'Основной эфир'!$C:$C=$B869,'Основной эфир'!$I:$I=$C869)), 0) "),0.0)</f>
        <v>0</v>
      </c>
      <c r="H869" s="91">
        <f>IFERROR(__xludf.DUMMYFUNCTION("IFERROR(AVERAGE(filter('Основной эфир'!$Y:$Y, 'Основной эфир'!$B:$B=$A869,'Основной эфир'!$C:$C=$B869,'Основной эфир'!$I:$I=$C869)), 0) "),0.0)</f>
        <v>0</v>
      </c>
      <c r="I869" s="91">
        <f>IFERROR(__xludf.DUMMYFUNCTION("IFERROR(AVERAGE(filter('Основной эфир'!$AE:$AE, 'Основной эфир'!$B:$B=$A869,'Основной эфир'!$C:$C=$B869,'Основной эфир'!$I:$I=$C869)), 0) "),0.0)</f>
        <v>0</v>
      </c>
      <c r="J869" s="91">
        <f>IFERROR(__xludf.DUMMYFUNCTION("IFERROR(SUM(filter('Основной эфир'!$AL:$AL, 'Основной эфир'!$B:$B=$A869,'Основной эфир'!$C:$C=$B869,'Основной эфир'!$I:$I=$C869)), 0) "),0.0)</f>
        <v>0</v>
      </c>
      <c r="K869" s="91" t="str">
        <f>IFERROR(__xludf.DUMMYFUNCTION("IFERROR(REGEXREPLACE(unique(filter('Основной эфир'!$A:$A, 'Основной эфир'!$B:$B=$A869,'Основной эфир'!$C:$C=$B869,'Основной эфир'!$I:$I=$C869)), ""\d+"", """"),"""")"),"")</f>
        <v/>
      </c>
      <c r="L869" s="91" t="str">
        <f>IFERROR(__xludf.DUMMYFUNCTION("IFERROR(unique(filter('Основной эфир'!$F:$F, 'Основной эфир'!$B:$B=$A869,'Основной эфир'!$C:$C=$B869,'Основной эфир'!$I:$I=$C869)),"""")"),"")</f>
        <v/>
      </c>
      <c r="M869" s="92" t="str">
        <f t="shared" si="1"/>
        <v/>
      </c>
      <c r="N869" s="93">
        <f>IFERROR(__xludf.DUMMYFUNCTION("IFERROR(SWITCH(lower(join("" "",L869:M869)),""а миллионник"", 62.5,""б миллионник"", 75,""а мск"", 50, ""б мск"", 62.5, ""a остальное"", 70, ""б остальное"", 80)/100,0)"),0.0)</f>
        <v>0</v>
      </c>
      <c r="O869" s="91">
        <f t="shared" si="2"/>
        <v>0</v>
      </c>
      <c r="P869" s="91">
        <f>IFERROR(__xludf.DUMMYFUNCTION("IFERROR(sum(filter('Генеральный баннер'!$O:$O, 'Генеральный баннер'!$B:$B=$A869,'Генеральный баннер'!$C:$C=$B869,'Генеральный баннер'!$I:$I=$C869)), 0) "),0.0)</f>
        <v>0</v>
      </c>
      <c r="Q869" s="91">
        <f>IFERROR(__xludf.DUMMYFUNCTION("IFERROR(sum(filter('Генеральный баннер'!$Q:$Q, 'Генеральный баннер'!$B:$B=$A869,'Генеральный баннер'!$C:$C=$B869,'Генеральный баннер'!$I:$I=$C869)), 0) "),0.0)</f>
        <v>0</v>
      </c>
      <c r="R869" s="91">
        <f>IFERROR(__xludf.DUMMYFUNCTION("IFERROR(AVERAGE(filter('Генеральный баннер'!$AA:$AA, 'Генеральный баннер'!$B:$B=$A869,'Генеральный баннер'!$C:$C=$B869,'Генеральный баннер'!$I:$I=$C869)), 0) "),0.0)</f>
        <v>0</v>
      </c>
      <c r="S869" s="91">
        <f>IFERROR(__xludf.DUMMYFUNCTION("IFERROR(SUM(filter('Генеральный баннер'!$AH:$AH, 'Генеральный баннер'!$B:$B=$A869,'Генеральный баннер'!$C:$C=$B869,'Генеральный баннер'!$I:$I=$C869)), 0) "),0.0)</f>
        <v>0</v>
      </c>
      <c r="T869" s="91" t="str">
        <f>IFERROR(__xludf.DUMMYFUNCTION("IFERROR(REGEXREPLACE(unique(filter('Генеральный баннер'!$A:$A, 'Генеральный баннер'!$B:$B=$A869,'Генеральный баннер'!$C:$C=$B869,'Генеральный баннер'!$I:$I=$C869)), ""\d+"", """"),"""")"),"")</f>
        <v/>
      </c>
      <c r="U869" s="91" t="str">
        <f>IFERROR(__xludf.DUMMYFUNCTION("IFERROR(unique(filter('Генеральный баннер'!$F:$F, 'Генеральный баннер'!$B:$B=$A869,'Генеральный баннер'!$C:$C=$B869,'Генеральный баннер'!$I:$I=$C869)),"""")"),"")</f>
        <v/>
      </c>
      <c r="V869" s="92" t="str">
        <f t="shared" si="3"/>
        <v/>
      </c>
      <c r="W869" s="93">
        <f>IFERROR(__xludf.DUMMYFUNCTION("IFERROR(SWITCH(lower(join("" "",U869:V869)),""а миллионник"", 62.5,""б миллионник"", 75,""а мск"", 50, ""б мск"", 62.5, ""a остальное"", 70, ""б остальное"", 80)/100,0)"),0.0)</f>
        <v>0</v>
      </c>
      <c r="X869" s="91">
        <f t="shared" si="4"/>
        <v>0</v>
      </c>
    </row>
    <row r="870">
      <c r="A870" s="12"/>
      <c r="B870" s="12"/>
      <c r="C870" s="12"/>
      <c r="D870" s="91">
        <f>IFERROR(__xludf.DUMMYFUNCTION("IFERROR(sum(filter('Основной эфир'!$AA:$AA, 'Основной эфир'!$B:$B=$A870,'Основной эфир'!$C:$C=$B870,'Основной эфир'!$I:$I=$C870)), 0) "),0.0)</f>
        <v>0</v>
      </c>
      <c r="E870" s="91">
        <f>IFERROR(__xludf.DUMMYFUNCTION("IFERROR(sum(filter('Основной эфир'!$AC:$AC, 'Основной эфир'!$B:$B=$A870,'Основной эфир'!$C:$C=$B870,'Основной эфир'!$I:$I=$C870)), 0) "),0.0)</f>
        <v>0</v>
      </c>
      <c r="F870" s="91">
        <f>IFERROR(__xludf.DUMMYFUNCTION("IFERROR(sum(filter('Основной эфир'!$O:$O, 'Основной эфир'!$B:$B=$A870,'Основной эфир'!$C:$C=$B870,'Основной эфир'!$I:$I=$C870)), 0) "),0.0)</f>
        <v>0</v>
      </c>
      <c r="G870" s="91">
        <f>IFERROR(__xludf.DUMMYFUNCTION("IFERROR(sum(filter('Основной эфир'!$Q:$Q, 'Основной эфир'!$B:$B=$A870,'Основной эфир'!$C:$C=$B870,'Основной эфир'!$I:$I=$C870)), 0) "),0.0)</f>
        <v>0</v>
      </c>
      <c r="H870" s="91">
        <f>IFERROR(__xludf.DUMMYFUNCTION("IFERROR(AVERAGE(filter('Основной эфир'!$Y:$Y, 'Основной эфир'!$B:$B=$A870,'Основной эфир'!$C:$C=$B870,'Основной эфир'!$I:$I=$C870)), 0) "),0.0)</f>
        <v>0</v>
      </c>
      <c r="I870" s="91">
        <f>IFERROR(__xludf.DUMMYFUNCTION("IFERROR(AVERAGE(filter('Основной эфир'!$AE:$AE, 'Основной эфир'!$B:$B=$A870,'Основной эфир'!$C:$C=$B870,'Основной эфир'!$I:$I=$C870)), 0) "),0.0)</f>
        <v>0</v>
      </c>
      <c r="J870" s="91">
        <f>IFERROR(__xludf.DUMMYFUNCTION("IFERROR(SUM(filter('Основной эфир'!$AL:$AL, 'Основной эфир'!$B:$B=$A870,'Основной эфир'!$C:$C=$B870,'Основной эфир'!$I:$I=$C870)), 0) "),0.0)</f>
        <v>0</v>
      </c>
      <c r="K870" s="91" t="str">
        <f>IFERROR(__xludf.DUMMYFUNCTION("IFERROR(REGEXREPLACE(unique(filter('Основной эфир'!$A:$A, 'Основной эфир'!$B:$B=$A870,'Основной эфир'!$C:$C=$B870,'Основной эфир'!$I:$I=$C870)), ""\d+"", """"),"""")"),"")</f>
        <v/>
      </c>
      <c r="L870" s="91" t="str">
        <f>IFERROR(__xludf.DUMMYFUNCTION("IFERROR(unique(filter('Основной эфир'!$F:$F, 'Основной эфир'!$B:$B=$A870,'Основной эфир'!$C:$C=$B870,'Основной эфир'!$I:$I=$C870)),"""")"),"")</f>
        <v/>
      </c>
      <c r="M870" s="92" t="str">
        <f t="shared" si="1"/>
        <v/>
      </c>
      <c r="N870" s="93">
        <f>IFERROR(__xludf.DUMMYFUNCTION("IFERROR(SWITCH(lower(join("" "",L870:M870)),""а миллионник"", 62.5,""б миллионник"", 75,""а мск"", 50, ""б мск"", 62.5, ""a остальное"", 70, ""б остальное"", 80)/100,0)"),0.0)</f>
        <v>0</v>
      </c>
      <c r="O870" s="91">
        <f t="shared" si="2"/>
        <v>0</v>
      </c>
      <c r="P870" s="91">
        <f>IFERROR(__xludf.DUMMYFUNCTION("IFERROR(sum(filter('Генеральный баннер'!$O:$O, 'Генеральный баннер'!$B:$B=$A870,'Генеральный баннер'!$C:$C=$B870,'Генеральный баннер'!$I:$I=$C870)), 0) "),0.0)</f>
        <v>0</v>
      </c>
      <c r="Q870" s="91">
        <f>IFERROR(__xludf.DUMMYFUNCTION("IFERROR(sum(filter('Генеральный баннер'!$Q:$Q, 'Генеральный баннер'!$B:$B=$A870,'Генеральный баннер'!$C:$C=$B870,'Генеральный баннер'!$I:$I=$C870)), 0) "),0.0)</f>
        <v>0</v>
      </c>
      <c r="R870" s="91">
        <f>IFERROR(__xludf.DUMMYFUNCTION("IFERROR(AVERAGE(filter('Генеральный баннер'!$AA:$AA, 'Генеральный баннер'!$B:$B=$A870,'Генеральный баннер'!$C:$C=$B870,'Генеральный баннер'!$I:$I=$C870)), 0) "),0.0)</f>
        <v>0</v>
      </c>
      <c r="S870" s="91">
        <f>IFERROR(__xludf.DUMMYFUNCTION("IFERROR(SUM(filter('Генеральный баннер'!$AH:$AH, 'Генеральный баннер'!$B:$B=$A870,'Генеральный баннер'!$C:$C=$B870,'Генеральный баннер'!$I:$I=$C870)), 0) "),0.0)</f>
        <v>0</v>
      </c>
      <c r="T870" s="91" t="str">
        <f>IFERROR(__xludf.DUMMYFUNCTION("IFERROR(REGEXREPLACE(unique(filter('Генеральный баннер'!$A:$A, 'Генеральный баннер'!$B:$B=$A870,'Генеральный баннер'!$C:$C=$B870,'Генеральный баннер'!$I:$I=$C870)), ""\d+"", """"),"""")"),"")</f>
        <v/>
      </c>
      <c r="U870" s="91" t="str">
        <f>IFERROR(__xludf.DUMMYFUNCTION("IFERROR(unique(filter('Генеральный баннер'!$F:$F, 'Генеральный баннер'!$B:$B=$A870,'Генеральный баннер'!$C:$C=$B870,'Генеральный баннер'!$I:$I=$C870)),"""")"),"")</f>
        <v/>
      </c>
      <c r="V870" s="92" t="str">
        <f t="shared" si="3"/>
        <v/>
      </c>
      <c r="W870" s="93">
        <f>IFERROR(__xludf.DUMMYFUNCTION("IFERROR(SWITCH(lower(join("" "",U870:V870)),""а миллионник"", 62.5,""б миллионник"", 75,""а мск"", 50, ""б мск"", 62.5, ""a остальное"", 70, ""б остальное"", 80)/100,0)"),0.0)</f>
        <v>0</v>
      </c>
      <c r="X870" s="91">
        <f t="shared" si="4"/>
        <v>0</v>
      </c>
    </row>
    <row r="871">
      <c r="A871" s="12"/>
      <c r="B871" s="12"/>
      <c r="C871" s="12"/>
      <c r="D871" s="91">
        <f>IFERROR(__xludf.DUMMYFUNCTION("IFERROR(sum(filter('Основной эфир'!$AA:$AA, 'Основной эфир'!$B:$B=$A871,'Основной эфир'!$C:$C=$B871,'Основной эфир'!$I:$I=$C871)), 0) "),0.0)</f>
        <v>0</v>
      </c>
      <c r="E871" s="91">
        <f>IFERROR(__xludf.DUMMYFUNCTION("IFERROR(sum(filter('Основной эфир'!$AC:$AC, 'Основной эфир'!$B:$B=$A871,'Основной эфир'!$C:$C=$B871,'Основной эфир'!$I:$I=$C871)), 0) "),0.0)</f>
        <v>0</v>
      </c>
      <c r="F871" s="91">
        <f>IFERROR(__xludf.DUMMYFUNCTION("IFERROR(sum(filter('Основной эфир'!$O:$O, 'Основной эфир'!$B:$B=$A871,'Основной эфир'!$C:$C=$B871,'Основной эфир'!$I:$I=$C871)), 0) "),0.0)</f>
        <v>0</v>
      </c>
      <c r="G871" s="91">
        <f>IFERROR(__xludf.DUMMYFUNCTION("IFERROR(sum(filter('Основной эфир'!$Q:$Q, 'Основной эфир'!$B:$B=$A871,'Основной эфир'!$C:$C=$B871,'Основной эфир'!$I:$I=$C871)), 0) "),0.0)</f>
        <v>0</v>
      </c>
      <c r="H871" s="91">
        <f>IFERROR(__xludf.DUMMYFUNCTION("IFERROR(AVERAGE(filter('Основной эфир'!$Y:$Y, 'Основной эфир'!$B:$B=$A871,'Основной эфир'!$C:$C=$B871,'Основной эфир'!$I:$I=$C871)), 0) "),0.0)</f>
        <v>0</v>
      </c>
      <c r="I871" s="91">
        <f>IFERROR(__xludf.DUMMYFUNCTION("IFERROR(AVERAGE(filter('Основной эфир'!$AE:$AE, 'Основной эфир'!$B:$B=$A871,'Основной эфир'!$C:$C=$B871,'Основной эфир'!$I:$I=$C871)), 0) "),0.0)</f>
        <v>0</v>
      </c>
      <c r="J871" s="91">
        <f>IFERROR(__xludf.DUMMYFUNCTION("IFERROR(SUM(filter('Основной эфир'!$AL:$AL, 'Основной эфир'!$B:$B=$A871,'Основной эфир'!$C:$C=$B871,'Основной эфир'!$I:$I=$C871)), 0) "),0.0)</f>
        <v>0</v>
      </c>
      <c r="K871" s="91" t="str">
        <f>IFERROR(__xludf.DUMMYFUNCTION("IFERROR(REGEXREPLACE(unique(filter('Основной эфир'!$A:$A, 'Основной эфир'!$B:$B=$A871,'Основной эфир'!$C:$C=$B871,'Основной эфир'!$I:$I=$C871)), ""\d+"", """"),"""")"),"")</f>
        <v/>
      </c>
      <c r="L871" s="91" t="str">
        <f>IFERROR(__xludf.DUMMYFUNCTION("IFERROR(unique(filter('Основной эфир'!$F:$F, 'Основной эфир'!$B:$B=$A871,'Основной эфир'!$C:$C=$B871,'Основной эфир'!$I:$I=$C871)),"""")"),"")</f>
        <v/>
      </c>
      <c r="M871" s="92" t="str">
        <f t="shared" si="1"/>
        <v/>
      </c>
      <c r="N871" s="93">
        <f>IFERROR(__xludf.DUMMYFUNCTION("IFERROR(SWITCH(lower(join("" "",L871:M871)),""а миллионник"", 62.5,""б миллионник"", 75,""а мск"", 50, ""б мск"", 62.5, ""a остальное"", 70, ""б остальное"", 80)/100,0)"),0.0)</f>
        <v>0</v>
      </c>
      <c r="O871" s="91">
        <f t="shared" si="2"/>
        <v>0</v>
      </c>
      <c r="P871" s="91">
        <f>IFERROR(__xludf.DUMMYFUNCTION("IFERROR(sum(filter('Генеральный баннер'!$O:$O, 'Генеральный баннер'!$B:$B=$A871,'Генеральный баннер'!$C:$C=$B871,'Генеральный баннер'!$I:$I=$C871)), 0) "),0.0)</f>
        <v>0</v>
      </c>
      <c r="Q871" s="91">
        <f>IFERROR(__xludf.DUMMYFUNCTION("IFERROR(sum(filter('Генеральный баннер'!$Q:$Q, 'Генеральный баннер'!$B:$B=$A871,'Генеральный баннер'!$C:$C=$B871,'Генеральный баннер'!$I:$I=$C871)), 0) "),0.0)</f>
        <v>0</v>
      </c>
      <c r="R871" s="91">
        <f>IFERROR(__xludf.DUMMYFUNCTION("IFERROR(AVERAGE(filter('Генеральный баннер'!$AA:$AA, 'Генеральный баннер'!$B:$B=$A871,'Генеральный баннер'!$C:$C=$B871,'Генеральный баннер'!$I:$I=$C871)), 0) "),0.0)</f>
        <v>0</v>
      </c>
      <c r="S871" s="91">
        <f>IFERROR(__xludf.DUMMYFUNCTION("IFERROR(SUM(filter('Генеральный баннер'!$AH:$AH, 'Генеральный баннер'!$B:$B=$A871,'Генеральный баннер'!$C:$C=$B871,'Генеральный баннер'!$I:$I=$C871)), 0) "),0.0)</f>
        <v>0</v>
      </c>
      <c r="T871" s="91" t="str">
        <f>IFERROR(__xludf.DUMMYFUNCTION("IFERROR(REGEXREPLACE(unique(filter('Генеральный баннер'!$A:$A, 'Генеральный баннер'!$B:$B=$A871,'Генеральный баннер'!$C:$C=$B871,'Генеральный баннер'!$I:$I=$C871)), ""\d+"", """"),"""")"),"")</f>
        <v/>
      </c>
      <c r="U871" s="91" t="str">
        <f>IFERROR(__xludf.DUMMYFUNCTION("IFERROR(unique(filter('Генеральный баннер'!$F:$F, 'Генеральный баннер'!$B:$B=$A871,'Генеральный баннер'!$C:$C=$B871,'Генеральный баннер'!$I:$I=$C871)),"""")"),"")</f>
        <v/>
      </c>
      <c r="V871" s="92" t="str">
        <f t="shared" si="3"/>
        <v/>
      </c>
      <c r="W871" s="93">
        <f>IFERROR(__xludf.DUMMYFUNCTION("IFERROR(SWITCH(lower(join("" "",U871:V871)),""а миллионник"", 62.5,""б миллионник"", 75,""а мск"", 50, ""б мск"", 62.5, ""a остальное"", 70, ""б остальное"", 80)/100,0)"),0.0)</f>
        <v>0</v>
      </c>
      <c r="X871" s="91">
        <f t="shared" si="4"/>
        <v>0</v>
      </c>
    </row>
    <row r="872">
      <c r="A872" s="12"/>
      <c r="B872" s="12"/>
      <c r="C872" s="12"/>
      <c r="D872" s="91">
        <f>IFERROR(__xludf.DUMMYFUNCTION("IFERROR(sum(filter('Основной эфир'!$AA:$AA, 'Основной эфир'!$B:$B=$A872,'Основной эфир'!$C:$C=$B872,'Основной эфир'!$I:$I=$C872)), 0) "),0.0)</f>
        <v>0</v>
      </c>
      <c r="E872" s="91">
        <f>IFERROR(__xludf.DUMMYFUNCTION("IFERROR(sum(filter('Основной эфир'!$AC:$AC, 'Основной эфир'!$B:$B=$A872,'Основной эфир'!$C:$C=$B872,'Основной эфир'!$I:$I=$C872)), 0) "),0.0)</f>
        <v>0</v>
      </c>
      <c r="F872" s="91">
        <f>IFERROR(__xludf.DUMMYFUNCTION("IFERROR(sum(filter('Основной эфир'!$O:$O, 'Основной эфир'!$B:$B=$A872,'Основной эфир'!$C:$C=$B872,'Основной эфир'!$I:$I=$C872)), 0) "),0.0)</f>
        <v>0</v>
      </c>
      <c r="G872" s="91">
        <f>IFERROR(__xludf.DUMMYFUNCTION("IFERROR(sum(filter('Основной эфир'!$Q:$Q, 'Основной эфир'!$B:$B=$A872,'Основной эфир'!$C:$C=$B872,'Основной эфир'!$I:$I=$C872)), 0) "),0.0)</f>
        <v>0</v>
      </c>
      <c r="H872" s="91">
        <f>IFERROR(__xludf.DUMMYFUNCTION("IFERROR(AVERAGE(filter('Основной эфир'!$Y:$Y, 'Основной эфир'!$B:$B=$A872,'Основной эфир'!$C:$C=$B872,'Основной эфир'!$I:$I=$C872)), 0) "),0.0)</f>
        <v>0</v>
      </c>
      <c r="I872" s="91">
        <f>IFERROR(__xludf.DUMMYFUNCTION("IFERROR(AVERAGE(filter('Основной эфир'!$AE:$AE, 'Основной эфир'!$B:$B=$A872,'Основной эфир'!$C:$C=$B872,'Основной эфир'!$I:$I=$C872)), 0) "),0.0)</f>
        <v>0</v>
      </c>
      <c r="J872" s="91">
        <f>IFERROR(__xludf.DUMMYFUNCTION("IFERROR(SUM(filter('Основной эфир'!$AL:$AL, 'Основной эфир'!$B:$B=$A872,'Основной эфир'!$C:$C=$B872,'Основной эфир'!$I:$I=$C872)), 0) "),0.0)</f>
        <v>0</v>
      </c>
      <c r="K872" s="91" t="str">
        <f>IFERROR(__xludf.DUMMYFUNCTION("IFERROR(REGEXREPLACE(unique(filter('Основной эфир'!$A:$A, 'Основной эфир'!$B:$B=$A872,'Основной эфир'!$C:$C=$B872,'Основной эфир'!$I:$I=$C872)), ""\d+"", """"),"""")"),"")</f>
        <v/>
      </c>
      <c r="L872" s="91" t="str">
        <f>IFERROR(__xludf.DUMMYFUNCTION("IFERROR(unique(filter('Основной эфир'!$F:$F, 'Основной эфир'!$B:$B=$A872,'Основной эфир'!$C:$C=$B872,'Основной эфир'!$I:$I=$C872)),"""")"),"")</f>
        <v/>
      </c>
      <c r="M872" s="92" t="str">
        <f t="shared" si="1"/>
        <v/>
      </c>
      <c r="N872" s="93">
        <f>IFERROR(__xludf.DUMMYFUNCTION("IFERROR(SWITCH(lower(join("" "",L872:M872)),""а миллионник"", 62.5,""б миллионник"", 75,""а мск"", 50, ""б мск"", 62.5, ""a остальное"", 70, ""б остальное"", 80)/100,0)"),0.0)</f>
        <v>0</v>
      </c>
      <c r="O872" s="91">
        <f t="shared" si="2"/>
        <v>0</v>
      </c>
      <c r="P872" s="91">
        <f>IFERROR(__xludf.DUMMYFUNCTION("IFERROR(sum(filter('Генеральный баннер'!$O:$O, 'Генеральный баннер'!$B:$B=$A872,'Генеральный баннер'!$C:$C=$B872,'Генеральный баннер'!$I:$I=$C872)), 0) "),0.0)</f>
        <v>0</v>
      </c>
      <c r="Q872" s="91">
        <f>IFERROR(__xludf.DUMMYFUNCTION("IFERROR(sum(filter('Генеральный баннер'!$Q:$Q, 'Генеральный баннер'!$B:$B=$A872,'Генеральный баннер'!$C:$C=$B872,'Генеральный баннер'!$I:$I=$C872)), 0) "),0.0)</f>
        <v>0</v>
      </c>
      <c r="R872" s="91">
        <f>IFERROR(__xludf.DUMMYFUNCTION("IFERROR(AVERAGE(filter('Генеральный баннер'!$AA:$AA, 'Генеральный баннер'!$B:$B=$A872,'Генеральный баннер'!$C:$C=$B872,'Генеральный баннер'!$I:$I=$C872)), 0) "),0.0)</f>
        <v>0</v>
      </c>
      <c r="S872" s="91">
        <f>IFERROR(__xludf.DUMMYFUNCTION("IFERROR(SUM(filter('Генеральный баннер'!$AH:$AH, 'Генеральный баннер'!$B:$B=$A872,'Генеральный баннер'!$C:$C=$B872,'Генеральный баннер'!$I:$I=$C872)), 0) "),0.0)</f>
        <v>0</v>
      </c>
      <c r="T872" s="91" t="str">
        <f>IFERROR(__xludf.DUMMYFUNCTION("IFERROR(REGEXREPLACE(unique(filter('Генеральный баннер'!$A:$A, 'Генеральный баннер'!$B:$B=$A872,'Генеральный баннер'!$C:$C=$B872,'Генеральный баннер'!$I:$I=$C872)), ""\d+"", """"),"""")"),"")</f>
        <v/>
      </c>
      <c r="U872" s="91" t="str">
        <f>IFERROR(__xludf.DUMMYFUNCTION("IFERROR(unique(filter('Генеральный баннер'!$F:$F, 'Генеральный баннер'!$B:$B=$A872,'Генеральный баннер'!$C:$C=$B872,'Генеральный баннер'!$I:$I=$C872)),"""")"),"")</f>
        <v/>
      </c>
      <c r="V872" s="92" t="str">
        <f t="shared" si="3"/>
        <v/>
      </c>
      <c r="W872" s="93">
        <f>IFERROR(__xludf.DUMMYFUNCTION("IFERROR(SWITCH(lower(join("" "",U872:V872)),""а миллионник"", 62.5,""б миллионник"", 75,""а мск"", 50, ""б мск"", 62.5, ""a остальное"", 70, ""б остальное"", 80)/100,0)"),0.0)</f>
        <v>0</v>
      </c>
      <c r="X872" s="91">
        <f t="shared" si="4"/>
        <v>0</v>
      </c>
    </row>
    <row r="873">
      <c r="A873" s="12"/>
      <c r="B873" s="12"/>
      <c r="C873" s="12"/>
      <c r="D873" s="91">
        <f>IFERROR(__xludf.DUMMYFUNCTION("IFERROR(sum(filter('Основной эфир'!$AA:$AA, 'Основной эфир'!$B:$B=$A873,'Основной эфир'!$C:$C=$B873,'Основной эфир'!$I:$I=$C873)), 0) "),0.0)</f>
        <v>0</v>
      </c>
      <c r="E873" s="91">
        <f>IFERROR(__xludf.DUMMYFUNCTION("IFERROR(sum(filter('Основной эфир'!$AC:$AC, 'Основной эфир'!$B:$B=$A873,'Основной эфир'!$C:$C=$B873,'Основной эфир'!$I:$I=$C873)), 0) "),0.0)</f>
        <v>0</v>
      </c>
      <c r="F873" s="91">
        <f>IFERROR(__xludf.DUMMYFUNCTION("IFERROR(sum(filter('Основной эфир'!$O:$O, 'Основной эфир'!$B:$B=$A873,'Основной эфир'!$C:$C=$B873,'Основной эфир'!$I:$I=$C873)), 0) "),0.0)</f>
        <v>0</v>
      </c>
      <c r="G873" s="91">
        <f>IFERROR(__xludf.DUMMYFUNCTION("IFERROR(sum(filter('Основной эфир'!$Q:$Q, 'Основной эфир'!$B:$B=$A873,'Основной эфир'!$C:$C=$B873,'Основной эфир'!$I:$I=$C873)), 0) "),0.0)</f>
        <v>0</v>
      </c>
      <c r="H873" s="91">
        <f>IFERROR(__xludf.DUMMYFUNCTION("IFERROR(AVERAGE(filter('Основной эфир'!$Y:$Y, 'Основной эфир'!$B:$B=$A873,'Основной эфир'!$C:$C=$B873,'Основной эфир'!$I:$I=$C873)), 0) "),0.0)</f>
        <v>0</v>
      </c>
      <c r="I873" s="91">
        <f>IFERROR(__xludf.DUMMYFUNCTION("IFERROR(AVERAGE(filter('Основной эфир'!$AE:$AE, 'Основной эфир'!$B:$B=$A873,'Основной эфир'!$C:$C=$B873,'Основной эфир'!$I:$I=$C873)), 0) "),0.0)</f>
        <v>0</v>
      </c>
      <c r="J873" s="91">
        <f>IFERROR(__xludf.DUMMYFUNCTION("IFERROR(SUM(filter('Основной эфир'!$AL:$AL, 'Основной эфир'!$B:$B=$A873,'Основной эфир'!$C:$C=$B873,'Основной эфир'!$I:$I=$C873)), 0) "),0.0)</f>
        <v>0</v>
      </c>
      <c r="K873" s="91" t="str">
        <f>IFERROR(__xludf.DUMMYFUNCTION("IFERROR(REGEXREPLACE(unique(filter('Основной эфир'!$A:$A, 'Основной эфир'!$B:$B=$A873,'Основной эфир'!$C:$C=$B873,'Основной эфир'!$I:$I=$C873)), ""\d+"", """"),"""")"),"")</f>
        <v/>
      </c>
      <c r="L873" s="91" t="str">
        <f>IFERROR(__xludf.DUMMYFUNCTION("IFERROR(unique(filter('Основной эфир'!$F:$F, 'Основной эфир'!$B:$B=$A873,'Основной эфир'!$C:$C=$B873,'Основной эфир'!$I:$I=$C873)),"""")"),"")</f>
        <v/>
      </c>
      <c r="M873" s="92" t="str">
        <f t="shared" si="1"/>
        <v/>
      </c>
      <c r="N873" s="93">
        <f>IFERROR(__xludf.DUMMYFUNCTION("IFERROR(SWITCH(lower(join("" "",L873:M873)),""а миллионник"", 62.5,""б миллионник"", 75,""а мск"", 50, ""б мск"", 62.5, ""a остальное"", 70, ""б остальное"", 80)/100,0)"),0.0)</f>
        <v>0</v>
      </c>
      <c r="O873" s="91">
        <f t="shared" si="2"/>
        <v>0</v>
      </c>
      <c r="P873" s="91">
        <f>IFERROR(__xludf.DUMMYFUNCTION("IFERROR(sum(filter('Генеральный баннер'!$O:$O, 'Генеральный баннер'!$B:$B=$A873,'Генеральный баннер'!$C:$C=$B873,'Генеральный баннер'!$I:$I=$C873)), 0) "),0.0)</f>
        <v>0</v>
      </c>
      <c r="Q873" s="91">
        <f>IFERROR(__xludf.DUMMYFUNCTION("IFERROR(sum(filter('Генеральный баннер'!$Q:$Q, 'Генеральный баннер'!$B:$B=$A873,'Генеральный баннер'!$C:$C=$B873,'Генеральный баннер'!$I:$I=$C873)), 0) "),0.0)</f>
        <v>0</v>
      </c>
      <c r="R873" s="91">
        <f>IFERROR(__xludf.DUMMYFUNCTION("IFERROR(AVERAGE(filter('Генеральный баннер'!$AA:$AA, 'Генеральный баннер'!$B:$B=$A873,'Генеральный баннер'!$C:$C=$B873,'Генеральный баннер'!$I:$I=$C873)), 0) "),0.0)</f>
        <v>0</v>
      </c>
      <c r="S873" s="91">
        <f>IFERROR(__xludf.DUMMYFUNCTION("IFERROR(SUM(filter('Генеральный баннер'!$AH:$AH, 'Генеральный баннер'!$B:$B=$A873,'Генеральный баннер'!$C:$C=$B873,'Генеральный баннер'!$I:$I=$C873)), 0) "),0.0)</f>
        <v>0</v>
      </c>
      <c r="T873" s="91" t="str">
        <f>IFERROR(__xludf.DUMMYFUNCTION("IFERROR(REGEXREPLACE(unique(filter('Генеральный баннер'!$A:$A, 'Генеральный баннер'!$B:$B=$A873,'Генеральный баннер'!$C:$C=$B873,'Генеральный баннер'!$I:$I=$C873)), ""\d+"", """"),"""")"),"")</f>
        <v/>
      </c>
      <c r="U873" s="91" t="str">
        <f>IFERROR(__xludf.DUMMYFUNCTION("IFERROR(unique(filter('Генеральный баннер'!$F:$F, 'Генеральный баннер'!$B:$B=$A873,'Генеральный баннер'!$C:$C=$B873,'Генеральный баннер'!$I:$I=$C873)),"""")"),"")</f>
        <v/>
      </c>
      <c r="V873" s="92" t="str">
        <f t="shared" si="3"/>
        <v/>
      </c>
      <c r="W873" s="93">
        <f>IFERROR(__xludf.DUMMYFUNCTION("IFERROR(SWITCH(lower(join("" "",U873:V873)),""а миллионник"", 62.5,""б миллионник"", 75,""а мск"", 50, ""б мск"", 62.5, ""a остальное"", 70, ""б остальное"", 80)/100,0)"),0.0)</f>
        <v>0</v>
      </c>
      <c r="X873" s="91">
        <f t="shared" si="4"/>
        <v>0</v>
      </c>
    </row>
    <row r="874">
      <c r="A874" s="12"/>
      <c r="B874" s="12"/>
      <c r="C874" s="12"/>
      <c r="D874" s="91">
        <f>IFERROR(__xludf.DUMMYFUNCTION("IFERROR(sum(filter('Основной эфир'!$AA:$AA, 'Основной эфир'!$B:$B=$A874,'Основной эфир'!$C:$C=$B874,'Основной эфир'!$I:$I=$C874)), 0) "),0.0)</f>
        <v>0</v>
      </c>
      <c r="E874" s="91">
        <f>IFERROR(__xludf.DUMMYFUNCTION("IFERROR(sum(filter('Основной эфир'!$AC:$AC, 'Основной эфир'!$B:$B=$A874,'Основной эфир'!$C:$C=$B874,'Основной эфир'!$I:$I=$C874)), 0) "),0.0)</f>
        <v>0</v>
      </c>
      <c r="F874" s="91">
        <f>IFERROR(__xludf.DUMMYFUNCTION("IFERROR(sum(filter('Основной эфир'!$O:$O, 'Основной эфир'!$B:$B=$A874,'Основной эфир'!$C:$C=$B874,'Основной эфир'!$I:$I=$C874)), 0) "),0.0)</f>
        <v>0</v>
      </c>
      <c r="G874" s="91">
        <f>IFERROR(__xludf.DUMMYFUNCTION("IFERROR(sum(filter('Основной эфир'!$Q:$Q, 'Основной эфир'!$B:$B=$A874,'Основной эфир'!$C:$C=$B874,'Основной эфир'!$I:$I=$C874)), 0) "),0.0)</f>
        <v>0</v>
      </c>
      <c r="H874" s="91">
        <f>IFERROR(__xludf.DUMMYFUNCTION("IFERROR(AVERAGE(filter('Основной эфир'!$Y:$Y, 'Основной эфир'!$B:$B=$A874,'Основной эфир'!$C:$C=$B874,'Основной эфир'!$I:$I=$C874)), 0) "),0.0)</f>
        <v>0</v>
      </c>
      <c r="I874" s="91">
        <f>IFERROR(__xludf.DUMMYFUNCTION("IFERROR(AVERAGE(filter('Основной эфир'!$AE:$AE, 'Основной эфир'!$B:$B=$A874,'Основной эфир'!$C:$C=$B874,'Основной эфир'!$I:$I=$C874)), 0) "),0.0)</f>
        <v>0</v>
      </c>
      <c r="J874" s="91">
        <f>IFERROR(__xludf.DUMMYFUNCTION("IFERROR(SUM(filter('Основной эфир'!$AL:$AL, 'Основной эфир'!$B:$B=$A874,'Основной эфир'!$C:$C=$B874,'Основной эфир'!$I:$I=$C874)), 0) "),0.0)</f>
        <v>0</v>
      </c>
      <c r="K874" s="91" t="str">
        <f>IFERROR(__xludf.DUMMYFUNCTION("IFERROR(REGEXREPLACE(unique(filter('Основной эфир'!$A:$A, 'Основной эфир'!$B:$B=$A874,'Основной эфир'!$C:$C=$B874,'Основной эфир'!$I:$I=$C874)), ""\d+"", """"),"""")"),"")</f>
        <v/>
      </c>
      <c r="L874" s="91" t="str">
        <f>IFERROR(__xludf.DUMMYFUNCTION("IFERROR(unique(filter('Основной эфир'!$F:$F, 'Основной эфир'!$B:$B=$A874,'Основной эфир'!$C:$C=$B874,'Основной эфир'!$I:$I=$C874)),"""")"),"")</f>
        <v/>
      </c>
      <c r="M874" s="92" t="str">
        <f t="shared" si="1"/>
        <v/>
      </c>
      <c r="N874" s="93">
        <f>IFERROR(__xludf.DUMMYFUNCTION("IFERROR(SWITCH(lower(join("" "",L874:M874)),""а миллионник"", 62.5,""б миллионник"", 75,""а мск"", 50, ""б мск"", 62.5, ""a остальное"", 70, ""б остальное"", 80)/100,0)"),0.0)</f>
        <v>0</v>
      </c>
      <c r="O874" s="91">
        <f t="shared" si="2"/>
        <v>0</v>
      </c>
      <c r="P874" s="91">
        <f>IFERROR(__xludf.DUMMYFUNCTION("IFERROR(sum(filter('Генеральный баннер'!$O:$O, 'Генеральный баннер'!$B:$B=$A874,'Генеральный баннер'!$C:$C=$B874,'Генеральный баннер'!$I:$I=$C874)), 0) "),0.0)</f>
        <v>0</v>
      </c>
      <c r="Q874" s="91">
        <f>IFERROR(__xludf.DUMMYFUNCTION("IFERROR(sum(filter('Генеральный баннер'!$Q:$Q, 'Генеральный баннер'!$B:$B=$A874,'Генеральный баннер'!$C:$C=$B874,'Генеральный баннер'!$I:$I=$C874)), 0) "),0.0)</f>
        <v>0</v>
      </c>
      <c r="R874" s="91">
        <f>IFERROR(__xludf.DUMMYFUNCTION("IFERROR(AVERAGE(filter('Генеральный баннер'!$AA:$AA, 'Генеральный баннер'!$B:$B=$A874,'Генеральный баннер'!$C:$C=$B874,'Генеральный баннер'!$I:$I=$C874)), 0) "),0.0)</f>
        <v>0</v>
      </c>
      <c r="S874" s="91">
        <f>IFERROR(__xludf.DUMMYFUNCTION("IFERROR(SUM(filter('Генеральный баннер'!$AH:$AH, 'Генеральный баннер'!$B:$B=$A874,'Генеральный баннер'!$C:$C=$B874,'Генеральный баннер'!$I:$I=$C874)), 0) "),0.0)</f>
        <v>0</v>
      </c>
      <c r="T874" s="91" t="str">
        <f>IFERROR(__xludf.DUMMYFUNCTION("IFERROR(REGEXREPLACE(unique(filter('Генеральный баннер'!$A:$A, 'Генеральный баннер'!$B:$B=$A874,'Генеральный баннер'!$C:$C=$B874,'Генеральный баннер'!$I:$I=$C874)), ""\d+"", """"),"""")"),"")</f>
        <v/>
      </c>
      <c r="U874" s="91" t="str">
        <f>IFERROR(__xludf.DUMMYFUNCTION("IFERROR(unique(filter('Генеральный баннер'!$F:$F, 'Генеральный баннер'!$B:$B=$A874,'Генеральный баннер'!$C:$C=$B874,'Генеральный баннер'!$I:$I=$C874)),"""")"),"")</f>
        <v/>
      </c>
      <c r="V874" s="92" t="str">
        <f t="shared" si="3"/>
        <v/>
      </c>
      <c r="W874" s="93">
        <f>IFERROR(__xludf.DUMMYFUNCTION("IFERROR(SWITCH(lower(join("" "",U874:V874)),""а миллионник"", 62.5,""б миллионник"", 75,""а мск"", 50, ""б мск"", 62.5, ""a остальное"", 70, ""б остальное"", 80)/100,0)"),0.0)</f>
        <v>0</v>
      </c>
      <c r="X874" s="91">
        <f t="shared" si="4"/>
        <v>0</v>
      </c>
    </row>
    <row r="875">
      <c r="A875" s="12"/>
      <c r="B875" s="12"/>
      <c r="C875" s="12"/>
      <c r="D875" s="91">
        <f>IFERROR(__xludf.DUMMYFUNCTION("IFERROR(sum(filter('Основной эфир'!$AA:$AA, 'Основной эфир'!$B:$B=$A875,'Основной эфир'!$C:$C=$B875,'Основной эфир'!$I:$I=$C875)), 0) "),0.0)</f>
        <v>0</v>
      </c>
      <c r="E875" s="91">
        <f>IFERROR(__xludf.DUMMYFUNCTION("IFERROR(sum(filter('Основной эфир'!$AC:$AC, 'Основной эфир'!$B:$B=$A875,'Основной эфир'!$C:$C=$B875,'Основной эфир'!$I:$I=$C875)), 0) "),0.0)</f>
        <v>0</v>
      </c>
      <c r="F875" s="91">
        <f>IFERROR(__xludf.DUMMYFUNCTION("IFERROR(sum(filter('Основной эфир'!$O:$O, 'Основной эфир'!$B:$B=$A875,'Основной эфир'!$C:$C=$B875,'Основной эфир'!$I:$I=$C875)), 0) "),0.0)</f>
        <v>0</v>
      </c>
      <c r="G875" s="91">
        <f>IFERROR(__xludf.DUMMYFUNCTION("IFERROR(sum(filter('Основной эфир'!$Q:$Q, 'Основной эфир'!$B:$B=$A875,'Основной эфир'!$C:$C=$B875,'Основной эфир'!$I:$I=$C875)), 0) "),0.0)</f>
        <v>0</v>
      </c>
      <c r="H875" s="91">
        <f>IFERROR(__xludf.DUMMYFUNCTION("IFERROR(AVERAGE(filter('Основной эфир'!$Y:$Y, 'Основной эфир'!$B:$B=$A875,'Основной эфир'!$C:$C=$B875,'Основной эфир'!$I:$I=$C875)), 0) "),0.0)</f>
        <v>0</v>
      </c>
      <c r="I875" s="91">
        <f>IFERROR(__xludf.DUMMYFUNCTION("IFERROR(AVERAGE(filter('Основной эфир'!$AE:$AE, 'Основной эфир'!$B:$B=$A875,'Основной эфир'!$C:$C=$B875,'Основной эфир'!$I:$I=$C875)), 0) "),0.0)</f>
        <v>0</v>
      </c>
      <c r="J875" s="91">
        <f>IFERROR(__xludf.DUMMYFUNCTION("IFERROR(SUM(filter('Основной эфир'!$AL:$AL, 'Основной эфир'!$B:$B=$A875,'Основной эфир'!$C:$C=$B875,'Основной эфир'!$I:$I=$C875)), 0) "),0.0)</f>
        <v>0</v>
      </c>
      <c r="K875" s="91" t="str">
        <f>IFERROR(__xludf.DUMMYFUNCTION("IFERROR(REGEXREPLACE(unique(filter('Основной эфир'!$A:$A, 'Основной эфир'!$B:$B=$A875,'Основной эфир'!$C:$C=$B875,'Основной эфир'!$I:$I=$C875)), ""\d+"", """"),"""")"),"")</f>
        <v/>
      </c>
      <c r="L875" s="91" t="str">
        <f>IFERROR(__xludf.DUMMYFUNCTION("IFERROR(unique(filter('Основной эфир'!$F:$F, 'Основной эфир'!$B:$B=$A875,'Основной эфир'!$C:$C=$B875,'Основной эфир'!$I:$I=$C875)),"""")"),"")</f>
        <v/>
      </c>
      <c r="M875" s="92" t="str">
        <f t="shared" si="1"/>
        <v/>
      </c>
      <c r="N875" s="93">
        <f>IFERROR(__xludf.DUMMYFUNCTION("IFERROR(SWITCH(lower(join("" "",L875:M875)),""а миллионник"", 62.5,""б миллионник"", 75,""а мск"", 50, ""б мск"", 62.5, ""a остальное"", 70, ""б остальное"", 80)/100,0)"),0.0)</f>
        <v>0</v>
      </c>
      <c r="O875" s="91">
        <f t="shared" si="2"/>
        <v>0</v>
      </c>
      <c r="P875" s="91">
        <f>IFERROR(__xludf.DUMMYFUNCTION("IFERROR(sum(filter('Генеральный баннер'!$O:$O, 'Генеральный баннер'!$B:$B=$A875,'Генеральный баннер'!$C:$C=$B875,'Генеральный баннер'!$I:$I=$C875)), 0) "),0.0)</f>
        <v>0</v>
      </c>
      <c r="Q875" s="91">
        <f>IFERROR(__xludf.DUMMYFUNCTION("IFERROR(sum(filter('Генеральный баннер'!$Q:$Q, 'Генеральный баннер'!$B:$B=$A875,'Генеральный баннер'!$C:$C=$B875,'Генеральный баннер'!$I:$I=$C875)), 0) "),0.0)</f>
        <v>0</v>
      </c>
      <c r="R875" s="91">
        <f>IFERROR(__xludf.DUMMYFUNCTION("IFERROR(AVERAGE(filter('Генеральный баннер'!$AA:$AA, 'Генеральный баннер'!$B:$B=$A875,'Генеральный баннер'!$C:$C=$B875,'Генеральный баннер'!$I:$I=$C875)), 0) "),0.0)</f>
        <v>0</v>
      </c>
      <c r="S875" s="91">
        <f>IFERROR(__xludf.DUMMYFUNCTION("IFERROR(SUM(filter('Генеральный баннер'!$AH:$AH, 'Генеральный баннер'!$B:$B=$A875,'Генеральный баннер'!$C:$C=$B875,'Генеральный баннер'!$I:$I=$C875)), 0) "),0.0)</f>
        <v>0</v>
      </c>
      <c r="T875" s="91" t="str">
        <f>IFERROR(__xludf.DUMMYFUNCTION("IFERROR(REGEXREPLACE(unique(filter('Генеральный баннер'!$A:$A, 'Генеральный баннер'!$B:$B=$A875,'Генеральный баннер'!$C:$C=$B875,'Генеральный баннер'!$I:$I=$C875)), ""\d+"", """"),"""")"),"")</f>
        <v/>
      </c>
      <c r="U875" s="91" t="str">
        <f>IFERROR(__xludf.DUMMYFUNCTION("IFERROR(unique(filter('Генеральный баннер'!$F:$F, 'Генеральный баннер'!$B:$B=$A875,'Генеральный баннер'!$C:$C=$B875,'Генеральный баннер'!$I:$I=$C875)),"""")"),"")</f>
        <v/>
      </c>
      <c r="V875" s="92" t="str">
        <f t="shared" si="3"/>
        <v/>
      </c>
      <c r="W875" s="93">
        <f>IFERROR(__xludf.DUMMYFUNCTION("IFERROR(SWITCH(lower(join("" "",U875:V875)),""а миллионник"", 62.5,""б миллионник"", 75,""а мск"", 50, ""б мск"", 62.5, ""a остальное"", 70, ""б остальное"", 80)/100,0)"),0.0)</f>
        <v>0</v>
      </c>
      <c r="X875" s="91">
        <f t="shared" si="4"/>
        <v>0</v>
      </c>
    </row>
    <row r="876">
      <c r="A876" s="12"/>
      <c r="B876" s="12"/>
      <c r="C876" s="12"/>
      <c r="D876" s="91">
        <f>IFERROR(__xludf.DUMMYFUNCTION("IFERROR(sum(filter('Основной эфир'!$AA:$AA, 'Основной эфир'!$B:$B=$A876,'Основной эфир'!$C:$C=$B876,'Основной эфир'!$I:$I=$C876)), 0) "),0.0)</f>
        <v>0</v>
      </c>
      <c r="E876" s="91">
        <f>IFERROR(__xludf.DUMMYFUNCTION("IFERROR(sum(filter('Основной эфир'!$AC:$AC, 'Основной эфир'!$B:$B=$A876,'Основной эфир'!$C:$C=$B876,'Основной эфир'!$I:$I=$C876)), 0) "),0.0)</f>
        <v>0</v>
      </c>
      <c r="F876" s="91">
        <f>IFERROR(__xludf.DUMMYFUNCTION("IFERROR(sum(filter('Основной эфир'!$O:$O, 'Основной эфир'!$B:$B=$A876,'Основной эфир'!$C:$C=$B876,'Основной эфир'!$I:$I=$C876)), 0) "),0.0)</f>
        <v>0</v>
      </c>
      <c r="G876" s="91">
        <f>IFERROR(__xludf.DUMMYFUNCTION("IFERROR(sum(filter('Основной эфир'!$Q:$Q, 'Основной эфир'!$B:$B=$A876,'Основной эфир'!$C:$C=$B876,'Основной эфир'!$I:$I=$C876)), 0) "),0.0)</f>
        <v>0</v>
      </c>
      <c r="H876" s="91">
        <f>IFERROR(__xludf.DUMMYFUNCTION("IFERROR(AVERAGE(filter('Основной эфир'!$Y:$Y, 'Основной эфир'!$B:$B=$A876,'Основной эфир'!$C:$C=$B876,'Основной эфир'!$I:$I=$C876)), 0) "),0.0)</f>
        <v>0</v>
      </c>
      <c r="I876" s="91">
        <f>IFERROR(__xludf.DUMMYFUNCTION("IFERROR(AVERAGE(filter('Основной эфир'!$AE:$AE, 'Основной эфир'!$B:$B=$A876,'Основной эфир'!$C:$C=$B876,'Основной эфир'!$I:$I=$C876)), 0) "),0.0)</f>
        <v>0</v>
      </c>
      <c r="J876" s="91">
        <f>IFERROR(__xludf.DUMMYFUNCTION("IFERROR(SUM(filter('Основной эфир'!$AL:$AL, 'Основной эфир'!$B:$B=$A876,'Основной эфир'!$C:$C=$B876,'Основной эфир'!$I:$I=$C876)), 0) "),0.0)</f>
        <v>0</v>
      </c>
      <c r="K876" s="91" t="str">
        <f>IFERROR(__xludf.DUMMYFUNCTION("IFERROR(REGEXREPLACE(unique(filter('Основной эфир'!$A:$A, 'Основной эфир'!$B:$B=$A876,'Основной эфир'!$C:$C=$B876,'Основной эфир'!$I:$I=$C876)), ""\d+"", """"),"""")"),"")</f>
        <v/>
      </c>
      <c r="L876" s="91" t="str">
        <f>IFERROR(__xludf.DUMMYFUNCTION("IFERROR(unique(filter('Основной эфир'!$F:$F, 'Основной эфир'!$B:$B=$A876,'Основной эфир'!$C:$C=$B876,'Основной эфир'!$I:$I=$C876)),"""")"),"")</f>
        <v/>
      </c>
      <c r="M876" s="92" t="str">
        <f t="shared" si="1"/>
        <v/>
      </c>
      <c r="N876" s="93">
        <f>IFERROR(__xludf.DUMMYFUNCTION("IFERROR(SWITCH(lower(join("" "",L876:M876)),""а миллионник"", 62.5,""б миллионник"", 75,""а мск"", 50, ""б мск"", 62.5, ""a остальное"", 70, ""б остальное"", 80)/100,0)"),0.0)</f>
        <v>0</v>
      </c>
      <c r="O876" s="91">
        <f t="shared" si="2"/>
        <v>0</v>
      </c>
      <c r="P876" s="91">
        <f>IFERROR(__xludf.DUMMYFUNCTION("IFERROR(sum(filter('Генеральный баннер'!$O:$O, 'Генеральный баннер'!$B:$B=$A876,'Генеральный баннер'!$C:$C=$B876,'Генеральный баннер'!$I:$I=$C876)), 0) "),0.0)</f>
        <v>0</v>
      </c>
      <c r="Q876" s="91">
        <f>IFERROR(__xludf.DUMMYFUNCTION("IFERROR(sum(filter('Генеральный баннер'!$Q:$Q, 'Генеральный баннер'!$B:$B=$A876,'Генеральный баннер'!$C:$C=$B876,'Генеральный баннер'!$I:$I=$C876)), 0) "),0.0)</f>
        <v>0</v>
      </c>
      <c r="R876" s="91">
        <f>IFERROR(__xludf.DUMMYFUNCTION("IFERROR(AVERAGE(filter('Генеральный баннер'!$AA:$AA, 'Генеральный баннер'!$B:$B=$A876,'Генеральный баннер'!$C:$C=$B876,'Генеральный баннер'!$I:$I=$C876)), 0) "),0.0)</f>
        <v>0</v>
      </c>
      <c r="S876" s="91">
        <f>IFERROR(__xludf.DUMMYFUNCTION("IFERROR(SUM(filter('Генеральный баннер'!$AH:$AH, 'Генеральный баннер'!$B:$B=$A876,'Генеральный баннер'!$C:$C=$B876,'Генеральный баннер'!$I:$I=$C876)), 0) "),0.0)</f>
        <v>0</v>
      </c>
      <c r="T876" s="91" t="str">
        <f>IFERROR(__xludf.DUMMYFUNCTION("IFERROR(REGEXREPLACE(unique(filter('Генеральный баннер'!$A:$A, 'Генеральный баннер'!$B:$B=$A876,'Генеральный баннер'!$C:$C=$B876,'Генеральный баннер'!$I:$I=$C876)), ""\d+"", """"),"""")"),"")</f>
        <v/>
      </c>
      <c r="U876" s="91" t="str">
        <f>IFERROR(__xludf.DUMMYFUNCTION("IFERROR(unique(filter('Генеральный баннер'!$F:$F, 'Генеральный баннер'!$B:$B=$A876,'Генеральный баннер'!$C:$C=$B876,'Генеральный баннер'!$I:$I=$C876)),"""")"),"")</f>
        <v/>
      </c>
      <c r="V876" s="92" t="str">
        <f t="shared" si="3"/>
        <v/>
      </c>
      <c r="W876" s="93">
        <f>IFERROR(__xludf.DUMMYFUNCTION("IFERROR(SWITCH(lower(join("" "",U876:V876)),""а миллионник"", 62.5,""б миллионник"", 75,""а мск"", 50, ""б мск"", 62.5, ""a остальное"", 70, ""б остальное"", 80)/100,0)"),0.0)</f>
        <v>0</v>
      </c>
      <c r="X876" s="91">
        <f t="shared" si="4"/>
        <v>0</v>
      </c>
    </row>
    <row r="877">
      <c r="A877" s="12"/>
      <c r="B877" s="12"/>
      <c r="C877" s="12"/>
      <c r="D877" s="91">
        <f>IFERROR(__xludf.DUMMYFUNCTION("IFERROR(sum(filter('Основной эфир'!$AA:$AA, 'Основной эфир'!$B:$B=$A877,'Основной эфир'!$C:$C=$B877,'Основной эфир'!$I:$I=$C877)), 0) "),0.0)</f>
        <v>0</v>
      </c>
      <c r="E877" s="91">
        <f>IFERROR(__xludf.DUMMYFUNCTION("IFERROR(sum(filter('Основной эфир'!$AC:$AC, 'Основной эфир'!$B:$B=$A877,'Основной эфир'!$C:$C=$B877,'Основной эфир'!$I:$I=$C877)), 0) "),0.0)</f>
        <v>0</v>
      </c>
      <c r="F877" s="91">
        <f>IFERROR(__xludf.DUMMYFUNCTION("IFERROR(sum(filter('Основной эфир'!$O:$O, 'Основной эфир'!$B:$B=$A877,'Основной эфир'!$C:$C=$B877,'Основной эфир'!$I:$I=$C877)), 0) "),0.0)</f>
        <v>0</v>
      </c>
      <c r="G877" s="91">
        <f>IFERROR(__xludf.DUMMYFUNCTION("IFERROR(sum(filter('Основной эфир'!$Q:$Q, 'Основной эфир'!$B:$B=$A877,'Основной эфир'!$C:$C=$B877,'Основной эфир'!$I:$I=$C877)), 0) "),0.0)</f>
        <v>0</v>
      </c>
      <c r="H877" s="91">
        <f>IFERROR(__xludf.DUMMYFUNCTION("IFERROR(AVERAGE(filter('Основной эфир'!$Y:$Y, 'Основной эфир'!$B:$B=$A877,'Основной эфир'!$C:$C=$B877,'Основной эфир'!$I:$I=$C877)), 0) "),0.0)</f>
        <v>0</v>
      </c>
      <c r="I877" s="91">
        <f>IFERROR(__xludf.DUMMYFUNCTION("IFERROR(AVERAGE(filter('Основной эфир'!$AE:$AE, 'Основной эфир'!$B:$B=$A877,'Основной эфир'!$C:$C=$B877,'Основной эфир'!$I:$I=$C877)), 0) "),0.0)</f>
        <v>0</v>
      </c>
      <c r="J877" s="91">
        <f>IFERROR(__xludf.DUMMYFUNCTION("IFERROR(SUM(filter('Основной эфир'!$AL:$AL, 'Основной эфир'!$B:$B=$A877,'Основной эфир'!$C:$C=$B877,'Основной эфир'!$I:$I=$C877)), 0) "),0.0)</f>
        <v>0</v>
      </c>
      <c r="K877" s="91" t="str">
        <f>IFERROR(__xludf.DUMMYFUNCTION("IFERROR(REGEXREPLACE(unique(filter('Основной эфир'!$A:$A, 'Основной эфир'!$B:$B=$A877,'Основной эфир'!$C:$C=$B877,'Основной эфир'!$I:$I=$C877)), ""\d+"", """"),"""")"),"")</f>
        <v/>
      </c>
      <c r="L877" s="91" t="str">
        <f>IFERROR(__xludf.DUMMYFUNCTION("IFERROR(unique(filter('Основной эфир'!$F:$F, 'Основной эфир'!$B:$B=$A877,'Основной эфир'!$C:$C=$B877,'Основной эфир'!$I:$I=$C877)),"""")"),"")</f>
        <v/>
      </c>
      <c r="M877" s="92" t="str">
        <f t="shared" si="1"/>
        <v/>
      </c>
      <c r="N877" s="93">
        <f>IFERROR(__xludf.DUMMYFUNCTION("IFERROR(SWITCH(lower(join("" "",L877:M877)),""а миллионник"", 62.5,""б миллионник"", 75,""а мск"", 50, ""б мск"", 62.5, ""a остальное"", 70, ""б остальное"", 80)/100,0)"),0.0)</f>
        <v>0</v>
      </c>
      <c r="O877" s="91">
        <f t="shared" si="2"/>
        <v>0</v>
      </c>
      <c r="P877" s="91">
        <f>IFERROR(__xludf.DUMMYFUNCTION("IFERROR(sum(filter('Генеральный баннер'!$O:$O, 'Генеральный баннер'!$B:$B=$A877,'Генеральный баннер'!$C:$C=$B877,'Генеральный баннер'!$I:$I=$C877)), 0) "),0.0)</f>
        <v>0</v>
      </c>
      <c r="Q877" s="91">
        <f>IFERROR(__xludf.DUMMYFUNCTION("IFERROR(sum(filter('Генеральный баннер'!$Q:$Q, 'Генеральный баннер'!$B:$B=$A877,'Генеральный баннер'!$C:$C=$B877,'Генеральный баннер'!$I:$I=$C877)), 0) "),0.0)</f>
        <v>0</v>
      </c>
      <c r="R877" s="91">
        <f>IFERROR(__xludf.DUMMYFUNCTION("IFERROR(AVERAGE(filter('Генеральный баннер'!$AA:$AA, 'Генеральный баннер'!$B:$B=$A877,'Генеральный баннер'!$C:$C=$B877,'Генеральный баннер'!$I:$I=$C877)), 0) "),0.0)</f>
        <v>0</v>
      </c>
      <c r="S877" s="91">
        <f>IFERROR(__xludf.DUMMYFUNCTION("IFERROR(SUM(filter('Генеральный баннер'!$AH:$AH, 'Генеральный баннер'!$B:$B=$A877,'Генеральный баннер'!$C:$C=$B877,'Генеральный баннер'!$I:$I=$C877)), 0) "),0.0)</f>
        <v>0</v>
      </c>
      <c r="T877" s="91" t="str">
        <f>IFERROR(__xludf.DUMMYFUNCTION("IFERROR(REGEXREPLACE(unique(filter('Генеральный баннер'!$A:$A, 'Генеральный баннер'!$B:$B=$A877,'Генеральный баннер'!$C:$C=$B877,'Генеральный баннер'!$I:$I=$C877)), ""\d+"", """"),"""")"),"")</f>
        <v/>
      </c>
      <c r="U877" s="91" t="str">
        <f>IFERROR(__xludf.DUMMYFUNCTION("IFERROR(unique(filter('Генеральный баннер'!$F:$F, 'Генеральный баннер'!$B:$B=$A877,'Генеральный баннер'!$C:$C=$B877,'Генеральный баннер'!$I:$I=$C877)),"""")"),"")</f>
        <v/>
      </c>
      <c r="V877" s="92" t="str">
        <f t="shared" si="3"/>
        <v/>
      </c>
      <c r="W877" s="93">
        <f>IFERROR(__xludf.DUMMYFUNCTION("IFERROR(SWITCH(lower(join("" "",U877:V877)),""а миллионник"", 62.5,""б миллионник"", 75,""а мск"", 50, ""б мск"", 62.5, ""a остальное"", 70, ""б остальное"", 80)/100,0)"),0.0)</f>
        <v>0</v>
      </c>
      <c r="X877" s="91">
        <f t="shared" si="4"/>
        <v>0</v>
      </c>
    </row>
    <row r="878">
      <c r="A878" s="12"/>
      <c r="B878" s="12"/>
      <c r="C878" s="12"/>
      <c r="D878" s="91">
        <f>IFERROR(__xludf.DUMMYFUNCTION("IFERROR(sum(filter('Основной эфир'!$AA:$AA, 'Основной эфир'!$B:$B=$A878,'Основной эфир'!$C:$C=$B878,'Основной эфир'!$I:$I=$C878)), 0) "),0.0)</f>
        <v>0</v>
      </c>
      <c r="E878" s="91">
        <f>IFERROR(__xludf.DUMMYFUNCTION("IFERROR(sum(filter('Основной эфир'!$AC:$AC, 'Основной эфир'!$B:$B=$A878,'Основной эфир'!$C:$C=$B878,'Основной эфир'!$I:$I=$C878)), 0) "),0.0)</f>
        <v>0</v>
      </c>
      <c r="F878" s="91">
        <f>IFERROR(__xludf.DUMMYFUNCTION("IFERROR(sum(filter('Основной эфир'!$O:$O, 'Основной эфир'!$B:$B=$A878,'Основной эфир'!$C:$C=$B878,'Основной эфир'!$I:$I=$C878)), 0) "),0.0)</f>
        <v>0</v>
      </c>
      <c r="G878" s="91">
        <f>IFERROR(__xludf.DUMMYFUNCTION("IFERROR(sum(filter('Основной эфир'!$Q:$Q, 'Основной эфир'!$B:$B=$A878,'Основной эфир'!$C:$C=$B878,'Основной эфир'!$I:$I=$C878)), 0) "),0.0)</f>
        <v>0</v>
      </c>
      <c r="H878" s="91">
        <f>IFERROR(__xludf.DUMMYFUNCTION("IFERROR(AVERAGE(filter('Основной эфир'!$Y:$Y, 'Основной эфир'!$B:$B=$A878,'Основной эфир'!$C:$C=$B878,'Основной эфир'!$I:$I=$C878)), 0) "),0.0)</f>
        <v>0</v>
      </c>
      <c r="I878" s="91">
        <f>IFERROR(__xludf.DUMMYFUNCTION("IFERROR(AVERAGE(filter('Основной эфир'!$AE:$AE, 'Основной эфир'!$B:$B=$A878,'Основной эфир'!$C:$C=$B878,'Основной эфир'!$I:$I=$C878)), 0) "),0.0)</f>
        <v>0</v>
      </c>
      <c r="J878" s="91">
        <f>IFERROR(__xludf.DUMMYFUNCTION("IFERROR(SUM(filter('Основной эфир'!$AL:$AL, 'Основной эфир'!$B:$B=$A878,'Основной эфир'!$C:$C=$B878,'Основной эфир'!$I:$I=$C878)), 0) "),0.0)</f>
        <v>0</v>
      </c>
      <c r="K878" s="91" t="str">
        <f>IFERROR(__xludf.DUMMYFUNCTION("IFERROR(REGEXREPLACE(unique(filter('Основной эфир'!$A:$A, 'Основной эфир'!$B:$B=$A878,'Основной эфир'!$C:$C=$B878,'Основной эфир'!$I:$I=$C878)), ""\d+"", """"),"""")"),"")</f>
        <v/>
      </c>
      <c r="L878" s="91" t="str">
        <f>IFERROR(__xludf.DUMMYFUNCTION("IFERROR(unique(filter('Основной эфир'!$F:$F, 'Основной эфир'!$B:$B=$A878,'Основной эфир'!$C:$C=$B878,'Основной эфир'!$I:$I=$C878)),"""")"),"")</f>
        <v/>
      </c>
      <c r="M878" s="92" t="str">
        <f t="shared" si="1"/>
        <v/>
      </c>
      <c r="N878" s="93">
        <f>IFERROR(__xludf.DUMMYFUNCTION("IFERROR(SWITCH(lower(join("" "",L878:M878)),""а миллионник"", 62.5,""б миллионник"", 75,""а мск"", 50, ""б мск"", 62.5, ""a остальное"", 70, ""б остальное"", 80)/100,0)"),0.0)</f>
        <v>0</v>
      </c>
      <c r="O878" s="91">
        <f t="shared" si="2"/>
        <v>0</v>
      </c>
      <c r="P878" s="91">
        <f>IFERROR(__xludf.DUMMYFUNCTION("IFERROR(sum(filter('Генеральный баннер'!$O:$O, 'Генеральный баннер'!$B:$B=$A878,'Генеральный баннер'!$C:$C=$B878,'Генеральный баннер'!$I:$I=$C878)), 0) "),0.0)</f>
        <v>0</v>
      </c>
      <c r="Q878" s="91">
        <f>IFERROR(__xludf.DUMMYFUNCTION("IFERROR(sum(filter('Генеральный баннер'!$Q:$Q, 'Генеральный баннер'!$B:$B=$A878,'Генеральный баннер'!$C:$C=$B878,'Генеральный баннер'!$I:$I=$C878)), 0) "),0.0)</f>
        <v>0</v>
      </c>
      <c r="R878" s="91">
        <f>IFERROR(__xludf.DUMMYFUNCTION("IFERROR(AVERAGE(filter('Генеральный баннер'!$AA:$AA, 'Генеральный баннер'!$B:$B=$A878,'Генеральный баннер'!$C:$C=$B878,'Генеральный баннер'!$I:$I=$C878)), 0) "),0.0)</f>
        <v>0</v>
      </c>
      <c r="S878" s="91">
        <f>IFERROR(__xludf.DUMMYFUNCTION("IFERROR(SUM(filter('Генеральный баннер'!$AH:$AH, 'Генеральный баннер'!$B:$B=$A878,'Генеральный баннер'!$C:$C=$B878,'Генеральный баннер'!$I:$I=$C878)), 0) "),0.0)</f>
        <v>0</v>
      </c>
      <c r="T878" s="91" t="str">
        <f>IFERROR(__xludf.DUMMYFUNCTION("IFERROR(REGEXREPLACE(unique(filter('Генеральный баннер'!$A:$A, 'Генеральный баннер'!$B:$B=$A878,'Генеральный баннер'!$C:$C=$B878,'Генеральный баннер'!$I:$I=$C878)), ""\d+"", """"),"""")"),"")</f>
        <v/>
      </c>
      <c r="U878" s="91" t="str">
        <f>IFERROR(__xludf.DUMMYFUNCTION("IFERROR(unique(filter('Генеральный баннер'!$F:$F, 'Генеральный баннер'!$B:$B=$A878,'Генеральный баннер'!$C:$C=$B878,'Генеральный баннер'!$I:$I=$C878)),"""")"),"")</f>
        <v/>
      </c>
      <c r="V878" s="92" t="str">
        <f t="shared" si="3"/>
        <v/>
      </c>
      <c r="W878" s="93">
        <f>IFERROR(__xludf.DUMMYFUNCTION("IFERROR(SWITCH(lower(join("" "",U878:V878)),""а миллионник"", 62.5,""б миллионник"", 75,""а мск"", 50, ""б мск"", 62.5, ""a остальное"", 70, ""б остальное"", 80)/100,0)"),0.0)</f>
        <v>0</v>
      </c>
      <c r="X878" s="91">
        <f t="shared" si="4"/>
        <v>0</v>
      </c>
    </row>
    <row r="879">
      <c r="A879" s="12"/>
      <c r="B879" s="12"/>
      <c r="C879" s="12"/>
      <c r="D879" s="91">
        <f>IFERROR(__xludf.DUMMYFUNCTION("IFERROR(sum(filter('Основной эфир'!$AA:$AA, 'Основной эфир'!$B:$B=$A879,'Основной эфир'!$C:$C=$B879,'Основной эфир'!$I:$I=$C879)), 0) "),0.0)</f>
        <v>0</v>
      </c>
      <c r="E879" s="91">
        <f>IFERROR(__xludf.DUMMYFUNCTION("IFERROR(sum(filter('Основной эфир'!$AC:$AC, 'Основной эфир'!$B:$B=$A879,'Основной эфир'!$C:$C=$B879,'Основной эфир'!$I:$I=$C879)), 0) "),0.0)</f>
        <v>0</v>
      </c>
      <c r="F879" s="91">
        <f>IFERROR(__xludf.DUMMYFUNCTION("IFERROR(sum(filter('Основной эфир'!$O:$O, 'Основной эфир'!$B:$B=$A879,'Основной эфир'!$C:$C=$B879,'Основной эфир'!$I:$I=$C879)), 0) "),0.0)</f>
        <v>0</v>
      </c>
      <c r="G879" s="91">
        <f>IFERROR(__xludf.DUMMYFUNCTION("IFERROR(sum(filter('Основной эфир'!$Q:$Q, 'Основной эфир'!$B:$B=$A879,'Основной эфир'!$C:$C=$B879,'Основной эфир'!$I:$I=$C879)), 0) "),0.0)</f>
        <v>0</v>
      </c>
      <c r="H879" s="91">
        <f>IFERROR(__xludf.DUMMYFUNCTION("IFERROR(AVERAGE(filter('Основной эфир'!$Y:$Y, 'Основной эфир'!$B:$B=$A879,'Основной эфир'!$C:$C=$B879,'Основной эфир'!$I:$I=$C879)), 0) "),0.0)</f>
        <v>0</v>
      </c>
      <c r="I879" s="91">
        <f>IFERROR(__xludf.DUMMYFUNCTION("IFERROR(AVERAGE(filter('Основной эфир'!$AE:$AE, 'Основной эфир'!$B:$B=$A879,'Основной эфир'!$C:$C=$B879,'Основной эфир'!$I:$I=$C879)), 0) "),0.0)</f>
        <v>0</v>
      </c>
      <c r="J879" s="91">
        <f>IFERROR(__xludf.DUMMYFUNCTION("IFERROR(SUM(filter('Основной эфир'!$AL:$AL, 'Основной эфир'!$B:$B=$A879,'Основной эфир'!$C:$C=$B879,'Основной эфир'!$I:$I=$C879)), 0) "),0.0)</f>
        <v>0</v>
      </c>
      <c r="K879" s="91" t="str">
        <f>IFERROR(__xludf.DUMMYFUNCTION("IFERROR(REGEXREPLACE(unique(filter('Основной эфир'!$A:$A, 'Основной эфир'!$B:$B=$A879,'Основной эфир'!$C:$C=$B879,'Основной эфир'!$I:$I=$C879)), ""\d+"", """"),"""")"),"")</f>
        <v/>
      </c>
      <c r="L879" s="91" t="str">
        <f>IFERROR(__xludf.DUMMYFUNCTION("IFERROR(unique(filter('Основной эфир'!$F:$F, 'Основной эфир'!$B:$B=$A879,'Основной эфир'!$C:$C=$B879,'Основной эфир'!$I:$I=$C879)),"""")"),"")</f>
        <v/>
      </c>
      <c r="M879" s="92" t="str">
        <f t="shared" si="1"/>
        <v/>
      </c>
      <c r="N879" s="93">
        <f>IFERROR(__xludf.DUMMYFUNCTION("IFERROR(SWITCH(lower(join("" "",L879:M879)),""а миллионник"", 62.5,""б миллионник"", 75,""а мск"", 50, ""б мск"", 62.5, ""a остальное"", 70, ""б остальное"", 80)/100,0)"),0.0)</f>
        <v>0</v>
      </c>
      <c r="O879" s="91">
        <f t="shared" si="2"/>
        <v>0</v>
      </c>
      <c r="P879" s="91">
        <f>IFERROR(__xludf.DUMMYFUNCTION("IFERROR(sum(filter('Генеральный баннер'!$O:$O, 'Генеральный баннер'!$B:$B=$A879,'Генеральный баннер'!$C:$C=$B879,'Генеральный баннер'!$I:$I=$C879)), 0) "),0.0)</f>
        <v>0</v>
      </c>
      <c r="Q879" s="91">
        <f>IFERROR(__xludf.DUMMYFUNCTION("IFERROR(sum(filter('Генеральный баннер'!$Q:$Q, 'Генеральный баннер'!$B:$B=$A879,'Генеральный баннер'!$C:$C=$B879,'Генеральный баннер'!$I:$I=$C879)), 0) "),0.0)</f>
        <v>0</v>
      </c>
      <c r="R879" s="91">
        <f>IFERROR(__xludf.DUMMYFUNCTION("IFERROR(AVERAGE(filter('Генеральный баннер'!$AA:$AA, 'Генеральный баннер'!$B:$B=$A879,'Генеральный баннер'!$C:$C=$B879,'Генеральный баннер'!$I:$I=$C879)), 0) "),0.0)</f>
        <v>0</v>
      </c>
      <c r="S879" s="91">
        <f>IFERROR(__xludf.DUMMYFUNCTION("IFERROR(SUM(filter('Генеральный баннер'!$AH:$AH, 'Генеральный баннер'!$B:$B=$A879,'Генеральный баннер'!$C:$C=$B879,'Генеральный баннер'!$I:$I=$C879)), 0) "),0.0)</f>
        <v>0</v>
      </c>
      <c r="T879" s="91" t="str">
        <f>IFERROR(__xludf.DUMMYFUNCTION("IFERROR(REGEXREPLACE(unique(filter('Генеральный баннер'!$A:$A, 'Генеральный баннер'!$B:$B=$A879,'Генеральный баннер'!$C:$C=$B879,'Генеральный баннер'!$I:$I=$C879)), ""\d+"", """"),"""")"),"")</f>
        <v/>
      </c>
      <c r="U879" s="91" t="str">
        <f>IFERROR(__xludf.DUMMYFUNCTION("IFERROR(unique(filter('Генеральный баннер'!$F:$F, 'Генеральный баннер'!$B:$B=$A879,'Генеральный баннер'!$C:$C=$B879,'Генеральный баннер'!$I:$I=$C879)),"""")"),"")</f>
        <v/>
      </c>
      <c r="V879" s="92" t="str">
        <f t="shared" si="3"/>
        <v/>
      </c>
      <c r="W879" s="93">
        <f>IFERROR(__xludf.DUMMYFUNCTION("IFERROR(SWITCH(lower(join("" "",U879:V879)),""а миллионник"", 62.5,""б миллионник"", 75,""а мск"", 50, ""б мск"", 62.5, ""a остальное"", 70, ""б остальное"", 80)/100,0)"),0.0)</f>
        <v>0</v>
      </c>
      <c r="X879" s="91">
        <f t="shared" si="4"/>
        <v>0</v>
      </c>
    </row>
    <row r="880">
      <c r="A880" s="12"/>
      <c r="B880" s="12"/>
      <c r="C880" s="12"/>
      <c r="D880" s="91">
        <f>IFERROR(__xludf.DUMMYFUNCTION("IFERROR(sum(filter('Основной эфир'!$AA:$AA, 'Основной эфир'!$B:$B=$A880,'Основной эфир'!$C:$C=$B880,'Основной эфир'!$I:$I=$C880)), 0) "),0.0)</f>
        <v>0</v>
      </c>
      <c r="E880" s="91">
        <f>IFERROR(__xludf.DUMMYFUNCTION("IFERROR(sum(filter('Основной эфир'!$AC:$AC, 'Основной эфир'!$B:$B=$A880,'Основной эфир'!$C:$C=$B880,'Основной эфир'!$I:$I=$C880)), 0) "),0.0)</f>
        <v>0</v>
      </c>
      <c r="F880" s="91">
        <f>IFERROR(__xludf.DUMMYFUNCTION("IFERROR(sum(filter('Основной эфир'!$O:$O, 'Основной эфир'!$B:$B=$A880,'Основной эфир'!$C:$C=$B880,'Основной эфир'!$I:$I=$C880)), 0) "),0.0)</f>
        <v>0</v>
      </c>
      <c r="G880" s="91">
        <f>IFERROR(__xludf.DUMMYFUNCTION("IFERROR(sum(filter('Основной эфир'!$Q:$Q, 'Основной эфир'!$B:$B=$A880,'Основной эфир'!$C:$C=$B880,'Основной эфир'!$I:$I=$C880)), 0) "),0.0)</f>
        <v>0</v>
      </c>
      <c r="H880" s="91">
        <f>IFERROR(__xludf.DUMMYFUNCTION("IFERROR(AVERAGE(filter('Основной эфир'!$Y:$Y, 'Основной эфир'!$B:$B=$A880,'Основной эфир'!$C:$C=$B880,'Основной эфир'!$I:$I=$C880)), 0) "),0.0)</f>
        <v>0</v>
      </c>
      <c r="I880" s="91">
        <f>IFERROR(__xludf.DUMMYFUNCTION("IFERROR(AVERAGE(filter('Основной эфир'!$AE:$AE, 'Основной эфир'!$B:$B=$A880,'Основной эфир'!$C:$C=$B880,'Основной эфир'!$I:$I=$C880)), 0) "),0.0)</f>
        <v>0</v>
      </c>
      <c r="J880" s="91">
        <f>IFERROR(__xludf.DUMMYFUNCTION("IFERROR(SUM(filter('Основной эфир'!$AL:$AL, 'Основной эфир'!$B:$B=$A880,'Основной эфир'!$C:$C=$B880,'Основной эфир'!$I:$I=$C880)), 0) "),0.0)</f>
        <v>0</v>
      </c>
      <c r="K880" s="91" t="str">
        <f>IFERROR(__xludf.DUMMYFUNCTION("IFERROR(REGEXREPLACE(unique(filter('Основной эфир'!$A:$A, 'Основной эфир'!$B:$B=$A880,'Основной эфир'!$C:$C=$B880,'Основной эфир'!$I:$I=$C880)), ""\d+"", """"),"""")"),"")</f>
        <v/>
      </c>
      <c r="L880" s="91" t="str">
        <f>IFERROR(__xludf.DUMMYFUNCTION("IFERROR(unique(filter('Основной эфир'!$F:$F, 'Основной эфир'!$B:$B=$A880,'Основной эфир'!$C:$C=$B880,'Основной эфир'!$I:$I=$C880)),"""")"),"")</f>
        <v/>
      </c>
      <c r="M880" s="92" t="str">
        <f t="shared" si="1"/>
        <v/>
      </c>
      <c r="N880" s="93">
        <f>IFERROR(__xludf.DUMMYFUNCTION("IFERROR(SWITCH(lower(join("" "",L880:M880)),""а миллионник"", 62.5,""б миллионник"", 75,""а мск"", 50, ""б мск"", 62.5, ""a остальное"", 70, ""б остальное"", 80)/100,0)"),0.0)</f>
        <v>0</v>
      </c>
      <c r="O880" s="91">
        <f t="shared" si="2"/>
        <v>0</v>
      </c>
      <c r="P880" s="91">
        <f>IFERROR(__xludf.DUMMYFUNCTION("IFERROR(sum(filter('Генеральный баннер'!$O:$O, 'Генеральный баннер'!$B:$B=$A880,'Генеральный баннер'!$C:$C=$B880,'Генеральный баннер'!$I:$I=$C880)), 0) "),0.0)</f>
        <v>0</v>
      </c>
      <c r="Q880" s="91">
        <f>IFERROR(__xludf.DUMMYFUNCTION("IFERROR(sum(filter('Генеральный баннер'!$Q:$Q, 'Генеральный баннер'!$B:$B=$A880,'Генеральный баннер'!$C:$C=$B880,'Генеральный баннер'!$I:$I=$C880)), 0) "),0.0)</f>
        <v>0</v>
      </c>
      <c r="R880" s="91">
        <f>IFERROR(__xludf.DUMMYFUNCTION("IFERROR(AVERAGE(filter('Генеральный баннер'!$AA:$AA, 'Генеральный баннер'!$B:$B=$A880,'Генеральный баннер'!$C:$C=$B880,'Генеральный баннер'!$I:$I=$C880)), 0) "),0.0)</f>
        <v>0</v>
      </c>
      <c r="S880" s="91">
        <f>IFERROR(__xludf.DUMMYFUNCTION("IFERROR(SUM(filter('Генеральный баннер'!$AH:$AH, 'Генеральный баннер'!$B:$B=$A880,'Генеральный баннер'!$C:$C=$B880,'Генеральный баннер'!$I:$I=$C880)), 0) "),0.0)</f>
        <v>0</v>
      </c>
      <c r="T880" s="91" t="str">
        <f>IFERROR(__xludf.DUMMYFUNCTION("IFERROR(REGEXREPLACE(unique(filter('Генеральный баннер'!$A:$A, 'Генеральный баннер'!$B:$B=$A880,'Генеральный баннер'!$C:$C=$B880,'Генеральный баннер'!$I:$I=$C880)), ""\d+"", """"),"""")"),"")</f>
        <v/>
      </c>
      <c r="U880" s="91" t="str">
        <f>IFERROR(__xludf.DUMMYFUNCTION("IFERROR(unique(filter('Генеральный баннер'!$F:$F, 'Генеральный баннер'!$B:$B=$A880,'Генеральный баннер'!$C:$C=$B880,'Генеральный баннер'!$I:$I=$C880)),"""")"),"")</f>
        <v/>
      </c>
      <c r="V880" s="92" t="str">
        <f t="shared" si="3"/>
        <v/>
      </c>
      <c r="W880" s="93">
        <f>IFERROR(__xludf.DUMMYFUNCTION("IFERROR(SWITCH(lower(join("" "",U880:V880)),""а миллионник"", 62.5,""б миллионник"", 75,""а мск"", 50, ""б мск"", 62.5, ""a остальное"", 70, ""б остальное"", 80)/100,0)"),0.0)</f>
        <v>0</v>
      </c>
      <c r="X880" s="91">
        <f t="shared" si="4"/>
        <v>0</v>
      </c>
    </row>
    <row r="881">
      <c r="A881" s="12"/>
      <c r="B881" s="12"/>
      <c r="C881" s="12"/>
      <c r="D881" s="91">
        <f>IFERROR(__xludf.DUMMYFUNCTION("IFERROR(sum(filter('Основной эфир'!$AA:$AA, 'Основной эфир'!$B:$B=$A881,'Основной эфир'!$C:$C=$B881,'Основной эфир'!$I:$I=$C881)), 0) "),0.0)</f>
        <v>0</v>
      </c>
      <c r="E881" s="91">
        <f>IFERROR(__xludf.DUMMYFUNCTION("IFERROR(sum(filter('Основной эфир'!$AC:$AC, 'Основной эфир'!$B:$B=$A881,'Основной эфир'!$C:$C=$B881,'Основной эфир'!$I:$I=$C881)), 0) "),0.0)</f>
        <v>0</v>
      </c>
      <c r="F881" s="91">
        <f>IFERROR(__xludf.DUMMYFUNCTION("IFERROR(sum(filter('Основной эфир'!$O:$O, 'Основной эфир'!$B:$B=$A881,'Основной эфир'!$C:$C=$B881,'Основной эфир'!$I:$I=$C881)), 0) "),0.0)</f>
        <v>0</v>
      </c>
      <c r="G881" s="91">
        <f>IFERROR(__xludf.DUMMYFUNCTION("IFERROR(sum(filter('Основной эфир'!$Q:$Q, 'Основной эфир'!$B:$B=$A881,'Основной эфир'!$C:$C=$B881,'Основной эфир'!$I:$I=$C881)), 0) "),0.0)</f>
        <v>0</v>
      </c>
      <c r="H881" s="91">
        <f>IFERROR(__xludf.DUMMYFUNCTION("IFERROR(AVERAGE(filter('Основной эфир'!$Y:$Y, 'Основной эфир'!$B:$B=$A881,'Основной эфир'!$C:$C=$B881,'Основной эфир'!$I:$I=$C881)), 0) "),0.0)</f>
        <v>0</v>
      </c>
      <c r="I881" s="91">
        <f>IFERROR(__xludf.DUMMYFUNCTION("IFERROR(AVERAGE(filter('Основной эфир'!$AE:$AE, 'Основной эфир'!$B:$B=$A881,'Основной эфир'!$C:$C=$B881,'Основной эфир'!$I:$I=$C881)), 0) "),0.0)</f>
        <v>0</v>
      </c>
      <c r="J881" s="91">
        <f>IFERROR(__xludf.DUMMYFUNCTION("IFERROR(SUM(filter('Основной эфир'!$AL:$AL, 'Основной эфир'!$B:$B=$A881,'Основной эфир'!$C:$C=$B881,'Основной эфир'!$I:$I=$C881)), 0) "),0.0)</f>
        <v>0</v>
      </c>
      <c r="K881" s="91" t="str">
        <f>IFERROR(__xludf.DUMMYFUNCTION("IFERROR(REGEXREPLACE(unique(filter('Основной эфир'!$A:$A, 'Основной эфир'!$B:$B=$A881,'Основной эфир'!$C:$C=$B881,'Основной эфир'!$I:$I=$C881)), ""\d+"", """"),"""")"),"")</f>
        <v/>
      </c>
      <c r="L881" s="91" t="str">
        <f>IFERROR(__xludf.DUMMYFUNCTION("IFERROR(unique(filter('Основной эфир'!$F:$F, 'Основной эфир'!$B:$B=$A881,'Основной эфир'!$C:$C=$B881,'Основной эфир'!$I:$I=$C881)),"""")"),"")</f>
        <v/>
      </c>
      <c r="M881" s="92" t="str">
        <f t="shared" si="1"/>
        <v/>
      </c>
      <c r="N881" s="93">
        <f>IFERROR(__xludf.DUMMYFUNCTION("IFERROR(SWITCH(lower(join("" "",L881:M881)),""а миллионник"", 62.5,""б миллионник"", 75,""а мск"", 50, ""б мск"", 62.5, ""a остальное"", 70, ""б остальное"", 80)/100,0)"),0.0)</f>
        <v>0</v>
      </c>
      <c r="O881" s="91">
        <f t="shared" si="2"/>
        <v>0</v>
      </c>
      <c r="P881" s="91">
        <f>IFERROR(__xludf.DUMMYFUNCTION("IFERROR(sum(filter('Генеральный баннер'!$O:$O, 'Генеральный баннер'!$B:$B=$A881,'Генеральный баннер'!$C:$C=$B881,'Генеральный баннер'!$I:$I=$C881)), 0) "),0.0)</f>
        <v>0</v>
      </c>
      <c r="Q881" s="91">
        <f>IFERROR(__xludf.DUMMYFUNCTION("IFERROR(sum(filter('Генеральный баннер'!$Q:$Q, 'Генеральный баннер'!$B:$B=$A881,'Генеральный баннер'!$C:$C=$B881,'Генеральный баннер'!$I:$I=$C881)), 0) "),0.0)</f>
        <v>0</v>
      </c>
      <c r="R881" s="91">
        <f>IFERROR(__xludf.DUMMYFUNCTION("IFERROR(AVERAGE(filter('Генеральный баннер'!$AA:$AA, 'Генеральный баннер'!$B:$B=$A881,'Генеральный баннер'!$C:$C=$B881,'Генеральный баннер'!$I:$I=$C881)), 0) "),0.0)</f>
        <v>0</v>
      </c>
      <c r="S881" s="91">
        <f>IFERROR(__xludf.DUMMYFUNCTION("IFERROR(SUM(filter('Генеральный баннер'!$AH:$AH, 'Генеральный баннер'!$B:$B=$A881,'Генеральный баннер'!$C:$C=$B881,'Генеральный баннер'!$I:$I=$C881)), 0) "),0.0)</f>
        <v>0</v>
      </c>
      <c r="T881" s="91" t="str">
        <f>IFERROR(__xludf.DUMMYFUNCTION("IFERROR(REGEXREPLACE(unique(filter('Генеральный баннер'!$A:$A, 'Генеральный баннер'!$B:$B=$A881,'Генеральный баннер'!$C:$C=$B881,'Генеральный баннер'!$I:$I=$C881)), ""\d+"", """"),"""")"),"")</f>
        <v/>
      </c>
      <c r="U881" s="91" t="str">
        <f>IFERROR(__xludf.DUMMYFUNCTION("IFERROR(unique(filter('Генеральный баннер'!$F:$F, 'Генеральный баннер'!$B:$B=$A881,'Генеральный баннер'!$C:$C=$B881,'Генеральный баннер'!$I:$I=$C881)),"""")"),"")</f>
        <v/>
      </c>
      <c r="V881" s="92" t="str">
        <f t="shared" si="3"/>
        <v/>
      </c>
      <c r="W881" s="93">
        <f>IFERROR(__xludf.DUMMYFUNCTION("IFERROR(SWITCH(lower(join("" "",U881:V881)),""а миллионник"", 62.5,""б миллионник"", 75,""а мск"", 50, ""б мск"", 62.5, ""a остальное"", 70, ""б остальное"", 80)/100,0)"),0.0)</f>
        <v>0</v>
      </c>
      <c r="X881" s="91">
        <f t="shared" si="4"/>
        <v>0</v>
      </c>
    </row>
    <row r="882">
      <c r="A882" s="12"/>
      <c r="B882" s="12"/>
      <c r="C882" s="12"/>
      <c r="D882" s="91">
        <f>IFERROR(__xludf.DUMMYFUNCTION("IFERROR(sum(filter('Основной эфир'!$AA:$AA, 'Основной эфир'!$B:$B=$A882,'Основной эфир'!$C:$C=$B882,'Основной эфир'!$I:$I=$C882)), 0) "),0.0)</f>
        <v>0</v>
      </c>
      <c r="E882" s="91">
        <f>IFERROR(__xludf.DUMMYFUNCTION("IFERROR(sum(filter('Основной эфир'!$AC:$AC, 'Основной эфир'!$B:$B=$A882,'Основной эфир'!$C:$C=$B882,'Основной эфир'!$I:$I=$C882)), 0) "),0.0)</f>
        <v>0</v>
      </c>
      <c r="F882" s="91">
        <f>IFERROR(__xludf.DUMMYFUNCTION("IFERROR(sum(filter('Основной эфир'!$O:$O, 'Основной эфир'!$B:$B=$A882,'Основной эфир'!$C:$C=$B882,'Основной эфир'!$I:$I=$C882)), 0) "),0.0)</f>
        <v>0</v>
      </c>
      <c r="G882" s="91">
        <f>IFERROR(__xludf.DUMMYFUNCTION("IFERROR(sum(filter('Основной эфир'!$Q:$Q, 'Основной эфир'!$B:$B=$A882,'Основной эфир'!$C:$C=$B882,'Основной эфир'!$I:$I=$C882)), 0) "),0.0)</f>
        <v>0</v>
      </c>
      <c r="H882" s="91">
        <f>IFERROR(__xludf.DUMMYFUNCTION("IFERROR(AVERAGE(filter('Основной эфир'!$Y:$Y, 'Основной эфир'!$B:$B=$A882,'Основной эфир'!$C:$C=$B882,'Основной эфир'!$I:$I=$C882)), 0) "),0.0)</f>
        <v>0</v>
      </c>
      <c r="I882" s="91">
        <f>IFERROR(__xludf.DUMMYFUNCTION("IFERROR(AVERAGE(filter('Основной эфир'!$AE:$AE, 'Основной эфир'!$B:$B=$A882,'Основной эфир'!$C:$C=$B882,'Основной эфир'!$I:$I=$C882)), 0) "),0.0)</f>
        <v>0</v>
      </c>
      <c r="J882" s="91">
        <f>IFERROR(__xludf.DUMMYFUNCTION("IFERROR(SUM(filter('Основной эфир'!$AL:$AL, 'Основной эфир'!$B:$B=$A882,'Основной эфир'!$C:$C=$B882,'Основной эфир'!$I:$I=$C882)), 0) "),0.0)</f>
        <v>0</v>
      </c>
      <c r="K882" s="91" t="str">
        <f>IFERROR(__xludf.DUMMYFUNCTION("IFERROR(REGEXREPLACE(unique(filter('Основной эфир'!$A:$A, 'Основной эфир'!$B:$B=$A882,'Основной эфир'!$C:$C=$B882,'Основной эфир'!$I:$I=$C882)), ""\d+"", """"),"""")"),"")</f>
        <v/>
      </c>
      <c r="L882" s="91" t="str">
        <f>IFERROR(__xludf.DUMMYFUNCTION("IFERROR(unique(filter('Основной эфир'!$F:$F, 'Основной эфир'!$B:$B=$A882,'Основной эфир'!$C:$C=$B882,'Основной эфир'!$I:$I=$C882)),"""")"),"")</f>
        <v/>
      </c>
      <c r="M882" s="92" t="str">
        <f t="shared" si="1"/>
        <v/>
      </c>
      <c r="N882" s="93">
        <f>IFERROR(__xludf.DUMMYFUNCTION("IFERROR(SWITCH(lower(join("" "",L882:M882)),""а миллионник"", 62.5,""б миллионник"", 75,""а мск"", 50, ""б мск"", 62.5, ""a остальное"", 70, ""б остальное"", 80)/100,0)"),0.0)</f>
        <v>0</v>
      </c>
      <c r="O882" s="91">
        <f t="shared" si="2"/>
        <v>0</v>
      </c>
      <c r="P882" s="91">
        <f>IFERROR(__xludf.DUMMYFUNCTION("IFERROR(sum(filter('Генеральный баннер'!$O:$O, 'Генеральный баннер'!$B:$B=$A882,'Генеральный баннер'!$C:$C=$B882,'Генеральный баннер'!$I:$I=$C882)), 0) "),0.0)</f>
        <v>0</v>
      </c>
      <c r="Q882" s="91">
        <f>IFERROR(__xludf.DUMMYFUNCTION("IFERROR(sum(filter('Генеральный баннер'!$Q:$Q, 'Генеральный баннер'!$B:$B=$A882,'Генеральный баннер'!$C:$C=$B882,'Генеральный баннер'!$I:$I=$C882)), 0) "),0.0)</f>
        <v>0</v>
      </c>
      <c r="R882" s="91">
        <f>IFERROR(__xludf.DUMMYFUNCTION("IFERROR(AVERAGE(filter('Генеральный баннер'!$AA:$AA, 'Генеральный баннер'!$B:$B=$A882,'Генеральный баннер'!$C:$C=$B882,'Генеральный баннер'!$I:$I=$C882)), 0) "),0.0)</f>
        <v>0</v>
      </c>
      <c r="S882" s="91">
        <f>IFERROR(__xludf.DUMMYFUNCTION("IFERROR(SUM(filter('Генеральный баннер'!$AH:$AH, 'Генеральный баннер'!$B:$B=$A882,'Генеральный баннер'!$C:$C=$B882,'Генеральный баннер'!$I:$I=$C882)), 0) "),0.0)</f>
        <v>0</v>
      </c>
      <c r="T882" s="91" t="str">
        <f>IFERROR(__xludf.DUMMYFUNCTION("IFERROR(REGEXREPLACE(unique(filter('Генеральный баннер'!$A:$A, 'Генеральный баннер'!$B:$B=$A882,'Генеральный баннер'!$C:$C=$B882,'Генеральный баннер'!$I:$I=$C882)), ""\d+"", """"),"""")"),"")</f>
        <v/>
      </c>
      <c r="U882" s="91" t="str">
        <f>IFERROR(__xludf.DUMMYFUNCTION("IFERROR(unique(filter('Генеральный баннер'!$F:$F, 'Генеральный баннер'!$B:$B=$A882,'Генеральный баннер'!$C:$C=$B882,'Генеральный баннер'!$I:$I=$C882)),"""")"),"")</f>
        <v/>
      </c>
      <c r="V882" s="92" t="str">
        <f t="shared" si="3"/>
        <v/>
      </c>
      <c r="W882" s="93">
        <f>IFERROR(__xludf.DUMMYFUNCTION("IFERROR(SWITCH(lower(join("" "",U882:V882)),""а миллионник"", 62.5,""б миллионник"", 75,""а мск"", 50, ""б мск"", 62.5, ""a остальное"", 70, ""б остальное"", 80)/100,0)"),0.0)</f>
        <v>0</v>
      </c>
      <c r="X882" s="91">
        <f t="shared" si="4"/>
        <v>0</v>
      </c>
    </row>
    <row r="883">
      <c r="A883" s="12"/>
      <c r="B883" s="12"/>
      <c r="C883" s="12"/>
      <c r="D883" s="91">
        <f>IFERROR(__xludf.DUMMYFUNCTION("IFERROR(sum(filter('Основной эфир'!$AA:$AA, 'Основной эфир'!$B:$B=$A883,'Основной эфир'!$C:$C=$B883,'Основной эфир'!$I:$I=$C883)), 0) "),0.0)</f>
        <v>0</v>
      </c>
      <c r="E883" s="91">
        <f>IFERROR(__xludf.DUMMYFUNCTION("IFERROR(sum(filter('Основной эфир'!$AC:$AC, 'Основной эфир'!$B:$B=$A883,'Основной эфир'!$C:$C=$B883,'Основной эфир'!$I:$I=$C883)), 0) "),0.0)</f>
        <v>0</v>
      </c>
      <c r="F883" s="91">
        <f>IFERROR(__xludf.DUMMYFUNCTION("IFERROR(sum(filter('Основной эфир'!$O:$O, 'Основной эфир'!$B:$B=$A883,'Основной эфир'!$C:$C=$B883,'Основной эфир'!$I:$I=$C883)), 0) "),0.0)</f>
        <v>0</v>
      </c>
      <c r="G883" s="91">
        <f>IFERROR(__xludf.DUMMYFUNCTION("IFERROR(sum(filter('Основной эфир'!$Q:$Q, 'Основной эфир'!$B:$B=$A883,'Основной эфир'!$C:$C=$B883,'Основной эфир'!$I:$I=$C883)), 0) "),0.0)</f>
        <v>0</v>
      </c>
      <c r="H883" s="91">
        <f>IFERROR(__xludf.DUMMYFUNCTION("IFERROR(AVERAGE(filter('Основной эфир'!$Y:$Y, 'Основной эфир'!$B:$B=$A883,'Основной эфир'!$C:$C=$B883,'Основной эфир'!$I:$I=$C883)), 0) "),0.0)</f>
        <v>0</v>
      </c>
      <c r="I883" s="91">
        <f>IFERROR(__xludf.DUMMYFUNCTION("IFERROR(AVERAGE(filter('Основной эфир'!$AE:$AE, 'Основной эфир'!$B:$B=$A883,'Основной эфир'!$C:$C=$B883,'Основной эфир'!$I:$I=$C883)), 0) "),0.0)</f>
        <v>0</v>
      </c>
      <c r="J883" s="91">
        <f>IFERROR(__xludf.DUMMYFUNCTION("IFERROR(SUM(filter('Основной эфир'!$AL:$AL, 'Основной эфир'!$B:$B=$A883,'Основной эфир'!$C:$C=$B883,'Основной эфир'!$I:$I=$C883)), 0) "),0.0)</f>
        <v>0</v>
      </c>
      <c r="K883" s="91" t="str">
        <f>IFERROR(__xludf.DUMMYFUNCTION("IFERROR(REGEXREPLACE(unique(filter('Основной эфир'!$A:$A, 'Основной эфир'!$B:$B=$A883,'Основной эфир'!$C:$C=$B883,'Основной эфир'!$I:$I=$C883)), ""\d+"", """"),"""")"),"")</f>
        <v/>
      </c>
      <c r="L883" s="91" t="str">
        <f>IFERROR(__xludf.DUMMYFUNCTION("IFERROR(unique(filter('Основной эфир'!$F:$F, 'Основной эфир'!$B:$B=$A883,'Основной эфир'!$C:$C=$B883,'Основной эфир'!$I:$I=$C883)),"""")"),"")</f>
        <v/>
      </c>
      <c r="M883" s="92" t="str">
        <f t="shared" si="1"/>
        <v/>
      </c>
      <c r="N883" s="93">
        <f>IFERROR(__xludf.DUMMYFUNCTION("IFERROR(SWITCH(lower(join("" "",L883:M883)),""а миллионник"", 62.5,""б миллионник"", 75,""а мск"", 50, ""б мск"", 62.5, ""a остальное"", 70, ""б остальное"", 80)/100,0)"),0.0)</f>
        <v>0</v>
      </c>
      <c r="O883" s="91">
        <f t="shared" si="2"/>
        <v>0</v>
      </c>
      <c r="P883" s="91">
        <f>IFERROR(__xludf.DUMMYFUNCTION("IFERROR(sum(filter('Генеральный баннер'!$O:$O, 'Генеральный баннер'!$B:$B=$A883,'Генеральный баннер'!$C:$C=$B883,'Генеральный баннер'!$I:$I=$C883)), 0) "),0.0)</f>
        <v>0</v>
      </c>
      <c r="Q883" s="91">
        <f>IFERROR(__xludf.DUMMYFUNCTION("IFERROR(sum(filter('Генеральный баннер'!$Q:$Q, 'Генеральный баннер'!$B:$B=$A883,'Генеральный баннер'!$C:$C=$B883,'Генеральный баннер'!$I:$I=$C883)), 0) "),0.0)</f>
        <v>0</v>
      </c>
      <c r="R883" s="91">
        <f>IFERROR(__xludf.DUMMYFUNCTION("IFERROR(AVERAGE(filter('Генеральный баннер'!$AA:$AA, 'Генеральный баннер'!$B:$B=$A883,'Генеральный баннер'!$C:$C=$B883,'Генеральный баннер'!$I:$I=$C883)), 0) "),0.0)</f>
        <v>0</v>
      </c>
      <c r="S883" s="91">
        <f>IFERROR(__xludf.DUMMYFUNCTION("IFERROR(SUM(filter('Генеральный баннер'!$AH:$AH, 'Генеральный баннер'!$B:$B=$A883,'Генеральный баннер'!$C:$C=$B883,'Генеральный баннер'!$I:$I=$C883)), 0) "),0.0)</f>
        <v>0</v>
      </c>
      <c r="T883" s="91" t="str">
        <f>IFERROR(__xludf.DUMMYFUNCTION("IFERROR(REGEXREPLACE(unique(filter('Генеральный баннер'!$A:$A, 'Генеральный баннер'!$B:$B=$A883,'Генеральный баннер'!$C:$C=$B883,'Генеральный баннер'!$I:$I=$C883)), ""\d+"", """"),"""")"),"")</f>
        <v/>
      </c>
      <c r="U883" s="91" t="str">
        <f>IFERROR(__xludf.DUMMYFUNCTION("IFERROR(unique(filter('Генеральный баннер'!$F:$F, 'Генеральный баннер'!$B:$B=$A883,'Генеральный баннер'!$C:$C=$B883,'Генеральный баннер'!$I:$I=$C883)),"""")"),"")</f>
        <v/>
      </c>
      <c r="V883" s="92" t="str">
        <f t="shared" si="3"/>
        <v/>
      </c>
      <c r="W883" s="93">
        <f>IFERROR(__xludf.DUMMYFUNCTION("IFERROR(SWITCH(lower(join("" "",U883:V883)),""а миллионник"", 62.5,""б миллионник"", 75,""а мск"", 50, ""б мск"", 62.5, ""a остальное"", 70, ""б остальное"", 80)/100,0)"),0.0)</f>
        <v>0</v>
      </c>
      <c r="X883" s="91">
        <f t="shared" si="4"/>
        <v>0</v>
      </c>
    </row>
    <row r="884">
      <c r="A884" s="12"/>
      <c r="B884" s="12"/>
      <c r="C884" s="12"/>
      <c r="D884" s="91">
        <f>IFERROR(__xludf.DUMMYFUNCTION("IFERROR(sum(filter('Основной эфир'!$AA:$AA, 'Основной эфир'!$B:$B=$A884,'Основной эфир'!$C:$C=$B884,'Основной эфир'!$I:$I=$C884)), 0) "),0.0)</f>
        <v>0</v>
      </c>
      <c r="E884" s="91">
        <f>IFERROR(__xludf.DUMMYFUNCTION("IFERROR(sum(filter('Основной эфир'!$AC:$AC, 'Основной эфир'!$B:$B=$A884,'Основной эфир'!$C:$C=$B884,'Основной эфир'!$I:$I=$C884)), 0) "),0.0)</f>
        <v>0</v>
      </c>
      <c r="F884" s="91">
        <f>IFERROR(__xludf.DUMMYFUNCTION("IFERROR(sum(filter('Основной эфир'!$O:$O, 'Основной эфир'!$B:$B=$A884,'Основной эфир'!$C:$C=$B884,'Основной эфир'!$I:$I=$C884)), 0) "),0.0)</f>
        <v>0</v>
      </c>
      <c r="G884" s="91">
        <f>IFERROR(__xludf.DUMMYFUNCTION("IFERROR(sum(filter('Основной эфир'!$Q:$Q, 'Основной эфир'!$B:$B=$A884,'Основной эфир'!$C:$C=$B884,'Основной эфир'!$I:$I=$C884)), 0) "),0.0)</f>
        <v>0</v>
      </c>
      <c r="H884" s="91">
        <f>IFERROR(__xludf.DUMMYFUNCTION("IFERROR(AVERAGE(filter('Основной эфир'!$Y:$Y, 'Основной эфир'!$B:$B=$A884,'Основной эфир'!$C:$C=$B884,'Основной эфир'!$I:$I=$C884)), 0) "),0.0)</f>
        <v>0</v>
      </c>
      <c r="I884" s="91">
        <f>IFERROR(__xludf.DUMMYFUNCTION("IFERROR(AVERAGE(filter('Основной эфир'!$AE:$AE, 'Основной эфир'!$B:$B=$A884,'Основной эфир'!$C:$C=$B884,'Основной эфир'!$I:$I=$C884)), 0) "),0.0)</f>
        <v>0</v>
      </c>
      <c r="J884" s="91">
        <f>IFERROR(__xludf.DUMMYFUNCTION("IFERROR(SUM(filter('Основной эфир'!$AL:$AL, 'Основной эфир'!$B:$B=$A884,'Основной эфир'!$C:$C=$B884,'Основной эфир'!$I:$I=$C884)), 0) "),0.0)</f>
        <v>0</v>
      </c>
      <c r="K884" s="91" t="str">
        <f>IFERROR(__xludf.DUMMYFUNCTION("IFERROR(REGEXREPLACE(unique(filter('Основной эфир'!$A:$A, 'Основной эфир'!$B:$B=$A884,'Основной эфир'!$C:$C=$B884,'Основной эфир'!$I:$I=$C884)), ""\d+"", """"),"""")"),"")</f>
        <v/>
      </c>
      <c r="L884" s="91" t="str">
        <f>IFERROR(__xludf.DUMMYFUNCTION("IFERROR(unique(filter('Основной эфир'!$F:$F, 'Основной эфир'!$B:$B=$A884,'Основной эфир'!$C:$C=$B884,'Основной эфир'!$I:$I=$C884)),"""")"),"")</f>
        <v/>
      </c>
      <c r="M884" s="92" t="str">
        <f t="shared" si="1"/>
        <v/>
      </c>
      <c r="N884" s="93">
        <f>IFERROR(__xludf.DUMMYFUNCTION("IFERROR(SWITCH(lower(join("" "",L884:M884)),""а миллионник"", 62.5,""б миллионник"", 75,""а мск"", 50, ""б мск"", 62.5, ""a остальное"", 70, ""б остальное"", 80)/100,0)"),0.0)</f>
        <v>0</v>
      </c>
      <c r="O884" s="91">
        <f t="shared" si="2"/>
        <v>0</v>
      </c>
      <c r="P884" s="91">
        <f>IFERROR(__xludf.DUMMYFUNCTION("IFERROR(sum(filter('Генеральный баннер'!$O:$O, 'Генеральный баннер'!$B:$B=$A884,'Генеральный баннер'!$C:$C=$B884,'Генеральный баннер'!$I:$I=$C884)), 0) "),0.0)</f>
        <v>0</v>
      </c>
      <c r="Q884" s="91">
        <f>IFERROR(__xludf.DUMMYFUNCTION("IFERROR(sum(filter('Генеральный баннер'!$Q:$Q, 'Генеральный баннер'!$B:$B=$A884,'Генеральный баннер'!$C:$C=$B884,'Генеральный баннер'!$I:$I=$C884)), 0) "),0.0)</f>
        <v>0</v>
      </c>
      <c r="R884" s="91">
        <f>IFERROR(__xludf.DUMMYFUNCTION("IFERROR(AVERAGE(filter('Генеральный баннер'!$AA:$AA, 'Генеральный баннер'!$B:$B=$A884,'Генеральный баннер'!$C:$C=$B884,'Генеральный баннер'!$I:$I=$C884)), 0) "),0.0)</f>
        <v>0</v>
      </c>
      <c r="S884" s="91">
        <f>IFERROR(__xludf.DUMMYFUNCTION("IFERROR(SUM(filter('Генеральный баннер'!$AH:$AH, 'Генеральный баннер'!$B:$B=$A884,'Генеральный баннер'!$C:$C=$B884,'Генеральный баннер'!$I:$I=$C884)), 0) "),0.0)</f>
        <v>0</v>
      </c>
      <c r="T884" s="91" t="str">
        <f>IFERROR(__xludf.DUMMYFUNCTION("IFERROR(REGEXREPLACE(unique(filter('Генеральный баннер'!$A:$A, 'Генеральный баннер'!$B:$B=$A884,'Генеральный баннер'!$C:$C=$B884,'Генеральный баннер'!$I:$I=$C884)), ""\d+"", """"),"""")"),"")</f>
        <v/>
      </c>
      <c r="U884" s="91" t="str">
        <f>IFERROR(__xludf.DUMMYFUNCTION("IFERROR(unique(filter('Генеральный баннер'!$F:$F, 'Генеральный баннер'!$B:$B=$A884,'Генеральный баннер'!$C:$C=$B884,'Генеральный баннер'!$I:$I=$C884)),"""")"),"")</f>
        <v/>
      </c>
      <c r="V884" s="92" t="str">
        <f t="shared" si="3"/>
        <v/>
      </c>
      <c r="W884" s="93">
        <f>IFERROR(__xludf.DUMMYFUNCTION("IFERROR(SWITCH(lower(join("" "",U884:V884)),""а миллионник"", 62.5,""б миллионник"", 75,""а мск"", 50, ""б мск"", 62.5, ""a остальное"", 70, ""б остальное"", 80)/100,0)"),0.0)</f>
        <v>0</v>
      </c>
      <c r="X884" s="91">
        <f t="shared" si="4"/>
        <v>0</v>
      </c>
    </row>
    <row r="885">
      <c r="A885" s="12"/>
      <c r="B885" s="12"/>
      <c r="C885" s="12"/>
      <c r="D885" s="91">
        <f>IFERROR(__xludf.DUMMYFUNCTION("IFERROR(sum(filter('Основной эфир'!$AA:$AA, 'Основной эфир'!$B:$B=$A885,'Основной эфир'!$C:$C=$B885,'Основной эфир'!$I:$I=$C885)), 0) "),0.0)</f>
        <v>0</v>
      </c>
      <c r="E885" s="91">
        <f>IFERROR(__xludf.DUMMYFUNCTION("IFERROR(sum(filter('Основной эфир'!$AC:$AC, 'Основной эфир'!$B:$B=$A885,'Основной эфир'!$C:$C=$B885,'Основной эфир'!$I:$I=$C885)), 0) "),0.0)</f>
        <v>0</v>
      </c>
      <c r="F885" s="91">
        <f>IFERROR(__xludf.DUMMYFUNCTION("IFERROR(sum(filter('Основной эфир'!$O:$O, 'Основной эфир'!$B:$B=$A885,'Основной эфир'!$C:$C=$B885,'Основной эфир'!$I:$I=$C885)), 0) "),0.0)</f>
        <v>0</v>
      </c>
      <c r="G885" s="91">
        <f>IFERROR(__xludf.DUMMYFUNCTION("IFERROR(sum(filter('Основной эфир'!$Q:$Q, 'Основной эфир'!$B:$B=$A885,'Основной эфир'!$C:$C=$B885,'Основной эфир'!$I:$I=$C885)), 0) "),0.0)</f>
        <v>0</v>
      </c>
      <c r="H885" s="91">
        <f>IFERROR(__xludf.DUMMYFUNCTION("IFERROR(AVERAGE(filter('Основной эфир'!$Y:$Y, 'Основной эфир'!$B:$B=$A885,'Основной эфир'!$C:$C=$B885,'Основной эфир'!$I:$I=$C885)), 0) "),0.0)</f>
        <v>0</v>
      </c>
      <c r="I885" s="91">
        <f>IFERROR(__xludf.DUMMYFUNCTION("IFERROR(AVERAGE(filter('Основной эфир'!$AE:$AE, 'Основной эфир'!$B:$B=$A885,'Основной эфир'!$C:$C=$B885,'Основной эфир'!$I:$I=$C885)), 0) "),0.0)</f>
        <v>0</v>
      </c>
      <c r="J885" s="91">
        <f>IFERROR(__xludf.DUMMYFUNCTION("IFERROR(SUM(filter('Основной эфир'!$AL:$AL, 'Основной эфир'!$B:$B=$A885,'Основной эфир'!$C:$C=$B885,'Основной эфир'!$I:$I=$C885)), 0) "),0.0)</f>
        <v>0</v>
      </c>
      <c r="K885" s="91" t="str">
        <f>IFERROR(__xludf.DUMMYFUNCTION("IFERROR(REGEXREPLACE(unique(filter('Основной эфир'!$A:$A, 'Основной эфир'!$B:$B=$A885,'Основной эфир'!$C:$C=$B885,'Основной эфир'!$I:$I=$C885)), ""\d+"", """"),"""")"),"")</f>
        <v/>
      </c>
      <c r="L885" s="91" t="str">
        <f>IFERROR(__xludf.DUMMYFUNCTION("IFERROR(unique(filter('Основной эфир'!$F:$F, 'Основной эфир'!$B:$B=$A885,'Основной эфир'!$C:$C=$B885,'Основной эфир'!$I:$I=$C885)),"""")"),"")</f>
        <v/>
      </c>
      <c r="M885" s="92" t="str">
        <f t="shared" si="1"/>
        <v/>
      </c>
      <c r="N885" s="93">
        <f>IFERROR(__xludf.DUMMYFUNCTION("IFERROR(SWITCH(lower(join("" "",L885:M885)),""а миллионник"", 62.5,""б миллионник"", 75,""а мск"", 50, ""б мск"", 62.5, ""a остальное"", 70, ""б остальное"", 80)/100,0)"),0.0)</f>
        <v>0</v>
      </c>
      <c r="O885" s="91">
        <f t="shared" si="2"/>
        <v>0</v>
      </c>
      <c r="P885" s="91">
        <f>IFERROR(__xludf.DUMMYFUNCTION("IFERROR(sum(filter('Генеральный баннер'!$O:$O, 'Генеральный баннер'!$B:$B=$A885,'Генеральный баннер'!$C:$C=$B885,'Генеральный баннер'!$I:$I=$C885)), 0) "),0.0)</f>
        <v>0</v>
      </c>
      <c r="Q885" s="91">
        <f>IFERROR(__xludf.DUMMYFUNCTION("IFERROR(sum(filter('Генеральный баннер'!$Q:$Q, 'Генеральный баннер'!$B:$B=$A885,'Генеральный баннер'!$C:$C=$B885,'Генеральный баннер'!$I:$I=$C885)), 0) "),0.0)</f>
        <v>0</v>
      </c>
      <c r="R885" s="91">
        <f>IFERROR(__xludf.DUMMYFUNCTION("IFERROR(AVERAGE(filter('Генеральный баннер'!$AA:$AA, 'Генеральный баннер'!$B:$B=$A885,'Генеральный баннер'!$C:$C=$B885,'Генеральный баннер'!$I:$I=$C885)), 0) "),0.0)</f>
        <v>0</v>
      </c>
      <c r="S885" s="91">
        <f>IFERROR(__xludf.DUMMYFUNCTION("IFERROR(SUM(filter('Генеральный баннер'!$AH:$AH, 'Генеральный баннер'!$B:$B=$A885,'Генеральный баннер'!$C:$C=$B885,'Генеральный баннер'!$I:$I=$C885)), 0) "),0.0)</f>
        <v>0</v>
      </c>
      <c r="T885" s="91" t="str">
        <f>IFERROR(__xludf.DUMMYFUNCTION("IFERROR(REGEXREPLACE(unique(filter('Генеральный баннер'!$A:$A, 'Генеральный баннер'!$B:$B=$A885,'Генеральный баннер'!$C:$C=$B885,'Генеральный баннер'!$I:$I=$C885)), ""\d+"", """"),"""")"),"")</f>
        <v/>
      </c>
      <c r="U885" s="91" t="str">
        <f>IFERROR(__xludf.DUMMYFUNCTION("IFERROR(unique(filter('Генеральный баннер'!$F:$F, 'Генеральный баннер'!$B:$B=$A885,'Генеральный баннер'!$C:$C=$B885,'Генеральный баннер'!$I:$I=$C885)),"""")"),"")</f>
        <v/>
      </c>
      <c r="V885" s="92" t="str">
        <f t="shared" si="3"/>
        <v/>
      </c>
      <c r="W885" s="93">
        <f>IFERROR(__xludf.DUMMYFUNCTION("IFERROR(SWITCH(lower(join("" "",U885:V885)),""а миллионник"", 62.5,""б миллионник"", 75,""а мск"", 50, ""б мск"", 62.5, ""a остальное"", 70, ""б остальное"", 80)/100,0)"),0.0)</f>
        <v>0</v>
      </c>
      <c r="X885" s="91">
        <f t="shared" si="4"/>
        <v>0</v>
      </c>
    </row>
    <row r="886">
      <c r="A886" s="12"/>
      <c r="B886" s="12"/>
      <c r="C886" s="12"/>
      <c r="D886" s="91">
        <f>IFERROR(__xludf.DUMMYFUNCTION("IFERROR(sum(filter('Основной эфир'!$AA:$AA, 'Основной эфир'!$B:$B=$A886,'Основной эфир'!$C:$C=$B886,'Основной эфир'!$I:$I=$C886)), 0) "),0.0)</f>
        <v>0</v>
      </c>
      <c r="E886" s="91">
        <f>IFERROR(__xludf.DUMMYFUNCTION("IFERROR(sum(filter('Основной эфир'!$AC:$AC, 'Основной эфир'!$B:$B=$A886,'Основной эфир'!$C:$C=$B886,'Основной эфир'!$I:$I=$C886)), 0) "),0.0)</f>
        <v>0</v>
      </c>
      <c r="F886" s="91">
        <f>IFERROR(__xludf.DUMMYFUNCTION("IFERROR(sum(filter('Основной эфир'!$O:$O, 'Основной эфир'!$B:$B=$A886,'Основной эфир'!$C:$C=$B886,'Основной эфир'!$I:$I=$C886)), 0) "),0.0)</f>
        <v>0</v>
      </c>
      <c r="G886" s="91">
        <f>IFERROR(__xludf.DUMMYFUNCTION("IFERROR(sum(filter('Основной эфир'!$Q:$Q, 'Основной эфир'!$B:$B=$A886,'Основной эфир'!$C:$C=$B886,'Основной эфир'!$I:$I=$C886)), 0) "),0.0)</f>
        <v>0</v>
      </c>
      <c r="H886" s="91">
        <f>IFERROR(__xludf.DUMMYFUNCTION("IFERROR(AVERAGE(filter('Основной эфир'!$Y:$Y, 'Основной эфир'!$B:$B=$A886,'Основной эфир'!$C:$C=$B886,'Основной эфир'!$I:$I=$C886)), 0) "),0.0)</f>
        <v>0</v>
      </c>
      <c r="I886" s="91">
        <f>IFERROR(__xludf.DUMMYFUNCTION("IFERROR(AVERAGE(filter('Основной эфир'!$AE:$AE, 'Основной эфир'!$B:$B=$A886,'Основной эфир'!$C:$C=$B886,'Основной эфир'!$I:$I=$C886)), 0) "),0.0)</f>
        <v>0</v>
      </c>
      <c r="J886" s="91">
        <f>IFERROR(__xludf.DUMMYFUNCTION("IFERROR(SUM(filter('Основной эфир'!$AL:$AL, 'Основной эфир'!$B:$B=$A886,'Основной эфир'!$C:$C=$B886,'Основной эфир'!$I:$I=$C886)), 0) "),0.0)</f>
        <v>0</v>
      </c>
      <c r="K886" s="91" t="str">
        <f>IFERROR(__xludf.DUMMYFUNCTION("IFERROR(REGEXREPLACE(unique(filter('Основной эфир'!$A:$A, 'Основной эфир'!$B:$B=$A886,'Основной эфир'!$C:$C=$B886,'Основной эфир'!$I:$I=$C886)), ""\d+"", """"),"""")"),"")</f>
        <v/>
      </c>
      <c r="L886" s="91" t="str">
        <f>IFERROR(__xludf.DUMMYFUNCTION("IFERROR(unique(filter('Основной эфир'!$F:$F, 'Основной эфир'!$B:$B=$A886,'Основной эфир'!$C:$C=$B886,'Основной эфир'!$I:$I=$C886)),"""")"),"")</f>
        <v/>
      </c>
      <c r="M886" s="92" t="str">
        <f t="shared" si="1"/>
        <v/>
      </c>
      <c r="N886" s="93">
        <f>IFERROR(__xludf.DUMMYFUNCTION("IFERROR(SWITCH(lower(join("" "",L886:M886)),""а миллионник"", 62.5,""б миллионник"", 75,""а мск"", 50, ""б мск"", 62.5, ""a остальное"", 70, ""б остальное"", 80)/100,0)"),0.0)</f>
        <v>0</v>
      </c>
      <c r="O886" s="91">
        <f t="shared" si="2"/>
        <v>0</v>
      </c>
      <c r="P886" s="91">
        <f>IFERROR(__xludf.DUMMYFUNCTION("IFERROR(sum(filter('Генеральный баннер'!$O:$O, 'Генеральный баннер'!$B:$B=$A886,'Генеральный баннер'!$C:$C=$B886,'Генеральный баннер'!$I:$I=$C886)), 0) "),0.0)</f>
        <v>0</v>
      </c>
      <c r="Q886" s="91">
        <f>IFERROR(__xludf.DUMMYFUNCTION("IFERROR(sum(filter('Генеральный баннер'!$Q:$Q, 'Генеральный баннер'!$B:$B=$A886,'Генеральный баннер'!$C:$C=$B886,'Генеральный баннер'!$I:$I=$C886)), 0) "),0.0)</f>
        <v>0</v>
      </c>
      <c r="R886" s="91">
        <f>IFERROR(__xludf.DUMMYFUNCTION("IFERROR(AVERAGE(filter('Генеральный баннер'!$AA:$AA, 'Генеральный баннер'!$B:$B=$A886,'Генеральный баннер'!$C:$C=$B886,'Генеральный баннер'!$I:$I=$C886)), 0) "),0.0)</f>
        <v>0</v>
      </c>
      <c r="S886" s="91">
        <f>IFERROR(__xludf.DUMMYFUNCTION("IFERROR(SUM(filter('Генеральный баннер'!$AH:$AH, 'Генеральный баннер'!$B:$B=$A886,'Генеральный баннер'!$C:$C=$B886,'Генеральный баннер'!$I:$I=$C886)), 0) "),0.0)</f>
        <v>0</v>
      </c>
      <c r="T886" s="91" t="str">
        <f>IFERROR(__xludf.DUMMYFUNCTION("IFERROR(REGEXREPLACE(unique(filter('Генеральный баннер'!$A:$A, 'Генеральный баннер'!$B:$B=$A886,'Генеральный баннер'!$C:$C=$B886,'Генеральный баннер'!$I:$I=$C886)), ""\d+"", """"),"""")"),"")</f>
        <v/>
      </c>
      <c r="U886" s="91" t="str">
        <f>IFERROR(__xludf.DUMMYFUNCTION("IFERROR(unique(filter('Генеральный баннер'!$F:$F, 'Генеральный баннер'!$B:$B=$A886,'Генеральный баннер'!$C:$C=$B886,'Генеральный баннер'!$I:$I=$C886)),"""")"),"")</f>
        <v/>
      </c>
      <c r="V886" s="92" t="str">
        <f t="shared" si="3"/>
        <v/>
      </c>
      <c r="W886" s="93">
        <f>IFERROR(__xludf.DUMMYFUNCTION("IFERROR(SWITCH(lower(join("" "",U886:V886)),""а миллионник"", 62.5,""б миллионник"", 75,""а мск"", 50, ""б мск"", 62.5, ""a остальное"", 70, ""б остальное"", 80)/100,0)"),0.0)</f>
        <v>0</v>
      </c>
      <c r="X886" s="91">
        <f t="shared" si="4"/>
        <v>0</v>
      </c>
    </row>
    <row r="887">
      <c r="A887" s="12"/>
      <c r="B887" s="12"/>
      <c r="C887" s="12"/>
      <c r="D887" s="91">
        <f>IFERROR(__xludf.DUMMYFUNCTION("IFERROR(sum(filter('Основной эфир'!$AA:$AA, 'Основной эфир'!$B:$B=$A887,'Основной эфир'!$C:$C=$B887,'Основной эфир'!$I:$I=$C887)), 0) "),0.0)</f>
        <v>0</v>
      </c>
      <c r="E887" s="91">
        <f>IFERROR(__xludf.DUMMYFUNCTION("IFERROR(sum(filter('Основной эфир'!$AC:$AC, 'Основной эфир'!$B:$B=$A887,'Основной эфир'!$C:$C=$B887,'Основной эфир'!$I:$I=$C887)), 0) "),0.0)</f>
        <v>0</v>
      </c>
      <c r="F887" s="91">
        <f>IFERROR(__xludf.DUMMYFUNCTION("IFERROR(sum(filter('Основной эфир'!$O:$O, 'Основной эфир'!$B:$B=$A887,'Основной эфир'!$C:$C=$B887,'Основной эфир'!$I:$I=$C887)), 0) "),0.0)</f>
        <v>0</v>
      </c>
      <c r="G887" s="91">
        <f>IFERROR(__xludf.DUMMYFUNCTION("IFERROR(sum(filter('Основной эфир'!$Q:$Q, 'Основной эфир'!$B:$B=$A887,'Основной эфир'!$C:$C=$B887,'Основной эфир'!$I:$I=$C887)), 0) "),0.0)</f>
        <v>0</v>
      </c>
      <c r="H887" s="91">
        <f>IFERROR(__xludf.DUMMYFUNCTION("IFERROR(AVERAGE(filter('Основной эфир'!$Y:$Y, 'Основной эфир'!$B:$B=$A887,'Основной эфир'!$C:$C=$B887,'Основной эфир'!$I:$I=$C887)), 0) "),0.0)</f>
        <v>0</v>
      </c>
      <c r="I887" s="91">
        <f>IFERROR(__xludf.DUMMYFUNCTION("IFERROR(AVERAGE(filter('Основной эфир'!$AE:$AE, 'Основной эфир'!$B:$B=$A887,'Основной эфир'!$C:$C=$B887,'Основной эфир'!$I:$I=$C887)), 0) "),0.0)</f>
        <v>0</v>
      </c>
      <c r="J887" s="91">
        <f>IFERROR(__xludf.DUMMYFUNCTION("IFERROR(SUM(filter('Основной эфир'!$AL:$AL, 'Основной эфир'!$B:$B=$A887,'Основной эфир'!$C:$C=$B887,'Основной эфир'!$I:$I=$C887)), 0) "),0.0)</f>
        <v>0</v>
      </c>
      <c r="K887" s="91" t="str">
        <f>IFERROR(__xludf.DUMMYFUNCTION("IFERROR(REGEXREPLACE(unique(filter('Основной эфир'!$A:$A, 'Основной эфир'!$B:$B=$A887,'Основной эфир'!$C:$C=$B887,'Основной эфир'!$I:$I=$C887)), ""\d+"", """"),"""")"),"")</f>
        <v/>
      </c>
      <c r="L887" s="91" t="str">
        <f>IFERROR(__xludf.DUMMYFUNCTION("IFERROR(unique(filter('Основной эфир'!$F:$F, 'Основной эфир'!$B:$B=$A887,'Основной эфир'!$C:$C=$B887,'Основной эфир'!$I:$I=$C887)),"""")"),"")</f>
        <v/>
      </c>
      <c r="M887" s="92" t="str">
        <f t="shared" si="1"/>
        <v/>
      </c>
      <c r="N887" s="93">
        <f>IFERROR(__xludf.DUMMYFUNCTION("IFERROR(SWITCH(lower(join("" "",L887:M887)),""а миллионник"", 62.5,""б миллионник"", 75,""а мск"", 50, ""б мск"", 62.5, ""a остальное"", 70, ""б остальное"", 80)/100,0)"),0.0)</f>
        <v>0</v>
      </c>
      <c r="O887" s="91">
        <f t="shared" si="2"/>
        <v>0</v>
      </c>
      <c r="P887" s="91">
        <f>IFERROR(__xludf.DUMMYFUNCTION("IFERROR(sum(filter('Генеральный баннер'!$O:$O, 'Генеральный баннер'!$B:$B=$A887,'Генеральный баннер'!$C:$C=$B887,'Генеральный баннер'!$I:$I=$C887)), 0) "),0.0)</f>
        <v>0</v>
      </c>
      <c r="Q887" s="91">
        <f>IFERROR(__xludf.DUMMYFUNCTION("IFERROR(sum(filter('Генеральный баннер'!$Q:$Q, 'Генеральный баннер'!$B:$B=$A887,'Генеральный баннер'!$C:$C=$B887,'Генеральный баннер'!$I:$I=$C887)), 0) "),0.0)</f>
        <v>0</v>
      </c>
      <c r="R887" s="91">
        <f>IFERROR(__xludf.DUMMYFUNCTION("IFERROR(AVERAGE(filter('Генеральный баннер'!$AA:$AA, 'Генеральный баннер'!$B:$B=$A887,'Генеральный баннер'!$C:$C=$B887,'Генеральный баннер'!$I:$I=$C887)), 0) "),0.0)</f>
        <v>0</v>
      </c>
      <c r="S887" s="91">
        <f>IFERROR(__xludf.DUMMYFUNCTION("IFERROR(SUM(filter('Генеральный баннер'!$AH:$AH, 'Генеральный баннер'!$B:$B=$A887,'Генеральный баннер'!$C:$C=$B887,'Генеральный баннер'!$I:$I=$C887)), 0) "),0.0)</f>
        <v>0</v>
      </c>
      <c r="T887" s="91" t="str">
        <f>IFERROR(__xludf.DUMMYFUNCTION("IFERROR(REGEXREPLACE(unique(filter('Генеральный баннер'!$A:$A, 'Генеральный баннер'!$B:$B=$A887,'Генеральный баннер'!$C:$C=$B887,'Генеральный баннер'!$I:$I=$C887)), ""\d+"", """"),"""")"),"")</f>
        <v/>
      </c>
      <c r="U887" s="91" t="str">
        <f>IFERROR(__xludf.DUMMYFUNCTION("IFERROR(unique(filter('Генеральный баннер'!$F:$F, 'Генеральный баннер'!$B:$B=$A887,'Генеральный баннер'!$C:$C=$B887,'Генеральный баннер'!$I:$I=$C887)),"""")"),"")</f>
        <v/>
      </c>
      <c r="V887" s="92" t="str">
        <f t="shared" si="3"/>
        <v/>
      </c>
      <c r="W887" s="93">
        <f>IFERROR(__xludf.DUMMYFUNCTION("IFERROR(SWITCH(lower(join("" "",U887:V887)),""а миллионник"", 62.5,""б миллионник"", 75,""а мск"", 50, ""б мск"", 62.5, ""a остальное"", 70, ""б остальное"", 80)/100,0)"),0.0)</f>
        <v>0</v>
      </c>
      <c r="X887" s="91">
        <f t="shared" si="4"/>
        <v>0</v>
      </c>
    </row>
    <row r="888">
      <c r="A888" s="12"/>
      <c r="B888" s="12"/>
      <c r="C888" s="12"/>
      <c r="D888" s="91">
        <f>IFERROR(__xludf.DUMMYFUNCTION("IFERROR(sum(filter('Основной эфир'!$AA:$AA, 'Основной эфир'!$B:$B=$A888,'Основной эфир'!$C:$C=$B888,'Основной эфир'!$I:$I=$C888)), 0) "),0.0)</f>
        <v>0</v>
      </c>
      <c r="E888" s="91">
        <f>IFERROR(__xludf.DUMMYFUNCTION("IFERROR(sum(filter('Основной эфир'!$AC:$AC, 'Основной эфир'!$B:$B=$A888,'Основной эфир'!$C:$C=$B888,'Основной эфир'!$I:$I=$C888)), 0) "),0.0)</f>
        <v>0</v>
      </c>
      <c r="F888" s="91">
        <f>IFERROR(__xludf.DUMMYFUNCTION("IFERROR(sum(filter('Основной эфир'!$O:$O, 'Основной эфир'!$B:$B=$A888,'Основной эфир'!$C:$C=$B888,'Основной эфир'!$I:$I=$C888)), 0) "),0.0)</f>
        <v>0</v>
      </c>
      <c r="G888" s="91">
        <f>IFERROR(__xludf.DUMMYFUNCTION("IFERROR(sum(filter('Основной эфир'!$Q:$Q, 'Основной эфир'!$B:$B=$A888,'Основной эфир'!$C:$C=$B888,'Основной эфир'!$I:$I=$C888)), 0) "),0.0)</f>
        <v>0</v>
      </c>
      <c r="H888" s="91">
        <f>IFERROR(__xludf.DUMMYFUNCTION("IFERROR(AVERAGE(filter('Основной эфир'!$Y:$Y, 'Основной эфир'!$B:$B=$A888,'Основной эфир'!$C:$C=$B888,'Основной эфир'!$I:$I=$C888)), 0) "),0.0)</f>
        <v>0</v>
      </c>
      <c r="I888" s="91">
        <f>IFERROR(__xludf.DUMMYFUNCTION("IFERROR(AVERAGE(filter('Основной эфир'!$AE:$AE, 'Основной эфир'!$B:$B=$A888,'Основной эфир'!$C:$C=$B888,'Основной эфир'!$I:$I=$C888)), 0) "),0.0)</f>
        <v>0</v>
      </c>
      <c r="J888" s="91">
        <f>IFERROR(__xludf.DUMMYFUNCTION("IFERROR(SUM(filter('Основной эфир'!$AL:$AL, 'Основной эфир'!$B:$B=$A888,'Основной эфир'!$C:$C=$B888,'Основной эфир'!$I:$I=$C888)), 0) "),0.0)</f>
        <v>0</v>
      </c>
      <c r="K888" s="91" t="str">
        <f>IFERROR(__xludf.DUMMYFUNCTION("IFERROR(REGEXREPLACE(unique(filter('Основной эфир'!$A:$A, 'Основной эфир'!$B:$B=$A888,'Основной эфир'!$C:$C=$B888,'Основной эфир'!$I:$I=$C888)), ""\d+"", """"),"""")"),"")</f>
        <v/>
      </c>
      <c r="L888" s="91" t="str">
        <f>IFERROR(__xludf.DUMMYFUNCTION("IFERROR(unique(filter('Основной эфир'!$F:$F, 'Основной эфир'!$B:$B=$A888,'Основной эфир'!$C:$C=$B888,'Основной эфир'!$I:$I=$C888)),"""")"),"")</f>
        <v/>
      </c>
      <c r="M888" s="92" t="str">
        <f t="shared" si="1"/>
        <v/>
      </c>
      <c r="N888" s="93">
        <f>IFERROR(__xludf.DUMMYFUNCTION("IFERROR(SWITCH(lower(join("" "",L888:M888)),""а миллионник"", 62.5,""б миллионник"", 75,""а мск"", 50, ""б мск"", 62.5, ""a остальное"", 70, ""б остальное"", 80)/100,0)"),0.0)</f>
        <v>0</v>
      </c>
      <c r="O888" s="91">
        <f t="shared" si="2"/>
        <v>0</v>
      </c>
      <c r="P888" s="91">
        <f>IFERROR(__xludf.DUMMYFUNCTION("IFERROR(sum(filter('Генеральный баннер'!$O:$O, 'Генеральный баннер'!$B:$B=$A888,'Генеральный баннер'!$C:$C=$B888,'Генеральный баннер'!$I:$I=$C888)), 0) "),0.0)</f>
        <v>0</v>
      </c>
      <c r="Q888" s="91">
        <f>IFERROR(__xludf.DUMMYFUNCTION("IFERROR(sum(filter('Генеральный баннер'!$Q:$Q, 'Генеральный баннер'!$B:$B=$A888,'Генеральный баннер'!$C:$C=$B888,'Генеральный баннер'!$I:$I=$C888)), 0) "),0.0)</f>
        <v>0</v>
      </c>
      <c r="R888" s="91">
        <f>IFERROR(__xludf.DUMMYFUNCTION("IFERROR(AVERAGE(filter('Генеральный баннер'!$AA:$AA, 'Генеральный баннер'!$B:$B=$A888,'Генеральный баннер'!$C:$C=$B888,'Генеральный баннер'!$I:$I=$C888)), 0) "),0.0)</f>
        <v>0</v>
      </c>
      <c r="S888" s="91">
        <f>IFERROR(__xludf.DUMMYFUNCTION("IFERROR(SUM(filter('Генеральный баннер'!$AH:$AH, 'Генеральный баннер'!$B:$B=$A888,'Генеральный баннер'!$C:$C=$B888,'Генеральный баннер'!$I:$I=$C888)), 0) "),0.0)</f>
        <v>0</v>
      </c>
      <c r="T888" s="91" t="str">
        <f>IFERROR(__xludf.DUMMYFUNCTION("IFERROR(REGEXREPLACE(unique(filter('Генеральный баннер'!$A:$A, 'Генеральный баннер'!$B:$B=$A888,'Генеральный баннер'!$C:$C=$B888,'Генеральный баннер'!$I:$I=$C888)), ""\d+"", """"),"""")"),"")</f>
        <v/>
      </c>
      <c r="U888" s="91" t="str">
        <f>IFERROR(__xludf.DUMMYFUNCTION("IFERROR(unique(filter('Генеральный баннер'!$F:$F, 'Генеральный баннер'!$B:$B=$A888,'Генеральный баннер'!$C:$C=$B888,'Генеральный баннер'!$I:$I=$C888)),"""")"),"")</f>
        <v/>
      </c>
      <c r="V888" s="92" t="str">
        <f t="shared" si="3"/>
        <v/>
      </c>
      <c r="W888" s="93">
        <f>IFERROR(__xludf.DUMMYFUNCTION("IFERROR(SWITCH(lower(join("" "",U888:V888)),""а миллионник"", 62.5,""б миллионник"", 75,""а мск"", 50, ""б мск"", 62.5, ""a остальное"", 70, ""б остальное"", 80)/100,0)"),0.0)</f>
        <v>0</v>
      </c>
      <c r="X888" s="91">
        <f t="shared" si="4"/>
        <v>0</v>
      </c>
    </row>
    <row r="889">
      <c r="A889" s="12"/>
      <c r="B889" s="12"/>
      <c r="C889" s="12"/>
      <c r="D889" s="91">
        <f>IFERROR(__xludf.DUMMYFUNCTION("IFERROR(sum(filter('Основной эфир'!$AA:$AA, 'Основной эфир'!$B:$B=$A889,'Основной эфир'!$C:$C=$B889,'Основной эфир'!$I:$I=$C889)), 0) "),0.0)</f>
        <v>0</v>
      </c>
      <c r="E889" s="91">
        <f>IFERROR(__xludf.DUMMYFUNCTION("IFERROR(sum(filter('Основной эфир'!$AC:$AC, 'Основной эфир'!$B:$B=$A889,'Основной эфир'!$C:$C=$B889,'Основной эфир'!$I:$I=$C889)), 0) "),0.0)</f>
        <v>0</v>
      </c>
      <c r="F889" s="91">
        <f>IFERROR(__xludf.DUMMYFUNCTION("IFERROR(sum(filter('Основной эфир'!$O:$O, 'Основной эфир'!$B:$B=$A889,'Основной эфир'!$C:$C=$B889,'Основной эфир'!$I:$I=$C889)), 0) "),0.0)</f>
        <v>0</v>
      </c>
      <c r="G889" s="91">
        <f>IFERROR(__xludf.DUMMYFUNCTION("IFERROR(sum(filter('Основной эфир'!$Q:$Q, 'Основной эфир'!$B:$B=$A889,'Основной эфир'!$C:$C=$B889,'Основной эфир'!$I:$I=$C889)), 0) "),0.0)</f>
        <v>0</v>
      </c>
      <c r="H889" s="91">
        <f>IFERROR(__xludf.DUMMYFUNCTION("IFERROR(AVERAGE(filter('Основной эфир'!$Y:$Y, 'Основной эфир'!$B:$B=$A889,'Основной эфир'!$C:$C=$B889,'Основной эфир'!$I:$I=$C889)), 0) "),0.0)</f>
        <v>0</v>
      </c>
      <c r="I889" s="91">
        <f>IFERROR(__xludf.DUMMYFUNCTION("IFERROR(AVERAGE(filter('Основной эфир'!$AE:$AE, 'Основной эфир'!$B:$B=$A889,'Основной эфир'!$C:$C=$B889,'Основной эфир'!$I:$I=$C889)), 0) "),0.0)</f>
        <v>0</v>
      </c>
      <c r="J889" s="91">
        <f>IFERROR(__xludf.DUMMYFUNCTION("IFERROR(SUM(filter('Основной эфир'!$AL:$AL, 'Основной эфир'!$B:$B=$A889,'Основной эфир'!$C:$C=$B889,'Основной эфир'!$I:$I=$C889)), 0) "),0.0)</f>
        <v>0</v>
      </c>
      <c r="K889" s="91" t="str">
        <f>IFERROR(__xludf.DUMMYFUNCTION("IFERROR(REGEXREPLACE(unique(filter('Основной эфир'!$A:$A, 'Основной эфир'!$B:$B=$A889,'Основной эфир'!$C:$C=$B889,'Основной эфир'!$I:$I=$C889)), ""\d+"", """"),"""")"),"")</f>
        <v/>
      </c>
      <c r="L889" s="91" t="str">
        <f>IFERROR(__xludf.DUMMYFUNCTION("IFERROR(unique(filter('Основной эфир'!$F:$F, 'Основной эфир'!$B:$B=$A889,'Основной эфир'!$C:$C=$B889,'Основной эфир'!$I:$I=$C889)),"""")"),"")</f>
        <v/>
      </c>
      <c r="M889" s="92" t="str">
        <f t="shared" si="1"/>
        <v/>
      </c>
      <c r="N889" s="93">
        <f>IFERROR(__xludf.DUMMYFUNCTION("IFERROR(SWITCH(lower(join("" "",L889:M889)),""а миллионник"", 62.5,""б миллионник"", 75,""а мск"", 50, ""б мск"", 62.5, ""a остальное"", 70, ""б остальное"", 80)/100,0)"),0.0)</f>
        <v>0</v>
      </c>
      <c r="O889" s="91">
        <f t="shared" si="2"/>
        <v>0</v>
      </c>
      <c r="P889" s="91">
        <f>IFERROR(__xludf.DUMMYFUNCTION("IFERROR(sum(filter('Генеральный баннер'!$O:$O, 'Генеральный баннер'!$B:$B=$A889,'Генеральный баннер'!$C:$C=$B889,'Генеральный баннер'!$I:$I=$C889)), 0) "),0.0)</f>
        <v>0</v>
      </c>
      <c r="Q889" s="91">
        <f>IFERROR(__xludf.DUMMYFUNCTION("IFERROR(sum(filter('Генеральный баннер'!$Q:$Q, 'Генеральный баннер'!$B:$B=$A889,'Генеральный баннер'!$C:$C=$B889,'Генеральный баннер'!$I:$I=$C889)), 0) "),0.0)</f>
        <v>0</v>
      </c>
      <c r="R889" s="91">
        <f>IFERROR(__xludf.DUMMYFUNCTION("IFERROR(AVERAGE(filter('Генеральный баннер'!$AA:$AA, 'Генеральный баннер'!$B:$B=$A889,'Генеральный баннер'!$C:$C=$B889,'Генеральный баннер'!$I:$I=$C889)), 0) "),0.0)</f>
        <v>0</v>
      </c>
      <c r="S889" s="91">
        <f>IFERROR(__xludf.DUMMYFUNCTION("IFERROR(SUM(filter('Генеральный баннер'!$AH:$AH, 'Генеральный баннер'!$B:$B=$A889,'Генеральный баннер'!$C:$C=$B889,'Генеральный баннер'!$I:$I=$C889)), 0) "),0.0)</f>
        <v>0</v>
      </c>
      <c r="T889" s="91" t="str">
        <f>IFERROR(__xludf.DUMMYFUNCTION("IFERROR(REGEXREPLACE(unique(filter('Генеральный баннер'!$A:$A, 'Генеральный баннер'!$B:$B=$A889,'Генеральный баннер'!$C:$C=$B889,'Генеральный баннер'!$I:$I=$C889)), ""\d+"", """"),"""")"),"")</f>
        <v/>
      </c>
      <c r="U889" s="91" t="str">
        <f>IFERROR(__xludf.DUMMYFUNCTION("IFERROR(unique(filter('Генеральный баннер'!$F:$F, 'Генеральный баннер'!$B:$B=$A889,'Генеральный баннер'!$C:$C=$B889,'Генеральный баннер'!$I:$I=$C889)),"""")"),"")</f>
        <v/>
      </c>
      <c r="V889" s="92" t="str">
        <f t="shared" si="3"/>
        <v/>
      </c>
      <c r="W889" s="93">
        <f>IFERROR(__xludf.DUMMYFUNCTION("IFERROR(SWITCH(lower(join("" "",U889:V889)),""а миллионник"", 62.5,""б миллионник"", 75,""а мск"", 50, ""б мск"", 62.5, ""a остальное"", 70, ""б остальное"", 80)/100,0)"),0.0)</f>
        <v>0</v>
      </c>
      <c r="X889" s="91">
        <f t="shared" si="4"/>
        <v>0</v>
      </c>
    </row>
    <row r="890">
      <c r="A890" s="12"/>
      <c r="B890" s="12"/>
      <c r="C890" s="12"/>
      <c r="D890" s="91">
        <f>IFERROR(__xludf.DUMMYFUNCTION("IFERROR(sum(filter('Основной эфир'!$AA:$AA, 'Основной эфир'!$B:$B=$A890,'Основной эфир'!$C:$C=$B890,'Основной эфир'!$I:$I=$C890)), 0) "),0.0)</f>
        <v>0</v>
      </c>
      <c r="E890" s="91">
        <f>IFERROR(__xludf.DUMMYFUNCTION("IFERROR(sum(filter('Основной эфир'!$AC:$AC, 'Основной эфир'!$B:$B=$A890,'Основной эфир'!$C:$C=$B890,'Основной эфир'!$I:$I=$C890)), 0) "),0.0)</f>
        <v>0</v>
      </c>
      <c r="F890" s="91">
        <f>IFERROR(__xludf.DUMMYFUNCTION("IFERROR(sum(filter('Основной эфир'!$O:$O, 'Основной эфир'!$B:$B=$A890,'Основной эфир'!$C:$C=$B890,'Основной эфир'!$I:$I=$C890)), 0) "),0.0)</f>
        <v>0</v>
      </c>
      <c r="G890" s="91">
        <f>IFERROR(__xludf.DUMMYFUNCTION("IFERROR(sum(filter('Основной эфир'!$Q:$Q, 'Основной эфир'!$B:$B=$A890,'Основной эфир'!$C:$C=$B890,'Основной эфир'!$I:$I=$C890)), 0) "),0.0)</f>
        <v>0</v>
      </c>
      <c r="H890" s="91">
        <f>IFERROR(__xludf.DUMMYFUNCTION("IFERROR(AVERAGE(filter('Основной эфир'!$Y:$Y, 'Основной эфир'!$B:$B=$A890,'Основной эфир'!$C:$C=$B890,'Основной эфир'!$I:$I=$C890)), 0) "),0.0)</f>
        <v>0</v>
      </c>
      <c r="I890" s="91">
        <f>IFERROR(__xludf.DUMMYFUNCTION("IFERROR(AVERAGE(filter('Основной эфир'!$AE:$AE, 'Основной эфир'!$B:$B=$A890,'Основной эфир'!$C:$C=$B890,'Основной эфир'!$I:$I=$C890)), 0) "),0.0)</f>
        <v>0</v>
      </c>
      <c r="J890" s="91">
        <f>IFERROR(__xludf.DUMMYFUNCTION("IFERROR(SUM(filter('Основной эфир'!$AL:$AL, 'Основной эфир'!$B:$B=$A890,'Основной эфир'!$C:$C=$B890,'Основной эфир'!$I:$I=$C890)), 0) "),0.0)</f>
        <v>0</v>
      </c>
      <c r="K890" s="91" t="str">
        <f>IFERROR(__xludf.DUMMYFUNCTION("IFERROR(REGEXREPLACE(unique(filter('Основной эфир'!$A:$A, 'Основной эфир'!$B:$B=$A890,'Основной эфир'!$C:$C=$B890,'Основной эфир'!$I:$I=$C890)), ""\d+"", """"),"""")"),"")</f>
        <v/>
      </c>
      <c r="L890" s="91" t="str">
        <f>IFERROR(__xludf.DUMMYFUNCTION("IFERROR(unique(filter('Основной эфир'!$F:$F, 'Основной эфир'!$B:$B=$A890,'Основной эфир'!$C:$C=$B890,'Основной эфир'!$I:$I=$C890)),"""")"),"")</f>
        <v/>
      </c>
      <c r="M890" s="92" t="str">
        <f t="shared" si="1"/>
        <v/>
      </c>
      <c r="N890" s="93">
        <f>IFERROR(__xludf.DUMMYFUNCTION("IFERROR(SWITCH(lower(join("" "",L890:M890)),""а миллионник"", 62.5,""б миллионник"", 75,""а мск"", 50, ""б мск"", 62.5, ""a остальное"", 70, ""б остальное"", 80)/100,0)"),0.0)</f>
        <v>0</v>
      </c>
      <c r="O890" s="91">
        <f t="shared" si="2"/>
        <v>0</v>
      </c>
      <c r="P890" s="91">
        <f>IFERROR(__xludf.DUMMYFUNCTION("IFERROR(sum(filter('Генеральный баннер'!$O:$O, 'Генеральный баннер'!$B:$B=$A890,'Генеральный баннер'!$C:$C=$B890,'Генеральный баннер'!$I:$I=$C890)), 0) "),0.0)</f>
        <v>0</v>
      </c>
      <c r="Q890" s="91">
        <f>IFERROR(__xludf.DUMMYFUNCTION("IFERROR(sum(filter('Генеральный баннер'!$Q:$Q, 'Генеральный баннер'!$B:$B=$A890,'Генеральный баннер'!$C:$C=$B890,'Генеральный баннер'!$I:$I=$C890)), 0) "),0.0)</f>
        <v>0</v>
      </c>
      <c r="R890" s="91">
        <f>IFERROR(__xludf.DUMMYFUNCTION("IFERROR(AVERAGE(filter('Генеральный баннер'!$AA:$AA, 'Генеральный баннер'!$B:$B=$A890,'Генеральный баннер'!$C:$C=$B890,'Генеральный баннер'!$I:$I=$C890)), 0) "),0.0)</f>
        <v>0</v>
      </c>
      <c r="S890" s="91">
        <f>IFERROR(__xludf.DUMMYFUNCTION("IFERROR(SUM(filter('Генеральный баннер'!$AH:$AH, 'Генеральный баннер'!$B:$B=$A890,'Генеральный баннер'!$C:$C=$B890,'Генеральный баннер'!$I:$I=$C890)), 0) "),0.0)</f>
        <v>0</v>
      </c>
      <c r="T890" s="91" t="str">
        <f>IFERROR(__xludf.DUMMYFUNCTION("IFERROR(REGEXREPLACE(unique(filter('Генеральный баннер'!$A:$A, 'Генеральный баннер'!$B:$B=$A890,'Генеральный баннер'!$C:$C=$B890,'Генеральный баннер'!$I:$I=$C890)), ""\d+"", """"),"""")"),"")</f>
        <v/>
      </c>
      <c r="U890" s="91" t="str">
        <f>IFERROR(__xludf.DUMMYFUNCTION("IFERROR(unique(filter('Генеральный баннер'!$F:$F, 'Генеральный баннер'!$B:$B=$A890,'Генеральный баннер'!$C:$C=$B890,'Генеральный баннер'!$I:$I=$C890)),"""")"),"")</f>
        <v/>
      </c>
      <c r="V890" s="92" t="str">
        <f t="shared" si="3"/>
        <v/>
      </c>
      <c r="W890" s="93">
        <f>IFERROR(__xludf.DUMMYFUNCTION("IFERROR(SWITCH(lower(join("" "",U890:V890)),""а миллионник"", 62.5,""б миллионник"", 75,""а мск"", 50, ""б мск"", 62.5, ""a остальное"", 70, ""б остальное"", 80)/100,0)"),0.0)</f>
        <v>0</v>
      </c>
      <c r="X890" s="91">
        <f t="shared" si="4"/>
        <v>0</v>
      </c>
    </row>
    <row r="891">
      <c r="A891" s="12"/>
      <c r="B891" s="12"/>
      <c r="C891" s="12"/>
      <c r="D891" s="91">
        <f>IFERROR(__xludf.DUMMYFUNCTION("IFERROR(sum(filter('Основной эфир'!$AA:$AA, 'Основной эфир'!$B:$B=$A891,'Основной эфир'!$C:$C=$B891,'Основной эфир'!$I:$I=$C891)), 0) "),0.0)</f>
        <v>0</v>
      </c>
      <c r="E891" s="91">
        <f>IFERROR(__xludf.DUMMYFUNCTION("IFERROR(sum(filter('Основной эфир'!$AC:$AC, 'Основной эфир'!$B:$B=$A891,'Основной эфир'!$C:$C=$B891,'Основной эфир'!$I:$I=$C891)), 0) "),0.0)</f>
        <v>0</v>
      </c>
      <c r="F891" s="91">
        <f>IFERROR(__xludf.DUMMYFUNCTION("IFERROR(sum(filter('Основной эфир'!$O:$O, 'Основной эфир'!$B:$B=$A891,'Основной эфир'!$C:$C=$B891,'Основной эфир'!$I:$I=$C891)), 0) "),0.0)</f>
        <v>0</v>
      </c>
      <c r="G891" s="91">
        <f>IFERROR(__xludf.DUMMYFUNCTION("IFERROR(sum(filter('Основной эфир'!$Q:$Q, 'Основной эфир'!$B:$B=$A891,'Основной эфир'!$C:$C=$B891,'Основной эфир'!$I:$I=$C891)), 0) "),0.0)</f>
        <v>0</v>
      </c>
      <c r="H891" s="91">
        <f>IFERROR(__xludf.DUMMYFUNCTION("IFERROR(AVERAGE(filter('Основной эфир'!$Y:$Y, 'Основной эфир'!$B:$B=$A891,'Основной эфир'!$C:$C=$B891,'Основной эфир'!$I:$I=$C891)), 0) "),0.0)</f>
        <v>0</v>
      </c>
      <c r="I891" s="91">
        <f>IFERROR(__xludf.DUMMYFUNCTION("IFERROR(AVERAGE(filter('Основной эфир'!$AE:$AE, 'Основной эфир'!$B:$B=$A891,'Основной эфир'!$C:$C=$B891,'Основной эфир'!$I:$I=$C891)), 0) "),0.0)</f>
        <v>0</v>
      </c>
      <c r="J891" s="91">
        <f>IFERROR(__xludf.DUMMYFUNCTION("IFERROR(SUM(filter('Основной эфир'!$AL:$AL, 'Основной эфир'!$B:$B=$A891,'Основной эфир'!$C:$C=$B891,'Основной эфир'!$I:$I=$C891)), 0) "),0.0)</f>
        <v>0</v>
      </c>
      <c r="K891" s="91" t="str">
        <f>IFERROR(__xludf.DUMMYFUNCTION("IFERROR(REGEXREPLACE(unique(filter('Основной эфир'!$A:$A, 'Основной эфир'!$B:$B=$A891,'Основной эфир'!$C:$C=$B891,'Основной эфир'!$I:$I=$C891)), ""\d+"", """"),"""")"),"")</f>
        <v/>
      </c>
      <c r="L891" s="91" t="str">
        <f>IFERROR(__xludf.DUMMYFUNCTION("IFERROR(unique(filter('Основной эфир'!$F:$F, 'Основной эфир'!$B:$B=$A891,'Основной эфир'!$C:$C=$B891,'Основной эфир'!$I:$I=$C891)),"""")"),"")</f>
        <v/>
      </c>
      <c r="M891" s="92" t="str">
        <f t="shared" si="1"/>
        <v/>
      </c>
      <c r="N891" s="93">
        <f>IFERROR(__xludf.DUMMYFUNCTION("IFERROR(SWITCH(lower(join("" "",L891:M891)),""а миллионник"", 62.5,""б миллионник"", 75,""а мск"", 50, ""б мск"", 62.5, ""a остальное"", 70, ""б остальное"", 80)/100,0)"),0.0)</f>
        <v>0</v>
      </c>
      <c r="O891" s="91">
        <f t="shared" si="2"/>
        <v>0</v>
      </c>
      <c r="P891" s="91">
        <f>IFERROR(__xludf.DUMMYFUNCTION("IFERROR(sum(filter('Генеральный баннер'!$O:$O, 'Генеральный баннер'!$B:$B=$A891,'Генеральный баннер'!$C:$C=$B891,'Генеральный баннер'!$I:$I=$C891)), 0) "),0.0)</f>
        <v>0</v>
      </c>
      <c r="Q891" s="91">
        <f>IFERROR(__xludf.DUMMYFUNCTION("IFERROR(sum(filter('Генеральный баннер'!$Q:$Q, 'Генеральный баннер'!$B:$B=$A891,'Генеральный баннер'!$C:$C=$B891,'Генеральный баннер'!$I:$I=$C891)), 0) "),0.0)</f>
        <v>0</v>
      </c>
      <c r="R891" s="91">
        <f>IFERROR(__xludf.DUMMYFUNCTION("IFERROR(AVERAGE(filter('Генеральный баннер'!$AA:$AA, 'Генеральный баннер'!$B:$B=$A891,'Генеральный баннер'!$C:$C=$B891,'Генеральный баннер'!$I:$I=$C891)), 0) "),0.0)</f>
        <v>0</v>
      </c>
      <c r="S891" s="91">
        <f>IFERROR(__xludf.DUMMYFUNCTION("IFERROR(SUM(filter('Генеральный баннер'!$AH:$AH, 'Генеральный баннер'!$B:$B=$A891,'Генеральный баннер'!$C:$C=$B891,'Генеральный баннер'!$I:$I=$C891)), 0) "),0.0)</f>
        <v>0</v>
      </c>
      <c r="T891" s="91" t="str">
        <f>IFERROR(__xludf.DUMMYFUNCTION("IFERROR(REGEXREPLACE(unique(filter('Генеральный баннер'!$A:$A, 'Генеральный баннер'!$B:$B=$A891,'Генеральный баннер'!$C:$C=$B891,'Генеральный баннер'!$I:$I=$C891)), ""\d+"", """"),"""")"),"")</f>
        <v/>
      </c>
      <c r="U891" s="91" t="str">
        <f>IFERROR(__xludf.DUMMYFUNCTION("IFERROR(unique(filter('Генеральный баннер'!$F:$F, 'Генеральный баннер'!$B:$B=$A891,'Генеральный баннер'!$C:$C=$B891,'Генеральный баннер'!$I:$I=$C891)),"""")"),"")</f>
        <v/>
      </c>
      <c r="V891" s="92" t="str">
        <f t="shared" si="3"/>
        <v/>
      </c>
      <c r="W891" s="93">
        <f>IFERROR(__xludf.DUMMYFUNCTION("IFERROR(SWITCH(lower(join("" "",U891:V891)),""а миллионник"", 62.5,""б миллионник"", 75,""а мск"", 50, ""б мск"", 62.5, ""a остальное"", 70, ""б остальное"", 80)/100,0)"),0.0)</f>
        <v>0</v>
      </c>
      <c r="X891" s="91">
        <f t="shared" si="4"/>
        <v>0</v>
      </c>
    </row>
    <row r="892">
      <c r="A892" s="12"/>
      <c r="B892" s="12"/>
      <c r="C892" s="12"/>
      <c r="D892" s="91">
        <f>IFERROR(__xludf.DUMMYFUNCTION("IFERROR(sum(filter('Основной эфир'!$AA:$AA, 'Основной эфир'!$B:$B=$A892,'Основной эфир'!$C:$C=$B892,'Основной эфир'!$I:$I=$C892)), 0) "),0.0)</f>
        <v>0</v>
      </c>
      <c r="E892" s="91">
        <f>IFERROR(__xludf.DUMMYFUNCTION("IFERROR(sum(filter('Основной эфир'!$AC:$AC, 'Основной эфир'!$B:$B=$A892,'Основной эфир'!$C:$C=$B892,'Основной эфир'!$I:$I=$C892)), 0) "),0.0)</f>
        <v>0</v>
      </c>
      <c r="F892" s="91">
        <f>IFERROR(__xludf.DUMMYFUNCTION("IFERROR(sum(filter('Основной эфир'!$O:$O, 'Основной эфир'!$B:$B=$A892,'Основной эфир'!$C:$C=$B892,'Основной эфир'!$I:$I=$C892)), 0) "),0.0)</f>
        <v>0</v>
      </c>
      <c r="G892" s="91">
        <f>IFERROR(__xludf.DUMMYFUNCTION("IFERROR(sum(filter('Основной эфир'!$Q:$Q, 'Основной эфир'!$B:$B=$A892,'Основной эфир'!$C:$C=$B892,'Основной эфир'!$I:$I=$C892)), 0) "),0.0)</f>
        <v>0</v>
      </c>
      <c r="H892" s="91">
        <f>IFERROR(__xludf.DUMMYFUNCTION("IFERROR(AVERAGE(filter('Основной эфир'!$Y:$Y, 'Основной эфир'!$B:$B=$A892,'Основной эфир'!$C:$C=$B892,'Основной эфир'!$I:$I=$C892)), 0) "),0.0)</f>
        <v>0</v>
      </c>
      <c r="I892" s="91">
        <f>IFERROR(__xludf.DUMMYFUNCTION("IFERROR(AVERAGE(filter('Основной эфир'!$AE:$AE, 'Основной эфир'!$B:$B=$A892,'Основной эфир'!$C:$C=$B892,'Основной эфир'!$I:$I=$C892)), 0) "),0.0)</f>
        <v>0</v>
      </c>
      <c r="J892" s="91">
        <f>IFERROR(__xludf.DUMMYFUNCTION("IFERROR(SUM(filter('Основной эфир'!$AL:$AL, 'Основной эфир'!$B:$B=$A892,'Основной эфир'!$C:$C=$B892,'Основной эфир'!$I:$I=$C892)), 0) "),0.0)</f>
        <v>0</v>
      </c>
      <c r="K892" s="91" t="str">
        <f>IFERROR(__xludf.DUMMYFUNCTION("IFERROR(REGEXREPLACE(unique(filter('Основной эфир'!$A:$A, 'Основной эфир'!$B:$B=$A892,'Основной эфир'!$C:$C=$B892,'Основной эфир'!$I:$I=$C892)), ""\d+"", """"),"""")"),"")</f>
        <v/>
      </c>
      <c r="L892" s="91" t="str">
        <f>IFERROR(__xludf.DUMMYFUNCTION("IFERROR(unique(filter('Основной эфир'!$F:$F, 'Основной эфир'!$B:$B=$A892,'Основной эфир'!$C:$C=$B892,'Основной эфир'!$I:$I=$C892)),"""")"),"")</f>
        <v/>
      </c>
      <c r="M892" s="92" t="str">
        <f t="shared" si="1"/>
        <v/>
      </c>
      <c r="N892" s="93">
        <f>IFERROR(__xludf.DUMMYFUNCTION("IFERROR(SWITCH(lower(join("" "",L892:M892)),""а миллионник"", 62.5,""б миллионник"", 75,""а мск"", 50, ""б мск"", 62.5, ""a остальное"", 70, ""б остальное"", 80)/100,0)"),0.0)</f>
        <v>0</v>
      </c>
      <c r="O892" s="91">
        <f t="shared" si="2"/>
        <v>0</v>
      </c>
      <c r="P892" s="91">
        <f>IFERROR(__xludf.DUMMYFUNCTION("IFERROR(sum(filter('Генеральный баннер'!$O:$O, 'Генеральный баннер'!$B:$B=$A892,'Генеральный баннер'!$C:$C=$B892,'Генеральный баннер'!$I:$I=$C892)), 0) "),0.0)</f>
        <v>0</v>
      </c>
      <c r="Q892" s="91">
        <f>IFERROR(__xludf.DUMMYFUNCTION("IFERROR(sum(filter('Генеральный баннер'!$Q:$Q, 'Генеральный баннер'!$B:$B=$A892,'Генеральный баннер'!$C:$C=$B892,'Генеральный баннер'!$I:$I=$C892)), 0) "),0.0)</f>
        <v>0</v>
      </c>
      <c r="R892" s="91">
        <f>IFERROR(__xludf.DUMMYFUNCTION("IFERROR(AVERAGE(filter('Генеральный баннер'!$AA:$AA, 'Генеральный баннер'!$B:$B=$A892,'Генеральный баннер'!$C:$C=$B892,'Генеральный баннер'!$I:$I=$C892)), 0) "),0.0)</f>
        <v>0</v>
      </c>
      <c r="S892" s="91">
        <f>IFERROR(__xludf.DUMMYFUNCTION("IFERROR(SUM(filter('Генеральный баннер'!$AH:$AH, 'Генеральный баннер'!$B:$B=$A892,'Генеральный баннер'!$C:$C=$B892,'Генеральный баннер'!$I:$I=$C892)), 0) "),0.0)</f>
        <v>0</v>
      </c>
      <c r="T892" s="91" t="str">
        <f>IFERROR(__xludf.DUMMYFUNCTION("IFERROR(REGEXREPLACE(unique(filter('Генеральный баннер'!$A:$A, 'Генеральный баннер'!$B:$B=$A892,'Генеральный баннер'!$C:$C=$B892,'Генеральный баннер'!$I:$I=$C892)), ""\d+"", """"),"""")"),"")</f>
        <v/>
      </c>
      <c r="U892" s="91" t="str">
        <f>IFERROR(__xludf.DUMMYFUNCTION("IFERROR(unique(filter('Генеральный баннер'!$F:$F, 'Генеральный баннер'!$B:$B=$A892,'Генеральный баннер'!$C:$C=$B892,'Генеральный баннер'!$I:$I=$C892)),"""")"),"")</f>
        <v/>
      </c>
      <c r="V892" s="92" t="str">
        <f t="shared" si="3"/>
        <v/>
      </c>
      <c r="W892" s="93">
        <f>IFERROR(__xludf.DUMMYFUNCTION("IFERROR(SWITCH(lower(join("" "",U892:V892)),""а миллионник"", 62.5,""б миллионник"", 75,""а мск"", 50, ""б мск"", 62.5, ""a остальное"", 70, ""б остальное"", 80)/100,0)"),0.0)</f>
        <v>0</v>
      </c>
      <c r="X892" s="91">
        <f t="shared" si="4"/>
        <v>0</v>
      </c>
    </row>
    <row r="893">
      <c r="A893" s="12"/>
      <c r="B893" s="12"/>
      <c r="C893" s="12"/>
      <c r="D893" s="91">
        <f>IFERROR(__xludf.DUMMYFUNCTION("IFERROR(sum(filter('Основной эфир'!$AA:$AA, 'Основной эфир'!$B:$B=$A893,'Основной эфир'!$C:$C=$B893,'Основной эфир'!$I:$I=$C893)), 0) "),0.0)</f>
        <v>0</v>
      </c>
      <c r="E893" s="91">
        <f>IFERROR(__xludf.DUMMYFUNCTION("IFERROR(sum(filter('Основной эфир'!$AC:$AC, 'Основной эфир'!$B:$B=$A893,'Основной эфир'!$C:$C=$B893,'Основной эфир'!$I:$I=$C893)), 0) "),0.0)</f>
        <v>0</v>
      </c>
      <c r="F893" s="91">
        <f>IFERROR(__xludf.DUMMYFUNCTION("IFERROR(sum(filter('Основной эфир'!$O:$O, 'Основной эфир'!$B:$B=$A893,'Основной эфир'!$C:$C=$B893,'Основной эфир'!$I:$I=$C893)), 0) "),0.0)</f>
        <v>0</v>
      </c>
      <c r="G893" s="91">
        <f>IFERROR(__xludf.DUMMYFUNCTION("IFERROR(sum(filter('Основной эфир'!$Q:$Q, 'Основной эфир'!$B:$B=$A893,'Основной эфир'!$C:$C=$B893,'Основной эфир'!$I:$I=$C893)), 0) "),0.0)</f>
        <v>0</v>
      </c>
      <c r="H893" s="91">
        <f>IFERROR(__xludf.DUMMYFUNCTION("IFERROR(AVERAGE(filter('Основной эфир'!$Y:$Y, 'Основной эфир'!$B:$B=$A893,'Основной эфир'!$C:$C=$B893,'Основной эфир'!$I:$I=$C893)), 0) "),0.0)</f>
        <v>0</v>
      </c>
      <c r="I893" s="91">
        <f>IFERROR(__xludf.DUMMYFUNCTION("IFERROR(AVERAGE(filter('Основной эфир'!$AE:$AE, 'Основной эфир'!$B:$B=$A893,'Основной эфир'!$C:$C=$B893,'Основной эфир'!$I:$I=$C893)), 0) "),0.0)</f>
        <v>0</v>
      </c>
      <c r="J893" s="91">
        <f>IFERROR(__xludf.DUMMYFUNCTION("IFERROR(SUM(filter('Основной эфир'!$AL:$AL, 'Основной эфир'!$B:$B=$A893,'Основной эфир'!$C:$C=$B893,'Основной эфир'!$I:$I=$C893)), 0) "),0.0)</f>
        <v>0</v>
      </c>
      <c r="K893" s="91" t="str">
        <f>IFERROR(__xludf.DUMMYFUNCTION("IFERROR(REGEXREPLACE(unique(filter('Основной эфир'!$A:$A, 'Основной эфир'!$B:$B=$A893,'Основной эфир'!$C:$C=$B893,'Основной эфир'!$I:$I=$C893)), ""\d+"", """"),"""")"),"")</f>
        <v/>
      </c>
      <c r="L893" s="91" t="str">
        <f>IFERROR(__xludf.DUMMYFUNCTION("IFERROR(unique(filter('Основной эфир'!$F:$F, 'Основной эфир'!$B:$B=$A893,'Основной эфир'!$C:$C=$B893,'Основной эфир'!$I:$I=$C893)),"""")"),"")</f>
        <v/>
      </c>
      <c r="M893" s="92" t="str">
        <f t="shared" si="1"/>
        <v/>
      </c>
      <c r="N893" s="93">
        <f>IFERROR(__xludf.DUMMYFUNCTION("IFERROR(SWITCH(lower(join("" "",L893:M893)),""а миллионник"", 62.5,""б миллионник"", 75,""а мск"", 50, ""б мск"", 62.5, ""a остальное"", 70, ""б остальное"", 80)/100,0)"),0.0)</f>
        <v>0</v>
      </c>
      <c r="O893" s="91">
        <f t="shared" si="2"/>
        <v>0</v>
      </c>
      <c r="P893" s="91">
        <f>IFERROR(__xludf.DUMMYFUNCTION("IFERROR(sum(filter('Генеральный баннер'!$O:$O, 'Генеральный баннер'!$B:$B=$A893,'Генеральный баннер'!$C:$C=$B893,'Генеральный баннер'!$I:$I=$C893)), 0) "),0.0)</f>
        <v>0</v>
      </c>
      <c r="Q893" s="91">
        <f>IFERROR(__xludf.DUMMYFUNCTION("IFERROR(sum(filter('Генеральный баннер'!$Q:$Q, 'Генеральный баннер'!$B:$B=$A893,'Генеральный баннер'!$C:$C=$B893,'Генеральный баннер'!$I:$I=$C893)), 0) "),0.0)</f>
        <v>0</v>
      </c>
      <c r="R893" s="91">
        <f>IFERROR(__xludf.DUMMYFUNCTION("IFERROR(AVERAGE(filter('Генеральный баннер'!$AA:$AA, 'Генеральный баннер'!$B:$B=$A893,'Генеральный баннер'!$C:$C=$B893,'Генеральный баннер'!$I:$I=$C893)), 0) "),0.0)</f>
        <v>0</v>
      </c>
      <c r="S893" s="91">
        <f>IFERROR(__xludf.DUMMYFUNCTION("IFERROR(SUM(filter('Генеральный баннер'!$AH:$AH, 'Генеральный баннер'!$B:$B=$A893,'Генеральный баннер'!$C:$C=$B893,'Генеральный баннер'!$I:$I=$C893)), 0) "),0.0)</f>
        <v>0</v>
      </c>
      <c r="T893" s="91" t="str">
        <f>IFERROR(__xludf.DUMMYFUNCTION("IFERROR(REGEXREPLACE(unique(filter('Генеральный баннер'!$A:$A, 'Генеральный баннер'!$B:$B=$A893,'Генеральный баннер'!$C:$C=$B893,'Генеральный баннер'!$I:$I=$C893)), ""\d+"", """"),"""")"),"")</f>
        <v/>
      </c>
      <c r="U893" s="91" t="str">
        <f>IFERROR(__xludf.DUMMYFUNCTION("IFERROR(unique(filter('Генеральный баннер'!$F:$F, 'Генеральный баннер'!$B:$B=$A893,'Генеральный баннер'!$C:$C=$B893,'Генеральный баннер'!$I:$I=$C893)),"""")"),"")</f>
        <v/>
      </c>
      <c r="V893" s="92" t="str">
        <f t="shared" si="3"/>
        <v/>
      </c>
      <c r="W893" s="93">
        <f>IFERROR(__xludf.DUMMYFUNCTION("IFERROR(SWITCH(lower(join("" "",U893:V893)),""а миллионник"", 62.5,""б миллионник"", 75,""а мск"", 50, ""б мск"", 62.5, ""a остальное"", 70, ""б остальное"", 80)/100,0)"),0.0)</f>
        <v>0</v>
      </c>
      <c r="X893" s="91">
        <f t="shared" si="4"/>
        <v>0</v>
      </c>
    </row>
    <row r="894">
      <c r="A894" s="12"/>
      <c r="B894" s="12"/>
      <c r="C894" s="12"/>
      <c r="D894" s="91">
        <f>IFERROR(__xludf.DUMMYFUNCTION("IFERROR(sum(filter('Основной эфир'!$AA:$AA, 'Основной эфир'!$B:$B=$A894,'Основной эфир'!$C:$C=$B894,'Основной эфир'!$I:$I=$C894)), 0) "),0.0)</f>
        <v>0</v>
      </c>
      <c r="E894" s="91">
        <f>IFERROR(__xludf.DUMMYFUNCTION("IFERROR(sum(filter('Основной эфир'!$AC:$AC, 'Основной эфир'!$B:$B=$A894,'Основной эфир'!$C:$C=$B894,'Основной эфир'!$I:$I=$C894)), 0) "),0.0)</f>
        <v>0</v>
      </c>
      <c r="F894" s="91">
        <f>IFERROR(__xludf.DUMMYFUNCTION("IFERROR(sum(filter('Основной эфир'!$O:$O, 'Основной эфир'!$B:$B=$A894,'Основной эфир'!$C:$C=$B894,'Основной эфир'!$I:$I=$C894)), 0) "),0.0)</f>
        <v>0</v>
      </c>
      <c r="G894" s="91">
        <f>IFERROR(__xludf.DUMMYFUNCTION("IFERROR(sum(filter('Основной эфир'!$Q:$Q, 'Основной эфир'!$B:$B=$A894,'Основной эфир'!$C:$C=$B894,'Основной эфир'!$I:$I=$C894)), 0) "),0.0)</f>
        <v>0</v>
      </c>
      <c r="H894" s="91">
        <f>IFERROR(__xludf.DUMMYFUNCTION("IFERROR(AVERAGE(filter('Основной эфир'!$Y:$Y, 'Основной эфир'!$B:$B=$A894,'Основной эфир'!$C:$C=$B894,'Основной эфир'!$I:$I=$C894)), 0) "),0.0)</f>
        <v>0</v>
      </c>
      <c r="I894" s="91">
        <f>IFERROR(__xludf.DUMMYFUNCTION("IFERROR(AVERAGE(filter('Основной эфир'!$AE:$AE, 'Основной эфир'!$B:$B=$A894,'Основной эфир'!$C:$C=$B894,'Основной эфир'!$I:$I=$C894)), 0) "),0.0)</f>
        <v>0</v>
      </c>
      <c r="J894" s="91">
        <f>IFERROR(__xludf.DUMMYFUNCTION("IFERROR(SUM(filter('Основной эфир'!$AL:$AL, 'Основной эфир'!$B:$B=$A894,'Основной эфир'!$C:$C=$B894,'Основной эфир'!$I:$I=$C894)), 0) "),0.0)</f>
        <v>0</v>
      </c>
      <c r="K894" s="91" t="str">
        <f>IFERROR(__xludf.DUMMYFUNCTION("IFERROR(REGEXREPLACE(unique(filter('Основной эфир'!$A:$A, 'Основной эфир'!$B:$B=$A894,'Основной эфир'!$C:$C=$B894,'Основной эфир'!$I:$I=$C894)), ""\d+"", """"),"""")"),"")</f>
        <v/>
      </c>
      <c r="L894" s="91" t="str">
        <f>IFERROR(__xludf.DUMMYFUNCTION("IFERROR(unique(filter('Основной эфир'!$F:$F, 'Основной эфир'!$B:$B=$A894,'Основной эфир'!$C:$C=$B894,'Основной эфир'!$I:$I=$C894)),"""")"),"")</f>
        <v/>
      </c>
      <c r="M894" s="92" t="str">
        <f t="shared" si="1"/>
        <v/>
      </c>
      <c r="N894" s="93">
        <f>IFERROR(__xludf.DUMMYFUNCTION("IFERROR(SWITCH(lower(join("" "",L894:M894)),""а миллионник"", 62.5,""б миллионник"", 75,""а мск"", 50, ""б мск"", 62.5, ""a остальное"", 70, ""б остальное"", 80)/100,0)"),0.0)</f>
        <v>0</v>
      </c>
      <c r="O894" s="91">
        <f t="shared" si="2"/>
        <v>0</v>
      </c>
      <c r="P894" s="91">
        <f>IFERROR(__xludf.DUMMYFUNCTION("IFERROR(sum(filter('Генеральный баннер'!$O:$O, 'Генеральный баннер'!$B:$B=$A894,'Генеральный баннер'!$C:$C=$B894,'Генеральный баннер'!$I:$I=$C894)), 0) "),0.0)</f>
        <v>0</v>
      </c>
      <c r="Q894" s="91">
        <f>IFERROR(__xludf.DUMMYFUNCTION("IFERROR(sum(filter('Генеральный баннер'!$Q:$Q, 'Генеральный баннер'!$B:$B=$A894,'Генеральный баннер'!$C:$C=$B894,'Генеральный баннер'!$I:$I=$C894)), 0) "),0.0)</f>
        <v>0</v>
      </c>
      <c r="R894" s="91">
        <f>IFERROR(__xludf.DUMMYFUNCTION("IFERROR(AVERAGE(filter('Генеральный баннер'!$AA:$AA, 'Генеральный баннер'!$B:$B=$A894,'Генеральный баннер'!$C:$C=$B894,'Генеральный баннер'!$I:$I=$C894)), 0) "),0.0)</f>
        <v>0</v>
      </c>
      <c r="S894" s="91">
        <f>IFERROR(__xludf.DUMMYFUNCTION("IFERROR(SUM(filter('Генеральный баннер'!$AH:$AH, 'Генеральный баннер'!$B:$B=$A894,'Генеральный баннер'!$C:$C=$B894,'Генеральный баннер'!$I:$I=$C894)), 0) "),0.0)</f>
        <v>0</v>
      </c>
      <c r="T894" s="91" t="str">
        <f>IFERROR(__xludf.DUMMYFUNCTION("IFERROR(REGEXREPLACE(unique(filter('Генеральный баннер'!$A:$A, 'Генеральный баннер'!$B:$B=$A894,'Генеральный баннер'!$C:$C=$B894,'Генеральный баннер'!$I:$I=$C894)), ""\d+"", """"),"""")"),"")</f>
        <v/>
      </c>
      <c r="U894" s="91" t="str">
        <f>IFERROR(__xludf.DUMMYFUNCTION("IFERROR(unique(filter('Генеральный баннер'!$F:$F, 'Генеральный баннер'!$B:$B=$A894,'Генеральный баннер'!$C:$C=$B894,'Генеральный баннер'!$I:$I=$C894)),"""")"),"")</f>
        <v/>
      </c>
      <c r="V894" s="92" t="str">
        <f t="shared" si="3"/>
        <v/>
      </c>
      <c r="W894" s="93">
        <f>IFERROR(__xludf.DUMMYFUNCTION("IFERROR(SWITCH(lower(join("" "",U894:V894)),""а миллионник"", 62.5,""б миллионник"", 75,""а мск"", 50, ""б мск"", 62.5, ""a остальное"", 70, ""б остальное"", 80)/100,0)"),0.0)</f>
        <v>0</v>
      </c>
      <c r="X894" s="91">
        <f t="shared" si="4"/>
        <v>0</v>
      </c>
    </row>
    <row r="895">
      <c r="A895" s="12"/>
      <c r="B895" s="12"/>
      <c r="C895" s="12"/>
      <c r="D895" s="91">
        <f>IFERROR(__xludf.DUMMYFUNCTION("IFERROR(sum(filter('Основной эфир'!$AA:$AA, 'Основной эфир'!$B:$B=$A895,'Основной эфир'!$C:$C=$B895,'Основной эфир'!$I:$I=$C895)), 0) "),0.0)</f>
        <v>0</v>
      </c>
      <c r="E895" s="91">
        <f>IFERROR(__xludf.DUMMYFUNCTION("IFERROR(sum(filter('Основной эфир'!$AC:$AC, 'Основной эфир'!$B:$B=$A895,'Основной эфир'!$C:$C=$B895,'Основной эфир'!$I:$I=$C895)), 0) "),0.0)</f>
        <v>0</v>
      </c>
      <c r="F895" s="91">
        <f>IFERROR(__xludf.DUMMYFUNCTION("IFERROR(sum(filter('Основной эфир'!$O:$O, 'Основной эфир'!$B:$B=$A895,'Основной эфир'!$C:$C=$B895,'Основной эфир'!$I:$I=$C895)), 0) "),0.0)</f>
        <v>0</v>
      </c>
      <c r="G895" s="91">
        <f>IFERROR(__xludf.DUMMYFUNCTION("IFERROR(sum(filter('Основной эфир'!$Q:$Q, 'Основной эфир'!$B:$B=$A895,'Основной эфир'!$C:$C=$B895,'Основной эфир'!$I:$I=$C895)), 0) "),0.0)</f>
        <v>0</v>
      </c>
      <c r="H895" s="91">
        <f>IFERROR(__xludf.DUMMYFUNCTION("IFERROR(AVERAGE(filter('Основной эфир'!$Y:$Y, 'Основной эфир'!$B:$B=$A895,'Основной эфир'!$C:$C=$B895,'Основной эфир'!$I:$I=$C895)), 0) "),0.0)</f>
        <v>0</v>
      </c>
      <c r="I895" s="91">
        <f>IFERROR(__xludf.DUMMYFUNCTION("IFERROR(AVERAGE(filter('Основной эфир'!$AE:$AE, 'Основной эфир'!$B:$B=$A895,'Основной эфир'!$C:$C=$B895,'Основной эфир'!$I:$I=$C895)), 0) "),0.0)</f>
        <v>0</v>
      </c>
      <c r="J895" s="91">
        <f>IFERROR(__xludf.DUMMYFUNCTION("IFERROR(SUM(filter('Основной эфир'!$AL:$AL, 'Основной эфир'!$B:$B=$A895,'Основной эфир'!$C:$C=$B895,'Основной эфир'!$I:$I=$C895)), 0) "),0.0)</f>
        <v>0</v>
      </c>
      <c r="K895" s="91" t="str">
        <f>IFERROR(__xludf.DUMMYFUNCTION("IFERROR(REGEXREPLACE(unique(filter('Основной эфир'!$A:$A, 'Основной эфир'!$B:$B=$A895,'Основной эфир'!$C:$C=$B895,'Основной эфир'!$I:$I=$C895)), ""\d+"", """"),"""")"),"")</f>
        <v/>
      </c>
      <c r="L895" s="91" t="str">
        <f>IFERROR(__xludf.DUMMYFUNCTION("IFERROR(unique(filter('Основной эфир'!$F:$F, 'Основной эфир'!$B:$B=$A895,'Основной эфир'!$C:$C=$B895,'Основной эфир'!$I:$I=$C895)),"""")"),"")</f>
        <v/>
      </c>
      <c r="M895" s="92" t="str">
        <f t="shared" si="1"/>
        <v/>
      </c>
      <c r="N895" s="93">
        <f>IFERROR(__xludf.DUMMYFUNCTION("IFERROR(SWITCH(lower(join("" "",L895:M895)),""а миллионник"", 62.5,""б миллионник"", 75,""а мск"", 50, ""б мск"", 62.5, ""a остальное"", 70, ""б остальное"", 80)/100,0)"),0.0)</f>
        <v>0</v>
      </c>
      <c r="O895" s="91">
        <f t="shared" si="2"/>
        <v>0</v>
      </c>
      <c r="P895" s="91">
        <f>IFERROR(__xludf.DUMMYFUNCTION("IFERROR(sum(filter('Генеральный баннер'!$O:$O, 'Генеральный баннер'!$B:$B=$A895,'Генеральный баннер'!$C:$C=$B895,'Генеральный баннер'!$I:$I=$C895)), 0) "),0.0)</f>
        <v>0</v>
      </c>
      <c r="Q895" s="91">
        <f>IFERROR(__xludf.DUMMYFUNCTION("IFERROR(sum(filter('Генеральный баннер'!$Q:$Q, 'Генеральный баннер'!$B:$B=$A895,'Генеральный баннер'!$C:$C=$B895,'Генеральный баннер'!$I:$I=$C895)), 0) "),0.0)</f>
        <v>0</v>
      </c>
      <c r="R895" s="91">
        <f>IFERROR(__xludf.DUMMYFUNCTION("IFERROR(AVERAGE(filter('Генеральный баннер'!$AA:$AA, 'Генеральный баннер'!$B:$B=$A895,'Генеральный баннер'!$C:$C=$B895,'Генеральный баннер'!$I:$I=$C895)), 0) "),0.0)</f>
        <v>0</v>
      </c>
      <c r="S895" s="91">
        <f>IFERROR(__xludf.DUMMYFUNCTION("IFERROR(SUM(filter('Генеральный баннер'!$AH:$AH, 'Генеральный баннер'!$B:$B=$A895,'Генеральный баннер'!$C:$C=$B895,'Генеральный баннер'!$I:$I=$C895)), 0) "),0.0)</f>
        <v>0</v>
      </c>
      <c r="T895" s="91" t="str">
        <f>IFERROR(__xludf.DUMMYFUNCTION("IFERROR(REGEXREPLACE(unique(filter('Генеральный баннер'!$A:$A, 'Генеральный баннер'!$B:$B=$A895,'Генеральный баннер'!$C:$C=$B895,'Генеральный баннер'!$I:$I=$C895)), ""\d+"", """"),"""")"),"")</f>
        <v/>
      </c>
      <c r="U895" s="91" t="str">
        <f>IFERROR(__xludf.DUMMYFUNCTION("IFERROR(unique(filter('Генеральный баннер'!$F:$F, 'Генеральный баннер'!$B:$B=$A895,'Генеральный баннер'!$C:$C=$B895,'Генеральный баннер'!$I:$I=$C895)),"""")"),"")</f>
        <v/>
      </c>
      <c r="V895" s="92" t="str">
        <f t="shared" si="3"/>
        <v/>
      </c>
      <c r="W895" s="93">
        <f>IFERROR(__xludf.DUMMYFUNCTION("IFERROR(SWITCH(lower(join("" "",U895:V895)),""а миллионник"", 62.5,""б миллионник"", 75,""а мск"", 50, ""б мск"", 62.5, ""a остальное"", 70, ""б остальное"", 80)/100,0)"),0.0)</f>
        <v>0</v>
      </c>
      <c r="X895" s="91">
        <f t="shared" si="4"/>
        <v>0</v>
      </c>
    </row>
    <row r="896">
      <c r="A896" s="12"/>
      <c r="B896" s="12"/>
      <c r="C896" s="12"/>
      <c r="D896" s="91">
        <f>IFERROR(__xludf.DUMMYFUNCTION("IFERROR(sum(filter('Основной эфир'!$AA:$AA, 'Основной эфир'!$B:$B=$A896,'Основной эфир'!$C:$C=$B896,'Основной эфир'!$I:$I=$C896)), 0) "),0.0)</f>
        <v>0</v>
      </c>
      <c r="E896" s="91">
        <f>IFERROR(__xludf.DUMMYFUNCTION("IFERROR(sum(filter('Основной эфир'!$AC:$AC, 'Основной эфир'!$B:$B=$A896,'Основной эфир'!$C:$C=$B896,'Основной эфир'!$I:$I=$C896)), 0) "),0.0)</f>
        <v>0</v>
      </c>
      <c r="F896" s="91">
        <f>IFERROR(__xludf.DUMMYFUNCTION("IFERROR(sum(filter('Основной эфир'!$O:$O, 'Основной эфир'!$B:$B=$A896,'Основной эфир'!$C:$C=$B896,'Основной эфир'!$I:$I=$C896)), 0) "),0.0)</f>
        <v>0</v>
      </c>
      <c r="G896" s="91">
        <f>IFERROR(__xludf.DUMMYFUNCTION("IFERROR(sum(filter('Основной эфир'!$Q:$Q, 'Основной эфир'!$B:$B=$A896,'Основной эфир'!$C:$C=$B896,'Основной эфир'!$I:$I=$C896)), 0) "),0.0)</f>
        <v>0</v>
      </c>
      <c r="H896" s="91">
        <f>IFERROR(__xludf.DUMMYFUNCTION("IFERROR(AVERAGE(filter('Основной эфир'!$Y:$Y, 'Основной эфир'!$B:$B=$A896,'Основной эфир'!$C:$C=$B896,'Основной эфир'!$I:$I=$C896)), 0) "),0.0)</f>
        <v>0</v>
      </c>
      <c r="I896" s="91">
        <f>IFERROR(__xludf.DUMMYFUNCTION("IFERROR(AVERAGE(filter('Основной эфир'!$AE:$AE, 'Основной эфир'!$B:$B=$A896,'Основной эфир'!$C:$C=$B896,'Основной эфир'!$I:$I=$C896)), 0) "),0.0)</f>
        <v>0</v>
      </c>
      <c r="J896" s="91">
        <f>IFERROR(__xludf.DUMMYFUNCTION("IFERROR(SUM(filter('Основной эфир'!$AL:$AL, 'Основной эфир'!$B:$B=$A896,'Основной эфир'!$C:$C=$B896,'Основной эфир'!$I:$I=$C896)), 0) "),0.0)</f>
        <v>0</v>
      </c>
      <c r="K896" s="91" t="str">
        <f>IFERROR(__xludf.DUMMYFUNCTION("IFERROR(REGEXREPLACE(unique(filter('Основной эфир'!$A:$A, 'Основной эфир'!$B:$B=$A896,'Основной эфир'!$C:$C=$B896,'Основной эфир'!$I:$I=$C896)), ""\d+"", """"),"""")"),"")</f>
        <v/>
      </c>
      <c r="L896" s="91" t="str">
        <f>IFERROR(__xludf.DUMMYFUNCTION("IFERROR(unique(filter('Основной эфир'!$F:$F, 'Основной эфир'!$B:$B=$A896,'Основной эфир'!$C:$C=$B896,'Основной эфир'!$I:$I=$C896)),"""")"),"")</f>
        <v/>
      </c>
      <c r="M896" s="92" t="str">
        <f t="shared" si="1"/>
        <v/>
      </c>
      <c r="N896" s="93">
        <f>IFERROR(__xludf.DUMMYFUNCTION("IFERROR(SWITCH(lower(join("" "",L896:M896)),""а миллионник"", 62.5,""б миллионник"", 75,""а мск"", 50, ""б мск"", 62.5, ""a остальное"", 70, ""б остальное"", 80)/100,0)"),0.0)</f>
        <v>0</v>
      </c>
      <c r="O896" s="91">
        <f t="shared" si="2"/>
        <v>0</v>
      </c>
      <c r="P896" s="91">
        <f>IFERROR(__xludf.DUMMYFUNCTION("IFERROR(sum(filter('Генеральный баннер'!$O:$O, 'Генеральный баннер'!$B:$B=$A896,'Генеральный баннер'!$C:$C=$B896,'Генеральный баннер'!$I:$I=$C896)), 0) "),0.0)</f>
        <v>0</v>
      </c>
      <c r="Q896" s="91">
        <f>IFERROR(__xludf.DUMMYFUNCTION("IFERROR(sum(filter('Генеральный баннер'!$Q:$Q, 'Генеральный баннер'!$B:$B=$A896,'Генеральный баннер'!$C:$C=$B896,'Генеральный баннер'!$I:$I=$C896)), 0) "),0.0)</f>
        <v>0</v>
      </c>
      <c r="R896" s="91">
        <f>IFERROR(__xludf.DUMMYFUNCTION("IFERROR(AVERAGE(filter('Генеральный баннер'!$AA:$AA, 'Генеральный баннер'!$B:$B=$A896,'Генеральный баннер'!$C:$C=$B896,'Генеральный баннер'!$I:$I=$C896)), 0) "),0.0)</f>
        <v>0</v>
      </c>
      <c r="S896" s="91">
        <f>IFERROR(__xludf.DUMMYFUNCTION("IFERROR(SUM(filter('Генеральный баннер'!$AH:$AH, 'Генеральный баннер'!$B:$B=$A896,'Генеральный баннер'!$C:$C=$B896,'Генеральный баннер'!$I:$I=$C896)), 0) "),0.0)</f>
        <v>0</v>
      </c>
      <c r="T896" s="91" t="str">
        <f>IFERROR(__xludf.DUMMYFUNCTION("IFERROR(REGEXREPLACE(unique(filter('Генеральный баннер'!$A:$A, 'Генеральный баннер'!$B:$B=$A896,'Генеральный баннер'!$C:$C=$B896,'Генеральный баннер'!$I:$I=$C896)), ""\d+"", """"),"""")"),"")</f>
        <v/>
      </c>
      <c r="U896" s="91" t="str">
        <f>IFERROR(__xludf.DUMMYFUNCTION("IFERROR(unique(filter('Генеральный баннер'!$F:$F, 'Генеральный баннер'!$B:$B=$A896,'Генеральный баннер'!$C:$C=$B896,'Генеральный баннер'!$I:$I=$C896)),"""")"),"")</f>
        <v/>
      </c>
      <c r="V896" s="92" t="str">
        <f t="shared" si="3"/>
        <v/>
      </c>
      <c r="W896" s="93">
        <f>IFERROR(__xludf.DUMMYFUNCTION("IFERROR(SWITCH(lower(join("" "",U896:V896)),""а миллионник"", 62.5,""б миллионник"", 75,""а мск"", 50, ""б мск"", 62.5, ""a остальное"", 70, ""б остальное"", 80)/100,0)"),0.0)</f>
        <v>0</v>
      </c>
      <c r="X896" s="91">
        <f t="shared" si="4"/>
        <v>0</v>
      </c>
    </row>
    <row r="897">
      <c r="A897" s="12"/>
      <c r="B897" s="12"/>
      <c r="C897" s="12"/>
      <c r="D897" s="91">
        <f>IFERROR(__xludf.DUMMYFUNCTION("IFERROR(sum(filter('Основной эфир'!$AA:$AA, 'Основной эфир'!$B:$B=$A897,'Основной эфир'!$C:$C=$B897,'Основной эфир'!$I:$I=$C897)), 0) "),0.0)</f>
        <v>0</v>
      </c>
      <c r="E897" s="91">
        <f>IFERROR(__xludf.DUMMYFUNCTION("IFERROR(sum(filter('Основной эфир'!$AC:$AC, 'Основной эфир'!$B:$B=$A897,'Основной эфир'!$C:$C=$B897,'Основной эфир'!$I:$I=$C897)), 0) "),0.0)</f>
        <v>0</v>
      </c>
      <c r="F897" s="91">
        <f>IFERROR(__xludf.DUMMYFUNCTION("IFERROR(sum(filter('Основной эфир'!$O:$O, 'Основной эфир'!$B:$B=$A897,'Основной эфир'!$C:$C=$B897,'Основной эфир'!$I:$I=$C897)), 0) "),0.0)</f>
        <v>0</v>
      </c>
      <c r="G897" s="91">
        <f>IFERROR(__xludf.DUMMYFUNCTION("IFERROR(sum(filter('Основной эфир'!$Q:$Q, 'Основной эфир'!$B:$B=$A897,'Основной эфир'!$C:$C=$B897,'Основной эфир'!$I:$I=$C897)), 0) "),0.0)</f>
        <v>0</v>
      </c>
      <c r="H897" s="91">
        <f>IFERROR(__xludf.DUMMYFUNCTION("IFERROR(AVERAGE(filter('Основной эфир'!$Y:$Y, 'Основной эфир'!$B:$B=$A897,'Основной эфир'!$C:$C=$B897,'Основной эфир'!$I:$I=$C897)), 0) "),0.0)</f>
        <v>0</v>
      </c>
      <c r="I897" s="91">
        <f>IFERROR(__xludf.DUMMYFUNCTION("IFERROR(AVERAGE(filter('Основной эфир'!$AE:$AE, 'Основной эфир'!$B:$B=$A897,'Основной эфир'!$C:$C=$B897,'Основной эфир'!$I:$I=$C897)), 0) "),0.0)</f>
        <v>0</v>
      </c>
      <c r="J897" s="91">
        <f>IFERROR(__xludf.DUMMYFUNCTION("IFERROR(SUM(filter('Основной эфир'!$AL:$AL, 'Основной эфир'!$B:$B=$A897,'Основной эфир'!$C:$C=$B897,'Основной эфир'!$I:$I=$C897)), 0) "),0.0)</f>
        <v>0</v>
      </c>
      <c r="K897" s="91" t="str">
        <f>IFERROR(__xludf.DUMMYFUNCTION("IFERROR(REGEXREPLACE(unique(filter('Основной эфир'!$A:$A, 'Основной эфир'!$B:$B=$A897,'Основной эфир'!$C:$C=$B897,'Основной эфир'!$I:$I=$C897)), ""\d+"", """"),"""")"),"")</f>
        <v/>
      </c>
      <c r="L897" s="91" t="str">
        <f>IFERROR(__xludf.DUMMYFUNCTION("IFERROR(unique(filter('Основной эфир'!$F:$F, 'Основной эфир'!$B:$B=$A897,'Основной эфир'!$C:$C=$B897,'Основной эфир'!$I:$I=$C897)),"""")"),"")</f>
        <v/>
      </c>
      <c r="M897" s="92" t="str">
        <f t="shared" si="1"/>
        <v/>
      </c>
      <c r="N897" s="93">
        <f>IFERROR(__xludf.DUMMYFUNCTION("IFERROR(SWITCH(lower(join("" "",L897:M897)),""а миллионник"", 62.5,""б миллионник"", 75,""а мск"", 50, ""б мск"", 62.5, ""a остальное"", 70, ""б остальное"", 80)/100,0)"),0.0)</f>
        <v>0</v>
      </c>
      <c r="O897" s="91">
        <f t="shared" si="2"/>
        <v>0</v>
      </c>
      <c r="P897" s="91">
        <f>IFERROR(__xludf.DUMMYFUNCTION("IFERROR(sum(filter('Генеральный баннер'!$O:$O, 'Генеральный баннер'!$B:$B=$A897,'Генеральный баннер'!$C:$C=$B897,'Генеральный баннер'!$I:$I=$C897)), 0) "),0.0)</f>
        <v>0</v>
      </c>
      <c r="Q897" s="91">
        <f>IFERROR(__xludf.DUMMYFUNCTION("IFERROR(sum(filter('Генеральный баннер'!$Q:$Q, 'Генеральный баннер'!$B:$B=$A897,'Генеральный баннер'!$C:$C=$B897,'Генеральный баннер'!$I:$I=$C897)), 0) "),0.0)</f>
        <v>0</v>
      </c>
      <c r="R897" s="91">
        <f>IFERROR(__xludf.DUMMYFUNCTION("IFERROR(AVERAGE(filter('Генеральный баннер'!$AA:$AA, 'Генеральный баннер'!$B:$B=$A897,'Генеральный баннер'!$C:$C=$B897,'Генеральный баннер'!$I:$I=$C897)), 0) "),0.0)</f>
        <v>0</v>
      </c>
      <c r="S897" s="91">
        <f>IFERROR(__xludf.DUMMYFUNCTION("IFERROR(SUM(filter('Генеральный баннер'!$AH:$AH, 'Генеральный баннер'!$B:$B=$A897,'Генеральный баннер'!$C:$C=$B897,'Генеральный баннер'!$I:$I=$C897)), 0) "),0.0)</f>
        <v>0</v>
      </c>
      <c r="T897" s="91" t="str">
        <f>IFERROR(__xludf.DUMMYFUNCTION("IFERROR(REGEXREPLACE(unique(filter('Генеральный баннер'!$A:$A, 'Генеральный баннер'!$B:$B=$A897,'Генеральный баннер'!$C:$C=$B897,'Генеральный баннер'!$I:$I=$C897)), ""\d+"", """"),"""")"),"")</f>
        <v/>
      </c>
      <c r="U897" s="91" t="str">
        <f>IFERROR(__xludf.DUMMYFUNCTION("IFERROR(unique(filter('Генеральный баннер'!$F:$F, 'Генеральный баннер'!$B:$B=$A897,'Генеральный баннер'!$C:$C=$B897,'Генеральный баннер'!$I:$I=$C897)),"""")"),"")</f>
        <v/>
      </c>
      <c r="V897" s="92" t="str">
        <f t="shared" si="3"/>
        <v/>
      </c>
      <c r="W897" s="93">
        <f>IFERROR(__xludf.DUMMYFUNCTION("IFERROR(SWITCH(lower(join("" "",U897:V897)),""а миллионник"", 62.5,""б миллионник"", 75,""а мск"", 50, ""б мск"", 62.5, ""a остальное"", 70, ""б остальное"", 80)/100,0)"),0.0)</f>
        <v>0</v>
      </c>
      <c r="X897" s="91">
        <f t="shared" si="4"/>
        <v>0</v>
      </c>
    </row>
    <row r="898">
      <c r="A898" s="12"/>
      <c r="B898" s="12"/>
      <c r="C898" s="12"/>
      <c r="D898" s="91">
        <f>IFERROR(__xludf.DUMMYFUNCTION("IFERROR(sum(filter('Основной эфир'!$AA:$AA, 'Основной эфир'!$B:$B=$A898,'Основной эфир'!$C:$C=$B898,'Основной эфир'!$I:$I=$C898)), 0) "),0.0)</f>
        <v>0</v>
      </c>
      <c r="E898" s="91">
        <f>IFERROR(__xludf.DUMMYFUNCTION("IFERROR(sum(filter('Основной эфир'!$AC:$AC, 'Основной эфир'!$B:$B=$A898,'Основной эфир'!$C:$C=$B898,'Основной эфир'!$I:$I=$C898)), 0) "),0.0)</f>
        <v>0</v>
      </c>
      <c r="F898" s="91">
        <f>IFERROR(__xludf.DUMMYFUNCTION("IFERROR(sum(filter('Основной эфир'!$O:$O, 'Основной эфир'!$B:$B=$A898,'Основной эфир'!$C:$C=$B898,'Основной эфир'!$I:$I=$C898)), 0) "),0.0)</f>
        <v>0</v>
      </c>
      <c r="G898" s="91">
        <f>IFERROR(__xludf.DUMMYFUNCTION("IFERROR(sum(filter('Основной эфир'!$Q:$Q, 'Основной эфир'!$B:$B=$A898,'Основной эфир'!$C:$C=$B898,'Основной эфир'!$I:$I=$C898)), 0) "),0.0)</f>
        <v>0</v>
      </c>
      <c r="H898" s="91">
        <f>IFERROR(__xludf.DUMMYFUNCTION("IFERROR(AVERAGE(filter('Основной эфир'!$Y:$Y, 'Основной эфир'!$B:$B=$A898,'Основной эфир'!$C:$C=$B898,'Основной эфир'!$I:$I=$C898)), 0) "),0.0)</f>
        <v>0</v>
      </c>
      <c r="I898" s="91">
        <f>IFERROR(__xludf.DUMMYFUNCTION("IFERROR(AVERAGE(filter('Основной эфир'!$AE:$AE, 'Основной эфир'!$B:$B=$A898,'Основной эфир'!$C:$C=$B898,'Основной эфир'!$I:$I=$C898)), 0) "),0.0)</f>
        <v>0</v>
      </c>
      <c r="J898" s="91">
        <f>IFERROR(__xludf.DUMMYFUNCTION("IFERROR(SUM(filter('Основной эфир'!$AL:$AL, 'Основной эфир'!$B:$B=$A898,'Основной эфир'!$C:$C=$B898,'Основной эфир'!$I:$I=$C898)), 0) "),0.0)</f>
        <v>0</v>
      </c>
      <c r="K898" s="91" t="str">
        <f>IFERROR(__xludf.DUMMYFUNCTION("IFERROR(REGEXREPLACE(unique(filter('Основной эфир'!$A:$A, 'Основной эфир'!$B:$B=$A898,'Основной эфир'!$C:$C=$B898,'Основной эфир'!$I:$I=$C898)), ""\d+"", """"),"""")"),"")</f>
        <v/>
      </c>
      <c r="L898" s="91" t="str">
        <f>IFERROR(__xludf.DUMMYFUNCTION("IFERROR(unique(filter('Основной эфир'!$F:$F, 'Основной эфир'!$B:$B=$A898,'Основной эфир'!$C:$C=$B898,'Основной эфир'!$I:$I=$C898)),"""")"),"")</f>
        <v/>
      </c>
      <c r="M898" s="92" t="str">
        <f t="shared" si="1"/>
        <v/>
      </c>
      <c r="N898" s="93">
        <f>IFERROR(__xludf.DUMMYFUNCTION("IFERROR(SWITCH(lower(join("" "",L898:M898)),""а миллионник"", 62.5,""б миллионник"", 75,""а мск"", 50, ""б мск"", 62.5, ""a остальное"", 70, ""б остальное"", 80)/100,0)"),0.0)</f>
        <v>0</v>
      </c>
      <c r="O898" s="91">
        <f t="shared" si="2"/>
        <v>0</v>
      </c>
      <c r="P898" s="91">
        <f>IFERROR(__xludf.DUMMYFUNCTION("IFERROR(sum(filter('Генеральный баннер'!$O:$O, 'Генеральный баннер'!$B:$B=$A898,'Генеральный баннер'!$C:$C=$B898,'Генеральный баннер'!$I:$I=$C898)), 0) "),0.0)</f>
        <v>0</v>
      </c>
      <c r="Q898" s="91">
        <f>IFERROR(__xludf.DUMMYFUNCTION("IFERROR(sum(filter('Генеральный баннер'!$Q:$Q, 'Генеральный баннер'!$B:$B=$A898,'Генеральный баннер'!$C:$C=$B898,'Генеральный баннер'!$I:$I=$C898)), 0) "),0.0)</f>
        <v>0</v>
      </c>
      <c r="R898" s="91">
        <f>IFERROR(__xludf.DUMMYFUNCTION("IFERROR(AVERAGE(filter('Генеральный баннер'!$AA:$AA, 'Генеральный баннер'!$B:$B=$A898,'Генеральный баннер'!$C:$C=$B898,'Генеральный баннер'!$I:$I=$C898)), 0) "),0.0)</f>
        <v>0</v>
      </c>
      <c r="S898" s="91">
        <f>IFERROR(__xludf.DUMMYFUNCTION("IFERROR(SUM(filter('Генеральный баннер'!$AH:$AH, 'Генеральный баннер'!$B:$B=$A898,'Генеральный баннер'!$C:$C=$B898,'Генеральный баннер'!$I:$I=$C898)), 0) "),0.0)</f>
        <v>0</v>
      </c>
      <c r="T898" s="91" t="str">
        <f>IFERROR(__xludf.DUMMYFUNCTION("IFERROR(REGEXREPLACE(unique(filter('Генеральный баннер'!$A:$A, 'Генеральный баннер'!$B:$B=$A898,'Генеральный баннер'!$C:$C=$B898,'Генеральный баннер'!$I:$I=$C898)), ""\d+"", """"),"""")"),"")</f>
        <v/>
      </c>
      <c r="U898" s="91" t="str">
        <f>IFERROR(__xludf.DUMMYFUNCTION("IFERROR(unique(filter('Генеральный баннер'!$F:$F, 'Генеральный баннер'!$B:$B=$A898,'Генеральный баннер'!$C:$C=$B898,'Генеральный баннер'!$I:$I=$C898)),"""")"),"")</f>
        <v/>
      </c>
      <c r="V898" s="92" t="str">
        <f t="shared" si="3"/>
        <v/>
      </c>
      <c r="W898" s="93">
        <f>IFERROR(__xludf.DUMMYFUNCTION("IFERROR(SWITCH(lower(join("" "",U898:V898)),""а миллионник"", 62.5,""б миллионник"", 75,""а мск"", 50, ""б мск"", 62.5, ""a остальное"", 70, ""б остальное"", 80)/100,0)"),0.0)</f>
        <v>0</v>
      </c>
      <c r="X898" s="91">
        <f t="shared" si="4"/>
        <v>0</v>
      </c>
    </row>
    <row r="899">
      <c r="A899" s="12"/>
      <c r="B899" s="12"/>
      <c r="C899" s="12"/>
      <c r="D899" s="91">
        <f>IFERROR(__xludf.DUMMYFUNCTION("IFERROR(sum(filter('Основной эфир'!$AA:$AA, 'Основной эфир'!$B:$B=$A899,'Основной эфир'!$C:$C=$B899,'Основной эфир'!$I:$I=$C899)), 0) "),0.0)</f>
        <v>0</v>
      </c>
      <c r="E899" s="91">
        <f>IFERROR(__xludf.DUMMYFUNCTION("IFERROR(sum(filter('Основной эфир'!$AC:$AC, 'Основной эфир'!$B:$B=$A899,'Основной эфир'!$C:$C=$B899,'Основной эфир'!$I:$I=$C899)), 0) "),0.0)</f>
        <v>0</v>
      </c>
      <c r="F899" s="91">
        <f>IFERROR(__xludf.DUMMYFUNCTION("IFERROR(sum(filter('Основной эфир'!$O:$O, 'Основной эфир'!$B:$B=$A899,'Основной эфир'!$C:$C=$B899,'Основной эфир'!$I:$I=$C899)), 0) "),0.0)</f>
        <v>0</v>
      </c>
      <c r="G899" s="91">
        <f>IFERROR(__xludf.DUMMYFUNCTION("IFERROR(sum(filter('Основной эфир'!$Q:$Q, 'Основной эфир'!$B:$B=$A899,'Основной эфир'!$C:$C=$B899,'Основной эфир'!$I:$I=$C899)), 0) "),0.0)</f>
        <v>0</v>
      </c>
      <c r="H899" s="91">
        <f>IFERROR(__xludf.DUMMYFUNCTION("IFERROR(AVERAGE(filter('Основной эфир'!$Y:$Y, 'Основной эфир'!$B:$B=$A899,'Основной эфир'!$C:$C=$B899,'Основной эфир'!$I:$I=$C899)), 0) "),0.0)</f>
        <v>0</v>
      </c>
      <c r="I899" s="91">
        <f>IFERROR(__xludf.DUMMYFUNCTION("IFERROR(AVERAGE(filter('Основной эфир'!$AE:$AE, 'Основной эфир'!$B:$B=$A899,'Основной эфир'!$C:$C=$B899,'Основной эфир'!$I:$I=$C899)), 0) "),0.0)</f>
        <v>0</v>
      </c>
      <c r="J899" s="91">
        <f>IFERROR(__xludf.DUMMYFUNCTION("IFERROR(SUM(filter('Основной эфир'!$AL:$AL, 'Основной эфир'!$B:$B=$A899,'Основной эфир'!$C:$C=$B899,'Основной эфир'!$I:$I=$C899)), 0) "),0.0)</f>
        <v>0</v>
      </c>
      <c r="K899" s="91" t="str">
        <f>IFERROR(__xludf.DUMMYFUNCTION("IFERROR(REGEXREPLACE(unique(filter('Основной эфир'!$A:$A, 'Основной эфир'!$B:$B=$A899,'Основной эфир'!$C:$C=$B899,'Основной эфир'!$I:$I=$C899)), ""\d+"", """"),"""")"),"")</f>
        <v/>
      </c>
      <c r="L899" s="91" t="str">
        <f>IFERROR(__xludf.DUMMYFUNCTION("IFERROR(unique(filter('Основной эфир'!$F:$F, 'Основной эфир'!$B:$B=$A899,'Основной эфир'!$C:$C=$B899,'Основной эфир'!$I:$I=$C899)),"""")"),"")</f>
        <v/>
      </c>
      <c r="M899" s="92" t="str">
        <f t="shared" si="1"/>
        <v/>
      </c>
      <c r="N899" s="93">
        <f>IFERROR(__xludf.DUMMYFUNCTION("IFERROR(SWITCH(lower(join("" "",L899:M899)),""а миллионник"", 62.5,""б миллионник"", 75,""а мск"", 50, ""б мск"", 62.5, ""a остальное"", 70, ""б остальное"", 80)/100,0)"),0.0)</f>
        <v>0</v>
      </c>
      <c r="O899" s="91">
        <f t="shared" si="2"/>
        <v>0</v>
      </c>
      <c r="P899" s="91">
        <f>IFERROR(__xludf.DUMMYFUNCTION("IFERROR(sum(filter('Генеральный баннер'!$O:$O, 'Генеральный баннер'!$B:$B=$A899,'Генеральный баннер'!$C:$C=$B899,'Генеральный баннер'!$I:$I=$C899)), 0) "),0.0)</f>
        <v>0</v>
      </c>
      <c r="Q899" s="91">
        <f>IFERROR(__xludf.DUMMYFUNCTION("IFERROR(sum(filter('Генеральный баннер'!$Q:$Q, 'Генеральный баннер'!$B:$B=$A899,'Генеральный баннер'!$C:$C=$B899,'Генеральный баннер'!$I:$I=$C899)), 0) "),0.0)</f>
        <v>0</v>
      </c>
      <c r="R899" s="91">
        <f>IFERROR(__xludf.DUMMYFUNCTION("IFERROR(AVERAGE(filter('Генеральный баннер'!$AA:$AA, 'Генеральный баннер'!$B:$B=$A899,'Генеральный баннер'!$C:$C=$B899,'Генеральный баннер'!$I:$I=$C899)), 0) "),0.0)</f>
        <v>0</v>
      </c>
      <c r="S899" s="91">
        <f>IFERROR(__xludf.DUMMYFUNCTION("IFERROR(SUM(filter('Генеральный баннер'!$AH:$AH, 'Генеральный баннер'!$B:$B=$A899,'Генеральный баннер'!$C:$C=$B899,'Генеральный баннер'!$I:$I=$C899)), 0) "),0.0)</f>
        <v>0</v>
      </c>
      <c r="T899" s="91" t="str">
        <f>IFERROR(__xludf.DUMMYFUNCTION("IFERROR(REGEXREPLACE(unique(filter('Генеральный баннер'!$A:$A, 'Генеральный баннер'!$B:$B=$A899,'Генеральный баннер'!$C:$C=$B899,'Генеральный баннер'!$I:$I=$C899)), ""\d+"", """"),"""")"),"")</f>
        <v/>
      </c>
      <c r="U899" s="91" t="str">
        <f>IFERROR(__xludf.DUMMYFUNCTION("IFERROR(unique(filter('Генеральный баннер'!$F:$F, 'Генеральный баннер'!$B:$B=$A899,'Генеральный баннер'!$C:$C=$B899,'Генеральный баннер'!$I:$I=$C899)),"""")"),"")</f>
        <v/>
      </c>
      <c r="V899" s="92" t="str">
        <f t="shared" si="3"/>
        <v/>
      </c>
      <c r="W899" s="93">
        <f>IFERROR(__xludf.DUMMYFUNCTION("IFERROR(SWITCH(lower(join("" "",U899:V899)),""а миллионник"", 62.5,""б миллионник"", 75,""а мск"", 50, ""б мск"", 62.5, ""a остальное"", 70, ""б остальное"", 80)/100,0)"),0.0)</f>
        <v>0</v>
      </c>
      <c r="X899" s="91">
        <f t="shared" si="4"/>
        <v>0</v>
      </c>
    </row>
    <row r="900">
      <c r="A900" s="12"/>
      <c r="B900" s="12"/>
      <c r="C900" s="12"/>
      <c r="D900" s="91">
        <f>IFERROR(__xludf.DUMMYFUNCTION("IFERROR(sum(filter('Основной эфир'!$AA:$AA, 'Основной эфир'!$B:$B=$A900,'Основной эфир'!$C:$C=$B900,'Основной эфир'!$I:$I=$C900)), 0) "),0.0)</f>
        <v>0</v>
      </c>
      <c r="E900" s="91">
        <f>IFERROR(__xludf.DUMMYFUNCTION("IFERROR(sum(filter('Основной эфир'!$AC:$AC, 'Основной эфир'!$B:$B=$A900,'Основной эфир'!$C:$C=$B900,'Основной эфир'!$I:$I=$C900)), 0) "),0.0)</f>
        <v>0</v>
      </c>
      <c r="F900" s="91">
        <f>IFERROR(__xludf.DUMMYFUNCTION("IFERROR(sum(filter('Основной эфир'!$O:$O, 'Основной эфир'!$B:$B=$A900,'Основной эфир'!$C:$C=$B900,'Основной эфир'!$I:$I=$C900)), 0) "),0.0)</f>
        <v>0</v>
      </c>
      <c r="G900" s="91">
        <f>IFERROR(__xludf.DUMMYFUNCTION("IFERROR(sum(filter('Основной эфир'!$Q:$Q, 'Основной эфир'!$B:$B=$A900,'Основной эфир'!$C:$C=$B900,'Основной эфир'!$I:$I=$C900)), 0) "),0.0)</f>
        <v>0</v>
      </c>
      <c r="H900" s="91">
        <f>IFERROR(__xludf.DUMMYFUNCTION("IFERROR(AVERAGE(filter('Основной эфир'!$Y:$Y, 'Основной эфир'!$B:$B=$A900,'Основной эфир'!$C:$C=$B900,'Основной эфир'!$I:$I=$C900)), 0) "),0.0)</f>
        <v>0</v>
      </c>
      <c r="I900" s="91">
        <f>IFERROR(__xludf.DUMMYFUNCTION("IFERROR(AVERAGE(filter('Основной эфир'!$AE:$AE, 'Основной эфир'!$B:$B=$A900,'Основной эфир'!$C:$C=$B900,'Основной эфир'!$I:$I=$C900)), 0) "),0.0)</f>
        <v>0</v>
      </c>
      <c r="J900" s="91">
        <f>IFERROR(__xludf.DUMMYFUNCTION("IFERROR(SUM(filter('Основной эфир'!$AL:$AL, 'Основной эфир'!$B:$B=$A900,'Основной эфир'!$C:$C=$B900,'Основной эфир'!$I:$I=$C900)), 0) "),0.0)</f>
        <v>0</v>
      </c>
      <c r="K900" s="91" t="str">
        <f>IFERROR(__xludf.DUMMYFUNCTION("IFERROR(REGEXREPLACE(unique(filter('Основной эфир'!$A:$A, 'Основной эфир'!$B:$B=$A900,'Основной эфир'!$C:$C=$B900,'Основной эфир'!$I:$I=$C900)), ""\d+"", """"),"""")"),"")</f>
        <v/>
      </c>
      <c r="L900" s="91" t="str">
        <f>IFERROR(__xludf.DUMMYFUNCTION("IFERROR(unique(filter('Основной эфир'!$F:$F, 'Основной эфир'!$B:$B=$A900,'Основной эфир'!$C:$C=$B900,'Основной эфир'!$I:$I=$C900)),"""")"),"")</f>
        <v/>
      </c>
      <c r="M900" s="92" t="str">
        <f t="shared" si="1"/>
        <v/>
      </c>
      <c r="N900" s="93">
        <f>IFERROR(__xludf.DUMMYFUNCTION("IFERROR(SWITCH(lower(join("" "",L900:M900)),""а миллионник"", 62.5,""б миллионник"", 75,""а мск"", 50, ""б мск"", 62.5, ""a остальное"", 70, ""б остальное"", 80)/100,0)"),0.0)</f>
        <v>0</v>
      </c>
      <c r="O900" s="91">
        <f t="shared" si="2"/>
        <v>0</v>
      </c>
      <c r="P900" s="91">
        <f>IFERROR(__xludf.DUMMYFUNCTION("IFERROR(sum(filter('Генеральный баннер'!$O:$O, 'Генеральный баннер'!$B:$B=$A900,'Генеральный баннер'!$C:$C=$B900,'Генеральный баннер'!$I:$I=$C900)), 0) "),0.0)</f>
        <v>0</v>
      </c>
      <c r="Q900" s="91">
        <f>IFERROR(__xludf.DUMMYFUNCTION("IFERROR(sum(filter('Генеральный баннер'!$Q:$Q, 'Генеральный баннер'!$B:$B=$A900,'Генеральный баннер'!$C:$C=$B900,'Генеральный баннер'!$I:$I=$C900)), 0) "),0.0)</f>
        <v>0</v>
      </c>
      <c r="R900" s="91">
        <f>IFERROR(__xludf.DUMMYFUNCTION("IFERROR(AVERAGE(filter('Генеральный баннер'!$AA:$AA, 'Генеральный баннер'!$B:$B=$A900,'Генеральный баннер'!$C:$C=$B900,'Генеральный баннер'!$I:$I=$C900)), 0) "),0.0)</f>
        <v>0</v>
      </c>
      <c r="S900" s="91">
        <f>IFERROR(__xludf.DUMMYFUNCTION("IFERROR(SUM(filter('Генеральный баннер'!$AH:$AH, 'Генеральный баннер'!$B:$B=$A900,'Генеральный баннер'!$C:$C=$B900,'Генеральный баннер'!$I:$I=$C900)), 0) "),0.0)</f>
        <v>0</v>
      </c>
      <c r="T900" s="91" t="str">
        <f>IFERROR(__xludf.DUMMYFUNCTION("IFERROR(REGEXREPLACE(unique(filter('Генеральный баннер'!$A:$A, 'Генеральный баннер'!$B:$B=$A900,'Генеральный баннер'!$C:$C=$B900,'Генеральный баннер'!$I:$I=$C900)), ""\d+"", """"),"""")"),"")</f>
        <v/>
      </c>
      <c r="U900" s="91" t="str">
        <f>IFERROR(__xludf.DUMMYFUNCTION("IFERROR(unique(filter('Генеральный баннер'!$F:$F, 'Генеральный баннер'!$B:$B=$A900,'Генеральный баннер'!$C:$C=$B900,'Генеральный баннер'!$I:$I=$C900)),"""")"),"")</f>
        <v/>
      </c>
      <c r="V900" s="92" t="str">
        <f t="shared" si="3"/>
        <v/>
      </c>
      <c r="W900" s="93">
        <f>IFERROR(__xludf.DUMMYFUNCTION("IFERROR(SWITCH(lower(join("" "",U900:V900)),""а миллионник"", 62.5,""б миллионник"", 75,""а мск"", 50, ""б мск"", 62.5, ""a остальное"", 70, ""б остальное"", 80)/100,0)"),0.0)</f>
        <v>0</v>
      </c>
      <c r="X900" s="91">
        <f t="shared" si="4"/>
        <v>0</v>
      </c>
    </row>
    <row r="901">
      <c r="A901" s="12"/>
      <c r="B901" s="12"/>
      <c r="C901" s="12"/>
      <c r="D901" s="91">
        <f>IFERROR(__xludf.DUMMYFUNCTION("IFERROR(sum(filter('Основной эфир'!$AA:$AA, 'Основной эфир'!$B:$B=$A901,'Основной эфир'!$C:$C=$B901,'Основной эфир'!$I:$I=$C901)), 0) "),0.0)</f>
        <v>0</v>
      </c>
      <c r="E901" s="91">
        <f>IFERROR(__xludf.DUMMYFUNCTION("IFERROR(sum(filter('Основной эфир'!$AC:$AC, 'Основной эфир'!$B:$B=$A901,'Основной эфир'!$C:$C=$B901,'Основной эфир'!$I:$I=$C901)), 0) "),0.0)</f>
        <v>0</v>
      </c>
      <c r="F901" s="91">
        <f>IFERROR(__xludf.DUMMYFUNCTION("IFERROR(sum(filter('Основной эфир'!$O:$O, 'Основной эфир'!$B:$B=$A901,'Основной эфир'!$C:$C=$B901,'Основной эфир'!$I:$I=$C901)), 0) "),0.0)</f>
        <v>0</v>
      </c>
      <c r="G901" s="91">
        <f>IFERROR(__xludf.DUMMYFUNCTION("IFERROR(sum(filter('Основной эфир'!$Q:$Q, 'Основной эфир'!$B:$B=$A901,'Основной эфир'!$C:$C=$B901,'Основной эфир'!$I:$I=$C901)), 0) "),0.0)</f>
        <v>0</v>
      </c>
      <c r="H901" s="91">
        <f>IFERROR(__xludf.DUMMYFUNCTION("IFERROR(AVERAGE(filter('Основной эфир'!$Y:$Y, 'Основной эфир'!$B:$B=$A901,'Основной эфир'!$C:$C=$B901,'Основной эфир'!$I:$I=$C901)), 0) "),0.0)</f>
        <v>0</v>
      </c>
      <c r="I901" s="91">
        <f>IFERROR(__xludf.DUMMYFUNCTION("IFERROR(AVERAGE(filter('Основной эфир'!$AE:$AE, 'Основной эфир'!$B:$B=$A901,'Основной эфир'!$C:$C=$B901,'Основной эфир'!$I:$I=$C901)), 0) "),0.0)</f>
        <v>0</v>
      </c>
      <c r="J901" s="91">
        <f>IFERROR(__xludf.DUMMYFUNCTION("IFERROR(SUM(filter('Основной эфир'!$AL:$AL, 'Основной эфир'!$B:$B=$A901,'Основной эфир'!$C:$C=$B901,'Основной эфир'!$I:$I=$C901)), 0) "),0.0)</f>
        <v>0</v>
      </c>
      <c r="K901" s="91" t="str">
        <f>IFERROR(__xludf.DUMMYFUNCTION("IFERROR(REGEXREPLACE(unique(filter('Основной эфир'!$A:$A, 'Основной эфир'!$B:$B=$A901,'Основной эфир'!$C:$C=$B901,'Основной эфир'!$I:$I=$C901)), ""\d+"", """"),"""")"),"")</f>
        <v/>
      </c>
      <c r="L901" s="91" t="str">
        <f>IFERROR(__xludf.DUMMYFUNCTION("IFERROR(unique(filter('Основной эфир'!$F:$F, 'Основной эфир'!$B:$B=$A901,'Основной эфир'!$C:$C=$B901,'Основной эфир'!$I:$I=$C901)),"""")"),"")</f>
        <v/>
      </c>
      <c r="M901" s="92" t="str">
        <f t="shared" si="1"/>
        <v/>
      </c>
      <c r="N901" s="93">
        <f>IFERROR(__xludf.DUMMYFUNCTION("IFERROR(SWITCH(lower(join("" "",L901:M901)),""а миллионник"", 62.5,""б миллионник"", 75,""а мск"", 50, ""б мск"", 62.5, ""a остальное"", 70, ""б остальное"", 80)/100,0)"),0.0)</f>
        <v>0</v>
      </c>
      <c r="O901" s="91">
        <f t="shared" si="2"/>
        <v>0</v>
      </c>
      <c r="P901" s="91">
        <f>IFERROR(__xludf.DUMMYFUNCTION("IFERROR(sum(filter('Генеральный баннер'!$O:$O, 'Генеральный баннер'!$B:$B=$A901,'Генеральный баннер'!$C:$C=$B901,'Генеральный баннер'!$I:$I=$C901)), 0) "),0.0)</f>
        <v>0</v>
      </c>
      <c r="Q901" s="91">
        <f>IFERROR(__xludf.DUMMYFUNCTION("IFERROR(sum(filter('Генеральный баннер'!$Q:$Q, 'Генеральный баннер'!$B:$B=$A901,'Генеральный баннер'!$C:$C=$B901,'Генеральный баннер'!$I:$I=$C901)), 0) "),0.0)</f>
        <v>0</v>
      </c>
      <c r="R901" s="91">
        <f>IFERROR(__xludf.DUMMYFUNCTION("IFERROR(AVERAGE(filter('Генеральный баннер'!$AA:$AA, 'Генеральный баннер'!$B:$B=$A901,'Генеральный баннер'!$C:$C=$B901,'Генеральный баннер'!$I:$I=$C901)), 0) "),0.0)</f>
        <v>0</v>
      </c>
      <c r="S901" s="91">
        <f>IFERROR(__xludf.DUMMYFUNCTION("IFERROR(SUM(filter('Генеральный баннер'!$AH:$AH, 'Генеральный баннер'!$B:$B=$A901,'Генеральный баннер'!$C:$C=$B901,'Генеральный баннер'!$I:$I=$C901)), 0) "),0.0)</f>
        <v>0</v>
      </c>
      <c r="T901" s="91" t="str">
        <f>IFERROR(__xludf.DUMMYFUNCTION("IFERROR(REGEXREPLACE(unique(filter('Генеральный баннер'!$A:$A, 'Генеральный баннер'!$B:$B=$A901,'Генеральный баннер'!$C:$C=$B901,'Генеральный баннер'!$I:$I=$C901)), ""\d+"", """"),"""")"),"")</f>
        <v/>
      </c>
      <c r="U901" s="91" t="str">
        <f>IFERROR(__xludf.DUMMYFUNCTION("IFERROR(unique(filter('Генеральный баннер'!$F:$F, 'Генеральный баннер'!$B:$B=$A901,'Генеральный баннер'!$C:$C=$B901,'Генеральный баннер'!$I:$I=$C901)),"""")"),"")</f>
        <v/>
      </c>
      <c r="V901" s="92" t="str">
        <f t="shared" si="3"/>
        <v/>
      </c>
      <c r="W901" s="93">
        <f>IFERROR(__xludf.DUMMYFUNCTION("IFERROR(SWITCH(lower(join("" "",U901:V901)),""а миллионник"", 62.5,""б миллионник"", 75,""а мск"", 50, ""б мск"", 62.5, ""a остальное"", 70, ""б остальное"", 80)/100,0)"),0.0)</f>
        <v>0</v>
      </c>
      <c r="X901" s="91">
        <f t="shared" si="4"/>
        <v>0</v>
      </c>
    </row>
    <row r="902">
      <c r="A902" s="12"/>
      <c r="B902" s="12"/>
      <c r="C902" s="12"/>
      <c r="D902" s="91">
        <f>IFERROR(__xludf.DUMMYFUNCTION("IFERROR(sum(filter('Основной эфир'!$AA:$AA, 'Основной эфир'!$B:$B=$A902,'Основной эфир'!$C:$C=$B902,'Основной эфир'!$I:$I=$C902)), 0) "),0.0)</f>
        <v>0</v>
      </c>
      <c r="E902" s="91">
        <f>IFERROR(__xludf.DUMMYFUNCTION("IFERROR(sum(filter('Основной эфир'!$AC:$AC, 'Основной эфир'!$B:$B=$A902,'Основной эфир'!$C:$C=$B902,'Основной эфир'!$I:$I=$C902)), 0) "),0.0)</f>
        <v>0</v>
      </c>
      <c r="F902" s="91">
        <f>IFERROR(__xludf.DUMMYFUNCTION("IFERROR(sum(filter('Основной эфир'!$O:$O, 'Основной эфир'!$B:$B=$A902,'Основной эфир'!$C:$C=$B902,'Основной эфир'!$I:$I=$C902)), 0) "),0.0)</f>
        <v>0</v>
      </c>
      <c r="G902" s="91">
        <f>IFERROR(__xludf.DUMMYFUNCTION("IFERROR(sum(filter('Основной эфир'!$Q:$Q, 'Основной эфир'!$B:$B=$A902,'Основной эфир'!$C:$C=$B902,'Основной эфир'!$I:$I=$C902)), 0) "),0.0)</f>
        <v>0</v>
      </c>
      <c r="H902" s="91">
        <f>IFERROR(__xludf.DUMMYFUNCTION("IFERROR(AVERAGE(filter('Основной эфир'!$Y:$Y, 'Основной эфир'!$B:$B=$A902,'Основной эфир'!$C:$C=$B902,'Основной эфир'!$I:$I=$C902)), 0) "),0.0)</f>
        <v>0</v>
      </c>
      <c r="I902" s="91">
        <f>IFERROR(__xludf.DUMMYFUNCTION("IFERROR(AVERAGE(filter('Основной эфир'!$AE:$AE, 'Основной эфир'!$B:$B=$A902,'Основной эфир'!$C:$C=$B902,'Основной эфир'!$I:$I=$C902)), 0) "),0.0)</f>
        <v>0</v>
      </c>
      <c r="J902" s="91">
        <f>IFERROR(__xludf.DUMMYFUNCTION("IFERROR(SUM(filter('Основной эфир'!$AL:$AL, 'Основной эфир'!$B:$B=$A902,'Основной эфир'!$C:$C=$B902,'Основной эфир'!$I:$I=$C902)), 0) "),0.0)</f>
        <v>0</v>
      </c>
      <c r="K902" s="91" t="str">
        <f>IFERROR(__xludf.DUMMYFUNCTION("IFERROR(REGEXREPLACE(unique(filter('Основной эфир'!$A:$A, 'Основной эфир'!$B:$B=$A902,'Основной эфир'!$C:$C=$B902,'Основной эфир'!$I:$I=$C902)), ""\d+"", """"),"""")"),"")</f>
        <v/>
      </c>
      <c r="L902" s="91" t="str">
        <f>IFERROR(__xludf.DUMMYFUNCTION("IFERROR(unique(filter('Основной эфир'!$F:$F, 'Основной эфир'!$B:$B=$A902,'Основной эфир'!$C:$C=$B902,'Основной эфир'!$I:$I=$C902)),"""")"),"")</f>
        <v/>
      </c>
      <c r="M902" s="92" t="str">
        <f t="shared" si="1"/>
        <v/>
      </c>
      <c r="N902" s="93">
        <f>IFERROR(__xludf.DUMMYFUNCTION("IFERROR(SWITCH(lower(join("" "",L902:M902)),""а миллионник"", 62.5,""б миллионник"", 75,""а мск"", 50, ""б мск"", 62.5, ""a остальное"", 70, ""б остальное"", 80)/100,0)"),0.0)</f>
        <v>0</v>
      </c>
      <c r="O902" s="91">
        <f t="shared" si="2"/>
        <v>0</v>
      </c>
      <c r="P902" s="91">
        <f>IFERROR(__xludf.DUMMYFUNCTION("IFERROR(sum(filter('Генеральный баннер'!$O:$O, 'Генеральный баннер'!$B:$B=$A902,'Генеральный баннер'!$C:$C=$B902,'Генеральный баннер'!$I:$I=$C902)), 0) "),0.0)</f>
        <v>0</v>
      </c>
      <c r="Q902" s="91">
        <f>IFERROR(__xludf.DUMMYFUNCTION("IFERROR(sum(filter('Генеральный баннер'!$Q:$Q, 'Генеральный баннер'!$B:$B=$A902,'Генеральный баннер'!$C:$C=$B902,'Генеральный баннер'!$I:$I=$C902)), 0) "),0.0)</f>
        <v>0</v>
      </c>
      <c r="R902" s="91">
        <f>IFERROR(__xludf.DUMMYFUNCTION("IFERROR(AVERAGE(filter('Генеральный баннер'!$AA:$AA, 'Генеральный баннер'!$B:$B=$A902,'Генеральный баннер'!$C:$C=$B902,'Генеральный баннер'!$I:$I=$C902)), 0) "),0.0)</f>
        <v>0</v>
      </c>
      <c r="S902" s="91">
        <f>IFERROR(__xludf.DUMMYFUNCTION("IFERROR(SUM(filter('Генеральный баннер'!$AH:$AH, 'Генеральный баннер'!$B:$B=$A902,'Генеральный баннер'!$C:$C=$B902,'Генеральный баннер'!$I:$I=$C902)), 0) "),0.0)</f>
        <v>0</v>
      </c>
      <c r="T902" s="91" t="str">
        <f>IFERROR(__xludf.DUMMYFUNCTION("IFERROR(REGEXREPLACE(unique(filter('Генеральный баннер'!$A:$A, 'Генеральный баннер'!$B:$B=$A902,'Генеральный баннер'!$C:$C=$B902,'Генеральный баннер'!$I:$I=$C902)), ""\d+"", """"),"""")"),"")</f>
        <v/>
      </c>
      <c r="U902" s="91" t="str">
        <f>IFERROR(__xludf.DUMMYFUNCTION("IFERROR(unique(filter('Генеральный баннер'!$F:$F, 'Генеральный баннер'!$B:$B=$A902,'Генеральный баннер'!$C:$C=$B902,'Генеральный баннер'!$I:$I=$C902)),"""")"),"")</f>
        <v/>
      </c>
      <c r="V902" s="92" t="str">
        <f t="shared" si="3"/>
        <v/>
      </c>
      <c r="W902" s="93">
        <f>IFERROR(__xludf.DUMMYFUNCTION("IFERROR(SWITCH(lower(join("" "",U902:V902)),""а миллионник"", 62.5,""б миллионник"", 75,""а мск"", 50, ""б мск"", 62.5, ""a остальное"", 70, ""б остальное"", 80)/100,0)"),0.0)</f>
        <v>0</v>
      </c>
      <c r="X902" s="91">
        <f t="shared" si="4"/>
        <v>0</v>
      </c>
    </row>
    <row r="903">
      <c r="A903" s="12"/>
      <c r="B903" s="12"/>
      <c r="C903" s="12"/>
      <c r="D903" s="91">
        <f>IFERROR(__xludf.DUMMYFUNCTION("IFERROR(sum(filter('Основной эфир'!$AA:$AA, 'Основной эфир'!$B:$B=$A903,'Основной эфир'!$C:$C=$B903,'Основной эфир'!$I:$I=$C903)), 0) "),0.0)</f>
        <v>0</v>
      </c>
      <c r="E903" s="91">
        <f>IFERROR(__xludf.DUMMYFUNCTION("IFERROR(sum(filter('Основной эфир'!$AC:$AC, 'Основной эфир'!$B:$B=$A903,'Основной эфир'!$C:$C=$B903,'Основной эфир'!$I:$I=$C903)), 0) "),0.0)</f>
        <v>0</v>
      </c>
      <c r="F903" s="91">
        <f>IFERROR(__xludf.DUMMYFUNCTION("IFERROR(sum(filter('Основной эфир'!$O:$O, 'Основной эфир'!$B:$B=$A903,'Основной эфир'!$C:$C=$B903,'Основной эфир'!$I:$I=$C903)), 0) "),0.0)</f>
        <v>0</v>
      </c>
      <c r="G903" s="91">
        <f>IFERROR(__xludf.DUMMYFUNCTION("IFERROR(sum(filter('Основной эфир'!$Q:$Q, 'Основной эфир'!$B:$B=$A903,'Основной эфир'!$C:$C=$B903,'Основной эфир'!$I:$I=$C903)), 0) "),0.0)</f>
        <v>0</v>
      </c>
      <c r="H903" s="91">
        <f>IFERROR(__xludf.DUMMYFUNCTION("IFERROR(AVERAGE(filter('Основной эфир'!$Y:$Y, 'Основной эфир'!$B:$B=$A903,'Основной эфир'!$C:$C=$B903,'Основной эфир'!$I:$I=$C903)), 0) "),0.0)</f>
        <v>0</v>
      </c>
      <c r="I903" s="91">
        <f>IFERROR(__xludf.DUMMYFUNCTION("IFERROR(AVERAGE(filter('Основной эфир'!$AE:$AE, 'Основной эфир'!$B:$B=$A903,'Основной эфир'!$C:$C=$B903,'Основной эфир'!$I:$I=$C903)), 0) "),0.0)</f>
        <v>0</v>
      </c>
      <c r="J903" s="91">
        <f>IFERROR(__xludf.DUMMYFUNCTION("IFERROR(SUM(filter('Основной эфир'!$AL:$AL, 'Основной эфир'!$B:$B=$A903,'Основной эфир'!$C:$C=$B903,'Основной эфир'!$I:$I=$C903)), 0) "),0.0)</f>
        <v>0</v>
      </c>
      <c r="K903" s="91" t="str">
        <f>IFERROR(__xludf.DUMMYFUNCTION("IFERROR(REGEXREPLACE(unique(filter('Основной эфир'!$A:$A, 'Основной эфир'!$B:$B=$A903,'Основной эфир'!$C:$C=$B903,'Основной эфир'!$I:$I=$C903)), ""\d+"", """"),"""")"),"")</f>
        <v/>
      </c>
      <c r="L903" s="91" t="str">
        <f>IFERROR(__xludf.DUMMYFUNCTION("IFERROR(unique(filter('Основной эфир'!$F:$F, 'Основной эфир'!$B:$B=$A903,'Основной эфир'!$C:$C=$B903,'Основной эфир'!$I:$I=$C903)),"""")"),"")</f>
        <v/>
      </c>
      <c r="M903" s="92" t="str">
        <f t="shared" si="1"/>
        <v/>
      </c>
      <c r="N903" s="93">
        <f>IFERROR(__xludf.DUMMYFUNCTION("IFERROR(SWITCH(lower(join("" "",L903:M903)),""а миллионник"", 62.5,""б миллионник"", 75,""а мск"", 50, ""б мск"", 62.5, ""a остальное"", 70, ""б остальное"", 80)/100,0)"),0.0)</f>
        <v>0</v>
      </c>
      <c r="O903" s="91">
        <f t="shared" si="2"/>
        <v>0</v>
      </c>
      <c r="P903" s="91">
        <f>IFERROR(__xludf.DUMMYFUNCTION("IFERROR(sum(filter('Генеральный баннер'!$O:$O, 'Генеральный баннер'!$B:$B=$A903,'Генеральный баннер'!$C:$C=$B903,'Генеральный баннер'!$I:$I=$C903)), 0) "),0.0)</f>
        <v>0</v>
      </c>
      <c r="Q903" s="91">
        <f>IFERROR(__xludf.DUMMYFUNCTION("IFERROR(sum(filter('Генеральный баннер'!$Q:$Q, 'Генеральный баннер'!$B:$B=$A903,'Генеральный баннер'!$C:$C=$B903,'Генеральный баннер'!$I:$I=$C903)), 0) "),0.0)</f>
        <v>0</v>
      </c>
      <c r="R903" s="91">
        <f>IFERROR(__xludf.DUMMYFUNCTION("IFERROR(AVERAGE(filter('Генеральный баннер'!$AA:$AA, 'Генеральный баннер'!$B:$B=$A903,'Генеральный баннер'!$C:$C=$B903,'Генеральный баннер'!$I:$I=$C903)), 0) "),0.0)</f>
        <v>0</v>
      </c>
      <c r="S903" s="91">
        <f>IFERROR(__xludf.DUMMYFUNCTION("IFERROR(SUM(filter('Генеральный баннер'!$AH:$AH, 'Генеральный баннер'!$B:$B=$A903,'Генеральный баннер'!$C:$C=$B903,'Генеральный баннер'!$I:$I=$C903)), 0) "),0.0)</f>
        <v>0</v>
      </c>
      <c r="T903" s="91" t="str">
        <f>IFERROR(__xludf.DUMMYFUNCTION("IFERROR(REGEXREPLACE(unique(filter('Генеральный баннер'!$A:$A, 'Генеральный баннер'!$B:$B=$A903,'Генеральный баннер'!$C:$C=$B903,'Генеральный баннер'!$I:$I=$C903)), ""\d+"", """"),"""")"),"")</f>
        <v/>
      </c>
      <c r="U903" s="91" t="str">
        <f>IFERROR(__xludf.DUMMYFUNCTION("IFERROR(unique(filter('Генеральный баннер'!$F:$F, 'Генеральный баннер'!$B:$B=$A903,'Генеральный баннер'!$C:$C=$B903,'Генеральный баннер'!$I:$I=$C903)),"""")"),"")</f>
        <v/>
      </c>
      <c r="V903" s="92" t="str">
        <f t="shared" si="3"/>
        <v/>
      </c>
      <c r="W903" s="93">
        <f>IFERROR(__xludf.DUMMYFUNCTION("IFERROR(SWITCH(lower(join("" "",U903:V903)),""а миллионник"", 62.5,""б миллионник"", 75,""а мск"", 50, ""б мск"", 62.5, ""a остальное"", 70, ""б остальное"", 80)/100,0)"),0.0)</f>
        <v>0</v>
      </c>
      <c r="X903" s="91">
        <f t="shared" si="4"/>
        <v>0</v>
      </c>
    </row>
    <row r="904">
      <c r="A904" s="12"/>
      <c r="B904" s="12"/>
      <c r="C904" s="12"/>
      <c r="D904" s="91">
        <f>IFERROR(__xludf.DUMMYFUNCTION("IFERROR(sum(filter('Основной эфир'!$AA:$AA, 'Основной эфир'!$B:$B=$A904,'Основной эфир'!$C:$C=$B904,'Основной эфир'!$I:$I=$C904)), 0) "),0.0)</f>
        <v>0</v>
      </c>
      <c r="E904" s="91">
        <f>IFERROR(__xludf.DUMMYFUNCTION("IFERROR(sum(filter('Основной эфир'!$AC:$AC, 'Основной эфир'!$B:$B=$A904,'Основной эфир'!$C:$C=$B904,'Основной эфир'!$I:$I=$C904)), 0) "),0.0)</f>
        <v>0</v>
      </c>
      <c r="F904" s="91">
        <f>IFERROR(__xludf.DUMMYFUNCTION("IFERROR(sum(filter('Основной эфир'!$O:$O, 'Основной эфир'!$B:$B=$A904,'Основной эфир'!$C:$C=$B904,'Основной эфир'!$I:$I=$C904)), 0) "),0.0)</f>
        <v>0</v>
      </c>
      <c r="G904" s="91">
        <f>IFERROR(__xludf.DUMMYFUNCTION("IFERROR(sum(filter('Основной эфир'!$Q:$Q, 'Основной эфир'!$B:$B=$A904,'Основной эфир'!$C:$C=$B904,'Основной эфир'!$I:$I=$C904)), 0) "),0.0)</f>
        <v>0</v>
      </c>
      <c r="H904" s="91">
        <f>IFERROR(__xludf.DUMMYFUNCTION("IFERROR(AVERAGE(filter('Основной эфир'!$Y:$Y, 'Основной эфир'!$B:$B=$A904,'Основной эфир'!$C:$C=$B904,'Основной эфир'!$I:$I=$C904)), 0) "),0.0)</f>
        <v>0</v>
      </c>
      <c r="I904" s="91">
        <f>IFERROR(__xludf.DUMMYFUNCTION("IFERROR(AVERAGE(filter('Основной эфир'!$AE:$AE, 'Основной эфир'!$B:$B=$A904,'Основной эфир'!$C:$C=$B904,'Основной эфир'!$I:$I=$C904)), 0) "),0.0)</f>
        <v>0</v>
      </c>
      <c r="J904" s="91">
        <f>IFERROR(__xludf.DUMMYFUNCTION("IFERROR(SUM(filter('Основной эфир'!$AL:$AL, 'Основной эфир'!$B:$B=$A904,'Основной эфир'!$C:$C=$B904,'Основной эфир'!$I:$I=$C904)), 0) "),0.0)</f>
        <v>0</v>
      </c>
      <c r="K904" s="91" t="str">
        <f>IFERROR(__xludf.DUMMYFUNCTION("IFERROR(REGEXREPLACE(unique(filter('Основной эфир'!$A:$A, 'Основной эфир'!$B:$B=$A904,'Основной эфир'!$C:$C=$B904,'Основной эфир'!$I:$I=$C904)), ""\d+"", """"),"""")"),"")</f>
        <v/>
      </c>
      <c r="L904" s="91" t="str">
        <f>IFERROR(__xludf.DUMMYFUNCTION("IFERROR(unique(filter('Основной эфир'!$F:$F, 'Основной эфир'!$B:$B=$A904,'Основной эфир'!$C:$C=$B904,'Основной эфир'!$I:$I=$C904)),"""")"),"")</f>
        <v/>
      </c>
      <c r="M904" s="92" t="str">
        <f t="shared" si="1"/>
        <v/>
      </c>
      <c r="N904" s="93">
        <f>IFERROR(__xludf.DUMMYFUNCTION("IFERROR(SWITCH(lower(join("" "",L904:M904)),""а миллионник"", 62.5,""б миллионник"", 75,""а мск"", 50, ""б мск"", 62.5, ""a остальное"", 70, ""б остальное"", 80)/100,0)"),0.0)</f>
        <v>0</v>
      </c>
      <c r="O904" s="91">
        <f t="shared" si="2"/>
        <v>0</v>
      </c>
      <c r="P904" s="91">
        <f>IFERROR(__xludf.DUMMYFUNCTION("IFERROR(sum(filter('Генеральный баннер'!$O:$O, 'Генеральный баннер'!$B:$B=$A904,'Генеральный баннер'!$C:$C=$B904,'Генеральный баннер'!$I:$I=$C904)), 0) "),0.0)</f>
        <v>0</v>
      </c>
      <c r="Q904" s="91">
        <f>IFERROR(__xludf.DUMMYFUNCTION("IFERROR(sum(filter('Генеральный баннер'!$Q:$Q, 'Генеральный баннер'!$B:$B=$A904,'Генеральный баннер'!$C:$C=$B904,'Генеральный баннер'!$I:$I=$C904)), 0) "),0.0)</f>
        <v>0</v>
      </c>
      <c r="R904" s="91">
        <f>IFERROR(__xludf.DUMMYFUNCTION("IFERROR(AVERAGE(filter('Генеральный баннер'!$AA:$AA, 'Генеральный баннер'!$B:$B=$A904,'Генеральный баннер'!$C:$C=$B904,'Генеральный баннер'!$I:$I=$C904)), 0) "),0.0)</f>
        <v>0</v>
      </c>
      <c r="S904" s="91">
        <f>IFERROR(__xludf.DUMMYFUNCTION("IFERROR(SUM(filter('Генеральный баннер'!$AH:$AH, 'Генеральный баннер'!$B:$B=$A904,'Генеральный баннер'!$C:$C=$B904,'Генеральный баннер'!$I:$I=$C904)), 0) "),0.0)</f>
        <v>0</v>
      </c>
      <c r="T904" s="91" t="str">
        <f>IFERROR(__xludf.DUMMYFUNCTION("IFERROR(REGEXREPLACE(unique(filter('Генеральный баннер'!$A:$A, 'Генеральный баннер'!$B:$B=$A904,'Генеральный баннер'!$C:$C=$B904,'Генеральный баннер'!$I:$I=$C904)), ""\d+"", """"),"""")"),"")</f>
        <v/>
      </c>
      <c r="U904" s="91" t="str">
        <f>IFERROR(__xludf.DUMMYFUNCTION("IFERROR(unique(filter('Генеральный баннер'!$F:$F, 'Генеральный баннер'!$B:$B=$A904,'Генеральный баннер'!$C:$C=$B904,'Генеральный баннер'!$I:$I=$C904)),"""")"),"")</f>
        <v/>
      </c>
      <c r="V904" s="92" t="str">
        <f t="shared" si="3"/>
        <v/>
      </c>
      <c r="W904" s="93">
        <f>IFERROR(__xludf.DUMMYFUNCTION("IFERROR(SWITCH(lower(join("" "",U904:V904)),""а миллионник"", 62.5,""б миллионник"", 75,""а мск"", 50, ""б мск"", 62.5, ""a остальное"", 70, ""б остальное"", 80)/100,0)"),0.0)</f>
        <v>0</v>
      </c>
      <c r="X904" s="91">
        <f t="shared" si="4"/>
        <v>0</v>
      </c>
    </row>
    <row r="905">
      <c r="A905" s="12"/>
      <c r="B905" s="12"/>
      <c r="C905" s="12"/>
      <c r="D905" s="91">
        <f>IFERROR(__xludf.DUMMYFUNCTION("IFERROR(sum(filter('Основной эфир'!$AA:$AA, 'Основной эфир'!$B:$B=$A905,'Основной эфир'!$C:$C=$B905,'Основной эфир'!$I:$I=$C905)), 0) "),0.0)</f>
        <v>0</v>
      </c>
      <c r="E905" s="91">
        <f>IFERROR(__xludf.DUMMYFUNCTION("IFERROR(sum(filter('Основной эфир'!$AC:$AC, 'Основной эфир'!$B:$B=$A905,'Основной эфир'!$C:$C=$B905,'Основной эфир'!$I:$I=$C905)), 0) "),0.0)</f>
        <v>0</v>
      </c>
      <c r="F905" s="91">
        <f>IFERROR(__xludf.DUMMYFUNCTION("IFERROR(sum(filter('Основной эфир'!$O:$O, 'Основной эфир'!$B:$B=$A905,'Основной эфир'!$C:$C=$B905,'Основной эфир'!$I:$I=$C905)), 0) "),0.0)</f>
        <v>0</v>
      </c>
      <c r="G905" s="91">
        <f>IFERROR(__xludf.DUMMYFUNCTION("IFERROR(sum(filter('Основной эфир'!$Q:$Q, 'Основной эфир'!$B:$B=$A905,'Основной эфир'!$C:$C=$B905,'Основной эфир'!$I:$I=$C905)), 0) "),0.0)</f>
        <v>0</v>
      </c>
      <c r="H905" s="91">
        <f>IFERROR(__xludf.DUMMYFUNCTION("IFERROR(AVERAGE(filter('Основной эфир'!$Y:$Y, 'Основной эфир'!$B:$B=$A905,'Основной эфир'!$C:$C=$B905,'Основной эфир'!$I:$I=$C905)), 0) "),0.0)</f>
        <v>0</v>
      </c>
      <c r="I905" s="91">
        <f>IFERROR(__xludf.DUMMYFUNCTION("IFERROR(AVERAGE(filter('Основной эфир'!$AE:$AE, 'Основной эфир'!$B:$B=$A905,'Основной эфир'!$C:$C=$B905,'Основной эфир'!$I:$I=$C905)), 0) "),0.0)</f>
        <v>0</v>
      </c>
      <c r="J905" s="91">
        <f>IFERROR(__xludf.DUMMYFUNCTION("IFERROR(SUM(filter('Основной эфир'!$AL:$AL, 'Основной эфир'!$B:$B=$A905,'Основной эфир'!$C:$C=$B905,'Основной эфир'!$I:$I=$C905)), 0) "),0.0)</f>
        <v>0</v>
      </c>
      <c r="K905" s="91" t="str">
        <f>IFERROR(__xludf.DUMMYFUNCTION("IFERROR(REGEXREPLACE(unique(filter('Основной эфир'!$A:$A, 'Основной эфир'!$B:$B=$A905,'Основной эфир'!$C:$C=$B905,'Основной эфир'!$I:$I=$C905)), ""\d+"", """"),"""")"),"")</f>
        <v/>
      </c>
      <c r="L905" s="91" t="str">
        <f>IFERROR(__xludf.DUMMYFUNCTION("IFERROR(unique(filter('Основной эфир'!$F:$F, 'Основной эфир'!$B:$B=$A905,'Основной эфир'!$C:$C=$B905,'Основной эфир'!$I:$I=$C905)),"""")"),"")</f>
        <v/>
      </c>
      <c r="M905" s="92" t="str">
        <f t="shared" si="1"/>
        <v/>
      </c>
      <c r="N905" s="93">
        <f>IFERROR(__xludf.DUMMYFUNCTION("IFERROR(SWITCH(lower(join("" "",L905:M905)),""а миллионник"", 62.5,""б миллионник"", 75,""а мск"", 50, ""б мск"", 62.5, ""a остальное"", 70, ""б остальное"", 80)/100,0)"),0.0)</f>
        <v>0</v>
      </c>
      <c r="O905" s="91">
        <f t="shared" si="2"/>
        <v>0</v>
      </c>
      <c r="P905" s="91">
        <f>IFERROR(__xludf.DUMMYFUNCTION("IFERROR(sum(filter('Генеральный баннер'!$O:$O, 'Генеральный баннер'!$B:$B=$A905,'Генеральный баннер'!$C:$C=$B905,'Генеральный баннер'!$I:$I=$C905)), 0) "),0.0)</f>
        <v>0</v>
      </c>
      <c r="Q905" s="91">
        <f>IFERROR(__xludf.DUMMYFUNCTION("IFERROR(sum(filter('Генеральный баннер'!$Q:$Q, 'Генеральный баннер'!$B:$B=$A905,'Генеральный баннер'!$C:$C=$B905,'Генеральный баннер'!$I:$I=$C905)), 0) "),0.0)</f>
        <v>0</v>
      </c>
      <c r="R905" s="91">
        <f>IFERROR(__xludf.DUMMYFUNCTION("IFERROR(AVERAGE(filter('Генеральный баннер'!$AA:$AA, 'Генеральный баннер'!$B:$B=$A905,'Генеральный баннер'!$C:$C=$B905,'Генеральный баннер'!$I:$I=$C905)), 0) "),0.0)</f>
        <v>0</v>
      </c>
      <c r="S905" s="91">
        <f>IFERROR(__xludf.DUMMYFUNCTION("IFERROR(SUM(filter('Генеральный баннер'!$AH:$AH, 'Генеральный баннер'!$B:$B=$A905,'Генеральный баннер'!$C:$C=$B905,'Генеральный баннер'!$I:$I=$C905)), 0) "),0.0)</f>
        <v>0</v>
      </c>
      <c r="T905" s="91" t="str">
        <f>IFERROR(__xludf.DUMMYFUNCTION("IFERROR(REGEXREPLACE(unique(filter('Генеральный баннер'!$A:$A, 'Генеральный баннер'!$B:$B=$A905,'Генеральный баннер'!$C:$C=$B905,'Генеральный баннер'!$I:$I=$C905)), ""\d+"", """"),"""")"),"")</f>
        <v/>
      </c>
      <c r="U905" s="91" t="str">
        <f>IFERROR(__xludf.DUMMYFUNCTION("IFERROR(unique(filter('Генеральный баннер'!$F:$F, 'Генеральный баннер'!$B:$B=$A905,'Генеральный баннер'!$C:$C=$B905,'Генеральный баннер'!$I:$I=$C905)),"""")"),"")</f>
        <v/>
      </c>
      <c r="V905" s="92" t="str">
        <f t="shared" si="3"/>
        <v/>
      </c>
      <c r="W905" s="93">
        <f>IFERROR(__xludf.DUMMYFUNCTION("IFERROR(SWITCH(lower(join("" "",U905:V905)),""а миллионник"", 62.5,""б миллионник"", 75,""а мск"", 50, ""б мск"", 62.5, ""a остальное"", 70, ""б остальное"", 80)/100,0)"),0.0)</f>
        <v>0</v>
      </c>
      <c r="X905" s="91">
        <f t="shared" si="4"/>
        <v>0</v>
      </c>
    </row>
    <row r="906">
      <c r="A906" s="12"/>
      <c r="B906" s="12"/>
      <c r="C906" s="12"/>
      <c r="D906" s="91">
        <f>IFERROR(__xludf.DUMMYFUNCTION("IFERROR(sum(filter('Основной эфир'!$AA:$AA, 'Основной эфир'!$B:$B=$A906,'Основной эфир'!$C:$C=$B906,'Основной эфир'!$I:$I=$C906)), 0) "),0.0)</f>
        <v>0</v>
      </c>
      <c r="E906" s="91">
        <f>IFERROR(__xludf.DUMMYFUNCTION("IFERROR(sum(filter('Основной эфир'!$AC:$AC, 'Основной эфир'!$B:$B=$A906,'Основной эфир'!$C:$C=$B906,'Основной эфир'!$I:$I=$C906)), 0) "),0.0)</f>
        <v>0</v>
      </c>
      <c r="F906" s="91">
        <f>IFERROR(__xludf.DUMMYFUNCTION("IFERROR(sum(filter('Основной эфир'!$O:$O, 'Основной эфир'!$B:$B=$A906,'Основной эфир'!$C:$C=$B906,'Основной эфир'!$I:$I=$C906)), 0) "),0.0)</f>
        <v>0</v>
      </c>
      <c r="G906" s="91">
        <f>IFERROR(__xludf.DUMMYFUNCTION("IFERROR(sum(filter('Основной эфир'!$Q:$Q, 'Основной эфир'!$B:$B=$A906,'Основной эфир'!$C:$C=$B906,'Основной эфир'!$I:$I=$C906)), 0) "),0.0)</f>
        <v>0</v>
      </c>
      <c r="H906" s="91">
        <f>IFERROR(__xludf.DUMMYFUNCTION("IFERROR(AVERAGE(filter('Основной эфир'!$Y:$Y, 'Основной эфир'!$B:$B=$A906,'Основной эфир'!$C:$C=$B906,'Основной эфир'!$I:$I=$C906)), 0) "),0.0)</f>
        <v>0</v>
      </c>
      <c r="I906" s="91">
        <f>IFERROR(__xludf.DUMMYFUNCTION("IFERROR(AVERAGE(filter('Основной эфир'!$AE:$AE, 'Основной эфир'!$B:$B=$A906,'Основной эфир'!$C:$C=$B906,'Основной эфир'!$I:$I=$C906)), 0) "),0.0)</f>
        <v>0</v>
      </c>
      <c r="J906" s="91">
        <f>IFERROR(__xludf.DUMMYFUNCTION("IFERROR(SUM(filter('Основной эфир'!$AL:$AL, 'Основной эфир'!$B:$B=$A906,'Основной эфир'!$C:$C=$B906,'Основной эфир'!$I:$I=$C906)), 0) "),0.0)</f>
        <v>0</v>
      </c>
      <c r="K906" s="91" t="str">
        <f>IFERROR(__xludf.DUMMYFUNCTION("IFERROR(REGEXREPLACE(unique(filter('Основной эфир'!$A:$A, 'Основной эфир'!$B:$B=$A906,'Основной эфир'!$C:$C=$B906,'Основной эфир'!$I:$I=$C906)), ""\d+"", """"),"""")"),"")</f>
        <v/>
      </c>
      <c r="L906" s="91" t="str">
        <f>IFERROR(__xludf.DUMMYFUNCTION("IFERROR(unique(filter('Основной эфир'!$F:$F, 'Основной эфир'!$B:$B=$A906,'Основной эфир'!$C:$C=$B906,'Основной эфир'!$I:$I=$C906)),"""")"),"")</f>
        <v/>
      </c>
      <c r="M906" s="92" t="str">
        <f t="shared" si="1"/>
        <v/>
      </c>
      <c r="N906" s="93">
        <f>IFERROR(__xludf.DUMMYFUNCTION("IFERROR(SWITCH(lower(join("" "",L906:M906)),""а миллионник"", 62.5,""б миллионник"", 75,""а мск"", 50, ""б мск"", 62.5, ""a остальное"", 70, ""б остальное"", 80)/100,0)"),0.0)</f>
        <v>0</v>
      </c>
      <c r="O906" s="91">
        <f t="shared" si="2"/>
        <v>0</v>
      </c>
      <c r="P906" s="91">
        <f>IFERROR(__xludf.DUMMYFUNCTION("IFERROR(sum(filter('Генеральный баннер'!$O:$O, 'Генеральный баннер'!$B:$B=$A906,'Генеральный баннер'!$C:$C=$B906,'Генеральный баннер'!$I:$I=$C906)), 0) "),0.0)</f>
        <v>0</v>
      </c>
      <c r="Q906" s="91">
        <f>IFERROR(__xludf.DUMMYFUNCTION("IFERROR(sum(filter('Генеральный баннер'!$Q:$Q, 'Генеральный баннер'!$B:$B=$A906,'Генеральный баннер'!$C:$C=$B906,'Генеральный баннер'!$I:$I=$C906)), 0) "),0.0)</f>
        <v>0</v>
      </c>
      <c r="R906" s="91">
        <f>IFERROR(__xludf.DUMMYFUNCTION("IFERROR(AVERAGE(filter('Генеральный баннер'!$AA:$AA, 'Генеральный баннер'!$B:$B=$A906,'Генеральный баннер'!$C:$C=$B906,'Генеральный баннер'!$I:$I=$C906)), 0) "),0.0)</f>
        <v>0</v>
      </c>
      <c r="S906" s="91">
        <f>IFERROR(__xludf.DUMMYFUNCTION("IFERROR(SUM(filter('Генеральный баннер'!$AH:$AH, 'Генеральный баннер'!$B:$B=$A906,'Генеральный баннер'!$C:$C=$B906,'Генеральный баннер'!$I:$I=$C906)), 0) "),0.0)</f>
        <v>0</v>
      </c>
      <c r="T906" s="91" t="str">
        <f>IFERROR(__xludf.DUMMYFUNCTION("IFERROR(REGEXREPLACE(unique(filter('Генеральный баннер'!$A:$A, 'Генеральный баннер'!$B:$B=$A906,'Генеральный баннер'!$C:$C=$B906,'Генеральный баннер'!$I:$I=$C906)), ""\d+"", """"),"""")"),"")</f>
        <v/>
      </c>
      <c r="U906" s="91" t="str">
        <f>IFERROR(__xludf.DUMMYFUNCTION("IFERROR(unique(filter('Генеральный баннер'!$F:$F, 'Генеральный баннер'!$B:$B=$A906,'Генеральный баннер'!$C:$C=$B906,'Генеральный баннер'!$I:$I=$C906)),"""")"),"")</f>
        <v/>
      </c>
      <c r="V906" s="92" t="str">
        <f t="shared" si="3"/>
        <v/>
      </c>
      <c r="W906" s="93">
        <f>IFERROR(__xludf.DUMMYFUNCTION("IFERROR(SWITCH(lower(join("" "",U906:V906)),""а миллионник"", 62.5,""б миллионник"", 75,""а мск"", 50, ""б мск"", 62.5, ""a остальное"", 70, ""б остальное"", 80)/100,0)"),0.0)</f>
        <v>0</v>
      </c>
      <c r="X906" s="91">
        <f t="shared" si="4"/>
        <v>0</v>
      </c>
    </row>
    <row r="907">
      <c r="A907" s="12"/>
      <c r="B907" s="12"/>
      <c r="C907" s="12"/>
      <c r="D907" s="91">
        <f>IFERROR(__xludf.DUMMYFUNCTION("IFERROR(sum(filter('Основной эфир'!$AA:$AA, 'Основной эфир'!$B:$B=$A907,'Основной эфир'!$C:$C=$B907,'Основной эфир'!$I:$I=$C907)), 0) "),0.0)</f>
        <v>0</v>
      </c>
      <c r="E907" s="91">
        <f>IFERROR(__xludf.DUMMYFUNCTION("IFERROR(sum(filter('Основной эфир'!$AC:$AC, 'Основной эфир'!$B:$B=$A907,'Основной эфир'!$C:$C=$B907,'Основной эфир'!$I:$I=$C907)), 0) "),0.0)</f>
        <v>0</v>
      </c>
      <c r="F907" s="91">
        <f>IFERROR(__xludf.DUMMYFUNCTION("IFERROR(sum(filter('Основной эфир'!$O:$O, 'Основной эфир'!$B:$B=$A907,'Основной эфир'!$C:$C=$B907,'Основной эфир'!$I:$I=$C907)), 0) "),0.0)</f>
        <v>0</v>
      </c>
      <c r="G907" s="91">
        <f>IFERROR(__xludf.DUMMYFUNCTION("IFERROR(sum(filter('Основной эфир'!$Q:$Q, 'Основной эфир'!$B:$B=$A907,'Основной эфир'!$C:$C=$B907,'Основной эфир'!$I:$I=$C907)), 0) "),0.0)</f>
        <v>0</v>
      </c>
      <c r="H907" s="91">
        <f>IFERROR(__xludf.DUMMYFUNCTION("IFERROR(AVERAGE(filter('Основной эфир'!$Y:$Y, 'Основной эфир'!$B:$B=$A907,'Основной эфир'!$C:$C=$B907,'Основной эфир'!$I:$I=$C907)), 0) "),0.0)</f>
        <v>0</v>
      </c>
      <c r="I907" s="91">
        <f>IFERROR(__xludf.DUMMYFUNCTION("IFERROR(AVERAGE(filter('Основной эфир'!$AE:$AE, 'Основной эфир'!$B:$B=$A907,'Основной эфир'!$C:$C=$B907,'Основной эфир'!$I:$I=$C907)), 0) "),0.0)</f>
        <v>0</v>
      </c>
      <c r="J907" s="91">
        <f>IFERROR(__xludf.DUMMYFUNCTION("IFERROR(SUM(filter('Основной эфир'!$AL:$AL, 'Основной эфир'!$B:$B=$A907,'Основной эфир'!$C:$C=$B907,'Основной эфир'!$I:$I=$C907)), 0) "),0.0)</f>
        <v>0</v>
      </c>
      <c r="K907" s="91" t="str">
        <f>IFERROR(__xludf.DUMMYFUNCTION("IFERROR(REGEXREPLACE(unique(filter('Основной эфир'!$A:$A, 'Основной эфир'!$B:$B=$A907,'Основной эфир'!$C:$C=$B907,'Основной эфир'!$I:$I=$C907)), ""\d+"", """"),"""")"),"")</f>
        <v/>
      </c>
      <c r="L907" s="91" t="str">
        <f>IFERROR(__xludf.DUMMYFUNCTION("IFERROR(unique(filter('Основной эфир'!$F:$F, 'Основной эфир'!$B:$B=$A907,'Основной эфир'!$C:$C=$B907,'Основной эфир'!$I:$I=$C907)),"""")"),"")</f>
        <v/>
      </c>
      <c r="M907" s="92" t="str">
        <f t="shared" si="1"/>
        <v/>
      </c>
      <c r="N907" s="93">
        <f>IFERROR(__xludf.DUMMYFUNCTION("IFERROR(SWITCH(lower(join("" "",L907:M907)),""а миллионник"", 62.5,""б миллионник"", 75,""а мск"", 50, ""б мск"", 62.5, ""a остальное"", 70, ""б остальное"", 80)/100,0)"),0.0)</f>
        <v>0</v>
      </c>
      <c r="O907" s="91">
        <f t="shared" si="2"/>
        <v>0</v>
      </c>
      <c r="P907" s="91">
        <f>IFERROR(__xludf.DUMMYFUNCTION("IFERROR(sum(filter('Генеральный баннер'!$O:$O, 'Генеральный баннер'!$B:$B=$A907,'Генеральный баннер'!$C:$C=$B907,'Генеральный баннер'!$I:$I=$C907)), 0) "),0.0)</f>
        <v>0</v>
      </c>
      <c r="Q907" s="91">
        <f>IFERROR(__xludf.DUMMYFUNCTION("IFERROR(sum(filter('Генеральный баннер'!$Q:$Q, 'Генеральный баннер'!$B:$B=$A907,'Генеральный баннер'!$C:$C=$B907,'Генеральный баннер'!$I:$I=$C907)), 0) "),0.0)</f>
        <v>0</v>
      </c>
      <c r="R907" s="91">
        <f>IFERROR(__xludf.DUMMYFUNCTION("IFERROR(AVERAGE(filter('Генеральный баннер'!$AA:$AA, 'Генеральный баннер'!$B:$B=$A907,'Генеральный баннер'!$C:$C=$B907,'Генеральный баннер'!$I:$I=$C907)), 0) "),0.0)</f>
        <v>0</v>
      </c>
      <c r="S907" s="91">
        <f>IFERROR(__xludf.DUMMYFUNCTION("IFERROR(SUM(filter('Генеральный баннер'!$AH:$AH, 'Генеральный баннер'!$B:$B=$A907,'Генеральный баннер'!$C:$C=$B907,'Генеральный баннер'!$I:$I=$C907)), 0) "),0.0)</f>
        <v>0</v>
      </c>
      <c r="T907" s="91" t="str">
        <f>IFERROR(__xludf.DUMMYFUNCTION("IFERROR(REGEXREPLACE(unique(filter('Генеральный баннер'!$A:$A, 'Генеральный баннер'!$B:$B=$A907,'Генеральный баннер'!$C:$C=$B907,'Генеральный баннер'!$I:$I=$C907)), ""\d+"", """"),"""")"),"")</f>
        <v/>
      </c>
      <c r="U907" s="91" t="str">
        <f>IFERROR(__xludf.DUMMYFUNCTION("IFERROR(unique(filter('Генеральный баннер'!$F:$F, 'Генеральный баннер'!$B:$B=$A907,'Генеральный баннер'!$C:$C=$B907,'Генеральный баннер'!$I:$I=$C907)),"""")"),"")</f>
        <v/>
      </c>
      <c r="V907" s="92" t="str">
        <f t="shared" si="3"/>
        <v/>
      </c>
      <c r="W907" s="93">
        <f>IFERROR(__xludf.DUMMYFUNCTION("IFERROR(SWITCH(lower(join("" "",U907:V907)),""а миллионник"", 62.5,""б миллионник"", 75,""а мск"", 50, ""б мск"", 62.5, ""a остальное"", 70, ""б остальное"", 80)/100,0)"),0.0)</f>
        <v>0</v>
      </c>
      <c r="X907" s="91">
        <f t="shared" si="4"/>
        <v>0</v>
      </c>
    </row>
    <row r="908">
      <c r="A908" s="12"/>
      <c r="B908" s="12"/>
      <c r="C908" s="12"/>
      <c r="D908" s="91">
        <f>IFERROR(__xludf.DUMMYFUNCTION("IFERROR(sum(filter('Основной эфир'!$AA:$AA, 'Основной эфир'!$B:$B=$A908,'Основной эфир'!$C:$C=$B908,'Основной эфир'!$I:$I=$C908)), 0) "),0.0)</f>
        <v>0</v>
      </c>
      <c r="E908" s="91">
        <f>IFERROR(__xludf.DUMMYFUNCTION("IFERROR(sum(filter('Основной эфир'!$AC:$AC, 'Основной эфир'!$B:$B=$A908,'Основной эфир'!$C:$C=$B908,'Основной эфир'!$I:$I=$C908)), 0) "),0.0)</f>
        <v>0</v>
      </c>
      <c r="F908" s="91">
        <f>IFERROR(__xludf.DUMMYFUNCTION("IFERROR(sum(filter('Основной эфир'!$O:$O, 'Основной эфир'!$B:$B=$A908,'Основной эфир'!$C:$C=$B908,'Основной эфир'!$I:$I=$C908)), 0) "),0.0)</f>
        <v>0</v>
      </c>
      <c r="G908" s="91">
        <f>IFERROR(__xludf.DUMMYFUNCTION("IFERROR(sum(filter('Основной эфир'!$Q:$Q, 'Основной эфир'!$B:$B=$A908,'Основной эфир'!$C:$C=$B908,'Основной эфир'!$I:$I=$C908)), 0) "),0.0)</f>
        <v>0</v>
      </c>
      <c r="H908" s="91">
        <f>IFERROR(__xludf.DUMMYFUNCTION("IFERROR(AVERAGE(filter('Основной эфир'!$Y:$Y, 'Основной эфир'!$B:$B=$A908,'Основной эфир'!$C:$C=$B908,'Основной эфир'!$I:$I=$C908)), 0) "),0.0)</f>
        <v>0</v>
      </c>
      <c r="I908" s="91">
        <f>IFERROR(__xludf.DUMMYFUNCTION("IFERROR(AVERAGE(filter('Основной эфир'!$AE:$AE, 'Основной эфир'!$B:$B=$A908,'Основной эфир'!$C:$C=$B908,'Основной эфир'!$I:$I=$C908)), 0) "),0.0)</f>
        <v>0</v>
      </c>
      <c r="J908" s="91">
        <f>IFERROR(__xludf.DUMMYFUNCTION("IFERROR(SUM(filter('Основной эфир'!$AL:$AL, 'Основной эфир'!$B:$B=$A908,'Основной эфир'!$C:$C=$B908,'Основной эфир'!$I:$I=$C908)), 0) "),0.0)</f>
        <v>0</v>
      </c>
      <c r="K908" s="91" t="str">
        <f>IFERROR(__xludf.DUMMYFUNCTION("IFERROR(REGEXREPLACE(unique(filter('Основной эфир'!$A:$A, 'Основной эфир'!$B:$B=$A908,'Основной эфир'!$C:$C=$B908,'Основной эфир'!$I:$I=$C908)), ""\d+"", """"),"""")"),"")</f>
        <v/>
      </c>
      <c r="L908" s="91" t="str">
        <f>IFERROR(__xludf.DUMMYFUNCTION("IFERROR(unique(filter('Основной эфир'!$F:$F, 'Основной эфир'!$B:$B=$A908,'Основной эфир'!$C:$C=$B908,'Основной эфир'!$I:$I=$C908)),"""")"),"")</f>
        <v/>
      </c>
      <c r="M908" s="92" t="str">
        <f t="shared" si="1"/>
        <v/>
      </c>
      <c r="N908" s="93">
        <f>IFERROR(__xludf.DUMMYFUNCTION("IFERROR(SWITCH(lower(join("" "",L908:M908)),""а миллионник"", 62.5,""б миллионник"", 75,""а мск"", 50, ""б мск"", 62.5, ""a остальное"", 70, ""б остальное"", 80)/100,0)"),0.0)</f>
        <v>0</v>
      </c>
      <c r="O908" s="91">
        <f t="shared" si="2"/>
        <v>0</v>
      </c>
      <c r="P908" s="91">
        <f>IFERROR(__xludf.DUMMYFUNCTION("IFERROR(sum(filter('Генеральный баннер'!$O:$O, 'Генеральный баннер'!$B:$B=$A908,'Генеральный баннер'!$C:$C=$B908,'Генеральный баннер'!$I:$I=$C908)), 0) "),0.0)</f>
        <v>0</v>
      </c>
      <c r="Q908" s="91">
        <f>IFERROR(__xludf.DUMMYFUNCTION("IFERROR(sum(filter('Генеральный баннер'!$Q:$Q, 'Генеральный баннер'!$B:$B=$A908,'Генеральный баннер'!$C:$C=$B908,'Генеральный баннер'!$I:$I=$C908)), 0) "),0.0)</f>
        <v>0</v>
      </c>
      <c r="R908" s="91">
        <f>IFERROR(__xludf.DUMMYFUNCTION("IFERROR(AVERAGE(filter('Генеральный баннер'!$AA:$AA, 'Генеральный баннер'!$B:$B=$A908,'Генеральный баннер'!$C:$C=$B908,'Генеральный баннер'!$I:$I=$C908)), 0) "),0.0)</f>
        <v>0</v>
      </c>
      <c r="S908" s="91">
        <f>IFERROR(__xludf.DUMMYFUNCTION("IFERROR(SUM(filter('Генеральный баннер'!$AH:$AH, 'Генеральный баннер'!$B:$B=$A908,'Генеральный баннер'!$C:$C=$B908,'Генеральный баннер'!$I:$I=$C908)), 0) "),0.0)</f>
        <v>0</v>
      </c>
      <c r="T908" s="91" t="str">
        <f>IFERROR(__xludf.DUMMYFUNCTION("IFERROR(REGEXREPLACE(unique(filter('Генеральный баннер'!$A:$A, 'Генеральный баннер'!$B:$B=$A908,'Генеральный баннер'!$C:$C=$B908,'Генеральный баннер'!$I:$I=$C908)), ""\d+"", """"),"""")"),"")</f>
        <v/>
      </c>
      <c r="U908" s="91" t="str">
        <f>IFERROR(__xludf.DUMMYFUNCTION("IFERROR(unique(filter('Генеральный баннер'!$F:$F, 'Генеральный баннер'!$B:$B=$A908,'Генеральный баннер'!$C:$C=$B908,'Генеральный баннер'!$I:$I=$C908)),"""")"),"")</f>
        <v/>
      </c>
      <c r="V908" s="92" t="str">
        <f t="shared" si="3"/>
        <v/>
      </c>
      <c r="W908" s="93">
        <f>IFERROR(__xludf.DUMMYFUNCTION("IFERROR(SWITCH(lower(join("" "",U908:V908)),""а миллионник"", 62.5,""б миллионник"", 75,""а мск"", 50, ""б мск"", 62.5, ""a остальное"", 70, ""б остальное"", 80)/100,0)"),0.0)</f>
        <v>0</v>
      </c>
      <c r="X908" s="91">
        <f t="shared" si="4"/>
        <v>0</v>
      </c>
    </row>
    <row r="909">
      <c r="A909" s="12"/>
      <c r="B909" s="12"/>
      <c r="C909" s="12"/>
      <c r="D909" s="91">
        <f>IFERROR(__xludf.DUMMYFUNCTION("IFERROR(sum(filter('Основной эфир'!$AA:$AA, 'Основной эфир'!$B:$B=$A909,'Основной эфир'!$C:$C=$B909,'Основной эфир'!$I:$I=$C909)), 0) "),0.0)</f>
        <v>0</v>
      </c>
      <c r="E909" s="91">
        <f>IFERROR(__xludf.DUMMYFUNCTION("IFERROR(sum(filter('Основной эфир'!$AC:$AC, 'Основной эфир'!$B:$B=$A909,'Основной эфир'!$C:$C=$B909,'Основной эфир'!$I:$I=$C909)), 0) "),0.0)</f>
        <v>0</v>
      </c>
      <c r="F909" s="91">
        <f>IFERROR(__xludf.DUMMYFUNCTION("IFERROR(sum(filter('Основной эфир'!$O:$O, 'Основной эфир'!$B:$B=$A909,'Основной эфир'!$C:$C=$B909,'Основной эфир'!$I:$I=$C909)), 0) "),0.0)</f>
        <v>0</v>
      </c>
      <c r="G909" s="91">
        <f>IFERROR(__xludf.DUMMYFUNCTION("IFERROR(sum(filter('Основной эфир'!$Q:$Q, 'Основной эфир'!$B:$B=$A909,'Основной эфир'!$C:$C=$B909,'Основной эфир'!$I:$I=$C909)), 0) "),0.0)</f>
        <v>0</v>
      </c>
      <c r="H909" s="91">
        <f>IFERROR(__xludf.DUMMYFUNCTION("IFERROR(AVERAGE(filter('Основной эфир'!$Y:$Y, 'Основной эфир'!$B:$B=$A909,'Основной эфир'!$C:$C=$B909,'Основной эфир'!$I:$I=$C909)), 0) "),0.0)</f>
        <v>0</v>
      </c>
      <c r="I909" s="91">
        <f>IFERROR(__xludf.DUMMYFUNCTION("IFERROR(AVERAGE(filter('Основной эфир'!$AE:$AE, 'Основной эфир'!$B:$B=$A909,'Основной эфир'!$C:$C=$B909,'Основной эфир'!$I:$I=$C909)), 0) "),0.0)</f>
        <v>0</v>
      </c>
      <c r="J909" s="91">
        <f>IFERROR(__xludf.DUMMYFUNCTION("IFERROR(SUM(filter('Основной эфир'!$AL:$AL, 'Основной эфир'!$B:$B=$A909,'Основной эфир'!$C:$C=$B909,'Основной эфир'!$I:$I=$C909)), 0) "),0.0)</f>
        <v>0</v>
      </c>
      <c r="K909" s="91" t="str">
        <f>IFERROR(__xludf.DUMMYFUNCTION("IFERROR(REGEXREPLACE(unique(filter('Основной эфир'!$A:$A, 'Основной эфир'!$B:$B=$A909,'Основной эфир'!$C:$C=$B909,'Основной эфир'!$I:$I=$C909)), ""\d+"", """"),"""")"),"")</f>
        <v/>
      </c>
      <c r="L909" s="91" t="str">
        <f>IFERROR(__xludf.DUMMYFUNCTION("IFERROR(unique(filter('Основной эфир'!$F:$F, 'Основной эфир'!$B:$B=$A909,'Основной эфир'!$C:$C=$B909,'Основной эфир'!$I:$I=$C909)),"""")"),"")</f>
        <v/>
      </c>
      <c r="M909" s="92" t="str">
        <f t="shared" si="1"/>
        <v/>
      </c>
      <c r="N909" s="93">
        <f>IFERROR(__xludf.DUMMYFUNCTION("IFERROR(SWITCH(lower(join("" "",L909:M909)),""а миллионник"", 62.5,""б миллионник"", 75,""а мск"", 50, ""б мск"", 62.5, ""a остальное"", 70, ""б остальное"", 80)/100,0)"),0.0)</f>
        <v>0</v>
      </c>
      <c r="O909" s="91">
        <f t="shared" si="2"/>
        <v>0</v>
      </c>
      <c r="P909" s="91">
        <f>IFERROR(__xludf.DUMMYFUNCTION("IFERROR(sum(filter('Генеральный баннер'!$O:$O, 'Генеральный баннер'!$B:$B=$A909,'Генеральный баннер'!$C:$C=$B909,'Генеральный баннер'!$I:$I=$C909)), 0) "),0.0)</f>
        <v>0</v>
      </c>
      <c r="Q909" s="91">
        <f>IFERROR(__xludf.DUMMYFUNCTION("IFERROR(sum(filter('Генеральный баннер'!$Q:$Q, 'Генеральный баннер'!$B:$B=$A909,'Генеральный баннер'!$C:$C=$B909,'Генеральный баннер'!$I:$I=$C909)), 0) "),0.0)</f>
        <v>0</v>
      </c>
      <c r="R909" s="91">
        <f>IFERROR(__xludf.DUMMYFUNCTION("IFERROR(AVERAGE(filter('Генеральный баннер'!$AA:$AA, 'Генеральный баннер'!$B:$B=$A909,'Генеральный баннер'!$C:$C=$B909,'Генеральный баннер'!$I:$I=$C909)), 0) "),0.0)</f>
        <v>0</v>
      </c>
      <c r="S909" s="91">
        <f>IFERROR(__xludf.DUMMYFUNCTION("IFERROR(SUM(filter('Генеральный баннер'!$AH:$AH, 'Генеральный баннер'!$B:$B=$A909,'Генеральный баннер'!$C:$C=$B909,'Генеральный баннер'!$I:$I=$C909)), 0) "),0.0)</f>
        <v>0</v>
      </c>
      <c r="T909" s="91" t="str">
        <f>IFERROR(__xludf.DUMMYFUNCTION("IFERROR(REGEXREPLACE(unique(filter('Генеральный баннер'!$A:$A, 'Генеральный баннер'!$B:$B=$A909,'Генеральный баннер'!$C:$C=$B909,'Генеральный баннер'!$I:$I=$C909)), ""\d+"", """"),"""")"),"")</f>
        <v/>
      </c>
      <c r="U909" s="91" t="str">
        <f>IFERROR(__xludf.DUMMYFUNCTION("IFERROR(unique(filter('Генеральный баннер'!$F:$F, 'Генеральный баннер'!$B:$B=$A909,'Генеральный баннер'!$C:$C=$B909,'Генеральный баннер'!$I:$I=$C909)),"""")"),"")</f>
        <v/>
      </c>
      <c r="V909" s="92" t="str">
        <f t="shared" si="3"/>
        <v/>
      </c>
      <c r="W909" s="93">
        <f>IFERROR(__xludf.DUMMYFUNCTION("IFERROR(SWITCH(lower(join("" "",U909:V909)),""а миллионник"", 62.5,""б миллионник"", 75,""а мск"", 50, ""б мск"", 62.5, ""a остальное"", 70, ""б остальное"", 80)/100,0)"),0.0)</f>
        <v>0</v>
      </c>
      <c r="X909" s="91">
        <f t="shared" si="4"/>
        <v>0</v>
      </c>
    </row>
    <row r="910">
      <c r="A910" s="12"/>
      <c r="B910" s="12"/>
      <c r="C910" s="12"/>
      <c r="D910" s="91">
        <f>IFERROR(__xludf.DUMMYFUNCTION("IFERROR(sum(filter('Основной эфир'!$AA:$AA, 'Основной эфир'!$B:$B=$A910,'Основной эфир'!$C:$C=$B910,'Основной эфир'!$I:$I=$C910)), 0) "),0.0)</f>
        <v>0</v>
      </c>
      <c r="E910" s="91">
        <f>IFERROR(__xludf.DUMMYFUNCTION("IFERROR(sum(filter('Основной эфир'!$AC:$AC, 'Основной эфир'!$B:$B=$A910,'Основной эфир'!$C:$C=$B910,'Основной эфир'!$I:$I=$C910)), 0) "),0.0)</f>
        <v>0</v>
      </c>
      <c r="F910" s="91">
        <f>IFERROR(__xludf.DUMMYFUNCTION("IFERROR(sum(filter('Основной эфир'!$O:$O, 'Основной эфир'!$B:$B=$A910,'Основной эфир'!$C:$C=$B910,'Основной эфир'!$I:$I=$C910)), 0) "),0.0)</f>
        <v>0</v>
      </c>
      <c r="G910" s="91">
        <f>IFERROR(__xludf.DUMMYFUNCTION("IFERROR(sum(filter('Основной эфир'!$Q:$Q, 'Основной эфир'!$B:$B=$A910,'Основной эфир'!$C:$C=$B910,'Основной эфир'!$I:$I=$C910)), 0) "),0.0)</f>
        <v>0</v>
      </c>
      <c r="H910" s="91">
        <f>IFERROR(__xludf.DUMMYFUNCTION("IFERROR(AVERAGE(filter('Основной эфир'!$Y:$Y, 'Основной эфир'!$B:$B=$A910,'Основной эфир'!$C:$C=$B910,'Основной эфир'!$I:$I=$C910)), 0) "),0.0)</f>
        <v>0</v>
      </c>
      <c r="I910" s="91">
        <f>IFERROR(__xludf.DUMMYFUNCTION("IFERROR(AVERAGE(filter('Основной эфир'!$AE:$AE, 'Основной эфир'!$B:$B=$A910,'Основной эфир'!$C:$C=$B910,'Основной эфир'!$I:$I=$C910)), 0) "),0.0)</f>
        <v>0</v>
      </c>
      <c r="J910" s="91">
        <f>IFERROR(__xludf.DUMMYFUNCTION("IFERROR(SUM(filter('Основной эфир'!$AL:$AL, 'Основной эфир'!$B:$B=$A910,'Основной эфир'!$C:$C=$B910,'Основной эфир'!$I:$I=$C910)), 0) "),0.0)</f>
        <v>0</v>
      </c>
      <c r="K910" s="91" t="str">
        <f>IFERROR(__xludf.DUMMYFUNCTION("IFERROR(REGEXREPLACE(unique(filter('Основной эфир'!$A:$A, 'Основной эфир'!$B:$B=$A910,'Основной эфир'!$C:$C=$B910,'Основной эфир'!$I:$I=$C910)), ""\d+"", """"),"""")"),"")</f>
        <v/>
      </c>
      <c r="L910" s="91" t="str">
        <f>IFERROR(__xludf.DUMMYFUNCTION("IFERROR(unique(filter('Основной эфир'!$F:$F, 'Основной эфир'!$B:$B=$A910,'Основной эфир'!$C:$C=$B910,'Основной эфир'!$I:$I=$C910)),"""")"),"")</f>
        <v/>
      </c>
      <c r="M910" s="92" t="str">
        <f t="shared" si="1"/>
        <v/>
      </c>
      <c r="N910" s="93">
        <f>IFERROR(__xludf.DUMMYFUNCTION("IFERROR(SWITCH(lower(join("" "",L910:M910)),""а миллионник"", 62.5,""б миллионник"", 75,""а мск"", 50, ""б мск"", 62.5, ""a остальное"", 70, ""б остальное"", 80)/100,0)"),0.0)</f>
        <v>0</v>
      </c>
      <c r="O910" s="91">
        <f t="shared" si="2"/>
        <v>0</v>
      </c>
      <c r="P910" s="91">
        <f>IFERROR(__xludf.DUMMYFUNCTION("IFERROR(sum(filter('Генеральный баннер'!$O:$O, 'Генеральный баннер'!$B:$B=$A910,'Генеральный баннер'!$C:$C=$B910,'Генеральный баннер'!$I:$I=$C910)), 0) "),0.0)</f>
        <v>0</v>
      </c>
      <c r="Q910" s="91">
        <f>IFERROR(__xludf.DUMMYFUNCTION("IFERROR(sum(filter('Генеральный баннер'!$Q:$Q, 'Генеральный баннер'!$B:$B=$A910,'Генеральный баннер'!$C:$C=$B910,'Генеральный баннер'!$I:$I=$C910)), 0) "),0.0)</f>
        <v>0</v>
      </c>
      <c r="R910" s="91">
        <f>IFERROR(__xludf.DUMMYFUNCTION("IFERROR(AVERAGE(filter('Генеральный баннер'!$AA:$AA, 'Генеральный баннер'!$B:$B=$A910,'Генеральный баннер'!$C:$C=$B910,'Генеральный баннер'!$I:$I=$C910)), 0) "),0.0)</f>
        <v>0</v>
      </c>
      <c r="S910" s="91">
        <f>IFERROR(__xludf.DUMMYFUNCTION("IFERROR(SUM(filter('Генеральный баннер'!$AH:$AH, 'Генеральный баннер'!$B:$B=$A910,'Генеральный баннер'!$C:$C=$B910,'Генеральный баннер'!$I:$I=$C910)), 0) "),0.0)</f>
        <v>0</v>
      </c>
      <c r="T910" s="91" t="str">
        <f>IFERROR(__xludf.DUMMYFUNCTION("IFERROR(REGEXREPLACE(unique(filter('Генеральный баннер'!$A:$A, 'Генеральный баннер'!$B:$B=$A910,'Генеральный баннер'!$C:$C=$B910,'Генеральный баннер'!$I:$I=$C910)), ""\d+"", """"),"""")"),"")</f>
        <v/>
      </c>
      <c r="U910" s="91" t="str">
        <f>IFERROR(__xludf.DUMMYFUNCTION("IFERROR(unique(filter('Генеральный баннер'!$F:$F, 'Генеральный баннер'!$B:$B=$A910,'Генеральный баннер'!$C:$C=$B910,'Генеральный баннер'!$I:$I=$C910)),"""")"),"")</f>
        <v/>
      </c>
      <c r="V910" s="92" t="str">
        <f t="shared" si="3"/>
        <v/>
      </c>
      <c r="W910" s="93">
        <f>IFERROR(__xludf.DUMMYFUNCTION("IFERROR(SWITCH(lower(join("" "",U910:V910)),""а миллионник"", 62.5,""б миллионник"", 75,""а мск"", 50, ""б мск"", 62.5, ""a остальное"", 70, ""б остальное"", 80)/100,0)"),0.0)</f>
        <v>0</v>
      </c>
      <c r="X910" s="91">
        <f t="shared" si="4"/>
        <v>0</v>
      </c>
    </row>
    <row r="911">
      <c r="A911" s="12"/>
      <c r="B911" s="12"/>
      <c r="C911" s="12"/>
      <c r="D911" s="91">
        <f>IFERROR(__xludf.DUMMYFUNCTION("IFERROR(sum(filter('Основной эфир'!$AA:$AA, 'Основной эфир'!$B:$B=$A911,'Основной эфир'!$C:$C=$B911,'Основной эфир'!$I:$I=$C911)), 0) "),0.0)</f>
        <v>0</v>
      </c>
      <c r="E911" s="91">
        <f>IFERROR(__xludf.DUMMYFUNCTION("IFERROR(sum(filter('Основной эфир'!$AC:$AC, 'Основной эфир'!$B:$B=$A911,'Основной эфир'!$C:$C=$B911,'Основной эфир'!$I:$I=$C911)), 0) "),0.0)</f>
        <v>0</v>
      </c>
      <c r="F911" s="91">
        <f>IFERROR(__xludf.DUMMYFUNCTION("IFERROR(sum(filter('Основной эфир'!$O:$O, 'Основной эфир'!$B:$B=$A911,'Основной эфир'!$C:$C=$B911,'Основной эфир'!$I:$I=$C911)), 0) "),0.0)</f>
        <v>0</v>
      </c>
      <c r="G911" s="91">
        <f>IFERROR(__xludf.DUMMYFUNCTION("IFERROR(sum(filter('Основной эфир'!$Q:$Q, 'Основной эфир'!$B:$B=$A911,'Основной эфир'!$C:$C=$B911,'Основной эфир'!$I:$I=$C911)), 0) "),0.0)</f>
        <v>0</v>
      </c>
      <c r="H911" s="91">
        <f>IFERROR(__xludf.DUMMYFUNCTION("IFERROR(AVERAGE(filter('Основной эфир'!$Y:$Y, 'Основной эфир'!$B:$B=$A911,'Основной эфир'!$C:$C=$B911,'Основной эфир'!$I:$I=$C911)), 0) "),0.0)</f>
        <v>0</v>
      </c>
      <c r="I911" s="91">
        <f>IFERROR(__xludf.DUMMYFUNCTION("IFERROR(AVERAGE(filter('Основной эфир'!$AE:$AE, 'Основной эфир'!$B:$B=$A911,'Основной эфир'!$C:$C=$B911,'Основной эфир'!$I:$I=$C911)), 0) "),0.0)</f>
        <v>0</v>
      </c>
      <c r="J911" s="91">
        <f>IFERROR(__xludf.DUMMYFUNCTION("IFERROR(SUM(filter('Основной эфир'!$AL:$AL, 'Основной эфир'!$B:$B=$A911,'Основной эфир'!$C:$C=$B911,'Основной эфир'!$I:$I=$C911)), 0) "),0.0)</f>
        <v>0</v>
      </c>
      <c r="K911" s="91" t="str">
        <f>IFERROR(__xludf.DUMMYFUNCTION("IFERROR(REGEXREPLACE(unique(filter('Основной эфир'!$A:$A, 'Основной эфир'!$B:$B=$A911,'Основной эфир'!$C:$C=$B911,'Основной эфир'!$I:$I=$C911)), ""\d+"", """"),"""")"),"")</f>
        <v/>
      </c>
      <c r="L911" s="91" t="str">
        <f>IFERROR(__xludf.DUMMYFUNCTION("IFERROR(unique(filter('Основной эфир'!$F:$F, 'Основной эфир'!$B:$B=$A911,'Основной эфир'!$C:$C=$B911,'Основной эфир'!$I:$I=$C911)),"""")"),"")</f>
        <v/>
      </c>
      <c r="M911" s="92" t="str">
        <f t="shared" si="1"/>
        <v/>
      </c>
      <c r="N911" s="93">
        <f>IFERROR(__xludf.DUMMYFUNCTION("IFERROR(SWITCH(lower(join("" "",L911:M911)),""а миллионник"", 62.5,""б миллионник"", 75,""а мск"", 50, ""б мск"", 62.5, ""a остальное"", 70, ""б остальное"", 80)/100,0)"),0.0)</f>
        <v>0</v>
      </c>
      <c r="O911" s="91">
        <f t="shared" si="2"/>
        <v>0</v>
      </c>
      <c r="P911" s="91">
        <f>IFERROR(__xludf.DUMMYFUNCTION("IFERROR(sum(filter('Генеральный баннер'!$O:$O, 'Генеральный баннер'!$B:$B=$A911,'Генеральный баннер'!$C:$C=$B911,'Генеральный баннер'!$I:$I=$C911)), 0) "),0.0)</f>
        <v>0</v>
      </c>
      <c r="Q911" s="91">
        <f>IFERROR(__xludf.DUMMYFUNCTION("IFERROR(sum(filter('Генеральный баннер'!$Q:$Q, 'Генеральный баннер'!$B:$B=$A911,'Генеральный баннер'!$C:$C=$B911,'Генеральный баннер'!$I:$I=$C911)), 0) "),0.0)</f>
        <v>0</v>
      </c>
      <c r="R911" s="91">
        <f>IFERROR(__xludf.DUMMYFUNCTION("IFERROR(AVERAGE(filter('Генеральный баннер'!$AA:$AA, 'Генеральный баннер'!$B:$B=$A911,'Генеральный баннер'!$C:$C=$B911,'Генеральный баннер'!$I:$I=$C911)), 0) "),0.0)</f>
        <v>0</v>
      </c>
      <c r="S911" s="91">
        <f>IFERROR(__xludf.DUMMYFUNCTION("IFERROR(SUM(filter('Генеральный баннер'!$AH:$AH, 'Генеральный баннер'!$B:$B=$A911,'Генеральный баннер'!$C:$C=$B911,'Генеральный баннер'!$I:$I=$C911)), 0) "),0.0)</f>
        <v>0</v>
      </c>
      <c r="T911" s="91" t="str">
        <f>IFERROR(__xludf.DUMMYFUNCTION("IFERROR(REGEXREPLACE(unique(filter('Генеральный баннер'!$A:$A, 'Генеральный баннер'!$B:$B=$A911,'Генеральный баннер'!$C:$C=$B911,'Генеральный баннер'!$I:$I=$C911)), ""\d+"", """"),"""")"),"")</f>
        <v/>
      </c>
      <c r="U911" s="91" t="str">
        <f>IFERROR(__xludf.DUMMYFUNCTION("IFERROR(unique(filter('Генеральный баннер'!$F:$F, 'Генеральный баннер'!$B:$B=$A911,'Генеральный баннер'!$C:$C=$B911,'Генеральный баннер'!$I:$I=$C911)),"""")"),"")</f>
        <v/>
      </c>
      <c r="V911" s="92" t="str">
        <f t="shared" si="3"/>
        <v/>
      </c>
      <c r="W911" s="93">
        <f>IFERROR(__xludf.DUMMYFUNCTION("IFERROR(SWITCH(lower(join("" "",U911:V911)),""а миллионник"", 62.5,""б миллионник"", 75,""а мск"", 50, ""б мск"", 62.5, ""a остальное"", 70, ""б остальное"", 80)/100,0)"),0.0)</f>
        <v>0</v>
      </c>
      <c r="X911" s="91">
        <f t="shared" si="4"/>
        <v>0</v>
      </c>
    </row>
    <row r="912">
      <c r="A912" s="12"/>
      <c r="B912" s="12"/>
      <c r="C912" s="12"/>
      <c r="D912" s="91">
        <f>IFERROR(__xludf.DUMMYFUNCTION("IFERROR(sum(filter('Основной эфир'!$AA:$AA, 'Основной эфир'!$B:$B=$A912,'Основной эфир'!$C:$C=$B912,'Основной эфир'!$I:$I=$C912)), 0) "),0.0)</f>
        <v>0</v>
      </c>
      <c r="E912" s="91">
        <f>IFERROR(__xludf.DUMMYFUNCTION("IFERROR(sum(filter('Основной эфир'!$AC:$AC, 'Основной эфир'!$B:$B=$A912,'Основной эфир'!$C:$C=$B912,'Основной эфир'!$I:$I=$C912)), 0) "),0.0)</f>
        <v>0</v>
      </c>
      <c r="F912" s="91">
        <f>IFERROR(__xludf.DUMMYFUNCTION("IFERROR(sum(filter('Основной эфир'!$O:$O, 'Основной эфир'!$B:$B=$A912,'Основной эфир'!$C:$C=$B912,'Основной эфир'!$I:$I=$C912)), 0) "),0.0)</f>
        <v>0</v>
      </c>
      <c r="G912" s="91">
        <f>IFERROR(__xludf.DUMMYFUNCTION("IFERROR(sum(filter('Основной эфир'!$Q:$Q, 'Основной эфир'!$B:$B=$A912,'Основной эфир'!$C:$C=$B912,'Основной эфир'!$I:$I=$C912)), 0) "),0.0)</f>
        <v>0</v>
      </c>
      <c r="H912" s="91">
        <f>IFERROR(__xludf.DUMMYFUNCTION("IFERROR(AVERAGE(filter('Основной эфир'!$Y:$Y, 'Основной эфир'!$B:$B=$A912,'Основной эфир'!$C:$C=$B912,'Основной эфир'!$I:$I=$C912)), 0) "),0.0)</f>
        <v>0</v>
      </c>
      <c r="I912" s="91">
        <f>IFERROR(__xludf.DUMMYFUNCTION("IFERROR(AVERAGE(filter('Основной эфир'!$AE:$AE, 'Основной эфир'!$B:$B=$A912,'Основной эфир'!$C:$C=$B912,'Основной эфир'!$I:$I=$C912)), 0) "),0.0)</f>
        <v>0</v>
      </c>
      <c r="J912" s="91">
        <f>IFERROR(__xludf.DUMMYFUNCTION("IFERROR(SUM(filter('Основной эфир'!$AL:$AL, 'Основной эфир'!$B:$B=$A912,'Основной эфир'!$C:$C=$B912,'Основной эфир'!$I:$I=$C912)), 0) "),0.0)</f>
        <v>0</v>
      </c>
      <c r="K912" s="91" t="str">
        <f>IFERROR(__xludf.DUMMYFUNCTION("IFERROR(REGEXREPLACE(unique(filter('Основной эфир'!$A:$A, 'Основной эфир'!$B:$B=$A912,'Основной эфир'!$C:$C=$B912,'Основной эфир'!$I:$I=$C912)), ""\d+"", """"),"""")"),"")</f>
        <v/>
      </c>
      <c r="L912" s="91" t="str">
        <f>IFERROR(__xludf.DUMMYFUNCTION("IFERROR(unique(filter('Основной эфир'!$F:$F, 'Основной эфир'!$B:$B=$A912,'Основной эфир'!$C:$C=$B912,'Основной эфир'!$I:$I=$C912)),"""")"),"")</f>
        <v/>
      </c>
      <c r="M912" s="92" t="str">
        <f t="shared" si="1"/>
        <v/>
      </c>
      <c r="N912" s="93">
        <f>IFERROR(__xludf.DUMMYFUNCTION("IFERROR(SWITCH(lower(join("" "",L912:M912)),""а миллионник"", 62.5,""б миллионник"", 75,""а мск"", 50, ""б мск"", 62.5, ""a остальное"", 70, ""б остальное"", 80)/100,0)"),0.0)</f>
        <v>0</v>
      </c>
      <c r="O912" s="91">
        <f t="shared" si="2"/>
        <v>0</v>
      </c>
      <c r="P912" s="91">
        <f>IFERROR(__xludf.DUMMYFUNCTION("IFERROR(sum(filter('Генеральный баннер'!$O:$O, 'Генеральный баннер'!$B:$B=$A912,'Генеральный баннер'!$C:$C=$B912,'Генеральный баннер'!$I:$I=$C912)), 0) "),0.0)</f>
        <v>0</v>
      </c>
      <c r="Q912" s="91">
        <f>IFERROR(__xludf.DUMMYFUNCTION("IFERROR(sum(filter('Генеральный баннер'!$Q:$Q, 'Генеральный баннер'!$B:$B=$A912,'Генеральный баннер'!$C:$C=$B912,'Генеральный баннер'!$I:$I=$C912)), 0) "),0.0)</f>
        <v>0</v>
      </c>
      <c r="R912" s="91">
        <f>IFERROR(__xludf.DUMMYFUNCTION("IFERROR(AVERAGE(filter('Генеральный баннер'!$AA:$AA, 'Генеральный баннер'!$B:$B=$A912,'Генеральный баннер'!$C:$C=$B912,'Генеральный баннер'!$I:$I=$C912)), 0) "),0.0)</f>
        <v>0</v>
      </c>
      <c r="S912" s="91">
        <f>IFERROR(__xludf.DUMMYFUNCTION("IFERROR(SUM(filter('Генеральный баннер'!$AH:$AH, 'Генеральный баннер'!$B:$B=$A912,'Генеральный баннер'!$C:$C=$B912,'Генеральный баннер'!$I:$I=$C912)), 0) "),0.0)</f>
        <v>0</v>
      </c>
      <c r="T912" s="91" t="str">
        <f>IFERROR(__xludf.DUMMYFUNCTION("IFERROR(REGEXREPLACE(unique(filter('Генеральный баннер'!$A:$A, 'Генеральный баннер'!$B:$B=$A912,'Генеральный баннер'!$C:$C=$B912,'Генеральный баннер'!$I:$I=$C912)), ""\d+"", """"),"""")"),"")</f>
        <v/>
      </c>
      <c r="U912" s="91" t="str">
        <f>IFERROR(__xludf.DUMMYFUNCTION("IFERROR(unique(filter('Генеральный баннер'!$F:$F, 'Генеральный баннер'!$B:$B=$A912,'Генеральный баннер'!$C:$C=$B912,'Генеральный баннер'!$I:$I=$C912)),"""")"),"")</f>
        <v/>
      </c>
      <c r="V912" s="92" t="str">
        <f t="shared" si="3"/>
        <v/>
      </c>
      <c r="W912" s="93">
        <f>IFERROR(__xludf.DUMMYFUNCTION("IFERROR(SWITCH(lower(join("" "",U912:V912)),""а миллионник"", 62.5,""б миллионник"", 75,""а мск"", 50, ""б мск"", 62.5, ""a остальное"", 70, ""б остальное"", 80)/100,0)"),0.0)</f>
        <v>0</v>
      </c>
      <c r="X912" s="91">
        <f t="shared" si="4"/>
        <v>0</v>
      </c>
    </row>
    <row r="913">
      <c r="A913" s="12"/>
      <c r="B913" s="12"/>
      <c r="C913" s="12"/>
      <c r="D913" s="91">
        <f>IFERROR(__xludf.DUMMYFUNCTION("IFERROR(sum(filter('Основной эфир'!$AA:$AA, 'Основной эфир'!$B:$B=$A913,'Основной эфир'!$C:$C=$B913,'Основной эфир'!$I:$I=$C913)), 0) "),0.0)</f>
        <v>0</v>
      </c>
      <c r="E913" s="91">
        <f>IFERROR(__xludf.DUMMYFUNCTION("IFERROR(sum(filter('Основной эфир'!$AC:$AC, 'Основной эфир'!$B:$B=$A913,'Основной эфир'!$C:$C=$B913,'Основной эфир'!$I:$I=$C913)), 0) "),0.0)</f>
        <v>0</v>
      </c>
      <c r="F913" s="91">
        <f>IFERROR(__xludf.DUMMYFUNCTION("IFERROR(sum(filter('Основной эфир'!$O:$O, 'Основной эфир'!$B:$B=$A913,'Основной эфир'!$C:$C=$B913,'Основной эфир'!$I:$I=$C913)), 0) "),0.0)</f>
        <v>0</v>
      </c>
      <c r="G913" s="91">
        <f>IFERROR(__xludf.DUMMYFUNCTION("IFERROR(sum(filter('Основной эфир'!$Q:$Q, 'Основной эфир'!$B:$B=$A913,'Основной эфир'!$C:$C=$B913,'Основной эфир'!$I:$I=$C913)), 0) "),0.0)</f>
        <v>0</v>
      </c>
      <c r="H913" s="91">
        <f>IFERROR(__xludf.DUMMYFUNCTION("IFERROR(AVERAGE(filter('Основной эфир'!$Y:$Y, 'Основной эфир'!$B:$B=$A913,'Основной эфир'!$C:$C=$B913,'Основной эфир'!$I:$I=$C913)), 0) "),0.0)</f>
        <v>0</v>
      </c>
      <c r="I913" s="91">
        <f>IFERROR(__xludf.DUMMYFUNCTION("IFERROR(AVERAGE(filter('Основной эфир'!$AE:$AE, 'Основной эфир'!$B:$B=$A913,'Основной эфир'!$C:$C=$B913,'Основной эфир'!$I:$I=$C913)), 0) "),0.0)</f>
        <v>0</v>
      </c>
      <c r="J913" s="91">
        <f>IFERROR(__xludf.DUMMYFUNCTION("IFERROR(SUM(filter('Основной эфир'!$AL:$AL, 'Основной эфир'!$B:$B=$A913,'Основной эфир'!$C:$C=$B913,'Основной эфир'!$I:$I=$C913)), 0) "),0.0)</f>
        <v>0</v>
      </c>
      <c r="K913" s="91" t="str">
        <f>IFERROR(__xludf.DUMMYFUNCTION("IFERROR(REGEXREPLACE(unique(filter('Основной эфир'!$A:$A, 'Основной эфир'!$B:$B=$A913,'Основной эфир'!$C:$C=$B913,'Основной эфир'!$I:$I=$C913)), ""\d+"", """"),"""")"),"")</f>
        <v/>
      </c>
      <c r="L913" s="91" t="str">
        <f>IFERROR(__xludf.DUMMYFUNCTION("IFERROR(unique(filter('Основной эфир'!$F:$F, 'Основной эфир'!$B:$B=$A913,'Основной эфир'!$C:$C=$B913,'Основной эфир'!$I:$I=$C913)),"""")"),"")</f>
        <v/>
      </c>
      <c r="M913" s="92" t="str">
        <f t="shared" si="1"/>
        <v/>
      </c>
      <c r="N913" s="93">
        <f>IFERROR(__xludf.DUMMYFUNCTION("IFERROR(SWITCH(lower(join("" "",L913:M913)),""а миллионник"", 62.5,""б миллионник"", 75,""а мск"", 50, ""б мск"", 62.5, ""a остальное"", 70, ""б остальное"", 80)/100,0)"),0.0)</f>
        <v>0</v>
      </c>
      <c r="O913" s="91">
        <f t="shared" si="2"/>
        <v>0</v>
      </c>
      <c r="P913" s="91">
        <f>IFERROR(__xludf.DUMMYFUNCTION("IFERROR(sum(filter('Генеральный баннер'!$O:$O, 'Генеральный баннер'!$B:$B=$A913,'Генеральный баннер'!$C:$C=$B913,'Генеральный баннер'!$I:$I=$C913)), 0) "),0.0)</f>
        <v>0</v>
      </c>
      <c r="Q913" s="91">
        <f>IFERROR(__xludf.DUMMYFUNCTION("IFERROR(sum(filter('Генеральный баннер'!$Q:$Q, 'Генеральный баннер'!$B:$B=$A913,'Генеральный баннер'!$C:$C=$B913,'Генеральный баннер'!$I:$I=$C913)), 0) "),0.0)</f>
        <v>0</v>
      </c>
      <c r="R913" s="91">
        <f>IFERROR(__xludf.DUMMYFUNCTION("IFERROR(AVERAGE(filter('Генеральный баннер'!$AA:$AA, 'Генеральный баннер'!$B:$B=$A913,'Генеральный баннер'!$C:$C=$B913,'Генеральный баннер'!$I:$I=$C913)), 0) "),0.0)</f>
        <v>0</v>
      </c>
      <c r="S913" s="91">
        <f>IFERROR(__xludf.DUMMYFUNCTION("IFERROR(SUM(filter('Генеральный баннер'!$AH:$AH, 'Генеральный баннер'!$B:$B=$A913,'Генеральный баннер'!$C:$C=$B913,'Генеральный баннер'!$I:$I=$C913)), 0) "),0.0)</f>
        <v>0</v>
      </c>
      <c r="T913" s="91" t="str">
        <f>IFERROR(__xludf.DUMMYFUNCTION("IFERROR(REGEXREPLACE(unique(filter('Генеральный баннер'!$A:$A, 'Генеральный баннер'!$B:$B=$A913,'Генеральный баннер'!$C:$C=$B913,'Генеральный баннер'!$I:$I=$C913)), ""\d+"", """"),"""")"),"")</f>
        <v/>
      </c>
      <c r="U913" s="91" t="str">
        <f>IFERROR(__xludf.DUMMYFUNCTION("IFERROR(unique(filter('Генеральный баннер'!$F:$F, 'Генеральный баннер'!$B:$B=$A913,'Генеральный баннер'!$C:$C=$B913,'Генеральный баннер'!$I:$I=$C913)),"""")"),"")</f>
        <v/>
      </c>
      <c r="V913" s="92" t="str">
        <f t="shared" si="3"/>
        <v/>
      </c>
      <c r="W913" s="93">
        <f>IFERROR(__xludf.DUMMYFUNCTION("IFERROR(SWITCH(lower(join("" "",U913:V913)),""а миллионник"", 62.5,""б миллионник"", 75,""а мск"", 50, ""б мск"", 62.5, ""a остальное"", 70, ""б остальное"", 80)/100,0)"),0.0)</f>
        <v>0</v>
      </c>
      <c r="X913" s="91">
        <f t="shared" si="4"/>
        <v>0</v>
      </c>
    </row>
    <row r="914">
      <c r="A914" s="12"/>
      <c r="B914" s="12"/>
      <c r="C914" s="12"/>
      <c r="D914" s="91">
        <f>IFERROR(__xludf.DUMMYFUNCTION("IFERROR(sum(filter('Основной эфир'!$AA:$AA, 'Основной эфир'!$B:$B=$A914,'Основной эфир'!$C:$C=$B914,'Основной эфир'!$I:$I=$C914)), 0) "),0.0)</f>
        <v>0</v>
      </c>
      <c r="E914" s="91">
        <f>IFERROR(__xludf.DUMMYFUNCTION("IFERROR(sum(filter('Основной эфир'!$AC:$AC, 'Основной эфир'!$B:$B=$A914,'Основной эфир'!$C:$C=$B914,'Основной эфир'!$I:$I=$C914)), 0) "),0.0)</f>
        <v>0</v>
      </c>
      <c r="F914" s="91">
        <f>IFERROR(__xludf.DUMMYFUNCTION("IFERROR(sum(filter('Основной эфир'!$O:$O, 'Основной эфир'!$B:$B=$A914,'Основной эфир'!$C:$C=$B914,'Основной эфир'!$I:$I=$C914)), 0) "),0.0)</f>
        <v>0</v>
      </c>
      <c r="G914" s="91">
        <f>IFERROR(__xludf.DUMMYFUNCTION("IFERROR(sum(filter('Основной эфир'!$Q:$Q, 'Основной эфир'!$B:$B=$A914,'Основной эфир'!$C:$C=$B914,'Основной эфир'!$I:$I=$C914)), 0) "),0.0)</f>
        <v>0</v>
      </c>
      <c r="H914" s="91">
        <f>IFERROR(__xludf.DUMMYFUNCTION("IFERROR(AVERAGE(filter('Основной эфир'!$Y:$Y, 'Основной эфир'!$B:$B=$A914,'Основной эфир'!$C:$C=$B914,'Основной эфир'!$I:$I=$C914)), 0) "),0.0)</f>
        <v>0</v>
      </c>
      <c r="I914" s="91">
        <f>IFERROR(__xludf.DUMMYFUNCTION("IFERROR(AVERAGE(filter('Основной эфир'!$AE:$AE, 'Основной эфир'!$B:$B=$A914,'Основной эфир'!$C:$C=$B914,'Основной эфир'!$I:$I=$C914)), 0) "),0.0)</f>
        <v>0</v>
      </c>
      <c r="J914" s="91">
        <f>IFERROR(__xludf.DUMMYFUNCTION("IFERROR(SUM(filter('Основной эфир'!$AL:$AL, 'Основной эфир'!$B:$B=$A914,'Основной эфир'!$C:$C=$B914,'Основной эфир'!$I:$I=$C914)), 0) "),0.0)</f>
        <v>0</v>
      </c>
      <c r="K914" s="91" t="str">
        <f>IFERROR(__xludf.DUMMYFUNCTION("IFERROR(REGEXREPLACE(unique(filter('Основной эфир'!$A:$A, 'Основной эфир'!$B:$B=$A914,'Основной эфир'!$C:$C=$B914,'Основной эфир'!$I:$I=$C914)), ""\d+"", """"),"""")"),"")</f>
        <v/>
      </c>
      <c r="L914" s="91" t="str">
        <f>IFERROR(__xludf.DUMMYFUNCTION("IFERROR(unique(filter('Основной эфир'!$F:$F, 'Основной эфир'!$B:$B=$A914,'Основной эфир'!$C:$C=$B914,'Основной эфир'!$I:$I=$C914)),"""")"),"")</f>
        <v/>
      </c>
      <c r="M914" s="92" t="str">
        <f t="shared" si="1"/>
        <v/>
      </c>
      <c r="N914" s="93">
        <f>IFERROR(__xludf.DUMMYFUNCTION("IFERROR(SWITCH(lower(join("" "",L914:M914)),""а миллионник"", 62.5,""б миллионник"", 75,""а мск"", 50, ""б мск"", 62.5, ""a остальное"", 70, ""б остальное"", 80)/100,0)"),0.0)</f>
        <v>0</v>
      </c>
      <c r="O914" s="91">
        <f t="shared" si="2"/>
        <v>0</v>
      </c>
      <c r="P914" s="91">
        <f>IFERROR(__xludf.DUMMYFUNCTION("IFERROR(sum(filter('Генеральный баннер'!$O:$O, 'Генеральный баннер'!$B:$B=$A914,'Генеральный баннер'!$C:$C=$B914,'Генеральный баннер'!$I:$I=$C914)), 0) "),0.0)</f>
        <v>0</v>
      </c>
      <c r="Q914" s="91">
        <f>IFERROR(__xludf.DUMMYFUNCTION("IFERROR(sum(filter('Генеральный баннер'!$Q:$Q, 'Генеральный баннер'!$B:$B=$A914,'Генеральный баннер'!$C:$C=$B914,'Генеральный баннер'!$I:$I=$C914)), 0) "),0.0)</f>
        <v>0</v>
      </c>
      <c r="R914" s="91">
        <f>IFERROR(__xludf.DUMMYFUNCTION("IFERROR(AVERAGE(filter('Генеральный баннер'!$AA:$AA, 'Генеральный баннер'!$B:$B=$A914,'Генеральный баннер'!$C:$C=$B914,'Генеральный баннер'!$I:$I=$C914)), 0) "),0.0)</f>
        <v>0</v>
      </c>
      <c r="S914" s="91">
        <f>IFERROR(__xludf.DUMMYFUNCTION("IFERROR(SUM(filter('Генеральный баннер'!$AH:$AH, 'Генеральный баннер'!$B:$B=$A914,'Генеральный баннер'!$C:$C=$B914,'Генеральный баннер'!$I:$I=$C914)), 0) "),0.0)</f>
        <v>0</v>
      </c>
      <c r="T914" s="91" t="str">
        <f>IFERROR(__xludf.DUMMYFUNCTION("IFERROR(REGEXREPLACE(unique(filter('Генеральный баннер'!$A:$A, 'Генеральный баннер'!$B:$B=$A914,'Генеральный баннер'!$C:$C=$B914,'Генеральный баннер'!$I:$I=$C914)), ""\d+"", """"),"""")"),"")</f>
        <v/>
      </c>
      <c r="U914" s="91" t="str">
        <f>IFERROR(__xludf.DUMMYFUNCTION("IFERROR(unique(filter('Генеральный баннер'!$F:$F, 'Генеральный баннер'!$B:$B=$A914,'Генеральный баннер'!$C:$C=$B914,'Генеральный баннер'!$I:$I=$C914)),"""")"),"")</f>
        <v/>
      </c>
      <c r="V914" s="92" t="str">
        <f t="shared" si="3"/>
        <v/>
      </c>
      <c r="W914" s="93">
        <f>IFERROR(__xludf.DUMMYFUNCTION("IFERROR(SWITCH(lower(join("" "",U914:V914)),""а миллионник"", 62.5,""б миллионник"", 75,""а мск"", 50, ""б мск"", 62.5, ""a остальное"", 70, ""б остальное"", 80)/100,0)"),0.0)</f>
        <v>0</v>
      </c>
      <c r="X914" s="91">
        <f t="shared" si="4"/>
        <v>0</v>
      </c>
    </row>
    <row r="915">
      <c r="A915" s="12"/>
      <c r="B915" s="12"/>
      <c r="C915" s="12"/>
      <c r="D915" s="91">
        <f>IFERROR(__xludf.DUMMYFUNCTION("IFERROR(sum(filter('Основной эфир'!$AA:$AA, 'Основной эфир'!$B:$B=$A915,'Основной эфир'!$C:$C=$B915,'Основной эфир'!$I:$I=$C915)), 0) "),0.0)</f>
        <v>0</v>
      </c>
      <c r="E915" s="91">
        <f>IFERROR(__xludf.DUMMYFUNCTION("IFERROR(sum(filter('Основной эфир'!$AC:$AC, 'Основной эфир'!$B:$B=$A915,'Основной эфир'!$C:$C=$B915,'Основной эфир'!$I:$I=$C915)), 0) "),0.0)</f>
        <v>0</v>
      </c>
      <c r="F915" s="91">
        <f>IFERROR(__xludf.DUMMYFUNCTION("IFERROR(sum(filter('Основной эфир'!$O:$O, 'Основной эфир'!$B:$B=$A915,'Основной эфир'!$C:$C=$B915,'Основной эфир'!$I:$I=$C915)), 0) "),0.0)</f>
        <v>0</v>
      </c>
      <c r="G915" s="91">
        <f>IFERROR(__xludf.DUMMYFUNCTION("IFERROR(sum(filter('Основной эфир'!$Q:$Q, 'Основной эфир'!$B:$B=$A915,'Основной эфир'!$C:$C=$B915,'Основной эфир'!$I:$I=$C915)), 0) "),0.0)</f>
        <v>0</v>
      </c>
      <c r="H915" s="91">
        <f>IFERROR(__xludf.DUMMYFUNCTION("IFERROR(AVERAGE(filter('Основной эфир'!$Y:$Y, 'Основной эфир'!$B:$B=$A915,'Основной эфир'!$C:$C=$B915,'Основной эфир'!$I:$I=$C915)), 0) "),0.0)</f>
        <v>0</v>
      </c>
      <c r="I915" s="91">
        <f>IFERROR(__xludf.DUMMYFUNCTION("IFERROR(AVERAGE(filter('Основной эфир'!$AE:$AE, 'Основной эфир'!$B:$B=$A915,'Основной эфир'!$C:$C=$B915,'Основной эфир'!$I:$I=$C915)), 0) "),0.0)</f>
        <v>0</v>
      </c>
      <c r="J915" s="91">
        <f>IFERROR(__xludf.DUMMYFUNCTION("IFERROR(SUM(filter('Основной эфир'!$AL:$AL, 'Основной эфир'!$B:$B=$A915,'Основной эфир'!$C:$C=$B915,'Основной эфир'!$I:$I=$C915)), 0) "),0.0)</f>
        <v>0</v>
      </c>
      <c r="K915" s="91" t="str">
        <f>IFERROR(__xludf.DUMMYFUNCTION("IFERROR(REGEXREPLACE(unique(filter('Основной эфир'!$A:$A, 'Основной эфир'!$B:$B=$A915,'Основной эфир'!$C:$C=$B915,'Основной эфир'!$I:$I=$C915)), ""\d+"", """"),"""")"),"")</f>
        <v/>
      </c>
      <c r="L915" s="91" t="str">
        <f>IFERROR(__xludf.DUMMYFUNCTION("IFERROR(unique(filter('Основной эфир'!$F:$F, 'Основной эфир'!$B:$B=$A915,'Основной эфир'!$C:$C=$B915,'Основной эфир'!$I:$I=$C915)),"""")"),"")</f>
        <v/>
      </c>
      <c r="M915" s="92" t="str">
        <f t="shared" si="1"/>
        <v/>
      </c>
      <c r="N915" s="93">
        <f>IFERROR(__xludf.DUMMYFUNCTION("IFERROR(SWITCH(lower(join("" "",L915:M915)),""а миллионник"", 62.5,""б миллионник"", 75,""а мск"", 50, ""б мск"", 62.5, ""a остальное"", 70, ""б остальное"", 80)/100,0)"),0.0)</f>
        <v>0</v>
      </c>
      <c r="O915" s="91">
        <f t="shared" si="2"/>
        <v>0</v>
      </c>
      <c r="P915" s="91">
        <f>IFERROR(__xludf.DUMMYFUNCTION("IFERROR(sum(filter('Генеральный баннер'!$O:$O, 'Генеральный баннер'!$B:$B=$A915,'Генеральный баннер'!$C:$C=$B915,'Генеральный баннер'!$I:$I=$C915)), 0) "),0.0)</f>
        <v>0</v>
      </c>
      <c r="Q915" s="91">
        <f>IFERROR(__xludf.DUMMYFUNCTION("IFERROR(sum(filter('Генеральный баннер'!$Q:$Q, 'Генеральный баннер'!$B:$B=$A915,'Генеральный баннер'!$C:$C=$B915,'Генеральный баннер'!$I:$I=$C915)), 0) "),0.0)</f>
        <v>0</v>
      </c>
      <c r="R915" s="91">
        <f>IFERROR(__xludf.DUMMYFUNCTION("IFERROR(AVERAGE(filter('Генеральный баннер'!$AA:$AA, 'Генеральный баннер'!$B:$B=$A915,'Генеральный баннер'!$C:$C=$B915,'Генеральный баннер'!$I:$I=$C915)), 0) "),0.0)</f>
        <v>0</v>
      </c>
      <c r="S915" s="91">
        <f>IFERROR(__xludf.DUMMYFUNCTION("IFERROR(SUM(filter('Генеральный баннер'!$AH:$AH, 'Генеральный баннер'!$B:$B=$A915,'Генеральный баннер'!$C:$C=$B915,'Генеральный баннер'!$I:$I=$C915)), 0) "),0.0)</f>
        <v>0</v>
      </c>
      <c r="T915" s="91" t="str">
        <f>IFERROR(__xludf.DUMMYFUNCTION("IFERROR(REGEXREPLACE(unique(filter('Генеральный баннер'!$A:$A, 'Генеральный баннер'!$B:$B=$A915,'Генеральный баннер'!$C:$C=$B915,'Генеральный баннер'!$I:$I=$C915)), ""\d+"", """"),"""")"),"")</f>
        <v/>
      </c>
      <c r="U915" s="91" t="str">
        <f>IFERROR(__xludf.DUMMYFUNCTION("IFERROR(unique(filter('Генеральный баннер'!$F:$F, 'Генеральный баннер'!$B:$B=$A915,'Генеральный баннер'!$C:$C=$B915,'Генеральный баннер'!$I:$I=$C915)),"""")"),"")</f>
        <v/>
      </c>
      <c r="V915" s="92" t="str">
        <f t="shared" si="3"/>
        <v/>
      </c>
      <c r="W915" s="93">
        <f>IFERROR(__xludf.DUMMYFUNCTION("IFERROR(SWITCH(lower(join("" "",U915:V915)),""а миллионник"", 62.5,""б миллионник"", 75,""а мск"", 50, ""б мск"", 62.5, ""a остальное"", 70, ""б остальное"", 80)/100,0)"),0.0)</f>
        <v>0</v>
      </c>
      <c r="X915" s="91">
        <f t="shared" si="4"/>
        <v>0</v>
      </c>
    </row>
    <row r="916">
      <c r="A916" s="12"/>
      <c r="B916" s="12"/>
      <c r="C916" s="12"/>
      <c r="D916" s="91">
        <f>IFERROR(__xludf.DUMMYFUNCTION("IFERROR(sum(filter('Основной эфир'!$AA:$AA, 'Основной эфир'!$B:$B=$A916,'Основной эфир'!$C:$C=$B916,'Основной эфир'!$I:$I=$C916)), 0) "),0.0)</f>
        <v>0</v>
      </c>
      <c r="E916" s="91">
        <f>IFERROR(__xludf.DUMMYFUNCTION("IFERROR(sum(filter('Основной эфир'!$AC:$AC, 'Основной эфир'!$B:$B=$A916,'Основной эфир'!$C:$C=$B916,'Основной эфир'!$I:$I=$C916)), 0) "),0.0)</f>
        <v>0</v>
      </c>
      <c r="F916" s="91">
        <f>IFERROR(__xludf.DUMMYFUNCTION("IFERROR(sum(filter('Основной эфир'!$O:$O, 'Основной эфир'!$B:$B=$A916,'Основной эфир'!$C:$C=$B916,'Основной эфир'!$I:$I=$C916)), 0) "),0.0)</f>
        <v>0</v>
      </c>
      <c r="G916" s="91">
        <f>IFERROR(__xludf.DUMMYFUNCTION("IFERROR(sum(filter('Основной эфир'!$Q:$Q, 'Основной эфир'!$B:$B=$A916,'Основной эфир'!$C:$C=$B916,'Основной эфир'!$I:$I=$C916)), 0) "),0.0)</f>
        <v>0</v>
      </c>
      <c r="H916" s="91">
        <f>IFERROR(__xludf.DUMMYFUNCTION("IFERROR(AVERAGE(filter('Основной эфир'!$Y:$Y, 'Основной эфир'!$B:$B=$A916,'Основной эфир'!$C:$C=$B916,'Основной эфир'!$I:$I=$C916)), 0) "),0.0)</f>
        <v>0</v>
      </c>
      <c r="I916" s="91">
        <f>IFERROR(__xludf.DUMMYFUNCTION("IFERROR(AVERAGE(filter('Основной эфир'!$AE:$AE, 'Основной эфир'!$B:$B=$A916,'Основной эфир'!$C:$C=$B916,'Основной эфир'!$I:$I=$C916)), 0) "),0.0)</f>
        <v>0</v>
      </c>
      <c r="J916" s="91">
        <f>IFERROR(__xludf.DUMMYFUNCTION("IFERROR(SUM(filter('Основной эфир'!$AL:$AL, 'Основной эфир'!$B:$B=$A916,'Основной эфир'!$C:$C=$B916,'Основной эфир'!$I:$I=$C916)), 0) "),0.0)</f>
        <v>0</v>
      </c>
      <c r="K916" s="91" t="str">
        <f>IFERROR(__xludf.DUMMYFUNCTION("IFERROR(REGEXREPLACE(unique(filter('Основной эфир'!$A:$A, 'Основной эфир'!$B:$B=$A916,'Основной эфир'!$C:$C=$B916,'Основной эфир'!$I:$I=$C916)), ""\d+"", """"),"""")"),"")</f>
        <v/>
      </c>
      <c r="L916" s="91" t="str">
        <f>IFERROR(__xludf.DUMMYFUNCTION("IFERROR(unique(filter('Основной эфир'!$F:$F, 'Основной эфир'!$B:$B=$A916,'Основной эфир'!$C:$C=$B916,'Основной эфир'!$I:$I=$C916)),"""")"),"")</f>
        <v/>
      </c>
      <c r="M916" s="92" t="str">
        <f t="shared" si="1"/>
        <v/>
      </c>
      <c r="N916" s="93">
        <f>IFERROR(__xludf.DUMMYFUNCTION("IFERROR(SWITCH(lower(join("" "",L916:M916)),""а миллионник"", 62.5,""б миллионник"", 75,""а мск"", 50, ""б мск"", 62.5, ""a остальное"", 70, ""б остальное"", 80)/100,0)"),0.0)</f>
        <v>0</v>
      </c>
      <c r="O916" s="91">
        <f t="shared" si="2"/>
        <v>0</v>
      </c>
      <c r="P916" s="91">
        <f>IFERROR(__xludf.DUMMYFUNCTION("IFERROR(sum(filter('Генеральный баннер'!$O:$O, 'Генеральный баннер'!$B:$B=$A916,'Генеральный баннер'!$C:$C=$B916,'Генеральный баннер'!$I:$I=$C916)), 0) "),0.0)</f>
        <v>0</v>
      </c>
      <c r="Q916" s="91">
        <f>IFERROR(__xludf.DUMMYFUNCTION("IFERROR(sum(filter('Генеральный баннер'!$Q:$Q, 'Генеральный баннер'!$B:$B=$A916,'Генеральный баннер'!$C:$C=$B916,'Генеральный баннер'!$I:$I=$C916)), 0) "),0.0)</f>
        <v>0</v>
      </c>
      <c r="R916" s="91">
        <f>IFERROR(__xludf.DUMMYFUNCTION("IFERROR(AVERAGE(filter('Генеральный баннер'!$AA:$AA, 'Генеральный баннер'!$B:$B=$A916,'Генеральный баннер'!$C:$C=$B916,'Генеральный баннер'!$I:$I=$C916)), 0) "),0.0)</f>
        <v>0</v>
      </c>
      <c r="S916" s="91">
        <f>IFERROR(__xludf.DUMMYFUNCTION("IFERROR(SUM(filter('Генеральный баннер'!$AH:$AH, 'Генеральный баннер'!$B:$B=$A916,'Генеральный баннер'!$C:$C=$B916,'Генеральный баннер'!$I:$I=$C916)), 0) "),0.0)</f>
        <v>0</v>
      </c>
      <c r="T916" s="91" t="str">
        <f>IFERROR(__xludf.DUMMYFUNCTION("IFERROR(REGEXREPLACE(unique(filter('Генеральный баннер'!$A:$A, 'Генеральный баннер'!$B:$B=$A916,'Генеральный баннер'!$C:$C=$B916,'Генеральный баннер'!$I:$I=$C916)), ""\d+"", """"),"""")"),"")</f>
        <v/>
      </c>
      <c r="U916" s="91" t="str">
        <f>IFERROR(__xludf.DUMMYFUNCTION("IFERROR(unique(filter('Генеральный баннер'!$F:$F, 'Генеральный баннер'!$B:$B=$A916,'Генеральный баннер'!$C:$C=$B916,'Генеральный баннер'!$I:$I=$C916)),"""")"),"")</f>
        <v/>
      </c>
      <c r="V916" s="92" t="str">
        <f t="shared" si="3"/>
        <v/>
      </c>
      <c r="W916" s="93">
        <f>IFERROR(__xludf.DUMMYFUNCTION("IFERROR(SWITCH(lower(join("" "",U916:V916)),""а миллионник"", 62.5,""б миллионник"", 75,""а мск"", 50, ""б мск"", 62.5, ""a остальное"", 70, ""б остальное"", 80)/100,0)"),0.0)</f>
        <v>0</v>
      </c>
      <c r="X916" s="91">
        <f t="shared" si="4"/>
        <v>0</v>
      </c>
    </row>
    <row r="917">
      <c r="A917" s="12"/>
      <c r="B917" s="12"/>
      <c r="C917" s="12"/>
      <c r="D917" s="91">
        <f>IFERROR(__xludf.DUMMYFUNCTION("IFERROR(sum(filter('Основной эфир'!$AA:$AA, 'Основной эфир'!$B:$B=$A917,'Основной эфир'!$C:$C=$B917,'Основной эфир'!$I:$I=$C917)), 0) "),0.0)</f>
        <v>0</v>
      </c>
      <c r="E917" s="91">
        <f>IFERROR(__xludf.DUMMYFUNCTION("IFERROR(sum(filter('Основной эфир'!$AC:$AC, 'Основной эфир'!$B:$B=$A917,'Основной эфир'!$C:$C=$B917,'Основной эфир'!$I:$I=$C917)), 0) "),0.0)</f>
        <v>0</v>
      </c>
      <c r="F917" s="91">
        <f>IFERROR(__xludf.DUMMYFUNCTION("IFERROR(sum(filter('Основной эфир'!$O:$O, 'Основной эфир'!$B:$B=$A917,'Основной эфир'!$C:$C=$B917,'Основной эфир'!$I:$I=$C917)), 0) "),0.0)</f>
        <v>0</v>
      </c>
      <c r="G917" s="91">
        <f>IFERROR(__xludf.DUMMYFUNCTION("IFERROR(sum(filter('Основной эфир'!$Q:$Q, 'Основной эфир'!$B:$B=$A917,'Основной эфир'!$C:$C=$B917,'Основной эфир'!$I:$I=$C917)), 0) "),0.0)</f>
        <v>0</v>
      </c>
      <c r="H917" s="91">
        <f>IFERROR(__xludf.DUMMYFUNCTION("IFERROR(AVERAGE(filter('Основной эфир'!$Y:$Y, 'Основной эфир'!$B:$B=$A917,'Основной эфир'!$C:$C=$B917,'Основной эфир'!$I:$I=$C917)), 0) "),0.0)</f>
        <v>0</v>
      </c>
      <c r="I917" s="91">
        <f>IFERROR(__xludf.DUMMYFUNCTION("IFERROR(AVERAGE(filter('Основной эфир'!$AE:$AE, 'Основной эфир'!$B:$B=$A917,'Основной эфир'!$C:$C=$B917,'Основной эфир'!$I:$I=$C917)), 0) "),0.0)</f>
        <v>0</v>
      </c>
      <c r="J917" s="91">
        <f>IFERROR(__xludf.DUMMYFUNCTION("IFERROR(SUM(filter('Основной эфир'!$AL:$AL, 'Основной эфир'!$B:$B=$A917,'Основной эфир'!$C:$C=$B917,'Основной эфир'!$I:$I=$C917)), 0) "),0.0)</f>
        <v>0</v>
      </c>
      <c r="K917" s="91" t="str">
        <f>IFERROR(__xludf.DUMMYFUNCTION("IFERROR(REGEXREPLACE(unique(filter('Основной эфир'!$A:$A, 'Основной эфир'!$B:$B=$A917,'Основной эфир'!$C:$C=$B917,'Основной эфир'!$I:$I=$C917)), ""\d+"", """"),"""")"),"")</f>
        <v/>
      </c>
      <c r="L917" s="91" t="str">
        <f>IFERROR(__xludf.DUMMYFUNCTION("IFERROR(unique(filter('Основной эфир'!$F:$F, 'Основной эфир'!$B:$B=$A917,'Основной эфир'!$C:$C=$B917,'Основной эфир'!$I:$I=$C917)),"""")"),"")</f>
        <v/>
      </c>
      <c r="M917" s="92" t="str">
        <f t="shared" si="1"/>
        <v/>
      </c>
      <c r="N917" s="93">
        <f>IFERROR(__xludf.DUMMYFUNCTION("IFERROR(SWITCH(lower(join("" "",L917:M917)),""а миллионник"", 62.5,""б миллионник"", 75,""а мск"", 50, ""б мск"", 62.5, ""a остальное"", 70, ""б остальное"", 80)/100,0)"),0.0)</f>
        <v>0</v>
      </c>
      <c r="O917" s="91">
        <f t="shared" si="2"/>
        <v>0</v>
      </c>
      <c r="P917" s="91">
        <f>IFERROR(__xludf.DUMMYFUNCTION("IFERROR(sum(filter('Генеральный баннер'!$O:$O, 'Генеральный баннер'!$B:$B=$A917,'Генеральный баннер'!$C:$C=$B917,'Генеральный баннер'!$I:$I=$C917)), 0) "),0.0)</f>
        <v>0</v>
      </c>
      <c r="Q917" s="91">
        <f>IFERROR(__xludf.DUMMYFUNCTION("IFERROR(sum(filter('Генеральный баннер'!$Q:$Q, 'Генеральный баннер'!$B:$B=$A917,'Генеральный баннер'!$C:$C=$B917,'Генеральный баннер'!$I:$I=$C917)), 0) "),0.0)</f>
        <v>0</v>
      </c>
      <c r="R917" s="91">
        <f>IFERROR(__xludf.DUMMYFUNCTION("IFERROR(AVERAGE(filter('Генеральный баннер'!$AA:$AA, 'Генеральный баннер'!$B:$B=$A917,'Генеральный баннер'!$C:$C=$B917,'Генеральный баннер'!$I:$I=$C917)), 0) "),0.0)</f>
        <v>0</v>
      </c>
      <c r="S917" s="91">
        <f>IFERROR(__xludf.DUMMYFUNCTION("IFERROR(SUM(filter('Генеральный баннер'!$AH:$AH, 'Генеральный баннер'!$B:$B=$A917,'Генеральный баннер'!$C:$C=$B917,'Генеральный баннер'!$I:$I=$C917)), 0) "),0.0)</f>
        <v>0</v>
      </c>
      <c r="T917" s="91" t="str">
        <f>IFERROR(__xludf.DUMMYFUNCTION("IFERROR(REGEXREPLACE(unique(filter('Генеральный баннер'!$A:$A, 'Генеральный баннер'!$B:$B=$A917,'Генеральный баннер'!$C:$C=$B917,'Генеральный баннер'!$I:$I=$C917)), ""\d+"", """"),"""")"),"")</f>
        <v/>
      </c>
      <c r="U917" s="91" t="str">
        <f>IFERROR(__xludf.DUMMYFUNCTION("IFERROR(unique(filter('Генеральный баннер'!$F:$F, 'Генеральный баннер'!$B:$B=$A917,'Генеральный баннер'!$C:$C=$B917,'Генеральный баннер'!$I:$I=$C917)),"""")"),"")</f>
        <v/>
      </c>
      <c r="V917" s="92" t="str">
        <f t="shared" si="3"/>
        <v/>
      </c>
      <c r="W917" s="93">
        <f>IFERROR(__xludf.DUMMYFUNCTION("IFERROR(SWITCH(lower(join("" "",U917:V917)),""а миллионник"", 62.5,""б миллионник"", 75,""а мск"", 50, ""б мск"", 62.5, ""a остальное"", 70, ""б остальное"", 80)/100,0)"),0.0)</f>
        <v>0</v>
      </c>
      <c r="X917" s="91">
        <f t="shared" si="4"/>
        <v>0</v>
      </c>
    </row>
    <row r="918">
      <c r="A918" s="12"/>
      <c r="B918" s="12"/>
      <c r="C918" s="12"/>
      <c r="D918" s="91">
        <f>IFERROR(__xludf.DUMMYFUNCTION("IFERROR(sum(filter('Основной эфир'!$AA:$AA, 'Основной эфир'!$B:$B=$A918,'Основной эфир'!$C:$C=$B918,'Основной эфир'!$I:$I=$C918)), 0) "),0.0)</f>
        <v>0</v>
      </c>
      <c r="E918" s="91">
        <f>IFERROR(__xludf.DUMMYFUNCTION("IFERROR(sum(filter('Основной эфир'!$AC:$AC, 'Основной эфир'!$B:$B=$A918,'Основной эфир'!$C:$C=$B918,'Основной эфир'!$I:$I=$C918)), 0) "),0.0)</f>
        <v>0</v>
      </c>
      <c r="F918" s="91">
        <f>IFERROR(__xludf.DUMMYFUNCTION("IFERROR(sum(filter('Основной эфир'!$O:$O, 'Основной эфир'!$B:$B=$A918,'Основной эфир'!$C:$C=$B918,'Основной эфир'!$I:$I=$C918)), 0) "),0.0)</f>
        <v>0</v>
      </c>
      <c r="G918" s="91">
        <f>IFERROR(__xludf.DUMMYFUNCTION("IFERROR(sum(filter('Основной эфир'!$Q:$Q, 'Основной эфир'!$B:$B=$A918,'Основной эфир'!$C:$C=$B918,'Основной эфир'!$I:$I=$C918)), 0) "),0.0)</f>
        <v>0</v>
      </c>
      <c r="H918" s="91">
        <f>IFERROR(__xludf.DUMMYFUNCTION("IFERROR(AVERAGE(filter('Основной эфир'!$Y:$Y, 'Основной эфир'!$B:$B=$A918,'Основной эфир'!$C:$C=$B918,'Основной эфир'!$I:$I=$C918)), 0) "),0.0)</f>
        <v>0</v>
      </c>
      <c r="I918" s="91">
        <f>IFERROR(__xludf.DUMMYFUNCTION("IFERROR(AVERAGE(filter('Основной эфир'!$AE:$AE, 'Основной эфир'!$B:$B=$A918,'Основной эфир'!$C:$C=$B918,'Основной эфир'!$I:$I=$C918)), 0) "),0.0)</f>
        <v>0</v>
      </c>
      <c r="J918" s="91">
        <f>IFERROR(__xludf.DUMMYFUNCTION("IFERROR(SUM(filter('Основной эфир'!$AL:$AL, 'Основной эфир'!$B:$B=$A918,'Основной эфир'!$C:$C=$B918,'Основной эфир'!$I:$I=$C918)), 0) "),0.0)</f>
        <v>0</v>
      </c>
      <c r="K918" s="91" t="str">
        <f>IFERROR(__xludf.DUMMYFUNCTION("IFERROR(REGEXREPLACE(unique(filter('Основной эфир'!$A:$A, 'Основной эфир'!$B:$B=$A918,'Основной эфир'!$C:$C=$B918,'Основной эфир'!$I:$I=$C918)), ""\d+"", """"),"""")"),"")</f>
        <v/>
      </c>
      <c r="L918" s="91" t="str">
        <f>IFERROR(__xludf.DUMMYFUNCTION("IFERROR(unique(filter('Основной эфир'!$F:$F, 'Основной эфир'!$B:$B=$A918,'Основной эфир'!$C:$C=$B918,'Основной эфир'!$I:$I=$C918)),"""")"),"")</f>
        <v/>
      </c>
      <c r="M918" s="92" t="str">
        <f t="shared" si="1"/>
        <v/>
      </c>
      <c r="N918" s="93">
        <f>IFERROR(__xludf.DUMMYFUNCTION("IFERROR(SWITCH(lower(join("" "",L918:M918)),""а миллионник"", 62.5,""б миллионник"", 75,""а мск"", 50, ""б мск"", 62.5, ""a остальное"", 70, ""б остальное"", 80)/100,0)"),0.0)</f>
        <v>0</v>
      </c>
      <c r="O918" s="91">
        <f t="shared" si="2"/>
        <v>0</v>
      </c>
      <c r="P918" s="91">
        <f>IFERROR(__xludf.DUMMYFUNCTION("IFERROR(sum(filter('Генеральный баннер'!$O:$O, 'Генеральный баннер'!$B:$B=$A918,'Генеральный баннер'!$C:$C=$B918,'Генеральный баннер'!$I:$I=$C918)), 0) "),0.0)</f>
        <v>0</v>
      </c>
      <c r="Q918" s="91">
        <f>IFERROR(__xludf.DUMMYFUNCTION("IFERROR(sum(filter('Генеральный баннер'!$Q:$Q, 'Генеральный баннер'!$B:$B=$A918,'Генеральный баннер'!$C:$C=$B918,'Генеральный баннер'!$I:$I=$C918)), 0) "),0.0)</f>
        <v>0</v>
      </c>
      <c r="R918" s="91">
        <f>IFERROR(__xludf.DUMMYFUNCTION("IFERROR(AVERAGE(filter('Генеральный баннер'!$AA:$AA, 'Генеральный баннер'!$B:$B=$A918,'Генеральный баннер'!$C:$C=$B918,'Генеральный баннер'!$I:$I=$C918)), 0) "),0.0)</f>
        <v>0</v>
      </c>
      <c r="S918" s="91">
        <f>IFERROR(__xludf.DUMMYFUNCTION("IFERROR(SUM(filter('Генеральный баннер'!$AH:$AH, 'Генеральный баннер'!$B:$B=$A918,'Генеральный баннер'!$C:$C=$B918,'Генеральный баннер'!$I:$I=$C918)), 0) "),0.0)</f>
        <v>0</v>
      </c>
      <c r="T918" s="91" t="str">
        <f>IFERROR(__xludf.DUMMYFUNCTION("IFERROR(REGEXREPLACE(unique(filter('Генеральный баннер'!$A:$A, 'Генеральный баннер'!$B:$B=$A918,'Генеральный баннер'!$C:$C=$B918,'Генеральный баннер'!$I:$I=$C918)), ""\d+"", """"),"""")"),"")</f>
        <v/>
      </c>
      <c r="U918" s="91" t="str">
        <f>IFERROR(__xludf.DUMMYFUNCTION("IFERROR(unique(filter('Генеральный баннер'!$F:$F, 'Генеральный баннер'!$B:$B=$A918,'Генеральный баннер'!$C:$C=$B918,'Генеральный баннер'!$I:$I=$C918)),"""")"),"")</f>
        <v/>
      </c>
      <c r="V918" s="92" t="str">
        <f t="shared" si="3"/>
        <v/>
      </c>
      <c r="W918" s="93">
        <f>IFERROR(__xludf.DUMMYFUNCTION("IFERROR(SWITCH(lower(join("" "",U918:V918)),""а миллионник"", 62.5,""б миллионник"", 75,""а мск"", 50, ""б мск"", 62.5, ""a остальное"", 70, ""б остальное"", 80)/100,0)"),0.0)</f>
        <v>0</v>
      </c>
      <c r="X918" s="91">
        <f t="shared" si="4"/>
        <v>0</v>
      </c>
    </row>
    <row r="919">
      <c r="A919" s="12"/>
      <c r="B919" s="12"/>
      <c r="C919" s="12"/>
      <c r="D919" s="91">
        <f>IFERROR(__xludf.DUMMYFUNCTION("IFERROR(sum(filter('Основной эфир'!$AA:$AA, 'Основной эфир'!$B:$B=$A919,'Основной эфир'!$C:$C=$B919,'Основной эфир'!$I:$I=$C919)), 0) "),0.0)</f>
        <v>0</v>
      </c>
      <c r="E919" s="91">
        <f>IFERROR(__xludf.DUMMYFUNCTION("IFERROR(sum(filter('Основной эфир'!$AC:$AC, 'Основной эфир'!$B:$B=$A919,'Основной эфир'!$C:$C=$B919,'Основной эфир'!$I:$I=$C919)), 0) "),0.0)</f>
        <v>0</v>
      </c>
      <c r="F919" s="91">
        <f>IFERROR(__xludf.DUMMYFUNCTION("IFERROR(sum(filter('Основной эфир'!$O:$O, 'Основной эфир'!$B:$B=$A919,'Основной эфир'!$C:$C=$B919,'Основной эфир'!$I:$I=$C919)), 0) "),0.0)</f>
        <v>0</v>
      </c>
      <c r="G919" s="91">
        <f>IFERROR(__xludf.DUMMYFUNCTION("IFERROR(sum(filter('Основной эфир'!$Q:$Q, 'Основной эфир'!$B:$B=$A919,'Основной эфир'!$C:$C=$B919,'Основной эфир'!$I:$I=$C919)), 0) "),0.0)</f>
        <v>0</v>
      </c>
      <c r="H919" s="91">
        <f>IFERROR(__xludf.DUMMYFUNCTION("IFERROR(AVERAGE(filter('Основной эфир'!$Y:$Y, 'Основной эфир'!$B:$B=$A919,'Основной эфир'!$C:$C=$B919,'Основной эфир'!$I:$I=$C919)), 0) "),0.0)</f>
        <v>0</v>
      </c>
      <c r="I919" s="91">
        <f>IFERROR(__xludf.DUMMYFUNCTION("IFERROR(AVERAGE(filter('Основной эфир'!$AE:$AE, 'Основной эфир'!$B:$B=$A919,'Основной эфир'!$C:$C=$B919,'Основной эфир'!$I:$I=$C919)), 0) "),0.0)</f>
        <v>0</v>
      </c>
      <c r="J919" s="91">
        <f>IFERROR(__xludf.DUMMYFUNCTION("IFERROR(SUM(filter('Основной эфир'!$AL:$AL, 'Основной эфир'!$B:$B=$A919,'Основной эфир'!$C:$C=$B919,'Основной эфир'!$I:$I=$C919)), 0) "),0.0)</f>
        <v>0</v>
      </c>
      <c r="K919" s="91" t="str">
        <f>IFERROR(__xludf.DUMMYFUNCTION("IFERROR(REGEXREPLACE(unique(filter('Основной эфир'!$A:$A, 'Основной эфир'!$B:$B=$A919,'Основной эфир'!$C:$C=$B919,'Основной эфир'!$I:$I=$C919)), ""\d+"", """"),"""")"),"")</f>
        <v/>
      </c>
      <c r="L919" s="91" t="str">
        <f>IFERROR(__xludf.DUMMYFUNCTION("IFERROR(unique(filter('Основной эфир'!$F:$F, 'Основной эфир'!$B:$B=$A919,'Основной эфир'!$C:$C=$B919,'Основной эфир'!$I:$I=$C919)),"""")"),"")</f>
        <v/>
      </c>
      <c r="M919" s="92" t="str">
        <f t="shared" si="1"/>
        <v/>
      </c>
      <c r="N919" s="93">
        <f>IFERROR(__xludf.DUMMYFUNCTION("IFERROR(SWITCH(lower(join("" "",L919:M919)),""а миллионник"", 62.5,""б миллионник"", 75,""а мск"", 50, ""б мск"", 62.5, ""a остальное"", 70, ""б остальное"", 80)/100,0)"),0.0)</f>
        <v>0</v>
      </c>
      <c r="O919" s="91">
        <f t="shared" si="2"/>
        <v>0</v>
      </c>
      <c r="P919" s="91">
        <f>IFERROR(__xludf.DUMMYFUNCTION("IFERROR(sum(filter('Генеральный баннер'!$O:$O, 'Генеральный баннер'!$B:$B=$A919,'Генеральный баннер'!$C:$C=$B919,'Генеральный баннер'!$I:$I=$C919)), 0) "),0.0)</f>
        <v>0</v>
      </c>
      <c r="Q919" s="91">
        <f>IFERROR(__xludf.DUMMYFUNCTION("IFERROR(sum(filter('Генеральный баннер'!$Q:$Q, 'Генеральный баннер'!$B:$B=$A919,'Генеральный баннер'!$C:$C=$B919,'Генеральный баннер'!$I:$I=$C919)), 0) "),0.0)</f>
        <v>0</v>
      </c>
      <c r="R919" s="91">
        <f>IFERROR(__xludf.DUMMYFUNCTION("IFERROR(AVERAGE(filter('Генеральный баннер'!$AA:$AA, 'Генеральный баннер'!$B:$B=$A919,'Генеральный баннер'!$C:$C=$B919,'Генеральный баннер'!$I:$I=$C919)), 0) "),0.0)</f>
        <v>0</v>
      </c>
      <c r="S919" s="91">
        <f>IFERROR(__xludf.DUMMYFUNCTION("IFERROR(SUM(filter('Генеральный баннер'!$AH:$AH, 'Генеральный баннер'!$B:$B=$A919,'Генеральный баннер'!$C:$C=$B919,'Генеральный баннер'!$I:$I=$C919)), 0) "),0.0)</f>
        <v>0</v>
      </c>
      <c r="T919" s="91" t="str">
        <f>IFERROR(__xludf.DUMMYFUNCTION("IFERROR(REGEXREPLACE(unique(filter('Генеральный баннер'!$A:$A, 'Генеральный баннер'!$B:$B=$A919,'Генеральный баннер'!$C:$C=$B919,'Генеральный баннер'!$I:$I=$C919)), ""\d+"", """"),"""")"),"")</f>
        <v/>
      </c>
      <c r="U919" s="91" t="str">
        <f>IFERROR(__xludf.DUMMYFUNCTION("IFERROR(unique(filter('Генеральный баннер'!$F:$F, 'Генеральный баннер'!$B:$B=$A919,'Генеральный баннер'!$C:$C=$B919,'Генеральный баннер'!$I:$I=$C919)),"""")"),"")</f>
        <v/>
      </c>
      <c r="V919" s="92" t="str">
        <f t="shared" si="3"/>
        <v/>
      </c>
      <c r="W919" s="93">
        <f>IFERROR(__xludf.DUMMYFUNCTION("IFERROR(SWITCH(lower(join("" "",U919:V919)),""а миллионник"", 62.5,""б миллионник"", 75,""а мск"", 50, ""б мск"", 62.5, ""a остальное"", 70, ""б остальное"", 80)/100,0)"),0.0)</f>
        <v>0</v>
      </c>
      <c r="X919" s="91">
        <f t="shared" si="4"/>
        <v>0</v>
      </c>
    </row>
    <row r="920">
      <c r="A920" s="12"/>
      <c r="B920" s="12"/>
      <c r="C920" s="12"/>
      <c r="D920" s="91">
        <f>IFERROR(__xludf.DUMMYFUNCTION("IFERROR(sum(filter('Основной эфир'!$AA:$AA, 'Основной эфир'!$B:$B=$A920,'Основной эфир'!$C:$C=$B920,'Основной эфир'!$I:$I=$C920)), 0) "),0.0)</f>
        <v>0</v>
      </c>
      <c r="E920" s="91">
        <f>IFERROR(__xludf.DUMMYFUNCTION("IFERROR(sum(filter('Основной эфир'!$AC:$AC, 'Основной эфир'!$B:$B=$A920,'Основной эфир'!$C:$C=$B920,'Основной эфир'!$I:$I=$C920)), 0) "),0.0)</f>
        <v>0</v>
      </c>
      <c r="F920" s="91">
        <f>IFERROR(__xludf.DUMMYFUNCTION("IFERROR(sum(filter('Основной эфир'!$O:$O, 'Основной эфир'!$B:$B=$A920,'Основной эфир'!$C:$C=$B920,'Основной эфир'!$I:$I=$C920)), 0) "),0.0)</f>
        <v>0</v>
      </c>
      <c r="G920" s="91">
        <f>IFERROR(__xludf.DUMMYFUNCTION("IFERROR(sum(filter('Основной эфир'!$Q:$Q, 'Основной эфир'!$B:$B=$A920,'Основной эфир'!$C:$C=$B920,'Основной эфир'!$I:$I=$C920)), 0) "),0.0)</f>
        <v>0</v>
      </c>
      <c r="H920" s="91">
        <f>IFERROR(__xludf.DUMMYFUNCTION("IFERROR(AVERAGE(filter('Основной эфир'!$Y:$Y, 'Основной эфир'!$B:$B=$A920,'Основной эфир'!$C:$C=$B920,'Основной эфир'!$I:$I=$C920)), 0) "),0.0)</f>
        <v>0</v>
      </c>
      <c r="I920" s="91">
        <f>IFERROR(__xludf.DUMMYFUNCTION("IFERROR(AVERAGE(filter('Основной эфир'!$AE:$AE, 'Основной эфир'!$B:$B=$A920,'Основной эфир'!$C:$C=$B920,'Основной эфир'!$I:$I=$C920)), 0) "),0.0)</f>
        <v>0</v>
      </c>
      <c r="J920" s="91">
        <f>IFERROR(__xludf.DUMMYFUNCTION("IFERROR(SUM(filter('Основной эфир'!$AL:$AL, 'Основной эфир'!$B:$B=$A920,'Основной эфир'!$C:$C=$B920,'Основной эфир'!$I:$I=$C920)), 0) "),0.0)</f>
        <v>0</v>
      </c>
      <c r="K920" s="91" t="str">
        <f>IFERROR(__xludf.DUMMYFUNCTION("IFERROR(REGEXREPLACE(unique(filter('Основной эфир'!$A:$A, 'Основной эфир'!$B:$B=$A920,'Основной эфир'!$C:$C=$B920,'Основной эфир'!$I:$I=$C920)), ""\d+"", """"),"""")"),"")</f>
        <v/>
      </c>
      <c r="L920" s="91" t="str">
        <f>IFERROR(__xludf.DUMMYFUNCTION("IFERROR(unique(filter('Основной эфир'!$F:$F, 'Основной эфир'!$B:$B=$A920,'Основной эфир'!$C:$C=$B920,'Основной эфир'!$I:$I=$C920)),"""")"),"")</f>
        <v/>
      </c>
      <c r="M920" s="92" t="str">
        <f t="shared" si="1"/>
        <v/>
      </c>
      <c r="N920" s="93">
        <f>IFERROR(__xludf.DUMMYFUNCTION("IFERROR(SWITCH(lower(join("" "",L920:M920)),""а миллионник"", 62.5,""б миллионник"", 75,""а мск"", 50, ""б мск"", 62.5, ""a остальное"", 70, ""б остальное"", 80)/100,0)"),0.0)</f>
        <v>0</v>
      </c>
      <c r="O920" s="91">
        <f t="shared" si="2"/>
        <v>0</v>
      </c>
      <c r="P920" s="91">
        <f>IFERROR(__xludf.DUMMYFUNCTION("IFERROR(sum(filter('Генеральный баннер'!$O:$O, 'Генеральный баннер'!$B:$B=$A920,'Генеральный баннер'!$C:$C=$B920,'Генеральный баннер'!$I:$I=$C920)), 0) "),0.0)</f>
        <v>0</v>
      </c>
      <c r="Q920" s="91">
        <f>IFERROR(__xludf.DUMMYFUNCTION("IFERROR(sum(filter('Генеральный баннер'!$Q:$Q, 'Генеральный баннер'!$B:$B=$A920,'Генеральный баннер'!$C:$C=$B920,'Генеральный баннер'!$I:$I=$C920)), 0) "),0.0)</f>
        <v>0</v>
      </c>
      <c r="R920" s="91">
        <f>IFERROR(__xludf.DUMMYFUNCTION("IFERROR(AVERAGE(filter('Генеральный баннер'!$AA:$AA, 'Генеральный баннер'!$B:$B=$A920,'Генеральный баннер'!$C:$C=$B920,'Генеральный баннер'!$I:$I=$C920)), 0) "),0.0)</f>
        <v>0</v>
      </c>
      <c r="S920" s="91">
        <f>IFERROR(__xludf.DUMMYFUNCTION("IFERROR(SUM(filter('Генеральный баннер'!$AH:$AH, 'Генеральный баннер'!$B:$B=$A920,'Генеральный баннер'!$C:$C=$B920,'Генеральный баннер'!$I:$I=$C920)), 0) "),0.0)</f>
        <v>0</v>
      </c>
      <c r="T920" s="91" t="str">
        <f>IFERROR(__xludf.DUMMYFUNCTION("IFERROR(REGEXREPLACE(unique(filter('Генеральный баннер'!$A:$A, 'Генеральный баннер'!$B:$B=$A920,'Генеральный баннер'!$C:$C=$B920,'Генеральный баннер'!$I:$I=$C920)), ""\d+"", """"),"""")"),"")</f>
        <v/>
      </c>
      <c r="U920" s="91" t="str">
        <f>IFERROR(__xludf.DUMMYFUNCTION("IFERROR(unique(filter('Генеральный баннер'!$F:$F, 'Генеральный баннер'!$B:$B=$A920,'Генеральный баннер'!$C:$C=$B920,'Генеральный баннер'!$I:$I=$C920)),"""")"),"")</f>
        <v/>
      </c>
      <c r="V920" s="92" t="str">
        <f t="shared" si="3"/>
        <v/>
      </c>
      <c r="W920" s="93">
        <f>IFERROR(__xludf.DUMMYFUNCTION("IFERROR(SWITCH(lower(join("" "",U920:V920)),""а миллионник"", 62.5,""б миллионник"", 75,""а мск"", 50, ""б мск"", 62.5, ""a остальное"", 70, ""б остальное"", 80)/100,0)"),0.0)</f>
        <v>0</v>
      </c>
      <c r="X920" s="91">
        <f t="shared" si="4"/>
        <v>0</v>
      </c>
    </row>
    <row r="921">
      <c r="A921" s="12"/>
      <c r="B921" s="12"/>
      <c r="C921" s="12"/>
      <c r="D921" s="91">
        <f>IFERROR(__xludf.DUMMYFUNCTION("IFERROR(sum(filter('Основной эфир'!$AA:$AA, 'Основной эфир'!$B:$B=$A921,'Основной эфир'!$C:$C=$B921,'Основной эфир'!$I:$I=$C921)), 0) "),0.0)</f>
        <v>0</v>
      </c>
      <c r="E921" s="91">
        <f>IFERROR(__xludf.DUMMYFUNCTION("IFERROR(sum(filter('Основной эфир'!$AC:$AC, 'Основной эфир'!$B:$B=$A921,'Основной эфир'!$C:$C=$B921,'Основной эфир'!$I:$I=$C921)), 0) "),0.0)</f>
        <v>0</v>
      </c>
      <c r="F921" s="91">
        <f>IFERROR(__xludf.DUMMYFUNCTION("IFERROR(sum(filter('Основной эфир'!$O:$O, 'Основной эфир'!$B:$B=$A921,'Основной эфир'!$C:$C=$B921,'Основной эфир'!$I:$I=$C921)), 0) "),0.0)</f>
        <v>0</v>
      </c>
      <c r="G921" s="91">
        <f>IFERROR(__xludf.DUMMYFUNCTION("IFERROR(sum(filter('Основной эфир'!$Q:$Q, 'Основной эфир'!$B:$B=$A921,'Основной эфир'!$C:$C=$B921,'Основной эфир'!$I:$I=$C921)), 0) "),0.0)</f>
        <v>0</v>
      </c>
      <c r="H921" s="91">
        <f>IFERROR(__xludf.DUMMYFUNCTION("IFERROR(AVERAGE(filter('Основной эфир'!$Y:$Y, 'Основной эфир'!$B:$B=$A921,'Основной эфир'!$C:$C=$B921,'Основной эфир'!$I:$I=$C921)), 0) "),0.0)</f>
        <v>0</v>
      </c>
      <c r="I921" s="91">
        <f>IFERROR(__xludf.DUMMYFUNCTION("IFERROR(AVERAGE(filter('Основной эфир'!$AE:$AE, 'Основной эфир'!$B:$B=$A921,'Основной эфир'!$C:$C=$B921,'Основной эфир'!$I:$I=$C921)), 0) "),0.0)</f>
        <v>0</v>
      </c>
      <c r="J921" s="91">
        <f>IFERROR(__xludf.DUMMYFUNCTION("IFERROR(SUM(filter('Основной эфир'!$AL:$AL, 'Основной эфир'!$B:$B=$A921,'Основной эфир'!$C:$C=$B921,'Основной эфир'!$I:$I=$C921)), 0) "),0.0)</f>
        <v>0</v>
      </c>
      <c r="K921" s="91" t="str">
        <f>IFERROR(__xludf.DUMMYFUNCTION("IFERROR(REGEXREPLACE(unique(filter('Основной эфир'!$A:$A, 'Основной эфир'!$B:$B=$A921,'Основной эфир'!$C:$C=$B921,'Основной эфир'!$I:$I=$C921)), ""\d+"", """"),"""")"),"")</f>
        <v/>
      </c>
      <c r="L921" s="91" t="str">
        <f>IFERROR(__xludf.DUMMYFUNCTION("IFERROR(unique(filter('Основной эфир'!$F:$F, 'Основной эфир'!$B:$B=$A921,'Основной эфир'!$C:$C=$B921,'Основной эфир'!$I:$I=$C921)),"""")"),"")</f>
        <v/>
      </c>
      <c r="M921" s="92" t="str">
        <f t="shared" si="1"/>
        <v/>
      </c>
      <c r="N921" s="93">
        <f>IFERROR(__xludf.DUMMYFUNCTION("IFERROR(SWITCH(lower(join("" "",L921:M921)),""а миллионник"", 62.5,""б миллионник"", 75,""а мск"", 50, ""б мск"", 62.5, ""a остальное"", 70, ""б остальное"", 80)/100,0)"),0.0)</f>
        <v>0</v>
      </c>
      <c r="O921" s="91">
        <f t="shared" si="2"/>
        <v>0</v>
      </c>
      <c r="P921" s="91">
        <f>IFERROR(__xludf.DUMMYFUNCTION("IFERROR(sum(filter('Генеральный баннер'!$O:$O, 'Генеральный баннер'!$B:$B=$A921,'Генеральный баннер'!$C:$C=$B921,'Генеральный баннер'!$I:$I=$C921)), 0) "),0.0)</f>
        <v>0</v>
      </c>
      <c r="Q921" s="91">
        <f>IFERROR(__xludf.DUMMYFUNCTION("IFERROR(sum(filter('Генеральный баннер'!$Q:$Q, 'Генеральный баннер'!$B:$B=$A921,'Генеральный баннер'!$C:$C=$B921,'Генеральный баннер'!$I:$I=$C921)), 0) "),0.0)</f>
        <v>0</v>
      </c>
      <c r="R921" s="91">
        <f>IFERROR(__xludf.DUMMYFUNCTION("IFERROR(AVERAGE(filter('Генеральный баннер'!$AA:$AA, 'Генеральный баннер'!$B:$B=$A921,'Генеральный баннер'!$C:$C=$B921,'Генеральный баннер'!$I:$I=$C921)), 0) "),0.0)</f>
        <v>0</v>
      </c>
      <c r="S921" s="91">
        <f>IFERROR(__xludf.DUMMYFUNCTION("IFERROR(SUM(filter('Генеральный баннер'!$AH:$AH, 'Генеральный баннер'!$B:$B=$A921,'Генеральный баннер'!$C:$C=$B921,'Генеральный баннер'!$I:$I=$C921)), 0) "),0.0)</f>
        <v>0</v>
      </c>
      <c r="T921" s="91" t="str">
        <f>IFERROR(__xludf.DUMMYFUNCTION("IFERROR(REGEXREPLACE(unique(filter('Генеральный баннер'!$A:$A, 'Генеральный баннер'!$B:$B=$A921,'Генеральный баннер'!$C:$C=$B921,'Генеральный баннер'!$I:$I=$C921)), ""\d+"", """"),"""")"),"")</f>
        <v/>
      </c>
      <c r="U921" s="91" t="str">
        <f>IFERROR(__xludf.DUMMYFUNCTION("IFERROR(unique(filter('Генеральный баннер'!$F:$F, 'Генеральный баннер'!$B:$B=$A921,'Генеральный баннер'!$C:$C=$B921,'Генеральный баннер'!$I:$I=$C921)),"""")"),"")</f>
        <v/>
      </c>
      <c r="V921" s="92" t="str">
        <f t="shared" si="3"/>
        <v/>
      </c>
      <c r="W921" s="93">
        <f>IFERROR(__xludf.DUMMYFUNCTION("IFERROR(SWITCH(lower(join("" "",U921:V921)),""а миллионник"", 62.5,""б миллионник"", 75,""а мск"", 50, ""б мск"", 62.5, ""a остальное"", 70, ""б остальное"", 80)/100,0)"),0.0)</f>
        <v>0</v>
      </c>
      <c r="X921" s="91">
        <f t="shared" si="4"/>
        <v>0</v>
      </c>
    </row>
    <row r="922">
      <c r="A922" s="12"/>
      <c r="B922" s="12"/>
      <c r="C922" s="12"/>
      <c r="D922" s="91">
        <f>IFERROR(__xludf.DUMMYFUNCTION("IFERROR(sum(filter('Основной эфир'!$AA:$AA, 'Основной эфир'!$B:$B=$A922,'Основной эфир'!$C:$C=$B922,'Основной эфир'!$I:$I=$C922)), 0) "),0.0)</f>
        <v>0</v>
      </c>
      <c r="E922" s="91">
        <f>IFERROR(__xludf.DUMMYFUNCTION("IFERROR(sum(filter('Основной эфир'!$AC:$AC, 'Основной эфир'!$B:$B=$A922,'Основной эфир'!$C:$C=$B922,'Основной эфир'!$I:$I=$C922)), 0) "),0.0)</f>
        <v>0</v>
      </c>
      <c r="F922" s="91">
        <f>IFERROR(__xludf.DUMMYFUNCTION("IFERROR(sum(filter('Основной эфир'!$O:$O, 'Основной эфир'!$B:$B=$A922,'Основной эфир'!$C:$C=$B922,'Основной эфир'!$I:$I=$C922)), 0) "),0.0)</f>
        <v>0</v>
      </c>
      <c r="G922" s="91">
        <f>IFERROR(__xludf.DUMMYFUNCTION("IFERROR(sum(filter('Основной эфир'!$Q:$Q, 'Основной эфир'!$B:$B=$A922,'Основной эфир'!$C:$C=$B922,'Основной эфир'!$I:$I=$C922)), 0) "),0.0)</f>
        <v>0</v>
      </c>
      <c r="H922" s="91">
        <f>IFERROR(__xludf.DUMMYFUNCTION("IFERROR(AVERAGE(filter('Основной эфир'!$Y:$Y, 'Основной эфир'!$B:$B=$A922,'Основной эфир'!$C:$C=$B922,'Основной эфир'!$I:$I=$C922)), 0) "),0.0)</f>
        <v>0</v>
      </c>
      <c r="I922" s="91">
        <f>IFERROR(__xludf.DUMMYFUNCTION("IFERROR(AVERAGE(filter('Основной эфир'!$AE:$AE, 'Основной эфир'!$B:$B=$A922,'Основной эфир'!$C:$C=$B922,'Основной эфир'!$I:$I=$C922)), 0) "),0.0)</f>
        <v>0</v>
      </c>
      <c r="J922" s="91">
        <f>IFERROR(__xludf.DUMMYFUNCTION("IFERROR(SUM(filter('Основной эфир'!$AL:$AL, 'Основной эфир'!$B:$B=$A922,'Основной эфир'!$C:$C=$B922,'Основной эфир'!$I:$I=$C922)), 0) "),0.0)</f>
        <v>0</v>
      </c>
      <c r="K922" s="91" t="str">
        <f>IFERROR(__xludf.DUMMYFUNCTION("IFERROR(REGEXREPLACE(unique(filter('Основной эфир'!$A:$A, 'Основной эфир'!$B:$B=$A922,'Основной эфир'!$C:$C=$B922,'Основной эфир'!$I:$I=$C922)), ""\d+"", """"),"""")"),"")</f>
        <v/>
      </c>
      <c r="L922" s="91" t="str">
        <f>IFERROR(__xludf.DUMMYFUNCTION("IFERROR(unique(filter('Основной эфир'!$F:$F, 'Основной эфир'!$B:$B=$A922,'Основной эфир'!$C:$C=$B922,'Основной эфир'!$I:$I=$C922)),"""")"),"")</f>
        <v/>
      </c>
      <c r="M922" s="92" t="str">
        <f t="shared" si="1"/>
        <v/>
      </c>
      <c r="N922" s="93">
        <f>IFERROR(__xludf.DUMMYFUNCTION("IFERROR(SWITCH(lower(join("" "",L922:M922)),""а миллионник"", 62.5,""б миллионник"", 75,""а мск"", 50, ""б мск"", 62.5, ""a остальное"", 70, ""б остальное"", 80)/100,0)"),0.0)</f>
        <v>0</v>
      </c>
      <c r="O922" s="91">
        <f t="shared" si="2"/>
        <v>0</v>
      </c>
      <c r="P922" s="91">
        <f>IFERROR(__xludf.DUMMYFUNCTION("IFERROR(sum(filter('Генеральный баннер'!$O:$O, 'Генеральный баннер'!$B:$B=$A922,'Генеральный баннер'!$C:$C=$B922,'Генеральный баннер'!$I:$I=$C922)), 0) "),0.0)</f>
        <v>0</v>
      </c>
      <c r="Q922" s="91">
        <f>IFERROR(__xludf.DUMMYFUNCTION("IFERROR(sum(filter('Генеральный баннер'!$Q:$Q, 'Генеральный баннер'!$B:$B=$A922,'Генеральный баннер'!$C:$C=$B922,'Генеральный баннер'!$I:$I=$C922)), 0) "),0.0)</f>
        <v>0</v>
      </c>
      <c r="R922" s="91">
        <f>IFERROR(__xludf.DUMMYFUNCTION("IFERROR(AVERAGE(filter('Генеральный баннер'!$AA:$AA, 'Генеральный баннер'!$B:$B=$A922,'Генеральный баннер'!$C:$C=$B922,'Генеральный баннер'!$I:$I=$C922)), 0) "),0.0)</f>
        <v>0</v>
      </c>
      <c r="S922" s="91">
        <f>IFERROR(__xludf.DUMMYFUNCTION("IFERROR(SUM(filter('Генеральный баннер'!$AH:$AH, 'Генеральный баннер'!$B:$B=$A922,'Генеральный баннер'!$C:$C=$B922,'Генеральный баннер'!$I:$I=$C922)), 0) "),0.0)</f>
        <v>0</v>
      </c>
      <c r="T922" s="91" t="str">
        <f>IFERROR(__xludf.DUMMYFUNCTION("IFERROR(REGEXREPLACE(unique(filter('Генеральный баннер'!$A:$A, 'Генеральный баннер'!$B:$B=$A922,'Генеральный баннер'!$C:$C=$B922,'Генеральный баннер'!$I:$I=$C922)), ""\d+"", """"),"""")"),"")</f>
        <v/>
      </c>
      <c r="U922" s="91" t="str">
        <f>IFERROR(__xludf.DUMMYFUNCTION("IFERROR(unique(filter('Генеральный баннер'!$F:$F, 'Генеральный баннер'!$B:$B=$A922,'Генеральный баннер'!$C:$C=$B922,'Генеральный баннер'!$I:$I=$C922)),"""")"),"")</f>
        <v/>
      </c>
      <c r="V922" s="92" t="str">
        <f t="shared" si="3"/>
        <v/>
      </c>
      <c r="W922" s="93">
        <f>IFERROR(__xludf.DUMMYFUNCTION("IFERROR(SWITCH(lower(join("" "",U922:V922)),""а миллионник"", 62.5,""б миллионник"", 75,""а мск"", 50, ""б мск"", 62.5, ""a остальное"", 70, ""б остальное"", 80)/100,0)"),0.0)</f>
        <v>0</v>
      </c>
      <c r="X922" s="91">
        <f t="shared" si="4"/>
        <v>0</v>
      </c>
    </row>
    <row r="923">
      <c r="A923" s="12"/>
      <c r="B923" s="12"/>
      <c r="C923" s="12"/>
      <c r="D923" s="91">
        <f>IFERROR(__xludf.DUMMYFUNCTION("IFERROR(sum(filter('Основной эфир'!$AA:$AA, 'Основной эфир'!$B:$B=$A923,'Основной эфир'!$C:$C=$B923,'Основной эфир'!$I:$I=$C923)), 0) "),0.0)</f>
        <v>0</v>
      </c>
      <c r="E923" s="91">
        <f>IFERROR(__xludf.DUMMYFUNCTION("IFERROR(sum(filter('Основной эфир'!$AC:$AC, 'Основной эфир'!$B:$B=$A923,'Основной эфир'!$C:$C=$B923,'Основной эфир'!$I:$I=$C923)), 0) "),0.0)</f>
        <v>0</v>
      </c>
      <c r="F923" s="91">
        <f>IFERROR(__xludf.DUMMYFUNCTION("IFERROR(sum(filter('Основной эфир'!$O:$O, 'Основной эфир'!$B:$B=$A923,'Основной эфир'!$C:$C=$B923,'Основной эфир'!$I:$I=$C923)), 0) "),0.0)</f>
        <v>0</v>
      </c>
      <c r="G923" s="91">
        <f>IFERROR(__xludf.DUMMYFUNCTION("IFERROR(sum(filter('Основной эфир'!$Q:$Q, 'Основной эфир'!$B:$B=$A923,'Основной эфир'!$C:$C=$B923,'Основной эфир'!$I:$I=$C923)), 0) "),0.0)</f>
        <v>0</v>
      </c>
      <c r="H923" s="91">
        <f>IFERROR(__xludf.DUMMYFUNCTION("IFERROR(AVERAGE(filter('Основной эфир'!$Y:$Y, 'Основной эфир'!$B:$B=$A923,'Основной эфир'!$C:$C=$B923,'Основной эфир'!$I:$I=$C923)), 0) "),0.0)</f>
        <v>0</v>
      </c>
      <c r="I923" s="91">
        <f>IFERROR(__xludf.DUMMYFUNCTION("IFERROR(AVERAGE(filter('Основной эфир'!$AE:$AE, 'Основной эфир'!$B:$B=$A923,'Основной эфир'!$C:$C=$B923,'Основной эфир'!$I:$I=$C923)), 0) "),0.0)</f>
        <v>0</v>
      </c>
      <c r="J923" s="91">
        <f>IFERROR(__xludf.DUMMYFUNCTION("IFERROR(SUM(filter('Основной эфир'!$AL:$AL, 'Основной эфир'!$B:$B=$A923,'Основной эфир'!$C:$C=$B923,'Основной эфир'!$I:$I=$C923)), 0) "),0.0)</f>
        <v>0</v>
      </c>
      <c r="K923" s="91" t="str">
        <f>IFERROR(__xludf.DUMMYFUNCTION("IFERROR(REGEXREPLACE(unique(filter('Основной эфир'!$A:$A, 'Основной эфир'!$B:$B=$A923,'Основной эфир'!$C:$C=$B923,'Основной эфир'!$I:$I=$C923)), ""\d+"", """"),"""")"),"")</f>
        <v/>
      </c>
      <c r="L923" s="91" t="str">
        <f>IFERROR(__xludf.DUMMYFUNCTION("IFERROR(unique(filter('Основной эфир'!$F:$F, 'Основной эфир'!$B:$B=$A923,'Основной эфир'!$C:$C=$B923,'Основной эфир'!$I:$I=$C923)),"""")"),"")</f>
        <v/>
      </c>
      <c r="M923" s="92" t="str">
        <f t="shared" si="1"/>
        <v/>
      </c>
      <c r="N923" s="93">
        <f>IFERROR(__xludf.DUMMYFUNCTION("IFERROR(SWITCH(lower(join("" "",L923:M923)),""а миллионник"", 62.5,""б миллионник"", 75,""а мск"", 50, ""б мск"", 62.5, ""a остальное"", 70, ""б остальное"", 80)/100,0)"),0.0)</f>
        <v>0</v>
      </c>
      <c r="O923" s="91">
        <f t="shared" si="2"/>
        <v>0</v>
      </c>
      <c r="P923" s="91">
        <f>IFERROR(__xludf.DUMMYFUNCTION("IFERROR(sum(filter('Генеральный баннер'!$O:$O, 'Генеральный баннер'!$B:$B=$A923,'Генеральный баннер'!$C:$C=$B923,'Генеральный баннер'!$I:$I=$C923)), 0) "),0.0)</f>
        <v>0</v>
      </c>
      <c r="Q923" s="91">
        <f>IFERROR(__xludf.DUMMYFUNCTION("IFERROR(sum(filter('Генеральный баннер'!$Q:$Q, 'Генеральный баннер'!$B:$B=$A923,'Генеральный баннер'!$C:$C=$B923,'Генеральный баннер'!$I:$I=$C923)), 0) "),0.0)</f>
        <v>0</v>
      </c>
      <c r="R923" s="91">
        <f>IFERROR(__xludf.DUMMYFUNCTION("IFERROR(AVERAGE(filter('Генеральный баннер'!$AA:$AA, 'Генеральный баннер'!$B:$B=$A923,'Генеральный баннер'!$C:$C=$B923,'Генеральный баннер'!$I:$I=$C923)), 0) "),0.0)</f>
        <v>0</v>
      </c>
      <c r="S923" s="91">
        <f>IFERROR(__xludf.DUMMYFUNCTION("IFERROR(SUM(filter('Генеральный баннер'!$AH:$AH, 'Генеральный баннер'!$B:$B=$A923,'Генеральный баннер'!$C:$C=$B923,'Генеральный баннер'!$I:$I=$C923)), 0) "),0.0)</f>
        <v>0</v>
      </c>
      <c r="T923" s="91" t="str">
        <f>IFERROR(__xludf.DUMMYFUNCTION("IFERROR(REGEXREPLACE(unique(filter('Генеральный баннер'!$A:$A, 'Генеральный баннер'!$B:$B=$A923,'Генеральный баннер'!$C:$C=$B923,'Генеральный баннер'!$I:$I=$C923)), ""\d+"", """"),"""")"),"")</f>
        <v/>
      </c>
      <c r="U923" s="91" t="str">
        <f>IFERROR(__xludf.DUMMYFUNCTION("IFERROR(unique(filter('Генеральный баннер'!$F:$F, 'Генеральный баннер'!$B:$B=$A923,'Генеральный баннер'!$C:$C=$B923,'Генеральный баннер'!$I:$I=$C923)),"""")"),"")</f>
        <v/>
      </c>
      <c r="V923" s="92" t="str">
        <f t="shared" si="3"/>
        <v/>
      </c>
      <c r="W923" s="93">
        <f>IFERROR(__xludf.DUMMYFUNCTION("IFERROR(SWITCH(lower(join("" "",U923:V923)),""а миллионник"", 62.5,""б миллионник"", 75,""а мск"", 50, ""б мск"", 62.5, ""a остальное"", 70, ""б остальное"", 80)/100,0)"),0.0)</f>
        <v>0</v>
      </c>
      <c r="X923" s="91">
        <f t="shared" si="4"/>
        <v>0</v>
      </c>
    </row>
    <row r="924">
      <c r="A924" s="12"/>
      <c r="B924" s="12"/>
      <c r="C924" s="12"/>
      <c r="D924" s="91">
        <f>IFERROR(__xludf.DUMMYFUNCTION("IFERROR(sum(filter('Основной эфир'!$AA:$AA, 'Основной эфир'!$B:$B=$A924,'Основной эфир'!$C:$C=$B924,'Основной эфир'!$I:$I=$C924)), 0) "),0.0)</f>
        <v>0</v>
      </c>
      <c r="E924" s="91">
        <f>IFERROR(__xludf.DUMMYFUNCTION("IFERROR(sum(filter('Основной эфир'!$AC:$AC, 'Основной эфир'!$B:$B=$A924,'Основной эфир'!$C:$C=$B924,'Основной эфир'!$I:$I=$C924)), 0) "),0.0)</f>
        <v>0</v>
      </c>
      <c r="F924" s="91">
        <f>IFERROR(__xludf.DUMMYFUNCTION("IFERROR(sum(filter('Основной эфир'!$O:$O, 'Основной эфир'!$B:$B=$A924,'Основной эфир'!$C:$C=$B924,'Основной эфир'!$I:$I=$C924)), 0) "),0.0)</f>
        <v>0</v>
      </c>
      <c r="G924" s="91">
        <f>IFERROR(__xludf.DUMMYFUNCTION("IFERROR(sum(filter('Основной эфир'!$Q:$Q, 'Основной эфир'!$B:$B=$A924,'Основной эфир'!$C:$C=$B924,'Основной эфир'!$I:$I=$C924)), 0) "),0.0)</f>
        <v>0</v>
      </c>
      <c r="H924" s="91">
        <f>IFERROR(__xludf.DUMMYFUNCTION("IFERROR(AVERAGE(filter('Основной эфир'!$Y:$Y, 'Основной эфир'!$B:$B=$A924,'Основной эфир'!$C:$C=$B924,'Основной эфир'!$I:$I=$C924)), 0) "),0.0)</f>
        <v>0</v>
      </c>
      <c r="I924" s="91">
        <f>IFERROR(__xludf.DUMMYFUNCTION("IFERROR(AVERAGE(filter('Основной эфир'!$AE:$AE, 'Основной эфир'!$B:$B=$A924,'Основной эфир'!$C:$C=$B924,'Основной эфир'!$I:$I=$C924)), 0) "),0.0)</f>
        <v>0</v>
      </c>
      <c r="J924" s="91">
        <f>IFERROR(__xludf.DUMMYFUNCTION("IFERROR(SUM(filter('Основной эфир'!$AL:$AL, 'Основной эфир'!$B:$B=$A924,'Основной эфир'!$C:$C=$B924,'Основной эфир'!$I:$I=$C924)), 0) "),0.0)</f>
        <v>0</v>
      </c>
      <c r="K924" s="91" t="str">
        <f>IFERROR(__xludf.DUMMYFUNCTION("IFERROR(REGEXREPLACE(unique(filter('Основной эфир'!$A:$A, 'Основной эфир'!$B:$B=$A924,'Основной эфир'!$C:$C=$B924,'Основной эфир'!$I:$I=$C924)), ""\d+"", """"),"""")"),"")</f>
        <v/>
      </c>
      <c r="L924" s="91" t="str">
        <f>IFERROR(__xludf.DUMMYFUNCTION("IFERROR(unique(filter('Основной эфир'!$F:$F, 'Основной эфир'!$B:$B=$A924,'Основной эфир'!$C:$C=$B924,'Основной эфир'!$I:$I=$C924)),"""")"),"")</f>
        <v/>
      </c>
      <c r="M924" s="92" t="str">
        <f t="shared" si="1"/>
        <v/>
      </c>
      <c r="N924" s="93">
        <f>IFERROR(__xludf.DUMMYFUNCTION("IFERROR(SWITCH(lower(join("" "",L924:M924)),""а миллионник"", 62.5,""б миллионник"", 75,""а мск"", 50, ""б мск"", 62.5, ""a остальное"", 70, ""б остальное"", 80)/100,0)"),0.0)</f>
        <v>0</v>
      </c>
      <c r="O924" s="91">
        <f t="shared" si="2"/>
        <v>0</v>
      </c>
      <c r="P924" s="91">
        <f>IFERROR(__xludf.DUMMYFUNCTION("IFERROR(sum(filter('Генеральный баннер'!$O:$O, 'Генеральный баннер'!$B:$B=$A924,'Генеральный баннер'!$C:$C=$B924,'Генеральный баннер'!$I:$I=$C924)), 0) "),0.0)</f>
        <v>0</v>
      </c>
      <c r="Q924" s="91">
        <f>IFERROR(__xludf.DUMMYFUNCTION("IFERROR(sum(filter('Генеральный баннер'!$Q:$Q, 'Генеральный баннер'!$B:$B=$A924,'Генеральный баннер'!$C:$C=$B924,'Генеральный баннер'!$I:$I=$C924)), 0) "),0.0)</f>
        <v>0</v>
      </c>
      <c r="R924" s="91">
        <f>IFERROR(__xludf.DUMMYFUNCTION("IFERROR(AVERAGE(filter('Генеральный баннер'!$AA:$AA, 'Генеральный баннер'!$B:$B=$A924,'Генеральный баннер'!$C:$C=$B924,'Генеральный баннер'!$I:$I=$C924)), 0) "),0.0)</f>
        <v>0</v>
      </c>
      <c r="S924" s="91">
        <f>IFERROR(__xludf.DUMMYFUNCTION("IFERROR(SUM(filter('Генеральный баннер'!$AH:$AH, 'Генеральный баннер'!$B:$B=$A924,'Генеральный баннер'!$C:$C=$B924,'Генеральный баннер'!$I:$I=$C924)), 0) "),0.0)</f>
        <v>0</v>
      </c>
      <c r="T924" s="91" t="str">
        <f>IFERROR(__xludf.DUMMYFUNCTION("IFERROR(REGEXREPLACE(unique(filter('Генеральный баннер'!$A:$A, 'Генеральный баннер'!$B:$B=$A924,'Генеральный баннер'!$C:$C=$B924,'Генеральный баннер'!$I:$I=$C924)), ""\d+"", """"),"""")"),"")</f>
        <v/>
      </c>
      <c r="U924" s="91" t="str">
        <f>IFERROR(__xludf.DUMMYFUNCTION("IFERROR(unique(filter('Генеральный баннер'!$F:$F, 'Генеральный баннер'!$B:$B=$A924,'Генеральный баннер'!$C:$C=$B924,'Генеральный баннер'!$I:$I=$C924)),"""")"),"")</f>
        <v/>
      </c>
      <c r="V924" s="92" t="str">
        <f t="shared" si="3"/>
        <v/>
      </c>
      <c r="W924" s="93">
        <f>IFERROR(__xludf.DUMMYFUNCTION("IFERROR(SWITCH(lower(join("" "",U924:V924)),""а миллионник"", 62.5,""б миллионник"", 75,""а мск"", 50, ""б мск"", 62.5, ""a остальное"", 70, ""б остальное"", 80)/100,0)"),0.0)</f>
        <v>0</v>
      </c>
      <c r="X924" s="91">
        <f t="shared" si="4"/>
        <v>0</v>
      </c>
    </row>
    <row r="925">
      <c r="A925" s="12"/>
      <c r="B925" s="12"/>
      <c r="C925" s="12"/>
      <c r="D925" s="91">
        <f>IFERROR(__xludf.DUMMYFUNCTION("IFERROR(sum(filter('Основной эфир'!$AA:$AA, 'Основной эфир'!$B:$B=$A925,'Основной эфир'!$C:$C=$B925,'Основной эфир'!$I:$I=$C925)), 0) "),0.0)</f>
        <v>0</v>
      </c>
      <c r="E925" s="91">
        <f>IFERROR(__xludf.DUMMYFUNCTION("IFERROR(sum(filter('Основной эфир'!$AC:$AC, 'Основной эфир'!$B:$B=$A925,'Основной эфир'!$C:$C=$B925,'Основной эфир'!$I:$I=$C925)), 0) "),0.0)</f>
        <v>0</v>
      </c>
      <c r="F925" s="91">
        <f>IFERROR(__xludf.DUMMYFUNCTION("IFERROR(sum(filter('Основной эфир'!$O:$O, 'Основной эфир'!$B:$B=$A925,'Основной эфир'!$C:$C=$B925,'Основной эфир'!$I:$I=$C925)), 0) "),0.0)</f>
        <v>0</v>
      </c>
      <c r="G925" s="91">
        <f>IFERROR(__xludf.DUMMYFUNCTION("IFERROR(sum(filter('Основной эфир'!$Q:$Q, 'Основной эфир'!$B:$B=$A925,'Основной эфир'!$C:$C=$B925,'Основной эфир'!$I:$I=$C925)), 0) "),0.0)</f>
        <v>0</v>
      </c>
      <c r="H925" s="91">
        <f>IFERROR(__xludf.DUMMYFUNCTION("IFERROR(AVERAGE(filter('Основной эфир'!$Y:$Y, 'Основной эфир'!$B:$B=$A925,'Основной эфир'!$C:$C=$B925,'Основной эфир'!$I:$I=$C925)), 0) "),0.0)</f>
        <v>0</v>
      </c>
      <c r="I925" s="91">
        <f>IFERROR(__xludf.DUMMYFUNCTION("IFERROR(AVERAGE(filter('Основной эфир'!$AE:$AE, 'Основной эфир'!$B:$B=$A925,'Основной эфир'!$C:$C=$B925,'Основной эфир'!$I:$I=$C925)), 0) "),0.0)</f>
        <v>0</v>
      </c>
      <c r="J925" s="91">
        <f>IFERROR(__xludf.DUMMYFUNCTION("IFERROR(SUM(filter('Основной эфир'!$AL:$AL, 'Основной эфир'!$B:$B=$A925,'Основной эфир'!$C:$C=$B925,'Основной эфир'!$I:$I=$C925)), 0) "),0.0)</f>
        <v>0</v>
      </c>
      <c r="K925" s="91" t="str">
        <f>IFERROR(__xludf.DUMMYFUNCTION("IFERROR(REGEXREPLACE(unique(filter('Основной эфир'!$A:$A, 'Основной эфир'!$B:$B=$A925,'Основной эфир'!$C:$C=$B925,'Основной эфир'!$I:$I=$C925)), ""\d+"", """"),"""")"),"")</f>
        <v/>
      </c>
      <c r="L925" s="91" t="str">
        <f>IFERROR(__xludf.DUMMYFUNCTION("IFERROR(unique(filter('Основной эфир'!$F:$F, 'Основной эфир'!$B:$B=$A925,'Основной эфир'!$C:$C=$B925,'Основной эфир'!$I:$I=$C925)),"""")"),"")</f>
        <v/>
      </c>
      <c r="M925" s="92" t="str">
        <f t="shared" si="1"/>
        <v/>
      </c>
      <c r="N925" s="93">
        <f>IFERROR(__xludf.DUMMYFUNCTION("IFERROR(SWITCH(lower(join("" "",L925:M925)),""а миллионник"", 62.5,""б миллионник"", 75,""а мск"", 50, ""б мск"", 62.5, ""a остальное"", 70, ""б остальное"", 80)/100,0)"),0.0)</f>
        <v>0</v>
      </c>
      <c r="O925" s="91">
        <f t="shared" si="2"/>
        <v>0</v>
      </c>
      <c r="P925" s="91">
        <f>IFERROR(__xludf.DUMMYFUNCTION("IFERROR(sum(filter('Генеральный баннер'!$O:$O, 'Генеральный баннер'!$B:$B=$A925,'Генеральный баннер'!$C:$C=$B925,'Генеральный баннер'!$I:$I=$C925)), 0) "),0.0)</f>
        <v>0</v>
      </c>
      <c r="Q925" s="91">
        <f>IFERROR(__xludf.DUMMYFUNCTION("IFERROR(sum(filter('Генеральный баннер'!$Q:$Q, 'Генеральный баннер'!$B:$B=$A925,'Генеральный баннер'!$C:$C=$B925,'Генеральный баннер'!$I:$I=$C925)), 0) "),0.0)</f>
        <v>0</v>
      </c>
      <c r="R925" s="91">
        <f>IFERROR(__xludf.DUMMYFUNCTION("IFERROR(AVERAGE(filter('Генеральный баннер'!$AA:$AA, 'Генеральный баннер'!$B:$B=$A925,'Генеральный баннер'!$C:$C=$B925,'Генеральный баннер'!$I:$I=$C925)), 0) "),0.0)</f>
        <v>0</v>
      </c>
      <c r="S925" s="91">
        <f>IFERROR(__xludf.DUMMYFUNCTION("IFERROR(SUM(filter('Генеральный баннер'!$AH:$AH, 'Генеральный баннер'!$B:$B=$A925,'Генеральный баннер'!$C:$C=$B925,'Генеральный баннер'!$I:$I=$C925)), 0) "),0.0)</f>
        <v>0</v>
      </c>
      <c r="T925" s="91" t="str">
        <f>IFERROR(__xludf.DUMMYFUNCTION("IFERROR(REGEXREPLACE(unique(filter('Генеральный баннер'!$A:$A, 'Генеральный баннер'!$B:$B=$A925,'Генеральный баннер'!$C:$C=$B925,'Генеральный баннер'!$I:$I=$C925)), ""\d+"", """"),"""")"),"")</f>
        <v/>
      </c>
      <c r="U925" s="91" t="str">
        <f>IFERROR(__xludf.DUMMYFUNCTION("IFERROR(unique(filter('Генеральный баннер'!$F:$F, 'Генеральный баннер'!$B:$B=$A925,'Генеральный баннер'!$C:$C=$B925,'Генеральный баннер'!$I:$I=$C925)),"""")"),"")</f>
        <v/>
      </c>
      <c r="V925" s="92" t="str">
        <f t="shared" si="3"/>
        <v/>
      </c>
      <c r="W925" s="93">
        <f>IFERROR(__xludf.DUMMYFUNCTION("IFERROR(SWITCH(lower(join("" "",U925:V925)),""а миллионник"", 62.5,""б миллионник"", 75,""а мск"", 50, ""б мск"", 62.5, ""a остальное"", 70, ""б остальное"", 80)/100,0)"),0.0)</f>
        <v>0</v>
      </c>
      <c r="X925" s="91">
        <f t="shared" si="4"/>
        <v>0</v>
      </c>
    </row>
    <row r="926">
      <c r="A926" s="12"/>
      <c r="B926" s="12"/>
      <c r="C926" s="12"/>
      <c r="D926" s="91">
        <f>IFERROR(__xludf.DUMMYFUNCTION("IFERROR(sum(filter('Основной эфир'!$AA:$AA, 'Основной эфир'!$B:$B=$A926,'Основной эфир'!$C:$C=$B926,'Основной эфир'!$I:$I=$C926)), 0) "),0.0)</f>
        <v>0</v>
      </c>
      <c r="E926" s="91">
        <f>IFERROR(__xludf.DUMMYFUNCTION("IFERROR(sum(filter('Основной эфир'!$AC:$AC, 'Основной эфир'!$B:$B=$A926,'Основной эфир'!$C:$C=$B926,'Основной эфир'!$I:$I=$C926)), 0) "),0.0)</f>
        <v>0</v>
      </c>
      <c r="F926" s="91">
        <f>IFERROR(__xludf.DUMMYFUNCTION("IFERROR(sum(filter('Основной эфир'!$O:$O, 'Основной эфир'!$B:$B=$A926,'Основной эфир'!$C:$C=$B926,'Основной эфир'!$I:$I=$C926)), 0) "),0.0)</f>
        <v>0</v>
      </c>
      <c r="G926" s="91">
        <f>IFERROR(__xludf.DUMMYFUNCTION("IFERROR(sum(filter('Основной эфир'!$Q:$Q, 'Основной эфир'!$B:$B=$A926,'Основной эфир'!$C:$C=$B926,'Основной эфир'!$I:$I=$C926)), 0) "),0.0)</f>
        <v>0</v>
      </c>
      <c r="H926" s="91">
        <f>IFERROR(__xludf.DUMMYFUNCTION("IFERROR(AVERAGE(filter('Основной эфир'!$Y:$Y, 'Основной эфир'!$B:$B=$A926,'Основной эфир'!$C:$C=$B926,'Основной эфир'!$I:$I=$C926)), 0) "),0.0)</f>
        <v>0</v>
      </c>
      <c r="I926" s="91">
        <f>IFERROR(__xludf.DUMMYFUNCTION("IFERROR(AVERAGE(filter('Основной эфир'!$AE:$AE, 'Основной эфир'!$B:$B=$A926,'Основной эфир'!$C:$C=$B926,'Основной эфир'!$I:$I=$C926)), 0) "),0.0)</f>
        <v>0</v>
      </c>
      <c r="J926" s="91">
        <f>IFERROR(__xludf.DUMMYFUNCTION("IFERROR(SUM(filter('Основной эфир'!$AL:$AL, 'Основной эфир'!$B:$B=$A926,'Основной эфир'!$C:$C=$B926,'Основной эфир'!$I:$I=$C926)), 0) "),0.0)</f>
        <v>0</v>
      </c>
      <c r="K926" s="91" t="str">
        <f>IFERROR(__xludf.DUMMYFUNCTION("IFERROR(REGEXREPLACE(unique(filter('Основной эфир'!$A:$A, 'Основной эфир'!$B:$B=$A926,'Основной эфир'!$C:$C=$B926,'Основной эфир'!$I:$I=$C926)), ""\d+"", """"),"""")"),"")</f>
        <v/>
      </c>
      <c r="L926" s="91" t="str">
        <f>IFERROR(__xludf.DUMMYFUNCTION("IFERROR(unique(filter('Основной эфир'!$F:$F, 'Основной эфир'!$B:$B=$A926,'Основной эфир'!$C:$C=$B926,'Основной эфир'!$I:$I=$C926)),"""")"),"")</f>
        <v/>
      </c>
      <c r="M926" s="92" t="str">
        <f t="shared" si="1"/>
        <v/>
      </c>
      <c r="N926" s="93">
        <f>IFERROR(__xludf.DUMMYFUNCTION("IFERROR(SWITCH(lower(join("" "",L926:M926)),""а миллионник"", 62.5,""б миллионник"", 75,""а мск"", 50, ""б мск"", 62.5, ""a остальное"", 70, ""б остальное"", 80)/100,0)"),0.0)</f>
        <v>0</v>
      </c>
      <c r="O926" s="91">
        <f t="shared" si="2"/>
        <v>0</v>
      </c>
      <c r="P926" s="91">
        <f>IFERROR(__xludf.DUMMYFUNCTION("IFERROR(sum(filter('Генеральный баннер'!$O:$O, 'Генеральный баннер'!$B:$B=$A926,'Генеральный баннер'!$C:$C=$B926,'Генеральный баннер'!$I:$I=$C926)), 0) "),0.0)</f>
        <v>0</v>
      </c>
      <c r="Q926" s="91">
        <f>IFERROR(__xludf.DUMMYFUNCTION("IFERROR(sum(filter('Генеральный баннер'!$Q:$Q, 'Генеральный баннер'!$B:$B=$A926,'Генеральный баннер'!$C:$C=$B926,'Генеральный баннер'!$I:$I=$C926)), 0) "),0.0)</f>
        <v>0</v>
      </c>
      <c r="R926" s="91">
        <f>IFERROR(__xludf.DUMMYFUNCTION("IFERROR(AVERAGE(filter('Генеральный баннер'!$AA:$AA, 'Генеральный баннер'!$B:$B=$A926,'Генеральный баннер'!$C:$C=$B926,'Генеральный баннер'!$I:$I=$C926)), 0) "),0.0)</f>
        <v>0</v>
      </c>
      <c r="S926" s="91">
        <f>IFERROR(__xludf.DUMMYFUNCTION("IFERROR(SUM(filter('Генеральный баннер'!$AH:$AH, 'Генеральный баннер'!$B:$B=$A926,'Генеральный баннер'!$C:$C=$B926,'Генеральный баннер'!$I:$I=$C926)), 0) "),0.0)</f>
        <v>0</v>
      </c>
      <c r="T926" s="91" t="str">
        <f>IFERROR(__xludf.DUMMYFUNCTION("IFERROR(REGEXREPLACE(unique(filter('Генеральный баннер'!$A:$A, 'Генеральный баннер'!$B:$B=$A926,'Генеральный баннер'!$C:$C=$B926,'Генеральный баннер'!$I:$I=$C926)), ""\d+"", """"),"""")"),"")</f>
        <v/>
      </c>
      <c r="U926" s="91" t="str">
        <f>IFERROR(__xludf.DUMMYFUNCTION("IFERROR(unique(filter('Генеральный баннер'!$F:$F, 'Генеральный баннер'!$B:$B=$A926,'Генеральный баннер'!$C:$C=$B926,'Генеральный баннер'!$I:$I=$C926)),"""")"),"")</f>
        <v/>
      </c>
      <c r="V926" s="92" t="str">
        <f t="shared" si="3"/>
        <v/>
      </c>
      <c r="W926" s="93">
        <f>IFERROR(__xludf.DUMMYFUNCTION("IFERROR(SWITCH(lower(join("" "",U926:V926)),""а миллионник"", 62.5,""б миллионник"", 75,""а мск"", 50, ""б мск"", 62.5, ""a остальное"", 70, ""б остальное"", 80)/100,0)"),0.0)</f>
        <v>0</v>
      </c>
      <c r="X926" s="91">
        <f t="shared" si="4"/>
        <v>0</v>
      </c>
    </row>
    <row r="927">
      <c r="A927" s="12"/>
      <c r="B927" s="12"/>
      <c r="C927" s="12"/>
      <c r="D927" s="91">
        <f>IFERROR(__xludf.DUMMYFUNCTION("IFERROR(sum(filter('Основной эфир'!$AA:$AA, 'Основной эфир'!$B:$B=$A927,'Основной эфир'!$C:$C=$B927,'Основной эфир'!$I:$I=$C927)), 0) "),0.0)</f>
        <v>0</v>
      </c>
      <c r="E927" s="91">
        <f>IFERROR(__xludf.DUMMYFUNCTION("IFERROR(sum(filter('Основной эфир'!$AC:$AC, 'Основной эфир'!$B:$B=$A927,'Основной эфир'!$C:$C=$B927,'Основной эфир'!$I:$I=$C927)), 0) "),0.0)</f>
        <v>0</v>
      </c>
      <c r="F927" s="91">
        <f>IFERROR(__xludf.DUMMYFUNCTION("IFERROR(sum(filter('Основной эфир'!$O:$O, 'Основной эфир'!$B:$B=$A927,'Основной эфир'!$C:$C=$B927,'Основной эфир'!$I:$I=$C927)), 0) "),0.0)</f>
        <v>0</v>
      </c>
      <c r="G927" s="91">
        <f>IFERROR(__xludf.DUMMYFUNCTION("IFERROR(sum(filter('Основной эфир'!$Q:$Q, 'Основной эфир'!$B:$B=$A927,'Основной эфир'!$C:$C=$B927,'Основной эфир'!$I:$I=$C927)), 0) "),0.0)</f>
        <v>0</v>
      </c>
      <c r="H927" s="91">
        <f>IFERROR(__xludf.DUMMYFUNCTION("IFERROR(AVERAGE(filter('Основной эфир'!$Y:$Y, 'Основной эфир'!$B:$B=$A927,'Основной эфир'!$C:$C=$B927,'Основной эфир'!$I:$I=$C927)), 0) "),0.0)</f>
        <v>0</v>
      </c>
      <c r="I927" s="91">
        <f>IFERROR(__xludf.DUMMYFUNCTION("IFERROR(AVERAGE(filter('Основной эфир'!$AE:$AE, 'Основной эфир'!$B:$B=$A927,'Основной эфир'!$C:$C=$B927,'Основной эфир'!$I:$I=$C927)), 0) "),0.0)</f>
        <v>0</v>
      </c>
      <c r="J927" s="91">
        <f>IFERROR(__xludf.DUMMYFUNCTION("IFERROR(SUM(filter('Основной эфир'!$AL:$AL, 'Основной эфир'!$B:$B=$A927,'Основной эфир'!$C:$C=$B927,'Основной эфир'!$I:$I=$C927)), 0) "),0.0)</f>
        <v>0</v>
      </c>
      <c r="K927" s="91" t="str">
        <f>IFERROR(__xludf.DUMMYFUNCTION("IFERROR(REGEXREPLACE(unique(filter('Основной эфир'!$A:$A, 'Основной эфир'!$B:$B=$A927,'Основной эфир'!$C:$C=$B927,'Основной эфир'!$I:$I=$C927)), ""\d+"", """"),"""")"),"")</f>
        <v/>
      </c>
      <c r="L927" s="91" t="str">
        <f>IFERROR(__xludf.DUMMYFUNCTION("IFERROR(unique(filter('Основной эфир'!$F:$F, 'Основной эфир'!$B:$B=$A927,'Основной эфир'!$C:$C=$B927,'Основной эфир'!$I:$I=$C927)),"""")"),"")</f>
        <v/>
      </c>
      <c r="M927" s="92" t="str">
        <f t="shared" si="1"/>
        <v/>
      </c>
      <c r="N927" s="93">
        <f>IFERROR(__xludf.DUMMYFUNCTION("IFERROR(SWITCH(lower(join("" "",L927:M927)),""а миллионник"", 62.5,""б миллионник"", 75,""а мск"", 50, ""б мск"", 62.5, ""a остальное"", 70, ""б остальное"", 80)/100,0)"),0.0)</f>
        <v>0</v>
      </c>
      <c r="O927" s="91">
        <f t="shared" si="2"/>
        <v>0</v>
      </c>
      <c r="P927" s="91">
        <f>IFERROR(__xludf.DUMMYFUNCTION("IFERROR(sum(filter('Генеральный баннер'!$O:$O, 'Генеральный баннер'!$B:$B=$A927,'Генеральный баннер'!$C:$C=$B927,'Генеральный баннер'!$I:$I=$C927)), 0) "),0.0)</f>
        <v>0</v>
      </c>
      <c r="Q927" s="91">
        <f>IFERROR(__xludf.DUMMYFUNCTION("IFERROR(sum(filter('Генеральный баннер'!$Q:$Q, 'Генеральный баннер'!$B:$B=$A927,'Генеральный баннер'!$C:$C=$B927,'Генеральный баннер'!$I:$I=$C927)), 0) "),0.0)</f>
        <v>0</v>
      </c>
      <c r="R927" s="91">
        <f>IFERROR(__xludf.DUMMYFUNCTION("IFERROR(AVERAGE(filter('Генеральный баннер'!$AA:$AA, 'Генеральный баннер'!$B:$B=$A927,'Генеральный баннер'!$C:$C=$B927,'Генеральный баннер'!$I:$I=$C927)), 0) "),0.0)</f>
        <v>0</v>
      </c>
      <c r="S927" s="91">
        <f>IFERROR(__xludf.DUMMYFUNCTION("IFERROR(SUM(filter('Генеральный баннер'!$AH:$AH, 'Генеральный баннер'!$B:$B=$A927,'Генеральный баннер'!$C:$C=$B927,'Генеральный баннер'!$I:$I=$C927)), 0) "),0.0)</f>
        <v>0</v>
      </c>
      <c r="T927" s="91" t="str">
        <f>IFERROR(__xludf.DUMMYFUNCTION("IFERROR(REGEXREPLACE(unique(filter('Генеральный баннер'!$A:$A, 'Генеральный баннер'!$B:$B=$A927,'Генеральный баннер'!$C:$C=$B927,'Генеральный баннер'!$I:$I=$C927)), ""\d+"", """"),"""")"),"")</f>
        <v/>
      </c>
      <c r="U927" s="91" t="str">
        <f>IFERROR(__xludf.DUMMYFUNCTION("IFERROR(unique(filter('Генеральный баннер'!$F:$F, 'Генеральный баннер'!$B:$B=$A927,'Генеральный баннер'!$C:$C=$B927,'Генеральный баннер'!$I:$I=$C927)),"""")"),"")</f>
        <v/>
      </c>
      <c r="V927" s="92" t="str">
        <f t="shared" si="3"/>
        <v/>
      </c>
      <c r="W927" s="93">
        <f>IFERROR(__xludf.DUMMYFUNCTION("IFERROR(SWITCH(lower(join("" "",U927:V927)),""а миллионник"", 62.5,""б миллионник"", 75,""а мск"", 50, ""б мск"", 62.5, ""a остальное"", 70, ""б остальное"", 80)/100,0)"),0.0)</f>
        <v>0</v>
      </c>
      <c r="X927" s="91">
        <f t="shared" si="4"/>
        <v>0</v>
      </c>
    </row>
    <row r="928">
      <c r="A928" s="12"/>
      <c r="B928" s="12"/>
      <c r="C928" s="12"/>
      <c r="D928" s="91">
        <f>IFERROR(__xludf.DUMMYFUNCTION("IFERROR(sum(filter('Основной эфир'!$AA:$AA, 'Основной эфир'!$B:$B=$A928,'Основной эфир'!$C:$C=$B928,'Основной эфир'!$I:$I=$C928)), 0) "),0.0)</f>
        <v>0</v>
      </c>
      <c r="E928" s="91">
        <f>IFERROR(__xludf.DUMMYFUNCTION("IFERROR(sum(filter('Основной эфир'!$AC:$AC, 'Основной эфир'!$B:$B=$A928,'Основной эфир'!$C:$C=$B928,'Основной эфир'!$I:$I=$C928)), 0) "),0.0)</f>
        <v>0</v>
      </c>
      <c r="F928" s="91">
        <f>IFERROR(__xludf.DUMMYFUNCTION("IFERROR(sum(filter('Основной эфир'!$O:$O, 'Основной эфир'!$B:$B=$A928,'Основной эфир'!$C:$C=$B928,'Основной эфир'!$I:$I=$C928)), 0) "),0.0)</f>
        <v>0</v>
      </c>
      <c r="G928" s="91">
        <f>IFERROR(__xludf.DUMMYFUNCTION("IFERROR(sum(filter('Основной эфир'!$Q:$Q, 'Основной эфир'!$B:$B=$A928,'Основной эфир'!$C:$C=$B928,'Основной эфир'!$I:$I=$C928)), 0) "),0.0)</f>
        <v>0</v>
      </c>
      <c r="H928" s="91">
        <f>IFERROR(__xludf.DUMMYFUNCTION("IFERROR(AVERAGE(filter('Основной эфир'!$Y:$Y, 'Основной эфир'!$B:$B=$A928,'Основной эфир'!$C:$C=$B928,'Основной эфир'!$I:$I=$C928)), 0) "),0.0)</f>
        <v>0</v>
      </c>
      <c r="I928" s="91">
        <f>IFERROR(__xludf.DUMMYFUNCTION("IFERROR(AVERAGE(filter('Основной эфир'!$AE:$AE, 'Основной эфир'!$B:$B=$A928,'Основной эфир'!$C:$C=$B928,'Основной эфир'!$I:$I=$C928)), 0) "),0.0)</f>
        <v>0</v>
      </c>
      <c r="J928" s="91">
        <f>IFERROR(__xludf.DUMMYFUNCTION("IFERROR(SUM(filter('Основной эфир'!$AL:$AL, 'Основной эфир'!$B:$B=$A928,'Основной эфир'!$C:$C=$B928,'Основной эфир'!$I:$I=$C928)), 0) "),0.0)</f>
        <v>0</v>
      </c>
      <c r="K928" s="91" t="str">
        <f>IFERROR(__xludf.DUMMYFUNCTION("IFERROR(REGEXREPLACE(unique(filter('Основной эфир'!$A:$A, 'Основной эфир'!$B:$B=$A928,'Основной эфир'!$C:$C=$B928,'Основной эфир'!$I:$I=$C928)), ""\d+"", """"),"""")"),"")</f>
        <v/>
      </c>
      <c r="L928" s="91" t="str">
        <f>IFERROR(__xludf.DUMMYFUNCTION("IFERROR(unique(filter('Основной эфир'!$F:$F, 'Основной эфир'!$B:$B=$A928,'Основной эфир'!$C:$C=$B928,'Основной эфир'!$I:$I=$C928)),"""")"),"")</f>
        <v/>
      </c>
      <c r="M928" s="92" t="str">
        <f t="shared" si="1"/>
        <v/>
      </c>
      <c r="N928" s="93">
        <f>IFERROR(__xludf.DUMMYFUNCTION("IFERROR(SWITCH(lower(join("" "",L928:M928)),""а миллионник"", 62.5,""б миллионник"", 75,""а мск"", 50, ""б мск"", 62.5, ""a остальное"", 70, ""б остальное"", 80)/100,0)"),0.0)</f>
        <v>0</v>
      </c>
      <c r="O928" s="91">
        <f t="shared" si="2"/>
        <v>0</v>
      </c>
      <c r="P928" s="91">
        <f>IFERROR(__xludf.DUMMYFUNCTION("IFERROR(sum(filter('Генеральный баннер'!$O:$O, 'Генеральный баннер'!$B:$B=$A928,'Генеральный баннер'!$C:$C=$B928,'Генеральный баннер'!$I:$I=$C928)), 0) "),0.0)</f>
        <v>0</v>
      </c>
      <c r="Q928" s="91">
        <f>IFERROR(__xludf.DUMMYFUNCTION("IFERROR(sum(filter('Генеральный баннер'!$Q:$Q, 'Генеральный баннер'!$B:$B=$A928,'Генеральный баннер'!$C:$C=$B928,'Генеральный баннер'!$I:$I=$C928)), 0) "),0.0)</f>
        <v>0</v>
      </c>
      <c r="R928" s="91">
        <f>IFERROR(__xludf.DUMMYFUNCTION("IFERROR(AVERAGE(filter('Генеральный баннер'!$AA:$AA, 'Генеральный баннер'!$B:$B=$A928,'Генеральный баннер'!$C:$C=$B928,'Генеральный баннер'!$I:$I=$C928)), 0) "),0.0)</f>
        <v>0</v>
      </c>
      <c r="S928" s="91">
        <f>IFERROR(__xludf.DUMMYFUNCTION("IFERROR(SUM(filter('Генеральный баннер'!$AH:$AH, 'Генеральный баннер'!$B:$B=$A928,'Генеральный баннер'!$C:$C=$B928,'Генеральный баннер'!$I:$I=$C928)), 0) "),0.0)</f>
        <v>0</v>
      </c>
      <c r="T928" s="91" t="str">
        <f>IFERROR(__xludf.DUMMYFUNCTION("IFERROR(REGEXREPLACE(unique(filter('Генеральный баннер'!$A:$A, 'Генеральный баннер'!$B:$B=$A928,'Генеральный баннер'!$C:$C=$B928,'Генеральный баннер'!$I:$I=$C928)), ""\d+"", """"),"""")"),"")</f>
        <v/>
      </c>
      <c r="U928" s="91" t="str">
        <f>IFERROR(__xludf.DUMMYFUNCTION("IFERROR(unique(filter('Генеральный баннер'!$F:$F, 'Генеральный баннер'!$B:$B=$A928,'Генеральный баннер'!$C:$C=$B928,'Генеральный баннер'!$I:$I=$C928)),"""")"),"")</f>
        <v/>
      </c>
      <c r="V928" s="92" t="str">
        <f t="shared" si="3"/>
        <v/>
      </c>
      <c r="W928" s="93">
        <f>IFERROR(__xludf.DUMMYFUNCTION("IFERROR(SWITCH(lower(join("" "",U928:V928)),""а миллионник"", 62.5,""б миллионник"", 75,""а мск"", 50, ""б мск"", 62.5, ""a остальное"", 70, ""б остальное"", 80)/100,0)"),0.0)</f>
        <v>0</v>
      </c>
      <c r="X928" s="91">
        <f t="shared" si="4"/>
        <v>0</v>
      </c>
    </row>
    <row r="929">
      <c r="A929" s="12"/>
      <c r="B929" s="12"/>
      <c r="C929" s="12"/>
      <c r="D929" s="91">
        <f>IFERROR(__xludf.DUMMYFUNCTION("IFERROR(sum(filter('Основной эфир'!$AA:$AA, 'Основной эфир'!$B:$B=$A929,'Основной эфир'!$C:$C=$B929,'Основной эфир'!$I:$I=$C929)), 0) "),0.0)</f>
        <v>0</v>
      </c>
      <c r="E929" s="91">
        <f>IFERROR(__xludf.DUMMYFUNCTION("IFERROR(sum(filter('Основной эфир'!$AC:$AC, 'Основной эфир'!$B:$B=$A929,'Основной эфир'!$C:$C=$B929,'Основной эфир'!$I:$I=$C929)), 0) "),0.0)</f>
        <v>0</v>
      </c>
      <c r="F929" s="91">
        <f>IFERROR(__xludf.DUMMYFUNCTION("IFERROR(sum(filter('Основной эфир'!$O:$O, 'Основной эфир'!$B:$B=$A929,'Основной эфир'!$C:$C=$B929,'Основной эфир'!$I:$I=$C929)), 0) "),0.0)</f>
        <v>0</v>
      </c>
      <c r="G929" s="91">
        <f>IFERROR(__xludf.DUMMYFUNCTION("IFERROR(sum(filter('Основной эфир'!$Q:$Q, 'Основной эфир'!$B:$B=$A929,'Основной эфир'!$C:$C=$B929,'Основной эфир'!$I:$I=$C929)), 0) "),0.0)</f>
        <v>0</v>
      </c>
      <c r="H929" s="91">
        <f>IFERROR(__xludf.DUMMYFUNCTION("IFERROR(AVERAGE(filter('Основной эфир'!$Y:$Y, 'Основной эфир'!$B:$B=$A929,'Основной эфир'!$C:$C=$B929,'Основной эфир'!$I:$I=$C929)), 0) "),0.0)</f>
        <v>0</v>
      </c>
      <c r="I929" s="91">
        <f>IFERROR(__xludf.DUMMYFUNCTION("IFERROR(AVERAGE(filter('Основной эфир'!$AE:$AE, 'Основной эфир'!$B:$B=$A929,'Основной эфир'!$C:$C=$B929,'Основной эфир'!$I:$I=$C929)), 0) "),0.0)</f>
        <v>0</v>
      </c>
      <c r="J929" s="91">
        <f>IFERROR(__xludf.DUMMYFUNCTION("IFERROR(SUM(filter('Основной эфир'!$AL:$AL, 'Основной эфир'!$B:$B=$A929,'Основной эфир'!$C:$C=$B929,'Основной эфир'!$I:$I=$C929)), 0) "),0.0)</f>
        <v>0</v>
      </c>
      <c r="K929" s="91" t="str">
        <f>IFERROR(__xludf.DUMMYFUNCTION("IFERROR(REGEXREPLACE(unique(filter('Основной эфир'!$A:$A, 'Основной эфир'!$B:$B=$A929,'Основной эфир'!$C:$C=$B929,'Основной эфир'!$I:$I=$C929)), ""\d+"", """"),"""")"),"")</f>
        <v/>
      </c>
      <c r="L929" s="91" t="str">
        <f>IFERROR(__xludf.DUMMYFUNCTION("IFERROR(unique(filter('Основной эфир'!$F:$F, 'Основной эфир'!$B:$B=$A929,'Основной эфир'!$C:$C=$B929,'Основной эфир'!$I:$I=$C929)),"""")"),"")</f>
        <v/>
      </c>
      <c r="M929" s="92" t="str">
        <f t="shared" si="1"/>
        <v/>
      </c>
      <c r="N929" s="93">
        <f>IFERROR(__xludf.DUMMYFUNCTION("IFERROR(SWITCH(lower(join("" "",L929:M929)),""а миллионник"", 62.5,""б миллионник"", 75,""а мск"", 50, ""б мск"", 62.5, ""a остальное"", 70, ""б остальное"", 80)/100,0)"),0.0)</f>
        <v>0</v>
      </c>
      <c r="O929" s="91">
        <f t="shared" si="2"/>
        <v>0</v>
      </c>
      <c r="P929" s="91">
        <f>IFERROR(__xludf.DUMMYFUNCTION("IFERROR(sum(filter('Генеральный баннер'!$O:$O, 'Генеральный баннер'!$B:$B=$A929,'Генеральный баннер'!$C:$C=$B929,'Генеральный баннер'!$I:$I=$C929)), 0) "),0.0)</f>
        <v>0</v>
      </c>
      <c r="Q929" s="91">
        <f>IFERROR(__xludf.DUMMYFUNCTION("IFERROR(sum(filter('Генеральный баннер'!$Q:$Q, 'Генеральный баннер'!$B:$B=$A929,'Генеральный баннер'!$C:$C=$B929,'Генеральный баннер'!$I:$I=$C929)), 0) "),0.0)</f>
        <v>0</v>
      </c>
      <c r="R929" s="91">
        <f>IFERROR(__xludf.DUMMYFUNCTION("IFERROR(AVERAGE(filter('Генеральный баннер'!$AA:$AA, 'Генеральный баннер'!$B:$B=$A929,'Генеральный баннер'!$C:$C=$B929,'Генеральный баннер'!$I:$I=$C929)), 0) "),0.0)</f>
        <v>0</v>
      </c>
      <c r="S929" s="91">
        <f>IFERROR(__xludf.DUMMYFUNCTION("IFERROR(SUM(filter('Генеральный баннер'!$AH:$AH, 'Генеральный баннер'!$B:$B=$A929,'Генеральный баннер'!$C:$C=$B929,'Генеральный баннер'!$I:$I=$C929)), 0) "),0.0)</f>
        <v>0</v>
      </c>
      <c r="T929" s="91" t="str">
        <f>IFERROR(__xludf.DUMMYFUNCTION("IFERROR(REGEXREPLACE(unique(filter('Генеральный баннер'!$A:$A, 'Генеральный баннер'!$B:$B=$A929,'Генеральный баннер'!$C:$C=$B929,'Генеральный баннер'!$I:$I=$C929)), ""\d+"", """"),"""")"),"")</f>
        <v/>
      </c>
      <c r="U929" s="91" t="str">
        <f>IFERROR(__xludf.DUMMYFUNCTION("IFERROR(unique(filter('Генеральный баннер'!$F:$F, 'Генеральный баннер'!$B:$B=$A929,'Генеральный баннер'!$C:$C=$B929,'Генеральный баннер'!$I:$I=$C929)),"""")"),"")</f>
        <v/>
      </c>
      <c r="V929" s="92" t="str">
        <f t="shared" si="3"/>
        <v/>
      </c>
      <c r="W929" s="93">
        <f>IFERROR(__xludf.DUMMYFUNCTION("IFERROR(SWITCH(lower(join("" "",U929:V929)),""а миллионник"", 62.5,""б миллионник"", 75,""а мск"", 50, ""б мск"", 62.5, ""a остальное"", 70, ""б остальное"", 80)/100,0)"),0.0)</f>
        <v>0</v>
      </c>
      <c r="X929" s="91">
        <f t="shared" si="4"/>
        <v>0</v>
      </c>
    </row>
    <row r="930">
      <c r="A930" s="12"/>
      <c r="B930" s="12"/>
      <c r="C930" s="12"/>
      <c r="D930" s="91">
        <f>IFERROR(__xludf.DUMMYFUNCTION("IFERROR(sum(filter('Основной эфир'!$AA:$AA, 'Основной эфир'!$B:$B=$A930,'Основной эфир'!$C:$C=$B930,'Основной эфир'!$I:$I=$C930)), 0) "),0.0)</f>
        <v>0</v>
      </c>
      <c r="E930" s="91">
        <f>IFERROR(__xludf.DUMMYFUNCTION("IFERROR(sum(filter('Основной эфир'!$AC:$AC, 'Основной эфир'!$B:$B=$A930,'Основной эфир'!$C:$C=$B930,'Основной эфир'!$I:$I=$C930)), 0) "),0.0)</f>
        <v>0</v>
      </c>
      <c r="F930" s="91">
        <f>IFERROR(__xludf.DUMMYFUNCTION("IFERROR(sum(filter('Основной эфир'!$O:$O, 'Основной эфир'!$B:$B=$A930,'Основной эфир'!$C:$C=$B930,'Основной эфир'!$I:$I=$C930)), 0) "),0.0)</f>
        <v>0</v>
      </c>
      <c r="G930" s="91">
        <f>IFERROR(__xludf.DUMMYFUNCTION("IFERROR(sum(filter('Основной эфир'!$Q:$Q, 'Основной эфир'!$B:$B=$A930,'Основной эфир'!$C:$C=$B930,'Основной эфир'!$I:$I=$C930)), 0) "),0.0)</f>
        <v>0</v>
      </c>
      <c r="H930" s="91">
        <f>IFERROR(__xludf.DUMMYFUNCTION("IFERROR(AVERAGE(filter('Основной эфир'!$Y:$Y, 'Основной эфир'!$B:$B=$A930,'Основной эфир'!$C:$C=$B930,'Основной эфир'!$I:$I=$C930)), 0) "),0.0)</f>
        <v>0</v>
      </c>
      <c r="I930" s="91">
        <f>IFERROR(__xludf.DUMMYFUNCTION("IFERROR(AVERAGE(filter('Основной эфир'!$AE:$AE, 'Основной эфир'!$B:$B=$A930,'Основной эфир'!$C:$C=$B930,'Основной эфир'!$I:$I=$C930)), 0) "),0.0)</f>
        <v>0</v>
      </c>
      <c r="J930" s="91">
        <f>IFERROR(__xludf.DUMMYFUNCTION("IFERROR(SUM(filter('Основной эфир'!$AL:$AL, 'Основной эфир'!$B:$B=$A930,'Основной эфир'!$C:$C=$B930,'Основной эфир'!$I:$I=$C930)), 0) "),0.0)</f>
        <v>0</v>
      </c>
      <c r="K930" s="91" t="str">
        <f>IFERROR(__xludf.DUMMYFUNCTION("IFERROR(REGEXREPLACE(unique(filter('Основной эфир'!$A:$A, 'Основной эфир'!$B:$B=$A930,'Основной эфир'!$C:$C=$B930,'Основной эфир'!$I:$I=$C930)), ""\d+"", """"),"""")"),"")</f>
        <v/>
      </c>
      <c r="L930" s="91" t="str">
        <f>IFERROR(__xludf.DUMMYFUNCTION("IFERROR(unique(filter('Основной эфир'!$F:$F, 'Основной эфир'!$B:$B=$A930,'Основной эфир'!$C:$C=$B930,'Основной эфир'!$I:$I=$C930)),"""")"),"")</f>
        <v/>
      </c>
      <c r="M930" s="92" t="str">
        <f t="shared" si="1"/>
        <v/>
      </c>
      <c r="N930" s="93">
        <f>IFERROR(__xludf.DUMMYFUNCTION("IFERROR(SWITCH(lower(join("" "",L930:M930)),""а миллионник"", 62.5,""б миллионник"", 75,""а мск"", 50, ""б мск"", 62.5, ""a остальное"", 70, ""б остальное"", 80)/100,0)"),0.0)</f>
        <v>0</v>
      </c>
      <c r="O930" s="91">
        <f t="shared" si="2"/>
        <v>0</v>
      </c>
      <c r="P930" s="91">
        <f>IFERROR(__xludf.DUMMYFUNCTION("IFERROR(sum(filter('Генеральный баннер'!$O:$O, 'Генеральный баннер'!$B:$B=$A930,'Генеральный баннер'!$C:$C=$B930,'Генеральный баннер'!$I:$I=$C930)), 0) "),0.0)</f>
        <v>0</v>
      </c>
      <c r="Q930" s="91">
        <f>IFERROR(__xludf.DUMMYFUNCTION("IFERROR(sum(filter('Генеральный баннер'!$Q:$Q, 'Генеральный баннер'!$B:$B=$A930,'Генеральный баннер'!$C:$C=$B930,'Генеральный баннер'!$I:$I=$C930)), 0) "),0.0)</f>
        <v>0</v>
      </c>
      <c r="R930" s="91">
        <f>IFERROR(__xludf.DUMMYFUNCTION("IFERROR(AVERAGE(filter('Генеральный баннер'!$AA:$AA, 'Генеральный баннер'!$B:$B=$A930,'Генеральный баннер'!$C:$C=$B930,'Генеральный баннер'!$I:$I=$C930)), 0) "),0.0)</f>
        <v>0</v>
      </c>
      <c r="S930" s="91">
        <f>IFERROR(__xludf.DUMMYFUNCTION("IFERROR(SUM(filter('Генеральный баннер'!$AH:$AH, 'Генеральный баннер'!$B:$B=$A930,'Генеральный баннер'!$C:$C=$B930,'Генеральный баннер'!$I:$I=$C930)), 0) "),0.0)</f>
        <v>0</v>
      </c>
      <c r="T930" s="91" t="str">
        <f>IFERROR(__xludf.DUMMYFUNCTION("IFERROR(REGEXREPLACE(unique(filter('Генеральный баннер'!$A:$A, 'Генеральный баннер'!$B:$B=$A930,'Генеральный баннер'!$C:$C=$B930,'Генеральный баннер'!$I:$I=$C930)), ""\d+"", """"),"""")"),"")</f>
        <v/>
      </c>
      <c r="U930" s="91" t="str">
        <f>IFERROR(__xludf.DUMMYFUNCTION("IFERROR(unique(filter('Генеральный баннер'!$F:$F, 'Генеральный баннер'!$B:$B=$A930,'Генеральный баннер'!$C:$C=$B930,'Генеральный баннер'!$I:$I=$C930)),"""")"),"")</f>
        <v/>
      </c>
      <c r="V930" s="92" t="str">
        <f t="shared" si="3"/>
        <v/>
      </c>
      <c r="W930" s="93">
        <f>IFERROR(__xludf.DUMMYFUNCTION("IFERROR(SWITCH(lower(join("" "",U930:V930)),""а миллионник"", 62.5,""б миллионник"", 75,""а мск"", 50, ""б мск"", 62.5, ""a остальное"", 70, ""б остальное"", 80)/100,0)"),0.0)</f>
        <v>0</v>
      </c>
      <c r="X930" s="91">
        <f t="shared" si="4"/>
        <v>0</v>
      </c>
    </row>
    <row r="931">
      <c r="A931" s="12"/>
      <c r="B931" s="12"/>
      <c r="C931" s="12"/>
      <c r="D931" s="91">
        <f>IFERROR(__xludf.DUMMYFUNCTION("IFERROR(sum(filter('Основной эфир'!$AA:$AA, 'Основной эфир'!$B:$B=$A931,'Основной эфир'!$C:$C=$B931,'Основной эфир'!$I:$I=$C931)), 0) "),0.0)</f>
        <v>0</v>
      </c>
      <c r="E931" s="91">
        <f>IFERROR(__xludf.DUMMYFUNCTION("IFERROR(sum(filter('Основной эфир'!$AC:$AC, 'Основной эфир'!$B:$B=$A931,'Основной эфир'!$C:$C=$B931,'Основной эфир'!$I:$I=$C931)), 0) "),0.0)</f>
        <v>0</v>
      </c>
      <c r="F931" s="91">
        <f>IFERROR(__xludf.DUMMYFUNCTION("IFERROR(sum(filter('Основной эфир'!$O:$O, 'Основной эфир'!$B:$B=$A931,'Основной эфир'!$C:$C=$B931,'Основной эфир'!$I:$I=$C931)), 0) "),0.0)</f>
        <v>0</v>
      </c>
      <c r="G931" s="91">
        <f>IFERROR(__xludf.DUMMYFUNCTION("IFERROR(sum(filter('Основной эфир'!$Q:$Q, 'Основной эфир'!$B:$B=$A931,'Основной эфир'!$C:$C=$B931,'Основной эфир'!$I:$I=$C931)), 0) "),0.0)</f>
        <v>0</v>
      </c>
      <c r="H931" s="91">
        <f>IFERROR(__xludf.DUMMYFUNCTION("IFERROR(AVERAGE(filter('Основной эфир'!$Y:$Y, 'Основной эфир'!$B:$B=$A931,'Основной эфир'!$C:$C=$B931,'Основной эфир'!$I:$I=$C931)), 0) "),0.0)</f>
        <v>0</v>
      </c>
      <c r="I931" s="91">
        <f>IFERROR(__xludf.DUMMYFUNCTION("IFERROR(AVERAGE(filter('Основной эфир'!$AE:$AE, 'Основной эфир'!$B:$B=$A931,'Основной эфир'!$C:$C=$B931,'Основной эфир'!$I:$I=$C931)), 0) "),0.0)</f>
        <v>0</v>
      </c>
      <c r="J931" s="91">
        <f>IFERROR(__xludf.DUMMYFUNCTION("IFERROR(SUM(filter('Основной эфир'!$AL:$AL, 'Основной эфир'!$B:$B=$A931,'Основной эфир'!$C:$C=$B931,'Основной эфир'!$I:$I=$C931)), 0) "),0.0)</f>
        <v>0</v>
      </c>
      <c r="K931" s="91" t="str">
        <f>IFERROR(__xludf.DUMMYFUNCTION("IFERROR(REGEXREPLACE(unique(filter('Основной эфир'!$A:$A, 'Основной эфир'!$B:$B=$A931,'Основной эфир'!$C:$C=$B931,'Основной эфир'!$I:$I=$C931)), ""\d+"", """"),"""")"),"")</f>
        <v/>
      </c>
      <c r="L931" s="91" t="str">
        <f>IFERROR(__xludf.DUMMYFUNCTION("IFERROR(unique(filter('Основной эфир'!$F:$F, 'Основной эфир'!$B:$B=$A931,'Основной эфир'!$C:$C=$B931,'Основной эфир'!$I:$I=$C931)),"""")"),"")</f>
        <v/>
      </c>
      <c r="M931" s="92" t="str">
        <f t="shared" si="1"/>
        <v/>
      </c>
      <c r="N931" s="93">
        <f>IFERROR(__xludf.DUMMYFUNCTION("IFERROR(SWITCH(lower(join("" "",L931:M931)),""а миллионник"", 62.5,""б миллионник"", 75,""а мск"", 50, ""б мск"", 62.5, ""a остальное"", 70, ""б остальное"", 80)/100,0)"),0.0)</f>
        <v>0</v>
      </c>
      <c r="O931" s="91">
        <f t="shared" si="2"/>
        <v>0</v>
      </c>
      <c r="P931" s="91">
        <f>IFERROR(__xludf.DUMMYFUNCTION("IFERROR(sum(filter('Генеральный баннер'!$O:$O, 'Генеральный баннер'!$B:$B=$A931,'Генеральный баннер'!$C:$C=$B931,'Генеральный баннер'!$I:$I=$C931)), 0) "),0.0)</f>
        <v>0</v>
      </c>
      <c r="Q931" s="91">
        <f>IFERROR(__xludf.DUMMYFUNCTION("IFERROR(sum(filter('Генеральный баннер'!$Q:$Q, 'Генеральный баннер'!$B:$B=$A931,'Генеральный баннер'!$C:$C=$B931,'Генеральный баннер'!$I:$I=$C931)), 0) "),0.0)</f>
        <v>0</v>
      </c>
      <c r="R931" s="91">
        <f>IFERROR(__xludf.DUMMYFUNCTION("IFERROR(AVERAGE(filter('Генеральный баннер'!$AA:$AA, 'Генеральный баннер'!$B:$B=$A931,'Генеральный баннер'!$C:$C=$B931,'Генеральный баннер'!$I:$I=$C931)), 0) "),0.0)</f>
        <v>0</v>
      </c>
      <c r="S931" s="91">
        <f>IFERROR(__xludf.DUMMYFUNCTION("IFERROR(SUM(filter('Генеральный баннер'!$AH:$AH, 'Генеральный баннер'!$B:$B=$A931,'Генеральный баннер'!$C:$C=$B931,'Генеральный баннер'!$I:$I=$C931)), 0) "),0.0)</f>
        <v>0</v>
      </c>
      <c r="T931" s="91" t="str">
        <f>IFERROR(__xludf.DUMMYFUNCTION("IFERROR(REGEXREPLACE(unique(filter('Генеральный баннер'!$A:$A, 'Генеральный баннер'!$B:$B=$A931,'Генеральный баннер'!$C:$C=$B931,'Генеральный баннер'!$I:$I=$C931)), ""\d+"", """"),"""")"),"")</f>
        <v/>
      </c>
      <c r="U931" s="91" t="str">
        <f>IFERROR(__xludf.DUMMYFUNCTION("IFERROR(unique(filter('Генеральный баннер'!$F:$F, 'Генеральный баннер'!$B:$B=$A931,'Генеральный баннер'!$C:$C=$B931,'Генеральный баннер'!$I:$I=$C931)),"""")"),"")</f>
        <v/>
      </c>
      <c r="V931" s="92" t="str">
        <f t="shared" si="3"/>
        <v/>
      </c>
      <c r="W931" s="93">
        <f>IFERROR(__xludf.DUMMYFUNCTION("IFERROR(SWITCH(lower(join("" "",U931:V931)),""а миллионник"", 62.5,""б миллионник"", 75,""а мск"", 50, ""б мск"", 62.5, ""a остальное"", 70, ""б остальное"", 80)/100,0)"),0.0)</f>
        <v>0</v>
      </c>
      <c r="X931" s="91">
        <f t="shared" si="4"/>
        <v>0</v>
      </c>
    </row>
    <row r="932">
      <c r="A932" s="12"/>
      <c r="B932" s="12"/>
      <c r="C932" s="12"/>
      <c r="D932" s="91">
        <f>IFERROR(__xludf.DUMMYFUNCTION("IFERROR(sum(filter('Основной эфир'!$AA:$AA, 'Основной эфир'!$B:$B=$A932,'Основной эфир'!$C:$C=$B932,'Основной эфир'!$I:$I=$C932)), 0) "),0.0)</f>
        <v>0</v>
      </c>
      <c r="E932" s="91">
        <f>IFERROR(__xludf.DUMMYFUNCTION("IFERROR(sum(filter('Основной эфир'!$AC:$AC, 'Основной эфир'!$B:$B=$A932,'Основной эфир'!$C:$C=$B932,'Основной эфир'!$I:$I=$C932)), 0) "),0.0)</f>
        <v>0</v>
      </c>
      <c r="F932" s="91">
        <f>IFERROR(__xludf.DUMMYFUNCTION("IFERROR(sum(filter('Основной эфир'!$O:$O, 'Основной эфир'!$B:$B=$A932,'Основной эфир'!$C:$C=$B932,'Основной эфир'!$I:$I=$C932)), 0) "),0.0)</f>
        <v>0</v>
      </c>
      <c r="G932" s="91">
        <f>IFERROR(__xludf.DUMMYFUNCTION("IFERROR(sum(filter('Основной эфир'!$Q:$Q, 'Основной эфир'!$B:$B=$A932,'Основной эфир'!$C:$C=$B932,'Основной эфир'!$I:$I=$C932)), 0) "),0.0)</f>
        <v>0</v>
      </c>
      <c r="H932" s="91">
        <f>IFERROR(__xludf.DUMMYFUNCTION("IFERROR(AVERAGE(filter('Основной эфир'!$Y:$Y, 'Основной эфир'!$B:$B=$A932,'Основной эфир'!$C:$C=$B932,'Основной эфир'!$I:$I=$C932)), 0) "),0.0)</f>
        <v>0</v>
      </c>
      <c r="I932" s="91">
        <f>IFERROR(__xludf.DUMMYFUNCTION("IFERROR(AVERAGE(filter('Основной эфир'!$AE:$AE, 'Основной эфир'!$B:$B=$A932,'Основной эфир'!$C:$C=$B932,'Основной эфир'!$I:$I=$C932)), 0) "),0.0)</f>
        <v>0</v>
      </c>
      <c r="J932" s="91">
        <f>IFERROR(__xludf.DUMMYFUNCTION("IFERROR(SUM(filter('Основной эфир'!$AL:$AL, 'Основной эфир'!$B:$B=$A932,'Основной эфир'!$C:$C=$B932,'Основной эфир'!$I:$I=$C932)), 0) "),0.0)</f>
        <v>0</v>
      </c>
      <c r="K932" s="91" t="str">
        <f>IFERROR(__xludf.DUMMYFUNCTION("IFERROR(REGEXREPLACE(unique(filter('Основной эфир'!$A:$A, 'Основной эфир'!$B:$B=$A932,'Основной эфир'!$C:$C=$B932,'Основной эфир'!$I:$I=$C932)), ""\d+"", """"),"""")"),"")</f>
        <v/>
      </c>
      <c r="L932" s="91" t="str">
        <f>IFERROR(__xludf.DUMMYFUNCTION("IFERROR(unique(filter('Основной эфир'!$F:$F, 'Основной эфир'!$B:$B=$A932,'Основной эфир'!$C:$C=$B932,'Основной эфир'!$I:$I=$C932)),"""")"),"")</f>
        <v/>
      </c>
      <c r="M932" s="92" t="str">
        <f t="shared" si="1"/>
        <v/>
      </c>
      <c r="N932" s="93">
        <f>IFERROR(__xludf.DUMMYFUNCTION("IFERROR(SWITCH(lower(join("" "",L932:M932)),""а миллионник"", 62.5,""б миллионник"", 75,""а мск"", 50, ""б мск"", 62.5, ""a остальное"", 70, ""б остальное"", 80)/100,0)"),0.0)</f>
        <v>0</v>
      </c>
      <c r="O932" s="91">
        <f t="shared" si="2"/>
        <v>0</v>
      </c>
      <c r="P932" s="91">
        <f>IFERROR(__xludf.DUMMYFUNCTION("IFERROR(sum(filter('Генеральный баннер'!$O:$O, 'Генеральный баннер'!$B:$B=$A932,'Генеральный баннер'!$C:$C=$B932,'Генеральный баннер'!$I:$I=$C932)), 0) "),0.0)</f>
        <v>0</v>
      </c>
      <c r="Q932" s="91">
        <f>IFERROR(__xludf.DUMMYFUNCTION("IFERROR(sum(filter('Генеральный баннер'!$Q:$Q, 'Генеральный баннер'!$B:$B=$A932,'Генеральный баннер'!$C:$C=$B932,'Генеральный баннер'!$I:$I=$C932)), 0) "),0.0)</f>
        <v>0</v>
      </c>
      <c r="R932" s="91">
        <f>IFERROR(__xludf.DUMMYFUNCTION("IFERROR(AVERAGE(filter('Генеральный баннер'!$AA:$AA, 'Генеральный баннер'!$B:$B=$A932,'Генеральный баннер'!$C:$C=$B932,'Генеральный баннер'!$I:$I=$C932)), 0) "),0.0)</f>
        <v>0</v>
      </c>
      <c r="S932" s="91">
        <f>IFERROR(__xludf.DUMMYFUNCTION("IFERROR(SUM(filter('Генеральный баннер'!$AH:$AH, 'Генеральный баннер'!$B:$B=$A932,'Генеральный баннер'!$C:$C=$B932,'Генеральный баннер'!$I:$I=$C932)), 0) "),0.0)</f>
        <v>0</v>
      </c>
      <c r="T932" s="91" t="str">
        <f>IFERROR(__xludf.DUMMYFUNCTION("IFERROR(REGEXREPLACE(unique(filter('Генеральный баннер'!$A:$A, 'Генеральный баннер'!$B:$B=$A932,'Генеральный баннер'!$C:$C=$B932,'Генеральный баннер'!$I:$I=$C932)), ""\d+"", """"),"""")"),"")</f>
        <v/>
      </c>
      <c r="U932" s="91" t="str">
        <f>IFERROR(__xludf.DUMMYFUNCTION("IFERROR(unique(filter('Генеральный баннер'!$F:$F, 'Генеральный баннер'!$B:$B=$A932,'Генеральный баннер'!$C:$C=$B932,'Генеральный баннер'!$I:$I=$C932)),"""")"),"")</f>
        <v/>
      </c>
      <c r="V932" s="92" t="str">
        <f t="shared" si="3"/>
        <v/>
      </c>
      <c r="W932" s="93">
        <f>IFERROR(__xludf.DUMMYFUNCTION("IFERROR(SWITCH(lower(join("" "",U932:V932)),""а миллионник"", 62.5,""б миллионник"", 75,""а мск"", 50, ""б мск"", 62.5, ""a остальное"", 70, ""б остальное"", 80)/100,0)"),0.0)</f>
        <v>0</v>
      </c>
      <c r="X932" s="91">
        <f t="shared" si="4"/>
        <v>0</v>
      </c>
    </row>
    <row r="933">
      <c r="A933" s="12"/>
      <c r="B933" s="12"/>
      <c r="C933" s="12"/>
      <c r="D933" s="91">
        <f>IFERROR(__xludf.DUMMYFUNCTION("IFERROR(sum(filter('Основной эфир'!$AA:$AA, 'Основной эфир'!$B:$B=$A933,'Основной эфир'!$C:$C=$B933,'Основной эфир'!$I:$I=$C933)), 0) "),0.0)</f>
        <v>0</v>
      </c>
      <c r="E933" s="91">
        <f>IFERROR(__xludf.DUMMYFUNCTION("IFERROR(sum(filter('Основной эфир'!$AC:$AC, 'Основной эфир'!$B:$B=$A933,'Основной эфир'!$C:$C=$B933,'Основной эфир'!$I:$I=$C933)), 0) "),0.0)</f>
        <v>0</v>
      </c>
      <c r="F933" s="91">
        <f>IFERROR(__xludf.DUMMYFUNCTION("IFERROR(sum(filter('Основной эфир'!$O:$O, 'Основной эфир'!$B:$B=$A933,'Основной эфир'!$C:$C=$B933,'Основной эфир'!$I:$I=$C933)), 0) "),0.0)</f>
        <v>0</v>
      </c>
      <c r="G933" s="91">
        <f>IFERROR(__xludf.DUMMYFUNCTION("IFERROR(sum(filter('Основной эфир'!$Q:$Q, 'Основной эфир'!$B:$B=$A933,'Основной эфир'!$C:$C=$B933,'Основной эфир'!$I:$I=$C933)), 0) "),0.0)</f>
        <v>0</v>
      </c>
      <c r="H933" s="91">
        <f>IFERROR(__xludf.DUMMYFUNCTION("IFERROR(AVERAGE(filter('Основной эфир'!$Y:$Y, 'Основной эфир'!$B:$B=$A933,'Основной эфир'!$C:$C=$B933,'Основной эфир'!$I:$I=$C933)), 0) "),0.0)</f>
        <v>0</v>
      </c>
      <c r="I933" s="91">
        <f>IFERROR(__xludf.DUMMYFUNCTION("IFERROR(AVERAGE(filter('Основной эфир'!$AE:$AE, 'Основной эфир'!$B:$B=$A933,'Основной эфир'!$C:$C=$B933,'Основной эфир'!$I:$I=$C933)), 0) "),0.0)</f>
        <v>0</v>
      </c>
      <c r="J933" s="91">
        <f>IFERROR(__xludf.DUMMYFUNCTION("IFERROR(SUM(filter('Основной эфир'!$AL:$AL, 'Основной эфир'!$B:$B=$A933,'Основной эфир'!$C:$C=$B933,'Основной эфир'!$I:$I=$C933)), 0) "),0.0)</f>
        <v>0</v>
      </c>
      <c r="K933" s="91" t="str">
        <f>IFERROR(__xludf.DUMMYFUNCTION("IFERROR(REGEXREPLACE(unique(filter('Основной эфир'!$A:$A, 'Основной эфир'!$B:$B=$A933,'Основной эфир'!$C:$C=$B933,'Основной эфир'!$I:$I=$C933)), ""\d+"", """"),"""")"),"")</f>
        <v/>
      </c>
      <c r="L933" s="91" t="str">
        <f>IFERROR(__xludf.DUMMYFUNCTION("IFERROR(unique(filter('Основной эфир'!$F:$F, 'Основной эфир'!$B:$B=$A933,'Основной эфир'!$C:$C=$B933,'Основной эфир'!$I:$I=$C933)),"""")"),"")</f>
        <v/>
      </c>
      <c r="M933" s="92" t="str">
        <f t="shared" si="1"/>
        <v/>
      </c>
      <c r="N933" s="93">
        <f>IFERROR(__xludf.DUMMYFUNCTION("IFERROR(SWITCH(lower(join("" "",L933:M933)),""а миллионник"", 62.5,""б миллионник"", 75,""а мск"", 50, ""б мск"", 62.5, ""a остальное"", 70, ""б остальное"", 80)/100,0)"),0.0)</f>
        <v>0</v>
      </c>
      <c r="O933" s="91">
        <f t="shared" si="2"/>
        <v>0</v>
      </c>
      <c r="P933" s="91">
        <f>IFERROR(__xludf.DUMMYFUNCTION("IFERROR(sum(filter('Генеральный баннер'!$O:$O, 'Генеральный баннер'!$B:$B=$A933,'Генеральный баннер'!$C:$C=$B933,'Генеральный баннер'!$I:$I=$C933)), 0) "),0.0)</f>
        <v>0</v>
      </c>
      <c r="Q933" s="91">
        <f>IFERROR(__xludf.DUMMYFUNCTION("IFERROR(sum(filter('Генеральный баннер'!$Q:$Q, 'Генеральный баннер'!$B:$B=$A933,'Генеральный баннер'!$C:$C=$B933,'Генеральный баннер'!$I:$I=$C933)), 0) "),0.0)</f>
        <v>0</v>
      </c>
      <c r="R933" s="91">
        <f>IFERROR(__xludf.DUMMYFUNCTION("IFERROR(AVERAGE(filter('Генеральный баннер'!$AA:$AA, 'Генеральный баннер'!$B:$B=$A933,'Генеральный баннер'!$C:$C=$B933,'Генеральный баннер'!$I:$I=$C933)), 0) "),0.0)</f>
        <v>0</v>
      </c>
      <c r="S933" s="91">
        <f>IFERROR(__xludf.DUMMYFUNCTION("IFERROR(SUM(filter('Генеральный баннер'!$AH:$AH, 'Генеральный баннер'!$B:$B=$A933,'Генеральный баннер'!$C:$C=$B933,'Генеральный баннер'!$I:$I=$C933)), 0) "),0.0)</f>
        <v>0</v>
      </c>
      <c r="T933" s="91" t="str">
        <f>IFERROR(__xludf.DUMMYFUNCTION("IFERROR(REGEXREPLACE(unique(filter('Генеральный баннер'!$A:$A, 'Генеральный баннер'!$B:$B=$A933,'Генеральный баннер'!$C:$C=$B933,'Генеральный баннер'!$I:$I=$C933)), ""\d+"", """"),"""")"),"")</f>
        <v/>
      </c>
      <c r="U933" s="91" t="str">
        <f>IFERROR(__xludf.DUMMYFUNCTION("IFERROR(unique(filter('Генеральный баннер'!$F:$F, 'Генеральный баннер'!$B:$B=$A933,'Генеральный баннер'!$C:$C=$B933,'Генеральный баннер'!$I:$I=$C933)),"""")"),"")</f>
        <v/>
      </c>
      <c r="V933" s="92" t="str">
        <f t="shared" si="3"/>
        <v/>
      </c>
      <c r="W933" s="93">
        <f>IFERROR(__xludf.DUMMYFUNCTION("IFERROR(SWITCH(lower(join("" "",U933:V933)),""а миллионник"", 62.5,""б миллионник"", 75,""а мск"", 50, ""б мск"", 62.5, ""a остальное"", 70, ""б остальное"", 80)/100,0)"),0.0)</f>
        <v>0</v>
      </c>
      <c r="X933" s="91">
        <f t="shared" si="4"/>
        <v>0</v>
      </c>
    </row>
    <row r="934">
      <c r="A934" s="12"/>
      <c r="B934" s="12"/>
      <c r="C934" s="12"/>
      <c r="D934" s="91">
        <f>IFERROR(__xludf.DUMMYFUNCTION("IFERROR(sum(filter('Основной эфир'!$AA:$AA, 'Основной эфир'!$B:$B=$A934,'Основной эфир'!$C:$C=$B934,'Основной эфир'!$I:$I=$C934)), 0) "),0.0)</f>
        <v>0</v>
      </c>
      <c r="E934" s="91">
        <f>IFERROR(__xludf.DUMMYFUNCTION("IFERROR(sum(filter('Основной эфир'!$AC:$AC, 'Основной эфир'!$B:$B=$A934,'Основной эфир'!$C:$C=$B934,'Основной эфир'!$I:$I=$C934)), 0) "),0.0)</f>
        <v>0</v>
      </c>
      <c r="F934" s="91">
        <f>IFERROR(__xludf.DUMMYFUNCTION("IFERROR(sum(filter('Основной эфир'!$O:$O, 'Основной эфир'!$B:$B=$A934,'Основной эфир'!$C:$C=$B934,'Основной эфир'!$I:$I=$C934)), 0) "),0.0)</f>
        <v>0</v>
      </c>
      <c r="G934" s="91">
        <f>IFERROR(__xludf.DUMMYFUNCTION("IFERROR(sum(filter('Основной эфир'!$Q:$Q, 'Основной эфир'!$B:$B=$A934,'Основной эфир'!$C:$C=$B934,'Основной эфир'!$I:$I=$C934)), 0) "),0.0)</f>
        <v>0</v>
      </c>
      <c r="H934" s="91">
        <f>IFERROR(__xludf.DUMMYFUNCTION("IFERROR(AVERAGE(filter('Основной эфир'!$Y:$Y, 'Основной эфир'!$B:$B=$A934,'Основной эфир'!$C:$C=$B934,'Основной эфир'!$I:$I=$C934)), 0) "),0.0)</f>
        <v>0</v>
      </c>
      <c r="I934" s="91">
        <f>IFERROR(__xludf.DUMMYFUNCTION("IFERROR(AVERAGE(filter('Основной эфир'!$AE:$AE, 'Основной эфир'!$B:$B=$A934,'Основной эфир'!$C:$C=$B934,'Основной эфир'!$I:$I=$C934)), 0) "),0.0)</f>
        <v>0</v>
      </c>
      <c r="J934" s="91">
        <f>IFERROR(__xludf.DUMMYFUNCTION("IFERROR(SUM(filter('Основной эфир'!$AL:$AL, 'Основной эфир'!$B:$B=$A934,'Основной эфир'!$C:$C=$B934,'Основной эфир'!$I:$I=$C934)), 0) "),0.0)</f>
        <v>0</v>
      </c>
      <c r="K934" s="91" t="str">
        <f>IFERROR(__xludf.DUMMYFUNCTION("IFERROR(REGEXREPLACE(unique(filter('Основной эфир'!$A:$A, 'Основной эфир'!$B:$B=$A934,'Основной эфир'!$C:$C=$B934,'Основной эфир'!$I:$I=$C934)), ""\d+"", """"),"""")"),"")</f>
        <v/>
      </c>
      <c r="L934" s="91" t="str">
        <f>IFERROR(__xludf.DUMMYFUNCTION("IFERROR(unique(filter('Основной эфир'!$F:$F, 'Основной эфир'!$B:$B=$A934,'Основной эфир'!$C:$C=$B934,'Основной эфир'!$I:$I=$C934)),"""")"),"")</f>
        <v/>
      </c>
      <c r="M934" s="92" t="str">
        <f t="shared" si="1"/>
        <v/>
      </c>
      <c r="N934" s="93">
        <f>IFERROR(__xludf.DUMMYFUNCTION("IFERROR(SWITCH(lower(join("" "",L934:M934)),""а миллионник"", 62.5,""б миллионник"", 75,""а мск"", 50, ""б мск"", 62.5, ""a остальное"", 70, ""б остальное"", 80)/100,0)"),0.0)</f>
        <v>0</v>
      </c>
      <c r="O934" s="91">
        <f t="shared" si="2"/>
        <v>0</v>
      </c>
      <c r="P934" s="91">
        <f>IFERROR(__xludf.DUMMYFUNCTION("IFERROR(sum(filter('Генеральный баннер'!$O:$O, 'Генеральный баннер'!$B:$B=$A934,'Генеральный баннер'!$C:$C=$B934,'Генеральный баннер'!$I:$I=$C934)), 0) "),0.0)</f>
        <v>0</v>
      </c>
      <c r="Q934" s="91">
        <f>IFERROR(__xludf.DUMMYFUNCTION("IFERROR(sum(filter('Генеральный баннер'!$Q:$Q, 'Генеральный баннер'!$B:$B=$A934,'Генеральный баннер'!$C:$C=$B934,'Генеральный баннер'!$I:$I=$C934)), 0) "),0.0)</f>
        <v>0</v>
      </c>
      <c r="R934" s="91">
        <f>IFERROR(__xludf.DUMMYFUNCTION("IFERROR(AVERAGE(filter('Генеральный баннер'!$AA:$AA, 'Генеральный баннер'!$B:$B=$A934,'Генеральный баннер'!$C:$C=$B934,'Генеральный баннер'!$I:$I=$C934)), 0) "),0.0)</f>
        <v>0</v>
      </c>
      <c r="S934" s="91">
        <f>IFERROR(__xludf.DUMMYFUNCTION("IFERROR(SUM(filter('Генеральный баннер'!$AH:$AH, 'Генеральный баннер'!$B:$B=$A934,'Генеральный баннер'!$C:$C=$B934,'Генеральный баннер'!$I:$I=$C934)), 0) "),0.0)</f>
        <v>0</v>
      </c>
      <c r="T934" s="91" t="str">
        <f>IFERROR(__xludf.DUMMYFUNCTION("IFERROR(REGEXREPLACE(unique(filter('Генеральный баннер'!$A:$A, 'Генеральный баннер'!$B:$B=$A934,'Генеральный баннер'!$C:$C=$B934,'Генеральный баннер'!$I:$I=$C934)), ""\d+"", """"),"""")"),"")</f>
        <v/>
      </c>
      <c r="U934" s="91" t="str">
        <f>IFERROR(__xludf.DUMMYFUNCTION("IFERROR(unique(filter('Генеральный баннер'!$F:$F, 'Генеральный баннер'!$B:$B=$A934,'Генеральный баннер'!$C:$C=$B934,'Генеральный баннер'!$I:$I=$C934)),"""")"),"")</f>
        <v/>
      </c>
      <c r="V934" s="92" t="str">
        <f t="shared" si="3"/>
        <v/>
      </c>
      <c r="W934" s="93">
        <f>IFERROR(__xludf.DUMMYFUNCTION("IFERROR(SWITCH(lower(join("" "",U934:V934)),""а миллионник"", 62.5,""б миллионник"", 75,""а мск"", 50, ""б мск"", 62.5, ""a остальное"", 70, ""б остальное"", 80)/100,0)"),0.0)</f>
        <v>0</v>
      </c>
      <c r="X934" s="91">
        <f t="shared" si="4"/>
        <v>0</v>
      </c>
    </row>
    <row r="935">
      <c r="A935" s="12"/>
      <c r="B935" s="12"/>
      <c r="C935" s="12"/>
      <c r="D935" s="91">
        <f>IFERROR(__xludf.DUMMYFUNCTION("IFERROR(sum(filter('Основной эфир'!$AA:$AA, 'Основной эфир'!$B:$B=$A935,'Основной эфир'!$C:$C=$B935,'Основной эфир'!$I:$I=$C935)), 0) "),0.0)</f>
        <v>0</v>
      </c>
      <c r="E935" s="91">
        <f>IFERROR(__xludf.DUMMYFUNCTION("IFERROR(sum(filter('Основной эфир'!$AC:$AC, 'Основной эфир'!$B:$B=$A935,'Основной эфир'!$C:$C=$B935,'Основной эфир'!$I:$I=$C935)), 0) "),0.0)</f>
        <v>0</v>
      </c>
      <c r="F935" s="91">
        <f>IFERROR(__xludf.DUMMYFUNCTION("IFERROR(sum(filter('Основной эфир'!$O:$O, 'Основной эфир'!$B:$B=$A935,'Основной эфир'!$C:$C=$B935,'Основной эфир'!$I:$I=$C935)), 0) "),0.0)</f>
        <v>0</v>
      </c>
      <c r="G935" s="91">
        <f>IFERROR(__xludf.DUMMYFUNCTION("IFERROR(sum(filter('Основной эфир'!$Q:$Q, 'Основной эфир'!$B:$B=$A935,'Основной эфир'!$C:$C=$B935,'Основной эфир'!$I:$I=$C935)), 0) "),0.0)</f>
        <v>0</v>
      </c>
      <c r="H935" s="91">
        <f>IFERROR(__xludf.DUMMYFUNCTION("IFERROR(AVERAGE(filter('Основной эфир'!$Y:$Y, 'Основной эфир'!$B:$B=$A935,'Основной эфир'!$C:$C=$B935,'Основной эфир'!$I:$I=$C935)), 0) "),0.0)</f>
        <v>0</v>
      </c>
      <c r="I935" s="91">
        <f>IFERROR(__xludf.DUMMYFUNCTION("IFERROR(AVERAGE(filter('Основной эфир'!$AE:$AE, 'Основной эфир'!$B:$B=$A935,'Основной эфир'!$C:$C=$B935,'Основной эфир'!$I:$I=$C935)), 0) "),0.0)</f>
        <v>0</v>
      </c>
      <c r="J935" s="91">
        <f>IFERROR(__xludf.DUMMYFUNCTION("IFERROR(SUM(filter('Основной эфир'!$AL:$AL, 'Основной эфир'!$B:$B=$A935,'Основной эфир'!$C:$C=$B935,'Основной эфир'!$I:$I=$C935)), 0) "),0.0)</f>
        <v>0</v>
      </c>
      <c r="K935" s="91" t="str">
        <f>IFERROR(__xludf.DUMMYFUNCTION("IFERROR(REGEXREPLACE(unique(filter('Основной эфир'!$A:$A, 'Основной эфир'!$B:$B=$A935,'Основной эфир'!$C:$C=$B935,'Основной эфир'!$I:$I=$C935)), ""\d+"", """"),"""")"),"")</f>
        <v/>
      </c>
      <c r="L935" s="91" t="str">
        <f>IFERROR(__xludf.DUMMYFUNCTION("IFERROR(unique(filter('Основной эфир'!$F:$F, 'Основной эфир'!$B:$B=$A935,'Основной эфир'!$C:$C=$B935,'Основной эфир'!$I:$I=$C935)),"""")"),"")</f>
        <v/>
      </c>
      <c r="M935" s="92" t="str">
        <f t="shared" si="1"/>
        <v/>
      </c>
      <c r="N935" s="93">
        <f>IFERROR(__xludf.DUMMYFUNCTION("IFERROR(SWITCH(lower(join("" "",L935:M935)),""а миллионник"", 62.5,""б миллионник"", 75,""а мск"", 50, ""б мск"", 62.5, ""a остальное"", 70, ""б остальное"", 80)/100,0)"),0.0)</f>
        <v>0</v>
      </c>
      <c r="O935" s="91">
        <f t="shared" si="2"/>
        <v>0</v>
      </c>
      <c r="P935" s="91">
        <f>IFERROR(__xludf.DUMMYFUNCTION("IFERROR(sum(filter('Генеральный баннер'!$O:$O, 'Генеральный баннер'!$B:$B=$A935,'Генеральный баннер'!$C:$C=$B935,'Генеральный баннер'!$I:$I=$C935)), 0) "),0.0)</f>
        <v>0</v>
      </c>
      <c r="Q935" s="91">
        <f>IFERROR(__xludf.DUMMYFUNCTION("IFERROR(sum(filter('Генеральный баннер'!$Q:$Q, 'Генеральный баннер'!$B:$B=$A935,'Генеральный баннер'!$C:$C=$B935,'Генеральный баннер'!$I:$I=$C935)), 0) "),0.0)</f>
        <v>0</v>
      </c>
      <c r="R935" s="91">
        <f>IFERROR(__xludf.DUMMYFUNCTION("IFERROR(AVERAGE(filter('Генеральный баннер'!$AA:$AA, 'Генеральный баннер'!$B:$B=$A935,'Генеральный баннер'!$C:$C=$B935,'Генеральный баннер'!$I:$I=$C935)), 0) "),0.0)</f>
        <v>0</v>
      </c>
      <c r="S935" s="91">
        <f>IFERROR(__xludf.DUMMYFUNCTION("IFERROR(SUM(filter('Генеральный баннер'!$AH:$AH, 'Генеральный баннер'!$B:$B=$A935,'Генеральный баннер'!$C:$C=$B935,'Генеральный баннер'!$I:$I=$C935)), 0) "),0.0)</f>
        <v>0</v>
      </c>
      <c r="T935" s="91" t="str">
        <f>IFERROR(__xludf.DUMMYFUNCTION("IFERROR(REGEXREPLACE(unique(filter('Генеральный баннер'!$A:$A, 'Генеральный баннер'!$B:$B=$A935,'Генеральный баннер'!$C:$C=$B935,'Генеральный баннер'!$I:$I=$C935)), ""\d+"", """"),"""")"),"")</f>
        <v/>
      </c>
      <c r="U935" s="91" t="str">
        <f>IFERROR(__xludf.DUMMYFUNCTION("IFERROR(unique(filter('Генеральный баннер'!$F:$F, 'Генеральный баннер'!$B:$B=$A935,'Генеральный баннер'!$C:$C=$B935,'Генеральный баннер'!$I:$I=$C935)),"""")"),"")</f>
        <v/>
      </c>
      <c r="V935" s="92" t="str">
        <f t="shared" si="3"/>
        <v/>
      </c>
      <c r="W935" s="93">
        <f>IFERROR(__xludf.DUMMYFUNCTION("IFERROR(SWITCH(lower(join("" "",U935:V935)),""а миллионник"", 62.5,""б миллионник"", 75,""а мск"", 50, ""б мск"", 62.5, ""a остальное"", 70, ""б остальное"", 80)/100,0)"),0.0)</f>
        <v>0</v>
      </c>
      <c r="X935" s="91">
        <f t="shared" si="4"/>
        <v>0</v>
      </c>
    </row>
    <row r="936">
      <c r="A936" s="12"/>
      <c r="B936" s="12"/>
      <c r="C936" s="12"/>
      <c r="D936" s="91">
        <f>IFERROR(__xludf.DUMMYFUNCTION("IFERROR(sum(filter('Основной эфир'!$AA:$AA, 'Основной эфир'!$B:$B=$A936,'Основной эфир'!$C:$C=$B936,'Основной эфир'!$I:$I=$C936)), 0) "),0.0)</f>
        <v>0</v>
      </c>
      <c r="E936" s="91">
        <f>IFERROR(__xludf.DUMMYFUNCTION("IFERROR(sum(filter('Основной эфир'!$AC:$AC, 'Основной эфир'!$B:$B=$A936,'Основной эфир'!$C:$C=$B936,'Основной эфир'!$I:$I=$C936)), 0) "),0.0)</f>
        <v>0</v>
      </c>
      <c r="F936" s="91">
        <f>IFERROR(__xludf.DUMMYFUNCTION("IFERROR(sum(filter('Основной эфир'!$O:$O, 'Основной эфир'!$B:$B=$A936,'Основной эфир'!$C:$C=$B936,'Основной эфир'!$I:$I=$C936)), 0) "),0.0)</f>
        <v>0</v>
      </c>
      <c r="G936" s="91">
        <f>IFERROR(__xludf.DUMMYFUNCTION("IFERROR(sum(filter('Основной эфир'!$Q:$Q, 'Основной эфир'!$B:$B=$A936,'Основной эфир'!$C:$C=$B936,'Основной эфир'!$I:$I=$C936)), 0) "),0.0)</f>
        <v>0</v>
      </c>
      <c r="H936" s="91">
        <f>IFERROR(__xludf.DUMMYFUNCTION("IFERROR(AVERAGE(filter('Основной эфир'!$Y:$Y, 'Основной эфир'!$B:$B=$A936,'Основной эфир'!$C:$C=$B936,'Основной эфир'!$I:$I=$C936)), 0) "),0.0)</f>
        <v>0</v>
      </c>
      <c r="I936" s="91">
        <f>IFERROR(__xludf.DUMMYFUNCTION("IFERROR(AVERAGE(filter('Основной эфир'!$AE:$AE, 'Основной эфир'!$B:$B=$A936,'Основной эфир'!$C:$C=$B936,'Основной эфир'!$I:$I=$C936)), 0) "),0.0)</f>
        <v>0</v>
      </c>
      <c r="J936" s="91">
        <f>IFERROR(__xludf.DUMMYFUNCTION("IFERROR(SUM(filter('Основной эфир'!$AL:$AL, 'Основной эфир'!$B:$B=$A936,'Основной эфир'!$C:$C=$B936,'Основной эфир'!$I:$I=$C936)), 0) "),0.0)</f>
        <v>0</v>
      </c>
      <c r="K936" s="91" t="str">
        <f>IFERROR(__xludf.DUMMYFUNCTION("IFERROR(REGEXREPLACE(unique(filter('Основной эфир'!$A:$A, 'Основной эфир'!$B:$B=$A936,'Основной эфир'!$C:$C=$B936,'Основной эфир'!$I:$I=$C936)), ""\d+"", """"),"""")"),"")</f>
        <v/>
      </c>
      <c r="L936" s="91" t="str">
        <f>IFERROR(__xludf.DUMMYFUNCTION("IFERROR(unique(filter('Основной эфир'!$F:$F, 'Основной эфир'!$B:$B=$A936,'Основной эфир'!$C:$C=$B936,'Основной эфир'!$I:$I=$C936)),"""")"),"")</f>
        <v/>
      </c>
      <c r="M936" s="92" t="str">
        <f t="shared" si="1"/>
        <v/>
      </c>
      <c r="N936" s="93">
        <f>IFERROR(__xludf.DUMMYFUNCTION("IFERROR(SWITCH(lower(join("" "",L936:M936)),""а миллионник"", 62.5,""б миллионник"", 75,""а мск"", 50, ""б мск"", 62.5, ""a остальное"", 70, ""б остальное"", 80)/100,0)"),0.0)</f>
        <v>0</v>
      </c>
      <c r="O936" s="91">
        <f t="shared" si="2"/>
        <v>0</v>
      </c>
      <c r="P936" s="91">
        <f>IFERROR(__xludf.DUMMYFUNCTION("IFERROR(sum(filter('Генеральный баннер'!$O:$O, 'Генеральный баннер'!$B:$B=$A936,'Генеральный баннер'!$C:$C=$B936,'Генеральный баннер'!$I:$I=$C936)), 0) "),0.0)</f>
        <v>0</v>
      </c>
      <c r="Q936" s="91">
        <f>IFERROR(__xludf.DUMMYFUNCTION("IFERROR(sum(filter('Генеральный баннер'!$Q:$Q, 'Генеральный баннер'!$B:$B=$A936,'Генеральный баннер'!$C:$C=$B936,'Генеральный баннер'!$I:$I=$C936)), 0) "),0.0)</f>
        <v>0</v>
      </c>
      <c r="R936" s="91">
        <f>IFERROR(__xludf.DUMMYFUNCTION("IFERROR(AVERAGE(filter('Генеральный баннер'!$AA:$AA, 'Генеральный баннер'!$B:$B=$A936,'Генеральный баннер'!$C:$C=$B936,'Генеральный баннер'!$I:$I=$C936)), 0) "),0.0)</f>
        <v>0</v>
      </c>
      <c r="S936" s="91">
        <f>IFERROR(__xludf.DUMMYFUNCTION("IFERROR(SUM(filter('Генеральный баннер'!$AH:$AH, 'Генеральный баннер'!$B:$B=$A936,'Генеральный баннер'!$C:$C=$B936,'Генеральный баннер'!$I:$I=$C936)), 0) "),0.0)</f>
        <v>0</v>
      </c>
      <c r="T936" s="91" t="str">
        <f>IFERROR(__xludf.DUMMYFUNCTION("IFERROR(REGEXREPLACE(unique(filter('Генеральный баннер'!$A:$A, 'Генеральный баннер'!$B:$B=$A936,'Генеральный баннер'!$C:$C=$B936,'Генеральный баннер'!$I:$I=$C936)), ""\d+"", """"),"""")"),"")</f>
        <v/>
      </c>
      <c r="U936" s="91" t="str">
        <f>IFERROR(__xludf.DUMMYFUNCTION("IFERROR(unique(filter('Генеральный баннер'!$F:$F, 'Генеральный баннер'!$B:$B=$A936,'Генеральный баннер'!$C:$C=$B936,'Генеральный баннер'!$I:$I=$C936)),"""")"),"")</f>
        <v/>
      </c>
      <c r="V936" s="92" t="str">
        <f t="shared" si="3"/>
        <v/>
      </c>
      <c r="W936" s="93">
        <f>IFERROR(__xludf.DUMMYFUNCTION("IFERROR(SWITCH(lower(join("" "",U936:V936)),""а миллионник"", 62.5,""б миллионник"", 75,""а мск"", 50, ""б мск"", 62.5, ""a остальное"", 70, ""б остальное"", 80)/100,0)"),0.0)</f>
        <v>0</v>
      </c>
      <c r="X936" s="91">
        <f t="shared" si="4"/>
        <v>0</v>
      </c>
    </row>
    <row r="937">
      <c r="A937" s="12"/>
      <c r="B937" s="12"/>
      <c r="C937" s="12"/>
      <c r="D937" s="91">
        <f>IFERROR(__xludf.DUMMYFUNCTION("IFERROR(sum(filter('Основной эфир'!$AA:$AA, 'Основной эфир'!$B:$B=$A937,'Основной эфир'!$C:$C=$B937,'Основной эфир'!$I:$I=$C937)), 0) "),0.0)</f>
        <v>0</v>
      </c>
      <c r="E937" s="91">
        <f>IFERROR(__xludf.DUMMYFUNCTION("IFERROR(sum(filter('Основной эфир'!$AC:$AC, 'Основной эфир'!$B:$B=$A937,'Основной эфир'!$C:$C=$B937,'Основной эфир'!$I:$I=$C937)), 0) "),0.0)</f>
        <v>0</v>
      </c>
      <c r="F937" s="91">
        <f>IFERROR(__xludf.DUMMYFUNCTION("IFERROR(sum(filter('Основной эфир'!$O:$O, 'Основной эфир'!$B:$B=$A937,'Основной эфир'!$C:$C=$B937,'Основной эфир'!$I:$I=$C937)), 0) "),0.0)</f>
        <v>0</v>
      </c>
      <c r="G937" s="91">
        <f>IFERROR(__xludf.DUMMYFUNCTION("IFERROR(sum(filter('Основной эфир'!$Q:$Q, 'Основной эфир'!$B:$B=$A937,'Основной эфир'!$C:$C=$B937,'Основной эфир'!$I:$I=$C937)), 0) "),0.0)</f>
        <v>0</v>
      </c>
      <c r="H937" s="91">
        <f>IFERROR(__xludf.DUMMYFUNCTION("IFERROR(AVERAGE(filter('Основной эфир'!$Y:$Y, 'Основной эфир'!$B:$B=$A937,'Основной эфир'!$C:$C=$B937,'Основной эфир'!$I:$I=$C937)), 0) "),0.0)</f>
        <v>0</v>
      </c>
      <c r="I937" s="91">
        <f>IFERROR(__xludf.DUMMYFUNCTION("IFERROR(AVERAGE(filter('Основной эфир'!$AE:$AE, 'Основной эфир'!$B:$B=$A937,'Основной эфир'!$C:$C=$B937,'Основной эфир'!$I:$I=$C937)), 0) "),0.0)</f>
        <v>0</v>
      </c>
      <c r="J937" s="91">
        <f>IFERROR(__xludf.DUMMYFUNCTION("IFERROR(SUM(filter('Основной эфир'!$AL:$AL, 'Основной эфир'!$B:$B=$A937,'Основной эфир'!$C:$C=$B937,'Основной эфир'!$I:$I=$C937)), 0) "),0.0)</f>
        <v>0</v>
      </c>
      <c r="K937" s="91" t="str">
        <f>IFERROR(__xludf.DUMMYFUNCTION("IFERROR(REGEXREPLACE(unique(filter('Основной эфир'!$A:$A, 'Основной эфир'!$B:$B=$A937,'Основной эфир'!$C:$C=$B937,'Основной эфир'!$I:$I=$C937)), ""\d+"", """"),"""")"),"")</f>
        <v/>
      </c>
      <c r="L937" s="91" t="str">
        <f>IFERROR(__xludf.DUMMYFUNCTION("IFERROR(unique(filter('Основной эфир'!$F:$F, 'Основной эфир'!$B:$B=$A937,'Основной эфир'!$C:$C=$B937,'Основной эфир'!$I:$I=$C937)),"""")"),"")</f>
        <v/>
      </c>
      <c r="M937" s="92" t="str">
        <f t="shared" si="1"/>
        <v/>
      </c>
      <c r="N937" s="93">
        <f>IFERROR(__xludf.DUMMYFUNCTION("IFERROR(SWITCH(lower(join("" "",L937:M937)),""а миллионник"", 62.5,""б миллионник"", 75,""а мск"", 50, ""б мск"", 62.5, ""a остальное"", 70, ""б остальное"", 80)/100,0)"),0.0)</f>
        <v>0</v>
      </c>
      <c r="O937" s="91">
        <f t="shared" si="2"/>
        <v>0</v>
      </c>
      <c r="P937" s="91">
        <f>IFERROR(__xludf.DUMMYFUNCTION("IFERROR(sum(filter('Генеральный баннер'!$O:$O, 'Генеральный баннер'!$B:$B=$A937,'Генеральный баннер'!$C:$C=$B937,'Генеральный баннер'!$I:$I=$C937)), 0) "),0.0)</f>
        <v>0</v>
      </c>
      <c r="Q937" s="91">
        <f>IFERROR(__xludf.DUMMYFUNCTION("IFERROR(sum(filter('Генеральный баннер'!$Q:$Q, 'Генеральный баннер'!$B:$B=$A937,'Генеральный баннер'!$C:$C=$B937,'Генеральный баннер'!$I:$I=$C937)), 0) "),0.0)</f>
        <v>0</v>
      </c>
      <c r="R937" s="91">
        <f>IFERROR(__xludf.DUMMYFUNCTION("IFERROR(AVERAGE(filter('Генеральный баннер'!$AA:$AA, 'Генеральный баннер'!$B:$B=$A937,'Генеральный баннер'!$C:$C=$B937,'Генеральный баннер'!$I:$I=$C937)), 0) "),0.0)</f>
        <v>0</v>
      </c>
      <c r="S937" s="91">
        <f>IFERROR(__xludf.DUMMYFUNCTION("IFERROR(SUM(filter('Генеральный баннер'!$AH:$AH, 'Генеральный баннер'!$B:$B=$A937,'Генеральный баннер'!$C:$C=$B937,'Генеральный баннер'!$I:$I=$C937)), 0) "),0.0)</f>
        <v>0</v>
      </c>
      <c r="T937" s="91" t="str">
        <f>IFERROR(__xludf.DUMMYFUNCTION("IFERROR(REGEXREPLACE(unique(filter('Генеральный баннер'!$A:$A, 'Генеральный баннер'!$B:$B=$A937,'Генеральный баннер'!$C:$C=$B937,'Генеральный баннер'!$I:$I=$C937)), ""\d+"", """"),"""")"),"")</f>
        <v/>
      </c>
      <c r="U937" s="91" t="str">
        <f>IFERROR(__xludf.DUMMYFUNCTION("IFERROR(unique(filter('Генеральный баннер'!$F:$F, 'Генеральный баннер'!$B:$B=$A937,'Генеральный баннер'!$C:$C=$B937,'Генеральный баннер'!$I:$I=$C937)),"""")"),"")</f>
        <v/>
      </c>
      <c r="V937" s="92" t="str">
        <f t="shared" si="3"/>
        <v/>
      </c>
      <c r="W937" s="93">
        <f>IFERROR(__xludf.DUMMYFUNCTION("IFERROR(SWITCH(lower(join("" "",U937:V937)),""а миллионник"", 62.5,""б миллионник"", 75,""а мск"", 50, ""б мск"", 62.5, ""a остальное"", 70, ""б остальное"", 80)/100,0)"),0.0)</f>
        <v>0</v>
      </c>
      <c r="X937" s="91">
        <f t="shared" si="4"/>
        <v>0</v>
      </c>
    </row>
    <row r="938">
      <c r="A938" s="12"/>
      <c r="B938" s="12"/>
      <c r="C938" s="12"/>
      <c r="D938" s="91">
        <f>IFERROR(__xludf.DUMMYFUNCTION("IFERROR(sum(filter('Основной эфир'!$AA:$AA, 'Основной эфир'!$B:$B=$A938,'Основной эфир'!$C:$C=$B938,'Основной эфир'!$I:$I=$C938)), 0) "),0.0)</f>
        <v>0</v>
      </c>
      <c r="E938" s="91">
        <f>IFERROR(__xludf.DUMMYFUNCTION("IFERROR(sum(filter('Основной эфир'!$AC:$AC, 'Основной эфир'!$B:$B=$A938,'Основной эфир'!$C:$C=$B938,'Основной эфир'!$I:$I=$C938)), 0) "),0.0)</f>
        <v>0</v>
      </c>
      <c r="F938" s="91">
        <f>IFERROR(__xludf.DUMMYFUNCTION("IFERROR(sum(filter('Основной эфир'!$O:$O, 'Основной эфир'!$B:$B=$A938,'Основной эфир'!$C:$C=$B938,'Основной эфир'!$I:$I=$C938)), 0) "),0.0)</f>
        <v>0</v>
      </c>
      <c r="G938" s="91">
        <f>IFERROR(__xludf.DUMMYFUNCTION("IFERROR(sum(filter('Основной эфир'!$Q:$Q, 'Основной эфир'!$B:$B=$A938,'Основной эфир'!$C:$C=$B938,'Основной эфир'!$I:$I=$C938)), 0) "),0.0)</f>
        <v>0</v>
      </c>
      <c r="H938" s="91">
        <f>IFERROR(__xludf.DUMMYFUNCTION("IFERROR(AVERAGE(filter('Основной эфир'!$Y:$Y, 'Основной эфир'!$B:$B=$A938,'Основной эфир'!$C:$C=$B938,'Основной эфир'!$I:$I=$C938)), 0) "),0.0)</f>
        <v>0</v>
      </c>
      <c r="I938" s="91">
        <f>IFERROR(__xludf.DUMMYFUNCTION("IFERROR(AVERAGE(filter('Основной эфир'!$AE:$AE, 'Основной эфир'!$B:$B=$A938,'Основной эфир'!$C:$C=$B938,'Основной эфир'!$I:$I=$C938)), 0) "),0.0)</f>
        <v>0</v>
      </c>
      <c r="J938" s="91">
        <f>IFERROR(__xludf.DUMMYFUNCTION("IFERROR(SUM(filter('Основной эфир'!$AL:$AL, 'Основной эфир'!$B:$B=$A938,'Основной эфир'!$C:$C=$B938,'Основной эфир'!$I:$I=$C938)), 0) "),0.0)</f>
        <v>0</v>
      </c>
      <c r="K938" s="91" t="str">
        <f>IFERROR(__xludf.DUMMYFUNCTION("IFERROR(REGEXREPLACE(unique(filter('Основной эфир'!$A:$A, 'Основной эфир'!$B:$B=$A938,'Основной эфир'!$C:$C=$B938,'Основной эфир'!$I:$I=$C938)), ""\d+"", """"),"""")"),"")</f>
        <v/>
      </c>
      <c r="L938" s="91" t="str">
        <f>IFERROR(__xludf.DUMMYFUNCTION("IFERROR(unique(filter('Основной эфир'!$F:$F, 'Основной эфир'!$B:$B=$A938,'Основной эфир'!$C:$C=$B938,'Основной эфир'!$I:$I=$C938)),"""")"),"")</f>
        <v/>
      </c>
      <c r="M938" s="92" t="str">
        <f t="shared" si="1"/>
        <v/>
      </c>
      <c r="N938" s="93">
        <f>IFERROR(__xludf.DUMMYFUNCTION("IFERROR(SWITCH(lower(join("" "",L938:M938)),""а миллионник"", 62.5,""б миллионник"", 75,""а мск"", 50, ""б мск"", 62.5, ""a остальное"", 70, ""б остальное"", 80)/100,0)"),0.0)</f>
        <v>0</v>
      </c>
      <c r="O938" s="91">
        <f t="shared" si="2"/>
        <v>0</v>
      </c>
      <c r="P938" s="91">
        <f>IFERROR(__xludf.DUMMYFUNCTION("IFERROR(sum(filter('Генеральный баннер'!$O:$O, 'Генеральный баннер'!$B:$B=$A938,'Генеральный баннер'!$C:$C=$B938,'Генеральный баннер'!$I:$I=$C938)), 0) "),0.0)</f>
        <v>0</v>
      </c>
      <c r="Q938" s="91">
        <f>IFERROR(__xludf.DUMMYFUNCTION("IFERROR(sum(filter('Генеральный баннер'!$Q:$Q, 'Генеральный баннер'!$B:$B=$A938,'Генеральный баннер'!$C:$C=$B938,'Генеральный баннер'!$I:$I=$C938)), 0) "),0.0)</f>
        <v>0</v>
      </c>
      <c r="R938" s="91">
        <f>IFERROR(__xludf.DUMMYFUNCTION("IFERROR(AVERAGE(filter('Генеральный баннер'!$AA:$AA, 'Генеральный баннер'!$B:$B=$A938,'Генеральный баннер'!$C:$C=$B938,'Генеральный баннер'!$I:$I=$C938)), 0) "),0.0)</f>
        <v>0</v>
      </c>
      <c r="S938" s="91">
        <f>IFERROR(__xludf.DUMMYFUNCTION("IFERROR(SUM(filter('Генеральный баннер'!$AH:$AH, 'Генеральный баннер'!$B:$B=$A938,'Генеральный баннер'!$C:$C=$B938,'Генеральный баннер'!$I:$I=$C938)), 0) "),0.0)</f>
        <v>0</v>
      </c>
      <c r="T938" s="91" t="str">
        <f>IFERROR(__xludf.DUMMYFUNCTION("IFERROR(REGEXREPLACE(unique(filter('Генеральный баннер'!$A:$A, 'Генеральный баннер'!$B:$B=$A938,'Генеральный баннер'!$C:$C=$B938,'Генеральный баннер'!$I:$I=$C938)), ""\d+"", """"),"""")"),"")</f>
        <v/>
      </c>
      <c r="U938" s="91" t="str">
        <f>IFERROR(__xludf.DUMMYFUNCTION("IFERROR(unique(filter('Генеральный баннер'!$F:$F, 'Генеральный баннер'!$B:$B=$A938,'Генеральный баннер'!$C:$C=$B938,'Генеральный баннер'!$I:$I=$C938)),"""")"),"")</f>
        <v/>
      </c>
      <c r="V938" s="92" t="str">
        <f t="shared" si="3"/>
        <v/>
      </c>
      <c r="W938" s="93">
        <f>IFERROR(__xludf.DUMMYFUNCTION("IFERROR(SWITCH(lower(join("" "",U938:V938)),""а миллионник"", 62.5,""б миллионник"", 75,""а мск"", 50, ""б мск"", 62.5, ""a остальное"", 70, ""б остальное"", 80)/100,0)"),0.0)</f>
        <v>0</v>
      </c>
      <c r="X938" s="91">
        <f t="shared" si="4"/>
        <v>0</v>
      </c>
    </row>
    <row r="939">
      <c r="A939" s="12"/>
      <c r="B939" s="12"/>
      <c r="C939" s="12"/>
      <c r="D939" s="91">
        <f>IFERROR(__xludf.DUMMYFUNCTION("IFERROR(sum(filter('Основной эфир'!$AA:$AA, 'Основной эфир'!$B:$B=$A939,'Основной эфир'!$C:$C=$B939,'Основной эфир'!$I:$I=$C939)), 0) "),0.0)</f>
        <v>0</v>
      </c>
      <c r="E939" s="91">
        <f>IFERROR(__xludf.DUMMYFUNCTION("IFERROR(sum(filter('Основной эфир'!$AC:$AC, 'Основной эфир'!$B:$B=$A939,'Основной эфир'!$C:$C=$B939,'Основной эфир'!$I:$I=$C939)), 0) "),0.0)</f>
        <v>0</v>
      </c>
      <c r="F939" s="91">
        <f>IFERROR(__xludf.DUMMYFUNCTION("IFERROR(sum(filter('Основной эфир'!$O:$O, 'Основной эфир'!$B:$B=$A939,'Основной эфир'!$C:$C=$B939,'Основной эфир'!$I:$I=$C939)), 0) "),0.0)</f>
        <v>0</v>
      </c>
      <c r="G939" s="91">
        <f>IFERROR(__xludf.DUMMYFUNCTION("IFERROR(sum(filter('Основной эфир'!$Q:$Q, 'Основной эфир'!$B:$B=$A939,'Основной эфир'!$C:$C=$B939,'Основной эфир'!$I:$I=$C939)), 0) "),0.0)</f>
        <v>0</v>
      </c>
      <c r="H939" s="91">
        <f>IFERROR(__xludf.DUMMYFUNCTION("IFERROR(AVERAGE(filter('Основной эфир'!$Y:$Y, 'Основной эфир'!$B:$B=$A939,'Основной эфир'!$C:$C=$B939,'Основной эфир'!$I:$I=$C939)), 0) "),0.0)</f>
        <v>0</v>
      </c>
      <c r="I939" s="91">
        <f>IFERROR(__xludf.DUMMYFUNCTION("IFERROR(AVERAGE(filter('Основной эфир'!$AE:$AE, 'Основной эфир'!$B:$B=$A939,'Основной эфир'!$C:$C=$B939,'Основной эфир'!$I:$I=$C939)), 0) "),0.0)</f>
        <v>0</v>
      </c>
      <c r="J939" s="91">
        <f>IFERROR(__xludf.DUMMYFUNCTION("IFERROR(SUM(filter('Основной эфир'!$AL:$AL, 'Основной эфир'!$B:$B=$A939,'Основной эфир'!$C:$C=$B939,'Основной эфир'!$I:$I=$C939)), 0) "),0.0)</f>
        <v>0</v>
      </c>
      <c r="K939" s="91" t="str">
        <f>IFERROR(__xludf.DUMMYFUNCTION("IFERROR(REGEXREPLACE(unique(filter('Основной эфир'!$A:$A, 'Основной эфир'!$B:$B=$A939,'Основной эфир'!$C:$C=$B939,'Основной эфир'!$I:$I=$C939)), ""\d+"", """"),"""")"),"")</f>
        <v/>
      </c>
      <c r="L939" s="91" t="str">
        <f>IFERROR(__xludf.DUMMYFUNCTION("IFERROR(unique(filter('Основной эфир'!$F:$F, 'Основной эфир'!$B:$B=$A939,'Основной эфир'!$C:$C=$B939,'Основной эфир'!$I:$I=$C939)),"""")"),"")</f>
        <v/>
      </c>
      <c r="M939" s="92" t="str">
        <f t="shared" si="1"/>
        <v/>
      </c>
      <c r="N939" s="93">
        <f>IFERROR(__xludf.DUMMYFUNCTION("IFERROR(SWITCH(lower(join("" "",L939:M939)),""а миллионник"", 62.5,""б миллионник"", 75,""а мск"", 50, ""б мск"", 62.5, ""a остальное"", 70, ""б остальное"", 80)/100,0)"),0.0)</f>
        <v>0</v>
      </c>
      <c r="O939" s="91">
        <f t="shared" si="2"/>
        <v>0</v>
      </c>
      <c r="P939" s="91">
        <f>IFERROR(__xludf.DUMMYFUNCTION("IFERROR(sum(filter('Генеральный баннер'!$O:$O, 'Генеральный баннер'!$B:$B=$A939,'Генеральный баннер'!$C:$C=$B939,'Генеральный баннер'!$I:$I=$C939)), 0) "),0.0)</f>
        <v>0</v>
      </c>
      <c r="Q939" s="91">
        <f>IFERROR(__xludf.DUMMYFUNCTION("IFERROR(sum(filter('Генеральный баннер'!$Q:$Q, 'Генеральный баннер'!$B:$B=$A939,'Генеральный баннер'!$C:$C=$B939,'Генеральный баннер'!$I:$I=$C939)), 0) "),0.0)</f>
        <v>0</v>
      </c>
      <c r="R939" s="91">
        <f>IFERROR(__xludf.DUMMYFUNCTION("IFERROR(AVERAGE(filter('Генеральный баннер'!$AA:$AA, 'Генеральный баннер'!$B:$B=$A939,'Генеральный баннер'!$C:$C=$B939,'Генеральный баннер'!$I:$I=$C939)), 0) "),0.0)</f>
        <v>0</v>
      </c>
      <c r="S939" s="91">
        <f>IFERROR(__xludf.DUMMYFUNCTION("IFERROR(SUM(filter('Генеральный баннер'!$AH:$AH, 'Генеральный баннер'!$B:$B=$A939,'Генеральный баннер'!$C:$C=$B939,'Генеральный баннер'!$I:$I=$C939)), 0) "),0.0)</f>
        <v>0</v>
      </c>
      <c r="T939" s="91" t="str">
        <f>IFERROR(__xludf.DUMMYFUNCTION("IFERROR(REGEXREPLACE(unique(filter('Генеральный баннер'!$A:$A, 'Генеральный баннер'!$B:$B=$A939,'Генеральный баннер'!$C:$C=$B939,'Генеральный баннер'!$I:$I=$C939)), ""\d+"", """"),"""")"),"")</f>
        <v/>
      </c>
      <c r="U939" s="91" t="str">
        <f>IFERROR(__xludf.DUMMYFUNCTION("IFERROR(unique(filter('Генеральный баннер'!$F:$F, 'Генеральный баннер'!$B:$B=$A939,'Генеральный баннер'!$C:$C=$B939,'Генеральный баннер'!$I:$I=$C939)),"""")"),"")</f>
        <v/>
      </c>
      <c r="V939" s="92" t="str">
        <f t="shared" si="3"/>
        <v/>
      </c>
      <c r="W939" s="93">
        <f>IFERROR(__xludf.DUMMYFUNCTION("IFERROR(SWITCH(lower(join("" "",U939:V939)),""а миллионник"", 62.5,""б миллионник"", 75,""а мск"", 50, ""б мск"", 62.5, ""a остальное"", 70, ""б остальное"", 80)/100,0)"),0.0)</f>
        <v>0</v>
      </c>
      <c r="X939" s="91">
        <f t="shared" si="4"/>
        <v>0</v>
      </c>
    </row>
    <row r="940">
      <c r="A940" s="12"/>
      <c r="B940" s="12"/>
      <c r="C940" s="12"/>
      <c r="D940" s="91">
        <f>IFERROR(__xludf.DUMMYFUNCTION("IFERROR(sum(filter('Основной эфир'!$AA:$AA, 'Основной эфир'!$B:$B=$A940,'Основной эфир'!$C:$C=$B940,'Основной эфир'!$I:$I=$C940)), 0) "),0.0)</f>
        <v>0</v>
      </c>
      <c r="E940" s="91">
        <f>IFERROR(__xludf.DUMMYFUNCTION("IFERROR(sum(filter('Основной эфир'!$AC:$AC, 'Основной эфир'!$B:$B=$A940,'Основной эфир'!$C:$C=$B940,'Основной эфир'!$I:$I=$C940)), 0) "),0.0)</f>
        <v>0</v>
      </c>
      <c r="F940" s="91">
        <f>IFERROR(__xludf.DUMMYFUNCTION("IFERROR(sum(filter('Основной эфир'!$O:$O, 'Основной эфир'!$B:$B=$A940,'Основной эфир'!$C:$C=$B940,'Основной эфир'!$I:$I=$C940)), 0) "),0.0)</f>
        <v>0</v>
      </c>
      <c r="G940" s="91">
        <f>IFERROR(__xludf.DUMMYFUNCTION("IFERROR(sum(filter('Основной эфир'!$Q:$Q, 'Основной эфир'!$B:$B=$A940,'Основной эфир'!$C:$C=$B940,'Основной эфир'!$I:$I=$C940)), 0) "),0.0)</f>
        <v>0</v>
      </c>
      <c r="H940" s="91">
        <f>IFERROR(__xludf.DUMMYFUNCTION("IFERROR(AVERAGE(filter('Основной эфир'!$Y:$Y, 'Основной эфир'!$B:$B=$A940,'Основной эфир'!$C:$C=$B940,'Основной эфир'!$I:$I=$C940)), 0) "),0.0)</f>
        <v>0</v>
      </c>
      <c r="I940" s="91">
        <f>IFERROR(__xludf.DUMMYFUNCTION("IFERROR(AVERAGE(filter('Основной эфир'!$AE:$AE, 'Основной эфир'!$B:$B=$A940,'Основной эфир'!$C:$C=$B940,'Основной эфир'!$I:$I=$C940)), 0) "),0.0)</f>
        <v>0</v>
      </c>
      <c r="J940" s="91">
        <f>IFERROR(__xludf.DUMMYFUNCTION("IFERROR(SUM(filter('Основной эфир'!$AL:$AL, 'Основной эфир'!$B:$B=$A940,'Основной эфир'!$C:$C=$B940,'Основной эфир'!$I:$I=$C940)), 0) "),0.0)</f>
        <v>0</v>
      </c>
      <c r="K940" s="91" t="str">
        <f>IFERROR(__xludf.DUMMYFUNCTION("IFERROR(REGEXREPLACE(unique(filter('Основной эфир'!$A:$A, 'Основной эфир'!$B:$B=$A940,'Основной эфир'!$C:$C=$B940,'Основной эфир'!$I:$I=$C940)), ""\d+"", """"),"""")"),"")</f>
        <v/>
      </c>
      <c r="L940" s="91" t="str">
        <f>IFERROR(__xludf.DUMMYFUNCTION("IFERROR(unique(filter('Основной эфир'!$F:$F, 'Основной эфир'!$B:$B=$A940,'Основной эфир'!$C:$C=$B940,'Основной эфир'!$I:$I=$C940)),"""")"),"")</f>
        <v/>
      </c>
      <c r="M940" s="92" t="str">
        <f t="shared" si="1"/>
        <v/>
      </c>
      <c r="N940" s="93">
        <f>IFERROR(__xludf.DUMMYFUNCTION("IFERROR(SWITCH(lower(join("" "",L940:M940)),""а миллионник"", 62.5,""б миллионник"", 75,""а мск"", 50, ""б мск"", 62.5, ""a остальное"", 70, ""б остальное"", 80)/100,0)"),0.0)</f>
        <v>0</v>
      </c>
      <c r="O940" s="91">
        <f t="shared" si="2"/>
        <v>0</v>
      </c>
      <c r="P940" s="91">
        <f>IFERROR(__xludf.DUMMYFUNCTION("IFERROR(sum(filter('Генеральный баннер'!$O:$O, 'Генеральный баннер'!$B:$B=$A940,'Генеральный баннер'!$C:$C=$B940,'Генеральный баннер'!$I:$I=$C940)), 0) "),0.0)</f>
        <v>0</v>
      </c>
      <c r="Q940" s="91">
        <f>IFERROR(__xludf.DUMMYFUNCTION("IFERROR(sum(filter('Генеральный баннер'!$Q:$Q, 'Генеральный баннер'!$B:$B=$A940,'Генеральный баннер'!$C:$C=$B940,'Генеральный баннер'!$I:$I=$C940)), 0) "),0.0)</f>
        <v>0</v>
      </c>
      <c r="R940" s="91">
        <f>IFERROR(__xludf.DUMMYFUNCTION("IFERROR(AVERAGE(filter('Генеральный баннер'!$AA:$AA, 'Генеральный баннер'!$B:$B=$A940,'Генеральный баннер'!$C:$C=$B940,'Генеральный баннер'!$I:$I=$C940)), 0) "),0.0)</f>
        <v>0</v>
      </c>
      <c r="S940" s="91">
        <f>IFERROR(__xludf.DUMMYFUNCTION("IFERROR(SUM(filter('Генеральный баннер'!$AH:$AH, 'Генеральный баннер'!$B:$B=$A940,'Генеральный баннер'!$C:$C=$B940,'Генеральный баннер'!$I:$I=$C940)), 0) "),0.0)</f>
        <v>0</v>
      </c>
      <c r="T940" s="91" t="str">
        <f>IFERROR(__xludf.DUMMYFUNCTION("IFERROR(REGEXREPLACE(unique(filter('Генеральный баннер'!$A:$A, 'Генеральный баннер'!$B:$B=$A940,'Генеральный баннер'!$C:$C=$B940,'Генеральный баннер'!$I:$I=$C940)), ""\d+"", """"),"""")"),"")</f>
        <v/>
      </c>
      <c r="U940" s="91" t="str">
        <f>IFERROR(__xludf.DUMMYFUNCTION("IFERROR(unique(filter('Генеральный баннер'!$F:$F, 'Генеральный баннер'!$B:$B=$A940,'Генеральный баннер'!$C:$C=$B940,'Генеральный баннер'!$I:$I=$C940)),"""")"),"")</f>
        <v/>
      </c>
      <c r="V940" s="92" t="str">
        <f t="shared" si="3"/>
        <v/>
      </c>
      <c r="W940" s="93">
        <f>IFERROR(__xludf.DUMMYFUNCTION("IFERROR(SWITCH(lower(join("" "",U940:V940)),""а миллионник"", 62.5,""б миллионник"", 75,""а мск"", 50, ""б мск"", 62.5, ""a остальное"", 70, ""б остальное"", 80)/100,0)"),0.0)</f>
        <v>0</v>
      </c>
      <c r="X940" s="91">
        <f t="shared" si="4"/>
        <v>0</v>
      </c>
    </row>
    <row r="941">
      <c r="A941" s="12"/>
      <c r="B941" s="12"/>
      <c r="C941" s="12"/>
      <c r="D941" s="91">
        <f>IFERROR(__xludf.DUMMYFUNCTION("IFERROR(sum(filter('Основной эфир'!$AA:$AA, 'Основной эфир'!$B:$B=$A941,'Основной эфир'!$C:$C=$B941,'Основной эфир'!$I:$I=$C941)), 0) "),0.0)</f>
        <v>0</v>
      </c>
      <c r="E941" s="91">
        <f>IFERROR(__xludf.DUMMYFUNCTION("IFERROR(sum(filter('Основной эфир'!$AC:$AC, 'Основной эфир'!$B:$B=$A941,'Основной эфир'!$C:$C=$B941,'Основной эфир'!$I:$I=$C941)), 0) "),0.0)</f>
        <v>0</v>
      </c>
      <c r="F941" s="91">
        <f>IFERROR(__xludf.DUMMYFUNCTION("IFERROR(sum(filter('Основной эфир'!$O:$O, 'Основной эфир'!$B:$B=$A941,'Основной эфир'!$C:$C=$B941,'Основной эфир'!$I:$I=$C941)), 0) "),0.0)</f>
        <v>0</v>
      </c>
      <c r="G941" s="91">
        <f>IFERROR(__xludf.DUMMYFUNCTION("IFERROR(sum(filter('Основной эфир'!$Q:$Q, 'Основной эфир'!$B:$B=$A941,'Основной эфир'!$C:$C=$B941,'Основной эфир'!$I:$I=$C941)), 0) "),0.0)</f>
        <v>0</v>
      </c>
      <c r="H941" s="91">
        <f>IFERROR(__xludf.DUMMYFUNCTION("IFERROR(AVERAGE(filter('Основной эфир'!$Y:$Y, 'Основной эфир'!$B:$B=$A941,'Основной эфир'!$C:$C=$B941,'Основной эфир'!$I:$I=$C941)), 0) "),0.0)</f>
        <v>0</v>
      </c>
      <c r="I941" s="91">
        <f>IFERROR(__xludf.DUMMYFUNCTION("IFERROR(AVERAGE(filter('Основной эфир'!$AE:$AE, 'Основной эфир'!$B:$B=$A941,'Основной эфир'!$C:$C=$B941,'Основной эфир'!$I:$I=$C941)), 0) "),0.0)</f>
        <v>0</v>
      </c>
      <c r="J941" s="91">
        <f>IFERROR(__xludf.DUMMYFUNCTION("IFERROR(SUM(filter('Основной эфир'!$AL:$AL, 'Основной эфир'!$B:$B=$A941,'Основной эфир'!$C:$C=$B941,'Основной эфир'!$I:$I=$C941)), 0) "),0.0)</f>
        <v>0</v>
      </c>
      <c r="K941" s="91" t="str">
        <f>IFERROR(__xludf.DUMMYFUNCTION("IFERROR(REGEXREPLACE(unique(filter('Основной эфир'!$A:$A, 'Основной эфир'!$B:$B=$A941,'Основной эфир'!$C:$C=$B941,'Основной эфир'!$I:$I=$C941)), ""\d+"", """"),"""")"),"")</f>
        <v/>
      </c>
      <c r="L941" s="91" t="str">
        <f>IFERROR(__xludf.DUMMYFUNCTION("IFERROR(unique(filter('Основной эфир'!$F:$F, 'Основной эфир'!$B:$B=$A941,'Основной эфир'!$C:$C=$B941,'Основной эфир'!$I:$I=$C941)),"""")"),"")</f>
        <v/>
      </c>
      <c r="M941" s="92" t="str">
        <f t="shared" si="1"/>
        <v/>
      </c>
      <c r="N941" s="93">
        <f>IFERROR(__xludf.DUMMYFUNCTION("IFERROR(SWITCH(lower(join("" "",L941:M941)),""а миллионник"", 62.5,""б миллионник"", 75,""а мск"", 50, ""б мск"", 62.5, ""a остальное"", 70, ""б остальное"", 80)/100,0)"),0.0)</f>
        <v>0</v>
      </c>
      <c r="O941" s="91">
        <f t="shared" si="2"/>
        <v>0</v>
      </c>
      <c r="P941" s="91">
        <f>IFERROR(__xludf.DUMMYFUNCTION("IFERROR(sum(filter('Генеральный баннер'!$O:$O, 'Генеральный баннер'!$B:$B=$A941,'Генеральный баннер'!$C:$C=$B941,'Генеральный баннер'!$I:$I=$C941)), 0) "),0.0)</f>
        <v>0</v>
      </c>
      <c r="Q941" s="91">
        <f>IFERROR(__xludf.DUMMYFUNCTION("IFERROR(sum(filter('Генеральный баннер'!$Q:$Q, 'Генеральный баннер'!$B:$B=$A941,'Генеральный баннер'!$C:$C=$B941,'Генеральный баннер'!$I:$I=$C941)), 0) "),0.0)</f>
        <v>0</v>
      </c>
      <c r="R941" s="91">
        <f>IFERROR(__xludf.DUMMYFUNCTION("IFERROR(AVERAGE(filter('Генеральный баннер'!$AA:$AA, 'Генеральный баннер'!$B:$B=$A941,'Генеральный баннер'!$C:$C=$B941,'Генеральный баннер'!$I:$I=$C941)), 0) "),0.0)</f>
        <v>0</v>
      </c>
      <c r="S941" s="91">
        <f>IFERROR(__xludf.DUMMYFUNCTION("IFERROR(SUM(filter('Генеральный баннер'!$AH:$AH, 'Генеральный баннер'!$B:$B=$A941,'Генеральный баннер'!$C:$C=$B941,'Генеральный баннер'!$I:$I=$C941)), 0) "),0.0)</f>
        <v>0</v>
      </c>
      <c r="T941" s="91" t="str">
        <f>IFERROR(__xludf.DUMMYFUNCTION("IFERROR(REGEXREPLACE(unique(filter('Генеральный баннер'!$A:$A, 'Генеральный баннер'!$B:$B=$A941,'Генеральный баннер'!$C:$C=$B941,'Генеральный баннер'!$I:$I=$C941)), ""\d+"", """"),"""")"),"")</f>
        <v/>
      </c>
      <c r="U941" s="91" t="str">
        <f>IFERROR(__xludf.DUMMYFUNCTION("IFERROR(unique(filter('Генеральный баннер'!$F:$F, 'Генеральный баннер'!$B:$B=$A941,'Генеральный баннер'!$C:$C=$B941,'Генеральный баннер'!$I:$I=$C941)),"""")"),"")</f>
        <v/>
      </c>
      <c r="V941" s="92" t="str">
        <f t="shared" si="3"/>
        <v/>
      </c>
      <c r="W941" s="93">
        <f>IFERROR(__xludf.DUMMYFUNCTION("IFERROR(SWITCH(lower(join("" "",U941:V941)),""а миллионник"", 62.5,""б миллионник"", 75,""а мск"", 50, ""б мск"", 62.5, ""a остальное"", 70, ""б остальное"", 80)/100,0)"),0.0)</f>
        <v>0</v>
      </c>
      <c r="X941" s="91">
        <f t="shared" si="4"/>
        <v>0</v>
      </c>
    </row>
    <row r="942">
      <c r="A942" s="12"/>
      <c r="B942" s="12"/>
      <c r="C942" s="12"/>
      <c r="D942" s="91">
        <f>IFERROR(__xludf.DUMMYFUNCTION("IFERROR(sum(filter('Основной эфир'!$AA:$AA, 'Основной эфир'!$B:$B=$A942,'Основной эфир'!$C:$C=$B942,'Основной эфир'!$I:$I=$C942)), 0) "),0.0)</f>
        <v>0</v>
      </c>
      <c r="E942" s="91">
        <f>IFERROR(__xludf.DUMMYFUNCTION("IFERROR(sum(filter('Основной эфир'!$AC:$AC, 'Основной эфир'!$B:$B=$A942,'Основной эфир'!$C:$C=$B942,'Основной эфир'!$I:$I=$C942)), 0) "),0.0)</f>
        <v>0</v>
      </c>
      <c r="F942" s="91">
        <f>IFERROR(__xludf.DUMMYFUNCTION("IFERROR(sum(filter('Основной эфир'!$O:$O, 'Основной эфир'!$B:$B=$A942,'Основной эфир'!$C:$C=$B942,'Основной эфир'!$I:$I=$C942)), 0) "),0.0)</f>
        <v>0</v>
      </c>
      <c r="G942" s="91">
        <f>IFERROR(__xludf.DUMMYFUNCTION("IFERROR(sum(filter('Основной эфир'!$Q:$Q, 'Основной эфир'!$B:$B=$A942,'Основной эфир'!$C:$C=$B942,'Основной эфир'!$I:$I=$C942)), 0) "),0.0)</f>
        <v>0</v>
      </c>
      <c r="H942" s="91">
        <f>IFERROR(__xludf.DUMMYFUNCTION("IFERROR(AVERAGE(filter('Основной эфир'!$Y:$Y, 'Основной эфир'!$B:$B=$A942,'Основной эфир'!$C:$C=$B942,'Основной эфир'!$I:$I=$C942)), 0) "),0.0)</f>
        <v>0</v>
      </c>
      <c r="I942" s="91">
        <f>IFERROR(__xludf.DUMMYFUNCTION("IFERROR(AVERAGE(filter('Основной эфир'!$AE:$AE, 'Основной эфир'!$B:$B=$A942,'Основной эфир'!$C:$C=$B942,'Основной эфир'!$I:$I=$C942)), 0) "),0.0)</f>
        <v>0</v>
      </c>
      <c r="J942" s="91">
        <f>IFERROR(__xludf.DUMMYFUNCTION("IFERROR(SUM(filter('Основной эфир'!$AL:$AL, 'Основной эфир'!$B:$B=$A942,'Основной эфир'!$C:$C=$B942,'Основной эфир'!$I:$I=$C942)), 0) "),0.0)</f>
        <v>0</v>
      </c>
      <c r="K942" s="91" t="str">
        <f>IFERROR(__xludf.DUMMYFUNCTION("IFERROR(REGEXREPLACE(unique(filter('Основной эфир'!$A:$A, 'Основной эфир'!$B:$B=$A942,'Основной эфир'!$C:$C=$B942,'Основной эфир'!$I:$I=$C942)), ""\d+"", """"),"""")"),"")</f>
        <v/>
      </c>
      <c r="L942" s="91" t="str">
        <f>IFERROR(__xludf.DUMMYFUNCTION("IFERROR(unique(filter('Основной эфир'!$F:$F, 'Основной эфир'!$B:$B=$A942,'Основной эфир'!$C:$C=$B942,'Основной эфир'!$I:$I=$C942)),"""")"),"")</f>
        <v/>
      </c>
      <c r="M942" s="92" t="str">
        <f t="shared" si="1"/>
        <v/>
      </c>
      <c r="N942" s="93">
        <f>IFERROR(__xludf.DUMMYFUNCTION("IFERROR(SWITCH(lower(join("" "",L942:M942)),""а миллионник"", 62.5,""б миллионник"", 75,""а мск"", 50, ""б мск"", 62.5, ""a остальное"", 70, ""б остальное"", 80)/100,0)"),0.0)</f>
        <v>0</v>
      </c>
      <c r="O942" s="91">
        <f t="shared" si="2"/>
        <v>0</v>
      </c>
      <c r="P942" s="91">
        <f>IFERROR(__xludf.DUMMYFUNCTION("IFERROR(sum(filter('Генеральный баннер'!$O:$O, 'Генеральный баннер'!$B:$B=$A942,'Генеральный баннер'!$C:$C=$B942,'Генеральный баннер'!$I:$I=$C942)), 0) "),0.0)</f>
        <v>0</v>
      </c>
      <c r="Q942" s="91">
        <f>IFERROR(__xludf.DUMMYFUNCTION("IFERROR(sum(filter('Генеральный баннер'!$Q:$Q, 'Генеральный баннер'!$B:$B=$A942,'Генеральный баннер'!$C:$C=$B942,'Генеральный баннер'!$I:$I=$C942)), 0) "),0.0)</f>
        <v>0</v>
      </c>
      <c r="R942" s="91">
        <f>IFERROR(__xludf.DUMMYFUNCTION("IFERROR(AVERAGE(filter('Генеральный баннер'!$AA:$AA, 'Генеральный баннер'!$B:$B=$A942,'Генеральный баннер'!$C:$C=$B942,'Генеральный баннер'!$I:$I=$C942)), 0) "),0.0)</f>
        <v>0</v>
      </c>
      <c r="S942" s="91">
        <f>IFERROR(__xludf.DUMMYFUNCTION("IFERROR(SUM(filter('Генеральный баннер'!$AH:$AH, 'Генеральный баннер'!$B:$B=$A942,'Генеральный баннер'!$C:$C=$B942,'Генеральный баннер'!$I:$I=$C942)), 0) "),0.0)</f>
        <v>0</v>
      </c>
      <c r="T942" s="91" t="str">
        <f>IFERROR(__xludf.DUMMYFUNCTION("IFERROR(REGEXREPLACE(unique(filter('Генеральный баннер'!$A:$A, 'Генеральный баннер'!$B:$B=$A942,'Генеральный баннер'!$C:$C=$B942,'Генеральный баннер'!$I:$I=$C942)), ""\d+"", """"),"""")"),"")</f>
        <v/>
      </c>
      <c r="U942" s="91" t="str">
        <f>IFERROR(__xludf.DUMMYFUNCTION("IFERROR(unique(filter('Генеральный баннер'!$F:$F, 'Генеральный баннер'!$B:$B=$A942,'Генеральный баннер'!$C:$C=$B942,'Генеральный баннер'!$I:$I=$C942)),"""")"),"")</f>
        <v/>
      </c>
      <c r="V942" s="92" t="str">
        <f t="shared" si="3"/>
        <v/>
      </c>
      <c r="W942" s="93">
        <f>IFERROR(__xludf.DUMMYFUNCTION("IFERROR(SWITCH(lower(join("" "",U942:V942)),""а миллионник"", 62.5,""б миллионник"", 75,""а мск"", 50, ""б мск"", 62.5, ""a остальное"", 70, ""б остальное"", 80)/100,0)"),0.0)</f>
        <v>0</v>
      </c>
      <c r="X942" s="91">
        <f t="shared" si="4"/>
        <v>0</v>
      </c>
    </row>
    <row r="943">
      <c r="A943" s="12"/>
      <c r="B943" s="12"/>
      <c r="C943" s="12"/>
      <c r="D943" s="91">
        <f>IFERROR(__xludf.DUMMYFUNCTION("IFERROR(sum(filter('Основной эфир'!$AA:$AA, 'Основной эфир'!$B:$B=$A943,'Основной эфир'!$C:$C=$B943,'Основной эфир'!$I:$I=$C943)), 0) "),0.0)</f>
        <v>0</v>
      </c>
      <c r="E943" s="91">
        <f>IFERROR(__xludf.DUMMYFUNCTION("IFERROR(sum(filter('Основной эфир'!$AC:$AC, 'Основной эфир'!$B:$B=$A943,'Основной эфир'!$C:$C=$B943,'Основной эфир'!$I:$I=$C943)), 0) "),0.0)</f>
        <v>0</v>
      </c>
      <c r="F943" s="91">
        <f>IFERROR(__xludf.DUMMYFUNCTION("IFERROR(sum(filter('Основной эфир'!$O:$O, 'Основной эфир'!$B:$B=$A943,'Основной эфир'!$C:$C=$B943,'Основной эфир'!$I:$I=$C943)), 0) "),0.0)</f>
        <v>0</v>
      </c>
      <c r="G943" s="91">
        <f>IFERROR(__xludf.DUMMYFUNCTION("IFERROR(sum(filter('Основной эфир'!$Q:$Q, 'Основной эфир'!$B:$B=$A943,'Основной эфир'!$C:$C=$B943,'Основной эфир'!$I:$I=$C943)), 0) "),0.0)</f>
        <v>0</v>
      </c>
      <c r="H943" s="91">
        <f>IFERROR(__xludf.DUMMYFUNCTION("IFERROR(AVERAGE(filter('Основной эфир'!$Y:$Y, 'Основной эфир'!$B:$B=$A943,'Основной эфир'!$C:$C=$B943,'Основной эфир'!$I:$I=$C943)), 0) "),0.0)</f>
        <v>0</v>
      </c>
      <c r="I943" s="91">
        <f>IFERROR(__xludf.DUMMYFUNCTION("IFERROR(AVERAGE(filter('Основной эфир'!$AE:$AE, 'Основной эфир'!$B:$B=$A943,'Основной эфир'!$C:$C=$B943,'Основной эфир'!$I:$I=$C943)), 0) "),0.0)</f>
        <v>0</v>
      </c>
      <c r="J943" s="91">
        <f>IFERROR(__xludf.DUMMYFUNCTION("IFERROR(SUM(filter('Основной эфир'!$AL:$AL, 'Основной эфир'!$B:$B=$A943,'Основной эфир'!$C:$C=$B943,'Основной эфир'!$I:$I=$C943)), 0) "),0.0)</f>
        <v>0</v>
      </c>
      <c r="K943" s="91" t="str">
        <f>IFERROR(__xludf.DUMMYFUNCTION("IFERROR(REGEXREPLACE(unique(filter('Основной эфир'!$A:$A, 'Основной эфир'!$B:$B=$A943,'Основной эфир'!$C:$C=$B943,'Основной эфир'!$I:$I=$C943)), ""\d+"", """"),"""")"),"")</f>
        <v/>
      </c>
      <c r="L943" s="91" t="str">
        <f>IFERROR(__xludf.DUMMYFUNCTION("IFERROR(unique(filter('Основной эфир'!$F:$F, 'Основной эфир'!$B:$B=$A943,'Основной эфир'!$C:$C=$B943,'Основной эфир'!$I:$I=$C943)),"""")"),"")</f>
        <v/>
      </c>
      <c r="M943" s="92" t="str">
        <f t="shared" si="1"/>
        <v/>
      </c>
      <c r="N943" s="93">
        <f>IFERROR(__xludf.DUMMYFUNCTION("IFERROR(SWITCH(lower(join("" "",L943:M943)),""а миллионник"", 62.5,""б миллионник"", 75,""а мск"", 50, ""б мск"", 62.5, ""a остальное"", 70, ""б остальное"", 80)/100,0)"),0.0)</f>
        <v>0</v>
      </c>
      <c r="O943" s="91">
        <f t="shared" si="2"/>
        <v>0</v>
      </c>
      <c r="P943" s="91">
        <f>IFERROR(__xludf.DUMMYFUNCTION("IFERROR(sum(filter('Генеральный баннер'!$O:$O, 'Генеральный баннер'!$B:$B=$A943,'Генеральный баннер'!$C:$C=$B943,'Генеральный баннер'!$I:$I=$C943)), 0) "),0.0)</f>
        <v>0</v>
      </c>
      <c r="Q943" s="91">
        <f>IFERROR(__xludf.DUMMYFUNCTION("IFERROR(sum(filter('Генеральный баннер'!$Q:$Q, 'Генеральный баннер'!$B:$B=$A943,'Генеральный баннер'!$C:$C=$B943,'Генеральный баннер'!$I:$I=$C943)), 0) "),0.0)</f>
        <v>0</v>
      </c>
      <c r="R943" s="91">
        <f>IFERROR(__xludf.DUMMYFUNCTION("IFERROR(AVERAGE(filter('Генеральный баннер'!$AA:$AA, 'Генеральный баннер'!$B:$B=$A943,'Генеральный баннер'!$C:$C=$B943,'Генеральный баннер'!$I:$I=$C943)), 0) "),0.0)</f>
        <v>0</v>
      </c>
      <c r="S943" s="91">
        <f>IFERROR(__xludf.DUMMYFUNCTION("IFERROR(SUM(filter('Генеральный баннер'!$AH:$AH, 'Генеральный баннер'!$B:$B=$A943,'Генеральный баннер'!$C:$C=$B943,'Генеральный баннер'!$I:$I=$C943)), 0) "),0.0)</f>
        <v>0</v>
      </c>
      <c r="T943" s="91" t="str">
        <f>IFERROR(__xludf.DUMMYFUNCTION("IFERROR(REGEXREPLACE(unique(filter('Генеральный баннер'!$A:$A, 'Генеральный баннер'!$B:$B=$A943,'Генеральный баннер'!$C:$C=$B943,'Генеральный баннер'!$I:$I=$C943)), ""\d+"", """"),"""")"),"")</f>
        <v/>
      </c>
      <c r="U943" s="91" t="str">
        <f>IFERROR(__xludf.DUMMYFUNCTION("IFERROR(unique(filter('Генеральный баннер'!$F:$F, 'Генеральный баннер'!$B:$B=$A943,'Генеральный баннер'!$C:$C=$B943,'Генеральный баннер'!$I:$I=$C943)),"""")"),"")</f>
        <v/>
      </c>
      <c r="V943" s="92" t="str">
        <f t="shared" si="3"/>
        <v/>
      </c>
      <c r="W943" s="93">
        <f>IFERROR(__xludf.DUMMYFUNCTION("IFERROR(SWITCH(lower(join("" "",U943:V943)),""а миллионник"", 62.5,""б миллионник"", 75,""а мск"", 50, ""б мск"", 62.5, ""a остальное"", 70, ""б остальное"", 80)/100,0)"),0.0)</f>
        <v>0</v>
      </c>
      <c r="X943" s="91">
        <f t="shared" si="4"/>
        <v>0</v>
      </c>
    </row>
    <row r="944">
      <c r="A944" s="12"/>
      <c r="B944" s="12"/>
      <c r="C944" s="12"/>
      <c r="D944" s="91">
        <f>IFERROR(__xludf.DUMMYFUNCTION("IFERROR(sum(filter('Основной эфир'!$AA:$AA, 'Основной эфир'!$B:$B=$A944,'Основной эфир'!$C:$C=$B944,'Основной эфир'!$I:$I=$C944)), 0) "),0.0)</f>
        <v>0</v>
      </c>
      <c r="E944" s="91">
        <f>IFERROR(__xludf.DUMMYFUNCTION("IFERROR(sum(filter('Основной эфир'!$AC:$AC, 'Основной эфир'!$B:$B=$A944,'Основной эфир'!$C:$C=$B944,'Основной эфир'!$I:$I=$C944)), 0) "),0.0)</f>
        <v>0</v>
      </c>
      <c r="F944" s="91">
        <f>IFERROR(__xludf.DUMMYFUNCTION("IFERROR(sum(filter('Основной эфир'!$O:$O, 'Основной эфир'!$B:$B=$A944,'Основной эфир'!$C:$C=$B944,'Основной эфир'!$I:$I=$C944)), 0) "),0.0)</f>
        <v>0</v>
      </c>
      <c r="G944" s="91">
        <f>IFERROR(__xludf.DUMMYFUNCTION("IFERROR(sum(filter('Основной эфир'!$Q:$Q, 'Основной эфир'!$B:$B=$A944,'Основной эфир'!$C:$C=$B944,'Основной эфир'!$I:$I=$C944)), 0) "),0.0)</f>
        <v>0</v>
      </c>
      <c r="H944" s="91">
        <f>IFERROR(__xludf.DUMMYFUNCTION("IFERROR(AVERAGE(filter('Основной эфир'!$Y:$Y, 'Основной эфир'!$B:$B=$A944,'Основной эфир'!$C:$C=$B944,'Основной эфир'!$I:$I=$C944)), 0) "),0.0)</f>
        <v>0</v>
      </c>
      <c r="I944" s="91">
        <f>IFERROR(__xludf.DUMMYFUNCTION("IFERROR(AVERAGE(filter('Основной эфир'!$AE:$AE, 'Основной эфир'!$B:$B=$A944,'Основной эфир'!$C:$C=$B944,'Основной эфир'!$I:$I=$C944)), 0) "),0.0)</f>
        <v>0</v>
      </c>
      <c r="J944" s="91">
        <f>IFERROR(__xludf.DUMMYFUNCTION("IFERROR(SUM(filter('Основной эфир'!$AL:$AL, 'Основной эфир'!$B:$B=$A944,'Основной эфир'!$C:$C=$B944,'Основной эфир'!$I:$I=$C944)), 0) "),0.0)</f>
        <v>0</v>
      </c>
      <c r="K944" s="91" t="str">
        <f>IFERROR(__xludf.DUMMYFUNCTION("IFERROR(REGEXREPLACE(unique(filter('Основной эфир'!$A:$A, 'Основной эфир'!$B:$B=$A944,'Основной эфир'!$C:$C=$B944,'Основной эфир'!$I:$I=$C944)), ""\d+"", """"),"""")"),"")</f>
        <v/>
      </c>
      <c r="L944" s="91" t="str">
        <f>IFERROR(__xludf.DUMMYFUNCTION("IFERROR(unique(filter('Основной эфир'!$F:$F, 'Основной эфир'!$B:$B=$A944,'Основной эфир'!$C:$C=$B944,'Основной эфир'!$I:$I=$C944)),"""")"),"")</f>
        <v/>
      </c>
      <c r="M944" s="92" t="str">
        <f t="shared" si="1"/>
        <v/>
      </c>
      <c r="N944" s="93">
        <f>IFERROR(__xludf.DUMMYFUNCTION("IFERROR(SWITCH(lower(join("" "",L944:M944)),""а миллионник"", 62.5,""б миллионник"", 75,""а мск"", 50, ""б мск"", 62.5, ""a остальное"", 70, ""б остальное"", 80)/100,0)"),0.0)</f>
        <v>0</v>
      </c>
      <c r="O944" s="91">
        <f t="shared" si="2"/>
        <v>0</v>
      </c>
      <c r="P944" s="91">
        <f>IFERROR(__xludf.DUMMYFUNCTION("IFERROR(sum(filter('Генеральный баннер'!$O:$O, 'Генеральный баннер'!$B:$B=$A944,'Генеральный баннер'!$C:$C=$B944,'Генеральный баннер'!$I:$I=$C944)), 0) "),0.0)</f>
        <v>0</v>
      </c>
      <c r="Q944" s="91">
        <f>IFERROR(__xludf.DUMMYFUNCTION("IFERROR(sum(filter('Генеральный баннер'!$Q:$Q, 'Генеральный баннер'!$B:$B=$A944,'Генеральный баннер'!$C:$C=$B944,'Генеральный баннер'!$I:$I=$C944)), 0) "),0.0)</f>
        <v>0</v>
      </c>
      <c r="R944" s="91">
        <f>IFERROR(__xludf.DUMMYFUNCTION("IFERROR(AVERAGE(filter('Генеральный баннер'!$AA:$AA, 'Генеральный баннер'!$B:$B=$A944,'Генеральный баннер'!$C:$C=$B944,'Генеральный баннер'!$I:$I=$C944)), 0) "),0.0)</f>
        <v>0</v>
      </c>
      <c r="S944" s="91">
        <f>IFERROR(__xludf.DUMMYFUNCTION("IFERROR(SUM(filter('Генеральный баннер'!$AH:$AH, 'Генеральный баннер'!$B:$B=$A944,'Генеральный баннер'!$C:$C=$B944,'Генеральный баннер'!$I:$I=$C944)), 0) "),0.0)</f>
        <v>0</v>
      </c>
      <c r="T944" s="91" t="str">
        <f>IFERROR(__xludf.DUMMYFUNCTION("IFERROR(REGEXREPLACE(unique(filter('Генеральный баннер'!$A:$A, 'Генеральный баннер'!$B:$B=$A944,'Генеральный баннер'!$C:$C=$B944,'Генеральный баннер'!$I:$I=$C944)), ""\d+"", """"),"""")"),"")</f>
        <v/>
      </c>
      <c r="U944" s="91" t="str">
        <f>IFERROR(__xludf.DUMMYFUNCTION("IFERROR(unique(filter('Генеральный баннер'!$F:$F, 'Генеральный баннер'!$B:$B=$A944,'Генеральный баннер'!$C:$C=$B944,'Генеральный баннер'!$I:$I=$C944)),"""")"),"")</f>
        <v/>
      </c>
      <c r="V944" s="92" t="str">
        <f t="shared" si="3"/>
        <v/>
      </c>
      <c r="W944" s="93">
        <f>IFERROR(__xludf.DUMMYFUNCTION("IFERROR(SWITCH(lower(join("" "",U944:V944)),""а миллионник"", 62.5,""б миллионник"", 75,""а мск"", 50, ""б мск"", 62.5, ""a остальное"", 70, ""б остальное"", 80)/100,0)"),0.0)</f>
        <v>0</v>
      </c>
      <c r="X944" s="91">
        <f t="shared" si="4"/>
        <v>0</v>
      </c>
    </row>
    <row r="945">
      <c r="A945" s="12"/>
      <c r="B945" s="12"/>
      <c r="C945" s="12"/>
      <c r="D945" s="91">
        <f>IFERROR(__xludf.DUMMYFUNCTION("IFERROR(sum(filter('Основной эфир'!$AA:$AA, 'Основной эфир'!$B:$B=$A945,'Основной эфир'!$C:$C=$B945,'Основной эфир'!$I:$I=$C945)), 0) "),0.0)</f>
        <v>0</v>
      </c>
      <c r="E945" s="91">
        <f>IFERROR(__xludf.DUMMYFUNCTION("IFERROR(sum(filter('Основной эфир'!$AC:$AC, 'Основной эфир'!$B:$B=$A945,'Основной эфир'!$C:$C=$B945,'Основной эфир'!$I:$I=$C945)), 0) "),0.0)</f>
        <v>0</v>
      </c>
      <c r="F945" s="91">
        <f>IFERROR(__xludf.DUMMYFUNCTION("IFERROR(sum(filter('Основной эфир'!$O:$O, 'Основной эфир'!$B:$B=$A945,'Основной эфир'!$C:$C=$B945,'Основной эфир'!$I:$I=$C945)), 0) "),0.0)</f>
        <v>0</v>
      </c>
      <c r="G945" s="91">
        <f>IFERROR(__xludf.DUMMYFUNCTION("IFERROR(sum(filter('Основной эфир'!$Q:$Q, 'Основной эфир'!$B:$B=$A945,'Основной эфир'!$C:$C=$B945,'Основной эфир'!$I:$I=$C945)), 0) "),0.0)</f>
        <v>0</v>
      </c>
      <c r="H945" s="91">
        <f>IFERROR(__xludf.DUMMYFUNCTION("IFERROR(AVERAGE(filter('Основной эфир'!$Y:$Y, 'Основной эфир'!$B:$B=$A945,'Основной эфир'!$C:$C=$B945,'Основной эфир'!$I:$I=$C945)), 0) "),0.0)</f>
        <v>0</v>
      </c>
      <c r="I945" s="91">
        <f>IFERROR(__xludf.DUMMYFUNCTION("IFERROR(AVERAGE(filter('Основной эфир'!$AE:$AE, 'Основной эфир'!$B:$B=$A945,'Основной эфир'!$C:$C=$B945,'Основной эфир'!$I:$I=$C945)), 0) "),0.0)</f>
        <v>0</v>
      </c>
      <c r="J945" s="91">
        <f>IFERROR(__xludf.DUMMYFUNCTION("IFERROR(SUM(filter('Основной эфир'!$AL:$AL, 'Основной эфир'!$B:$B=$A945,'Основной эфир'!$C:$C=$B945,'Основной эфир'!$I:$I=$C945)), 0) "),0.0)</f>
        <v>0</v>
      </c>
      <c r="K945" s="91" t="str">
        <f>IFERROR(__xludf.DUMMYFUNCTION("IFERROR(REGEXREPLACE(unique(filter('Основной эфир'!$A:$A, 'Основной эфир'!$B:$B=$A945,'Основной эфир'!$C:$C=$B945,'Основной эфир'!$I:$I=$C945)), ""\d+"", """"),"""")"),"")</f>
        <v/>
      </c>
      <c r="L945" s="91" t="str">
        <f>IFERROR(__xludf.DUMMYFUNCTION("IFERROR(unique(filter('Основной эфир'!$F:$F, 'Основной эфир'!$B:$B=$A945,'Основной эфир'!$C:$C=$B945,'Основной эфир'!$I:$I=$C945)),"""")"),"")</f>
        <v/>
      </c>
      <c r="M945" s="92" t="str">
        <f t="shared" si="1"/>
        <v/>
      </c>
      <c r="N945" s="93">
        <f>IFERROR(__xludf.DUMMYFUNCTION("IFERROR(SWITCH(lower(join("" "",L945:M945)),""а миллионник"", 62.5,""б миллионник"", 75,""а мск"", 50, ""б мск"", 62.5, ""a остальное"", 70, ""б остальное"", 80)/100,0)"),0.0)</f>
        <v>0</v>
      </c>
      <c r="O945" s="91">
        <f t="shared" si="2"/>
        <v>0</v>
      </c>
      <c r="P945" s="91">
        <f>IFERROR(__xludf.DUMMYFUNCTION("IFERROR(sum(filter('Генеральный баннер'!$O:$O, 'Генеральный баннер'!$B:$B=$A945,'Генеральный баннер'!$C:$C=$B945,'Генеральный баннер'!$I:$I=$C945)), 0) "),0.0)</f>
        <v>0</v>
      </c>
      <c r="Q945" s="91">
        <f>IFERROR(__xludf.DUMMYFUNCTION("IFERROR(sum(filter('Генеральный баннер'!$Q:$Q, 'Генеральный баннер'!$B:$B=$A945,'Генеральный баннер'!$C:$C=$B945,'Генеральный баннер'!$I:$I=$C945)), 0) "),0.0)</f>
        <v>0</v>
      </c>
      <c r="R945" s="91">
        <f>IFERROR(__xludf.DUMMYFUNCTION("IFERROR(AVERAGE(filter('Генеральный баннер'!$AA:$AA, 'Генеральный баннер'!$B:$B=$A945,'Генеральный баннер'!$C:$C=$B945,'Генеральный баннер'!$I:$I=$C945)), 0) "),0.0)</f>
        <v>0</v>
      </c>
      <c r="S945" s="91">
        <f>IFERROR(__xludf.DUMMYFUNCTION("IFERROR(SUM(filter('Генеральный баннер'!$AH:$AH, 'Генеральный баннер'!$B:$B=$A945,'Генеральный баннер'!$C:$C=$B945,'Генеральный баннер'!$I:$I=$C945)), 0) "),0.0)</f>
        <v>0</v>
      </c>
      <c r="T945" s="91" t="str">
        <f>IFERROR(__xludf.DUMMYFUNCTION("IFERROR(REGEXREPLACE(unique(filter('Генеральный баннер'!$A:$A, 'Генеральный баннер'!$B:$B=$A945,'Генеральный баннер'!$C:$C=$B945,'Генеральный баннер'!$I:$I=$C945)), ""\d+"", """"),"""")"),"")</f>
        <v/>
      </c>
      <c r="U945" s="91" t="str">
        <f>IFERROR(__xludf.DUMMYFUNCTION("IFERROR(unique(filter('Генеральный баннер'!$F:$F, 'Генеральный баннер'!$B:$B=$A945,'Генеральный баннер'!$C:$C=$B945,'Генеральный баннер'!$I:$I=$C945)),"""")"),"")</f>
        <v/>
      </c>
      <c r="V945" s="92" t="str">
        <f t="shared" si="3"/>
        <v/>
      </c>
      <c r="W945" s="93">
        <f>IFERROR(__xludf.DUMMYFUNCTION("IFERROR(SWITCH(lower(join("" "",U945:V945)),""а миллионник"", 62.5,""б миллионник"", 75,""а мск"", 50, ""б мск"", 62.5, ""a остальное"", 70, ""б остальное"", 80)/100,0)"),0.0)</f>
        <v>0</v>
      </c>
      <c r="X945" s="91">
        <f t="shared" si="4"/>
        <v>0</v>
      </c>
    </row>
    <row r="946">
      <c r="A946" s="12"/>
      <c r="B946" s="12"/>
      <c r="C946" s="12"/>
      <c r="D946" s="91">
        <f>IFERROR(__xludf.DUMMYFUNCTION("IFERROR(sum(filter('Основной эфир'!$AA:$AA, 'Основной эфир'!$B:$B=$A946,'Основной эфир'!$C:$C=$B946,'Основной эфир'!$I:$I=$C946)), 0) "),0.0)</f>
        <v>0</v>
      </c>
      <c r="E946" s="91">
        <f>IFERROR(__xludf.DUMMYFUNCTION("IFERROR(sum(filter('Основной эфир'!$AC:$AC, 'Основной эфир'!$B:$B=$A946,'Основной эфир'!$C:$C=$B946,'Основной эфир'!$I:$I=$C946)), 0) "),0.0)</f>
        <v>0</v>
      </c>
      <c r="F946" s="91">
        <f>IFERROR(__xludf.DUMMYFUNCTION("IFERROR(sum(filter('Основной эфир'!$O:$O, 'Основной эфир'!$B:$B=$A946,'Основной эфир'!$C:$C=$B946,'Основной эфир'!$I:$I=$C946)), 0) "),0.0)</f>
        <v>0</v>
      </c>
      <c r="G946" s="91">
        <f>IFERROR(__xludf.DUMMYFUNCTION("IFERROR(sum(filter('Основной эфир'!$Q:$Q, 'Основной эфир'!$B:$B=$A946,'Основной эфир'!$C:$C=$B946,'Основной эфир'!$I:$I=$C946)), 0) "),0.0)</f>
        <v>0</v>
      </c>
      <c r="H946" s="91">
        <f>IFERROR(__xludf.DUMMYFUNCTION("IFERROR(AVERAGE(filter('Основной эфир'!$Y:$Y, 'Основной эфир'!$B:$B=$A946,'Основной эфир'!$C:$C=$B946,'Основной эфир'!$I:$I=$C946)), 0) "),0.0)</f>
        <v>0</v>
      </c>
      <c r="I946" s="91">
        <f>IFERROR(__xludf.DUMMYFUNCTION("IFERROR(AVERAGE(filter('Основной эфир'!$AE:$AE, 'Основной эфир'!$B:$B=$A946,'Основной эфир'!$C:$C=$B946,'Основной эфир'!$I:$I=$C946)), 0) "),0.0)</f>
        <v>0</v>
      </c>
      <c r="J946" s="91">
        <f>IFERROR(__xludf.DUMMYFUNCTION("IFERROR(SUM(filter('Основной эфир'!$AL:$AL, 'Основной эфир'!$B:$B=$A946,'Основной эфир'!$C:$C=$B946,'Основной эфир'!$I:$I=$C946)), 0) "),0.0)</f>
        <v>0</v>
      </c>
      <c r="K946" s="91" t="str">
        <f>IFERROR(__xludf.DUMMYFUNCTION("IFERROR(REGEXREPLACE(unique(filter('Основной эфир'!$A:$A, 'Основной эфир'!$B:$B=$A946,'Основной эфир'!$C:$C=$B946,'Основной эфир'!$I:$I=$C946)), ""\d+"", """"),"""")"),"")</f>
        <v/>
      </c>
      <c r="L946" s="91" t="str">
        <f>IFERROR(__xludf.DUMMYFUNCTION("IFERROR(unique(filter('Основной эфир'!$F:$F, 'Основной эфир'!$B:$B=$A946,'Основной эфир'!$C:$C=$B946,'Основной эфир'!$I:$I=$C946)),"""")"),"")</f>
        <v/>
      </c>
      <c r="M946" s="92" t="str">
        <f t="shared" si="1"/>
        <v/>
      </c>
      <c r="N946" s="93">
        <f>IFERROR(__xludf.DUMMYFUNCTION("IFERROR(SWITCH(lower(join("" "",L946:M946)),""а миллионник"", 62.5,""б миллионник"", 75,""а мск"", 50, ""б мск"", 62.5, ""a остальное"", 70, ""б остальное"", 80)/100,0)"),0.0)</f>
        <v>0</v>
      </c>
      <c r="O946" s="91">
        <f t="shared" si="2"/>
        <v>0</v>
      </c>
      <c r="P946" s="91">
        <f>IFERROR(__xludf.DUMMYFUNCTION("IFERROR(sum(filter('Генеральный баннер'!$O:$O, 'Генеральный баннер'!$B:$B=$A946,'Генеральный баннер'!$C:$C=$B946,'Генеральный баннер'!$I:$I=$C946)), 0) "),0.0)</f>
        <v>0</v>
      </c>
      <c r="Q946" s="91">
        <f>IFERROR(__xludf.DUMMYFUNCTION("IFERROR(sum(filter('Генеральный баннер'!$Q:$Q, 'Генеральный баннер'!$B:$B=$A946,'Генеральный баннер'!$C:$C=$B946,'Генеральный баннер'!$I:$I=$C946)), 0) "),0.0)</f>
        <v>0</v>
      </c>
      <c r="R946" s="91">
        <f>IFERROR(__xludf.DUMMYFUNCTION("IFERROR(AVERAGE(filter('Генеральный баннер'!$AA:$AA, 'Генеральный баннер'!$B:$B=$A946,'Генеральный баннер'!$C:$C=$B946,'Генеральный баннер'!$I:$I=$C946)), 0) "),0.0)</f>
        <v>0</v>
      </c>
      <c r="S946" s="91">
        <f>IFERROR(__xludf.DUMMYFUNCTION("IFERROR(SUM(filter('Генеральный баннер'!$AH:$AH, 'Генеральный баннер'!$B:$B=$A946,'Генеральный баннер'!$C:$C=$B946,'Генеральный баннер'!$I:$I=$C946)), 0) "),0.0)</f>
        <v>0</v>
      </c>
      <c r="T946" s="91" t="str">
        <f>IFERROR(__xludf.DUMMYFUNCTION("IFERROR(REGEXREPLACE(unique(filter('Генеральный баннер'!$A:$A, 'Генеральный баннер'!$B:$B=$A946,'Генеральный баннер'!$C:$C=$B946,'Генеральный баннер'!$I:$I=$C946)), ""\d+"", """"),"""")"),"")</f>
        <v/>
      </c>
      <c r="U946" s="91" t="str">
        <f>IFERROR(__xludf.DUMMYFUNCTION("IFERROR(unique(filter('Генеральный баннер'!$F:$F, 'Генеральный баннер'!$B:$B=$A946,'Генеральный баннер'!$C:$C=$B946,'Генеральный баннер'!$I:$I=$C946)),"""")"),"")</f>
        <v/>
      </c>
      <c r="V946" s="92" t="str">
        <f t="shared" si="3"/>
        <v/>
      </c>
      <c r="W946" s="93">
        <f>IFERROR(__xludf.DUMMYFUNCTION("IFERROR(SWITCH(lower(join("" "",U946:V946)),""а миллионник"", 62.5,""б миллионник"", 75,""а мск"", 50, ""б мск"", 62.5, ""a остальное"", 70, ""б остальное"", 80)/100,0)"),0.0)</f>
        <v>0</v>
      </c>
      <c r="X946" s="91">
        <f t="shared" si="4"/>
        <v>0</v>
      </c>
    </row>
    <row r="947">
      <c r="A947" s="12"/>
      <c r="B947" s="12"/>
      <c r="C947" s="12"/>
      <c r="D947" s="91">
        <f>IFERROR(__xludf.DUMMYFUNCTION("IFERROR(sum(filter('Основной эфир'!$AA:$AA, 'Основной эфир'!$B:$B=$A947,'Основной эфир'!$C:$C=$B947,'Основной эфир'!$I:$I=$C947)), 0) "),0.0)</f>
        <v>0</v>
      </c>
      <c r="E947" s="91">
        <f>IFERROR(__xludf.DUMMYFUNCTION("IFERROR(sum(filter('Основной эфир'!$AC:$AC, 'Основной эфир'!$B:$B=$A947,'Основной эфир'!$C:$C=$B947,'Основной эфир'!$I:$I=$C947)), 0) "),0.0)</f>
        <v>0</v>
      </c>
      <c r="F947" s="91">
        <f>IFERROR(__xludf.DUMMYFUNCTION("IFERROR(sum(filter('Основной эфир'!$O:$O, 'Основной эфир'!$B:$B=$A947,'Основной эфир'!$C:$C=$B947,'Основной эфир'!$I:$I=$C947)), 0) "),0.0)</f>
        <v>0</v>
      </c>
      <c r="G947" s="91">
        <f>IFERROR(__xludf.DUMMYFUNCTION("IFERROR(sum(filter('Основной эфир'!$Q:$Q, 'Основной эфир'!$B:$B=$A947,'Основной эфир'!$C:$C=$B947,'Основной эфир'!$I:$I=$C947)), 0) "),0.0)</f>
        <v>0</v>
      </c>
      <c r="H947" s="91">
        <f>IFERROR(__xludf.DUMMYFUNCTION("IFERROR(AVERAGE(filter('Основной эфир'!$Y:$Y, 'Основной эфир'!$B:$B=$A947,'Основной эфир'!$C:$C=$B947,'Основной эфир'!$I:$I=$C947)), 0) "),0.0)</f>
        <v>0</v>
      </c>
      <c r="I947" s="91">
        <f>IFERROR(__xludf.DUMMYFUNCTION("IFERROR(AVERAGE(filter('Основной эфир'!$AE:$AE, 'Основной эфир'!$B:$B=$A947,'Основной эфир'!$C:$C=$B947,'Основной эфир'!$I:$I=$C947)), 0) "),0.0)</f>
        <v>0</v>
      </c>
      <c r="J947" s="91">
        <f>IFERROR(__xludf.DUMMYFUNCTION("IFERROR(SUM(filter('Основной эфир'!$AL:$AL, 'Основной эфир'!$B:$B=$A947,'Основной эфир'!$C:$C=$B947,'Основной эфир'!$I:$I=$C947)), 0) "),0.0)</f>
        <v>0</v>
      </c>
      <c r="K947" s="91" t="str">
        <f>IFERROR(__xludf.DUMMYFUNCTION("IFERROR(REGEXREPLACE(unique(filter('Основной эфир'!$A:$A, 'Основной эфир'!$B:$B=$A947,'Основной эфир'!$C:$C=$B947,'Основной эфир'!$I:$I=$C947)), ""\d+"", """"),"""")"),"")</f>
        <v/>
      </c>
      <c r="L947" s="91" t="str">
        <f>IFERROR(__xludf.DUMMYFUNCTION("IFERROR(unique(filter('Основной эфир'!$F:$F, 'Основной эфир'!$B:$B=$A947,'Основной эфир'!$C:$C=$B947,'Основной эфир'!$I:$I=$C947)),"""")"),"")</f>
        <v/>
      </c>
      <c r="M947" s="92" t="str">
        <f t="shared" si="1"/>
        <v/>
      </c>
      <c r="N947" s="93">
        <f>IFERROR(__xludf.DUMMYFUNCTION("IFERROR(SWITCH(lower(join("" "",L947:M947)),""а миллионник"", 62.5,""б миллионник"", 75,""а мск"", 50, ""б мск"", 62.5, ""a остальное"", 70, ""б остальное"", 80)/100,0)"),0.0)</f>
        <v>0</v>
      </c>
      <c r="O947" s="91">
        <f t="shared" si="2"/>
        <v>0</v>
      </c>
      <c r="P947" s="91">
        <f>IFERROR(__xludf.DUMMYFUNCTION("IFERROR(sum(filter('Генеральный баннер'!$O:$O, 'Генеральный баннер'!$B:$B=$A947,'Генеральный баннер'!$C:$C=$B947,'Генеральный баннер'!$I:$I=$C947)), 0) "),0.0)</f>
        <v>0</v>
      </c>
      <c r="Q947" s="91">
        <f>IFERROR(__xludf.DUMMYFUNCTION("IFERROR(sum(filter('Генеральный баннер'!$Q:$Q, 'Генеральный баннер'!$B:$B=$A947,'Генеральный баннер'!$C:$C=$B947,'Генеральный баннер'!$I:$I=$C947)), 0) "),0.0)</f>
        <v>0</v>
      </c>
      <c r="R947" s="91">
        <f>IFERROR(__xludf.DUMMYFUNCTION("IFERROR(AVERAGE(filter('Генеральный баннер'!$AA:$AA, 'Генеральный баннер'!$B:$B=$A947,'Генеральный баннер'!$C:$C=$B947,'Генеральный баннер'!$I:$I=$C947)), 0) "),0.0)</f>
        <v>0</v>
      </c>
      <c r="S947" s="91">
        <f>IFERROR(__xludf.DUMMYFUNCTION("IFERROR(SUM(filter('Генеральный баннер'!$AH:$AH, 'Генеральный баннер'!$B:$B=$A947,'Генеральный баннер'!$C:$C=$B947,'Генеральный баннер'!$I:$I=$C947)), 0) "),0.0)</f>
        <v>0</v>
      </c>
      <c r="T947" s="91" t="str">
        <f>IFERROR(__xludf.DUMMYFUNCTION("IFERROR(REGEXREPLACE(unique(filter('Генеральный баннер'!$A:$A, 'Генеральный баннер'!$B:$B=$A947,'Генеральный баннер'!$C:$C=$B947,'Генеральный баннер'!$I:$I=$C947)), ""\d+"", """"),"""")"),"")</f>
        <v/>
      </c>
      <c r="U947" s="91" t="str">
        <f>IFERROR(__xludf.DUMMYFUNCTION("IFERROR(unique(filter('Генеральный баннер'!$F:$F, 'Генеральный баннер'!$B:$B=$A947,'Генеральный баннер'!$C:$C=$B947,'Генеральный баннер'!$I:$I=$C947)),"""")"),"")</f>
        <v/>
      </c>
      <c r="V947" s="92" t="str">
        <f t="shared" si="3"/>
        <v/>
      </c>
      <c r="W947" s="93">
        <f>IFERROR(__xludf.DUMMYFUNCTION("IFERROR(SWITCH(lower(join("" "",U947:V947)),""а миллионник"", 62.5,""б миллионник"", 75,""а мск"", 50, ""б мск"", 62.5, ""a остальное"", 70, ""б остальное"", 80)/100,0)"),0.0)</f>
        <v>0</v>
      </c>
      <c r="X947" s="91">
        <f t="shared" si="4"/>
        <v>0</v>
      </c>
    </row>
    <row r="948">
      <c r="A948" s="12"/>
      <c r="B948" s="12"/>
      <c r="C948" s="12"/>
      <c r="D948" s="91">
        <f>IFERROR(__xludf.DUMMYFUNCTION("IFERROR(sum(filter('Основной эфир'!$AA:$AA, 'Основной эфир'!$B:$B=$A948,'Основной эфир'!$C:$C=$B948,'Основной эфир'!$I:$I=$C948)), 0) "),0.0)</f>
        <v>0</v>
      </c>
      <c r="E948" s="91">
        <f>IFERROR(__xludf.DUMMYFUNCTION("IFERROR(sum(filter('Основной эфир'!$AC:$AC, 'Основной эфир'!$B:$B=$A948,'Основной эфир'!$C:$C=$B948,'Основной эфир'!$I:$I=$C948)), 0) "),0.0)</f>
        <v>0</v>
      </c>
      <c r="F948" s="91">
        <f>IFERROR(__xludf.DUMMYFUNCTION("IFERROR(sum(filter('Основной эфир'!$O:$O, 'Основной эфир'!$B:$B=$A948,'Основной эфир'!$C:$C=$B948,'Основной эфир'!$I:$I=$C948)), 0) "),0.0)</f>
        <v>0</v>
      </c>
      <c r="G948" s="91">
        <f>IFERROR(__xludf.DUMMYFUNCTION("IFERROR(sum(filter('Основной эфир'!$Q:$Q, 'Основной эфир'!$B:$B=$A948,'Основной эфир'!$C:$C=$B948,'Основной эфир'!$I:$I=$C948)), 0) "),0.0)</f>
        <v>0</v>
      </c>
      <c r="H948" s="91">
        <f>IFERROR(__xludf.DUMMYFUNCTION("IFERROR(AVERAGE(filter('Основной эфир'!$Y:$Y, 'Основной эфир'!$B:$B=$A948,'Основной эфир'!$C:$C=$B948,'Основной эфир'!$I:$I=$C948)), 0) "),0.0)</f>
        <v>0</v>
      </c>
      <c r="I948" s="91">
        <f>IFERROR(__xludf.DUMMYFUNCTION("IFERROR(AVERAGE(filter('Основной эфир'!$AE:$AE, 'Основной эфир'!$B:$B=$A948,'Основной эфир'!$C:$C=$B948,'Основной эфир'!$I:$I=$C948)), 0) "),0.0)</f>
        <v>0</v>
      </c>
      <c r="J948" s="91">
        <f>IFERROR(__xludf.DUMMYFUNCTION("IFERROR(SUM(filter('Основной эфир'!$AL:$AL, 'Основной эфир'!$B:$B=$A948,'Основной эфир'!$C:$C=$B948,'Основной эфир'!$I:$I=$C948)), 0) "),0.0)</f>
        <v>0</v>
      </c>
      <c r="K948" s="91" t="str">
        <f>IFERROR(__xludf.DUMMYFUNCTION("IFERROR(REGEXREPLACE(unique(filter('Основной эфир'!$A:$A, 'Основной эфир'!$B:$B=$A948,'Основной эфир'!$C:$C=$B948,'Основной эфир'!$I:$I=$C948)), ""\d+"", """"),"""")"),"")</f>
        <v/>
      </c>
      <c r="L948" s="91" t="str">
        <f>IFERROR(__xludf.DUMMYFUNCTION("IFERROR(unique(filter('Основной эфир'!$F:$F, 'Основной эфир'!$B:$B=$A948,'Основной эфир'!$C:$C=$B948,'Основной эфир'!$I:$I=$C948)),"""")"),"")</f>
        <v/>
      </c>
      <c r="M948" s="92" t="str">
        <f t="shared" si="1"/>
        <v/>
      </c>
      <c r="N948" s="93">
        <f>IFERROR(__xludf.DUMMYFUNCTION("IFERROR(SWITCH(lower(join("" "",L948:M948)),""а миллионник"", 62.5,""б миллионник"", 75,""а мск"", 50, ""б мск"", 62.5, ""a остальное"", 70, ""б остальное"", 80)/100,0)"),0.0)</f>
        <v>0</v>
      </c>
      <c r="O948" s="91">
        <f t="shared" si="2"/>
        <v>0</v>
      </c>
      <c r="P948" s="91">
        <f>IFERROR(__xludf.DUMMYFUNCTION("IFERROR(sum(filter('Генеральный баннер'!$O:$O, 'Генеральный баннер'!$B:$B=$A948,'Генеральный баннер'!$C:$C=$B948,'Генеральный баннер'!$I:$I=$C948)), 0) "),0.0)</f>
        <v>0</v>
      </c>
      <c r="Q948" s="91">
        <f>IFERROR(__xludf.DUMMYFUNCTION("IFERROR(sum(filter('Генеральный баннер'!$Q:$Q, 'Генеральный баннер'!$B:$B=$A948,'Генеральный баннер'!$C:$C=$B948,'Генеральный баннер'!$I:$I=$C948)), 0) "),0.0)</f>
        <v>0</v>
      </c>
      <c r="R948" s="91">
        <f>IFERROR(__xludf.DUMMYFUNCTION("IFERROR(AVERAGE(filter('Генеральный баннер'!$AA:$AA, 'Генеральный баннер'!$B:$B=$A948,'Генеральный баннер'!$C:$C=$B948,'Генеральный баннер'!$I:$I=$C948)), 0) "),0.0)</f>
        <v>0</v>
      </c>
      <c r="S948" s="91">
        <f>IFERROR(__xludf.DUMMYFUNCTION("IFERROR(SUM(filter('Генеральный баннер'!$AH:$AH, 'Генеральный баннер'!$B:$B=$A948,'Генеральный баннер'!$C:$C=$B948,'Генеральный баннер'!$I:$I=$C948)), 0) "),0.0)</f>
        <v>0</v>
      </c>
      <c r="T948" s="91" t="str">
        <f>IFERROR(__xludf.DUMMYFUNCTION("IFERROR(REGEXREPLACE(unique(filter('Генеральный баннер'!$A:$A, 'Генеральный баннер'!$B:$B=$A948,'Генеральный баннер'!$C:$C=$B948,'Генеральный баннер'!$I:$I=$C948)), ""\d+"", """"),"""")"),"")</f>
        <v/>
      </c>
      <c r="U948" s="91" t="str">
        <f>IFERROR(__xludf.DUMMYFUNCTION("IFERROR(unique(filter('Генеральный баннер'!$F:$F, 'Генеральный баннер'!$B:$B=$A948,'Генеральный баннер'!$C:$C=$B948,'Генеральный баннер'!$I:$I=$C948)),"""")"),"")</f>
        <v/>
      </c>
      <c r="V948" s="92" t="str">
        <f t="shared" si="3"/>
        <v/>
      </c>
      <c r="W948" s="93">
        <f>IFERROR(__xludf.DUMMYFUNCTION("IFERROR(SWITCH(lower(join("" "",U948:V948)),""а миллионник"", 62.5,""б миллионник"", 75,""а мск"", 50, ""б мск"", 62.5, ""a остальное"", 70, ""б остальное"", 80)/100,0)"),0.0)</f>
        <v>0</v>
      </c>
      <c r="X948" s="91">
        <f t="shared" si="4"/>
        <v>0</v>
      </c>
    </row>
    <row r="949">
      <c r="A949" s="12"/>
      <c r="B949" s="12"/>
      <c r="C949" s="12"/>
      <c r="D949" s="91">
        <f>IFERROR(__xludf.DUMMYFUNCTION("IFERROR(sum(filter('Основной эфир'!$AA:$AA, 'Основной эфир'!$B:$B=$A949,'Основной эфир'!$C:$C=$B949,'Основной эфир'!$I:$I=$C949)), 0) "),0.0)</f>
        <v>0</v>
      </c>
      <c r="E949" s="91">
        <f>IFERROR(__xludf.DUMMYFUNCTION("IFERROR(sum(filter('Основной эфир'!$AC:$AC, 'Основной эфир'!$B:$B=$A949,'Основной эфир'!$C:$C=$B949,'Основной эфир'!$I:$I=$C949)), 0) "),0.0)</f>
        <v>0</v>
      </c>
      <c r="F949" s="91">
        <f>IFERROR(__xludf.DUMMYFUNCTION("IFERROR(sum(filter('Основной эфир'!$O:$O, 'Основной эфир'!$B:$B=$A949,'Основной эфир'!$C:$C=$B949,'Основной эфир'!$I:$I=$C949)), 0) "),0.0)</f>
        <v>0</v>
      </c>
      <c r="G949" s="91">
        <f>IFERROR(__xludf.DUMMYFUNCTION("IFERROR(sum(filter('Основной эфир'!$Q:$Q, 'Основной эфир'!$B:$B=$A949,'Основной эфир'!$C:$C=$B949,'Основной эфир'!$I:$I=$C949)), 0) "),0.0)</f>
        <v>0</v>
      </c>
      <c r="H949" s="91">
        <f>IFERROR(__xludf.DUMMYFUNCTION("IFERROR(AVERAGE(filter('Основной эфир'!$Y:$Y, 'Основной эфир'!$B:$B=$A949,'Основной эфир'!$C:$C=$B949,'Основной эфир'!$I:$I=$C949)), 0) "),0.0)</f>
        <v>0</v>
      </c>
      <c r="I949" s="91">
        <f>IFERROR(__xludf.DUMMYFUNCTION("IFERROR(AVERAGE(filter('Основной эфир'!$AE:$AE, 'Основной эфир'!$B:$B=$A949,'Основной эфир'!$C:$C=$B949,'Основной эфир'!$I:$I=$C949)), 0) "),0.0)</f>
        <v>0</v>
      </c>
      <c r="J949" s="91">
        <f>IFERROR(__xludf.DUMMYFUNCTION("IFERROR(SUM(filter('Основной эфир'!$AL:$AL, 'Основной эфир'!$B:$B=$A949,'Основной эфир'!$C:$C=$B949,'Основной эфир'!$I:$I=$C949)), 0) "),0.0)</f>
        <v>0</v>
      </c>
      <c r="K949" s="91" t="str">
        <f>IFERROR(__xludf.DUMMYFUNCTION("IFERROR(REGEXREPLACE(unique(filter('Основной эфир'!$A:$A, 'Основной эфир'!$B:$B=$A949,'Основной эфир'!$C:$C=$B949,'Основной эфир'!$I:$I=$C949)), ""\d+"", """"),"""")"),"")</f>
        <v/>
      </c>
      <c r="L949" s="91" t="str">
        <f>IFERROR(__xludf.DUMMYFUNCTION("IFERROR(unique(filter('Основной эфир'!$F:$F, 'Основной эфир'!$B:$B=$A949,'Основной эфир'!$C:$C=$B949,'Основной эфир'!$I:$I=$C949)),"""")"),"")</f>
        <v/>
      </c>
      <c r="M949" s="92" t="str">
        <f t="shared" si="1"/>
        <v/>
      </c>
      <c r="N949" s="93">
        <f>IFERROR(__xludf.DUMMYFUNCTION("IFERROR(SWITCH(lower(join("" "",L949:M949)),""а миллионник"", 62.5,""б миллионник"", 75,""а мск"", 50, ""б мск"", 62.5, ""a остальное"", 70, ""б остальное"", 80)/100,0)"),0.0)</f>
        <v>0</v>
      </c>
      <c r="O949" s="91">
        <f t="shared" si="2"/>
        <v>0</v>
      </c>
      <c r="P949" s="91">
        <f>IFERROR(__xludf.DUMMYFUNCTION("IFERROR(sum(filter('Генеральный баннер'!$O:$O, 'Генеральный баннер'!$B:$B=$A949,'Генеральный баннер'!$C:$C=$B949,'Генеральный баннер'!$I:$I=$C949)), 0) "),0.0)</f>
        <v>0</v>
      </c>
      <c r="Q949" s="91">
        <f>IFERROR(__xludf.DUMMYFUNCTION("IFERROR(sum(filter('Генеральный баннер'!$Q:$Q, 'Генеральный баннер'!$B:$B=$A949,'Генеральный баннер'!$C:$C=$B949,'Генеральный баннер'!$I:$I=$C949)), 0) "),0.0)</f>
        <v>0</v>
      </c>
      <c r="R949" s="91">
        <f>IFERROR(__xludf.DUMMYFUNCTION("IFERROR(AVERAGE(filter('Генеральный баннер'!$AA:$AA, 'Генеральный баннер'!$B:$B=$A949,'Генеральный баннер'!$C:$C=$B949,'Генеральный баннер'!$I:$I=$C949)), 0) "),0.0)</f>
        <v>0</v>
      </c>
      <c r="S949" s="91">
        <f>IFERROR(__xludf.DUMMYFUNCTION("IFERROR(SUM(filter('Генеральный баннер'!$AH:$AH, 'Генеральный баннер'!$B:$B=$A949,'Генеральный баннер'!$C:$C=$B949,'Генеральный баннер'!$I:$I=$C949)), 0) "),0.0)</f>
        <v>0</v>
      </c>
      <c r="T949" s="91" t="str">
        <f>IFERROR(__xludf.DUMMYFUNCTION("IFERROR(REGEXREPLACE(unique(filter('Генеральный баннер'!$A:$A, 'Генеральный баннер'!$B:$B=$A949,'Генеральный баннер'!$C:$C=$B949,'Генеральный баннер'!$I:$I=$C949)), ""\d+"", """"),"""")"),"")</f>
        <v/>
      </c>
      <c r="U949" s="91" t="str">
        <f>IFERROR(__xludf.DUMMYFUNCTION("IFERROR(unique(filter('Генеральный баннер'!$F:$F, 'Генеральный баннер'!$B:$B=$A949,'Генеральный баннер'!$C:$C=$B949,'Генеральный баннер'!$I:$I=$C949)),"""")"),"")</f>
        <v/>
      </c>
      <c r="V949" s="92" t="str">
        <f t="shared" si="3"/>
        <v/>
      </c>
      <c r="W949" s="93">
        <f>IFERROR(__xludf.DUMMYFUNCTION("IFERROR(SWITCH(lower(join("" "",U949:V949)),""а миллионник"", 62.5,""б миллионник"", 75,""а мск"", 50, ""б мск"", 62.5, ""a остальное"", 70, ""б остальное"", 80)/100,0)"),0.0)</f>
        <v>0</v>
      </c>
      <c r="X949" s="91">
        <f t="shared" si="4"/>
        <v>0</v>
      </c>
    </row>
    <row r="950">
      <c r="A950" s="12"/>
      <c r="B950" s="12"/>
      <c r="C950" s="12"/>
      <c r="D950" s="91">
        <f>IFERROR(__xludf.DUMMYFUNCTION("IFERROR(sum(filter('Основной эфир'!$AA:$AA, 'Основной эфир'!$B:$B=$A950,'Основной эфир'!$C:$C=$B950,'Основной эфир'!$I:$I=$C950)), 0) "),0.0)</f>
        <v>0</v>
      </c>
      <c r="E950" s="91">
        <f>IFERROR(__xludf.DUMMYFUNCTION("IFERROR(sum(filter('Основной эфир'!$AC:$AC, 'Основной эфир'!$B:$B=$A950,'Основной эфир'!$C:$C=$B950,'Основной эфир'!$I:$I=$C950)), 0) "),0.0)</f>
        <v>0</v>
      </c>
      <c r="F950" s="91">
        <f>IFERROR(__xludf.DUMMYFUNCTION("IFERROR(sum(filter('Основной эфир'!$O:$O, 'Основной эфир'!$B:$B=$A950,'Основной эфир'!$C:$C=$B950,'Основной эфир'!$I:$I=$C950)), 0) "),0.0)</f>
        <v>0</v>
      </c>
      <c r="G950" s="91">
        <f>IFERROR(__xludf.DUMMYFUNCTION("IFERROR(sum(filter('Основной эфир'!$Q:$Q, 'Основной эфир'!$B:$B=$A950,'Основной эфир'!$C:$C=$B950,'Основной эфир'!$I:$I=$C950)), 0) "),0.0)</f>
        <v>0</v>
      </c>
      <c r="H950" s="91">
        <f>IFERROR(__xludf.DUMMYFUNCTION("IFERROR(AVERAGE(filter('Основной эфир'!$Y:$Y, 'Основной эфир'!$B:$B=$A950,'Основной эфир'!$C:$C=$B950,'Основной эфир'!$I:$I=$C950)), 0) "),0.0)</f>
        <v>0</v>
      </c>
      <c r="I950" s="91">
        <f>IFERROR(__xludf.DUMMYFUNCTION("IFERROR(AVERAGE(filter('Основной эфир'!$AE:$AE, 'Основной эфир'!$B:$B=$A950,'Основной эфир'!$C:$C=$B950,'Основной эфир'!$I:$I=$C950)), 0) "),0.0)</f>
        <v>0</v>
      </c>
      <c r="J950" s="91">
        <f>IFERROR(__xludf.DUMMYFUNCTION("IFERROR(SUM(filter('Основной эфир'!$AL:$AL, 'Основной эфир'!$B:$B=$A950,'Основной эфир'!$C:$C=$B950,'Основной эфир'!$I:$I=$C950)), 0) "),0.0)</f>
        <v>0</v>
      </c>
      <c r="K950" s="91" t="str">
        <f>IFERROR(__xludf.DUMMYFUNCTION("IFERROR(REGEXREPLACE(unique(filter('Основной эфир'!$A:$A, 'Основной эфир'!$B:$B=$A950,'Основной эфир'!$C:$C=$B950,'Основной эфир'!$I:$I=$C950)), ""\d+"", """"),"""")"),"")</f>
        <v/>
      </c>
      <c r="L950" s="91" t="str">
        <f>IFERROR(__xludf.DUMMYFUNCTION("IFERROR(unique(filter('Основной эфир'!$F:$F, 'Основной эфир'!$B:$B=$A950,'Основной эфир'!$C:$C=$B950,'Основной эфир'!$I:$I=$C950)),"""")"),"")</f>
        <v/>
      </c>
      <c r="M950" s="92" t="str">
        <f t="shared" si="1"/>
        <v/>
      </c>
      <c r="N950" s="93">
        <f>IFERROR(__xludf.DUMMYFUNCTION("IFERROR(SWITCH(lower(join("" "",L950:M950)),""а миллионник"", 62.5,""б миллионник"", 75,""а мск"", 50, ""б мск"", 62.5, ""a остальное"", 70, ""б остальное"", 80)/100,0)"),0.0)</f>
        <v>0</v>
      </c>
      <c r="O950" s="91">
        <f t="shared" si="2"/>
        <v>0</v>
      </c>
      <c r="P950" s="91">
        <f>IFERROR(__xludf.DUMMYFUNCTION("IFERROR(sum(filter('Генеральный баннер'!$O:$O, 'Генеральный баннер'!$B:$B=$A950,'Генеральный баннер'!$C:$C=$B950,'Генеральный баннер'!$I:$I=$C950)), 0) "),0.0)</f>
        <v>0</v>
      </c>
      <c r="Q950" s="91">
        <f>IFERROR(__xludf.DUMMYFUNCTION("IFERROR(sum(filter('Генеральный баннер'!$Q:$Q, 'Генеральный баннер'!$B:$B=$A950,'Генеральный баннер'!$C:$C=$B950,'Генеральный баннер'!$I:$I=$C950)), 0) "),0.0)</f>
        <v>0</v>
      </c>
      <c r="R950" s="91">
        <f>IFERROR(__xludf.DUMMYFUNCTION("IFERROR(AVERAGE(filter('Генеральный баннер'!$AA:$AA, 'Генеральный баннер'!$B:$B=$A950,'Генеральный баннер'!$C:$C=$B950,'Генеральный баннер'!$I:$I=$C950)), 0) "),0.0)</f>
        <v>0</v>
      </c>
      <c r="S950" s="91">
        <f>IFERROR(__xludf.DUMMYFUNCTION("IFERROR(SUM(filter('Генеральный баннер'!$AH:$AH, 'Генеральный баннер'!$B:$B=$A950,'Генеральный баннер'!$C:$C=$B950,'Генеральный баннер'!$I:$I=$C950)), 0) "),0.0)</f>
        <v>0</v>
      </c>
      <c r="T950" s="91" t="str">
        <f>IFERROR(__xludf.DUMMYFUNCTION("IFERROR(REGEXREPLACE(unique(filter('Генеральный баннер'!$A:$A, 'Генеральный баннер'!$B:$B=$A950,'Генеральный баннер'!$C:$C=$B950,'Генеральный баннер'!$I:$I=$C950)), ""\d+"", """"),"""")"),"")</f>
        <v/>
      </c>
      <c r="U950" s="91" t="str">
        <f>IFERROR(__xludf.DUMMYFUNCTION("IFERROR(unique(filter('Генеральный баннер'!$F:$F, 'Генеральный баннер'!$B:$B=$A950,'Генеральный баннер'!$C:$C=$B950,'Генеральный баннер'!$I:$I=$C950)),"""")"),"")</f>
        <v/>
      </c>
      <c r="V950" s="92" t="str">
        <f t="shared" si="3"/>
        <v/>
      </c>
      <c r="W950" s="93">
        <f>IFERROR(__xludf.DUMMYFUNCTION("IFERROR(SWITCH(lower(join("" "",U950:V950)),""а миллионник"", 62.5,""б миллионник"", 75,""а мск"", 50, ""б мск"", 62.5, ""a остальное"", 70, ""б остальное"", 80)/100,0)"),0.0)</f>
        <v>0</v>
      </c>
      <c r="X950" s="91">
        <f t="shared" si="4"/>
        <v>0</v>
      </c>
    </row>
    <row r="951">
      <c r="A951" s="12"/>
      <c r="B951" s="12"/>
      <c r="C951" s="12"/>
      <c r="D951" s="91">
        <f>IFERROR(__xludf.DUMMYFUNCTION("IFERROR(sum(filter('Основной эфир'!$AA:$AA, 'Основной эфир'!$B:$B=$A951,'Основной эфир'!$C:$C=$B951,'Основной эфир'!$I:$I=$C951)), 0) "),0.0)</f>
        <v>0</v>
      </c>
      <c r="E951" s="91">
        <f>IFERROR(__xludf.DUMMYFUNCTION("IFERROR(sum(filter('Основной эфир'!$AC:$AC, 'Основной эфир'!$B:$B=$A951,'Основной эфир'!$C:$C=$B951,'Основной эфир'!$I:$I=$C951)), 0) "),0.0)</f>
        <v>0</v>
      </c>
      <c r="F951" s="91">
        <f>IFERROR(__xludf.DUMMYFUNCTION("IFERROR(sum(filter('Основной эфир'!$O:$O, 'Основной эфир'!$B:$B=$A951,'Основной эфир'!$C:$C=$B951,'Основной эфир'!$I:$I=$C951)), 0) "),0.0)</f>
        <v>0</v>
      </c>
      <c r="G951" s="91">
        <f>IFERROR(__xludf.DUMMYFUNCTION("IFERROR(sum(filter('Основной эфир'!$Q:$Q, 'Основной эфир'!$B:$B=$A951,'Основной эфир'!$C:$C=$B951,'Основной эфир'!$I:$I=$C951)), 0) "),0.0)</f>
        <v>0</v>
      </c>
      <c r="H951" s="91">
        <f>IFERROR(__xludf.DUMMYFUNCTION("IFERROR(AVERAGE(filter('Основной эфир'!$Y:$Y, 'Основной эфир'!$B:$B=$A951,'Основной эфир'!$C:$C=$B951,'Основной эфир'!$I:$I=$C951)), 0) "),0.0)</f>
        <v>0</v>
      </c>
      <c r="I951" s="91">
        <f>IFERROR(__xludf.DUMMYFUNCTION("IFERROR(AVERAGE(filter('Основной эфир'!$AE:$AE, 'Основной эфир'!$B:$B=$A951,'Основной эфир'!$C:$C=$B951,'Основной эфир'!$I:$I=$C951)), 0) "),0.0)</f>
        <v>0</v>
      </c>
      <c r="J951" s="91">
        <f>IFERROR(__xludf.DUMMYFUNCTION("IFERROR(SUM(filter('Основной эфир'!$AL:$AL, 'Основной эфир'!$B:$B=$A951,'Основной эфир'!$C:$C=$B951,'Основной эфир'!$I:$I=$C951)), 0) "),0.0)</f>
        <v>0</v>
      </c>
      <c r="K951" s="91" t="str">
        <f>IFERROR(__xludf.DUMMYFUNCTION("IFERROR(REGEXREPLACE(unique(filter('Основной эфир'!$A:$A, 'Основной эфир'!$B:$B=$A951,'Основной эфир'!$C:$C=$B951,'Основной эфир'!$I:$I=$C951)), ""\d+"", """"),"""")"),"")</f>
        <v/>
      </c>
      <c r="L951" s="91" t="str">
        <f>IFERROR(__xludf.DUMMYFUNCTION("IFERROR(unique(filter('Основной эфир'!$F:$F, 'Основной эфир'!$B:$B=$A951,'Основной эфир'!$C:$C=$B951,'Основной эфир'!$I:$I=$C951)),"""")"),"")</f>
        <v/>
      </c>
      <c r="M951" s="92" t="str">
        <f t="shared" si="1"/>
        <v/>
      </c>
      <c r="N951" s="93">
        <f>IFERROR(__xludf.DUMMYFUNCTION("IFERROR(SWITCH(lower(join("" "",L951:M951)),""а миллионник"", 62.5,""б миллионник"", 75,""а мск"", 50, ""б мск"", 62.5, ""a остальное"", 70, ""б остальное"", 80)/100,0)"),0.0)</f>
        <v>0</v>
      </c>
      <c r="O951" s="91">
        <f t="shared" si="2"/>
        <v>0</v>
      </c>
      <c r="P951" s="91">
        <f>IFERROR(__xludf.DUMMYFUNCTION("IFERROR(sum(filter('Генеральный баннер'!$O:$O, 'Генеральный баннер'!$B:$B=$A951,'Генеральный баннер'!$C:$C=$B951,'Генеральный баннер'!$I:$I=$C951)), 0) "),0.0)</f>
        <v>0</v>
      </c>
      <c r="Q951" s="91">
        <f>IFERROR(__xludf.DUMMYFUNCTION("IFERROR(sum(filter('Генеральный баннер'!$Q:$Q, 'Генеральный баннер'!$B:$B=$A951,'Генеральный баннер'!$C:$C=$B951,'Генеральный баннер'!$I:$I=$C951)), 0) "),0.0)</f>
        <v>0</v>
      </c>
      <c r="R951" s="91">
        <f>IFERROR(__xludf.DUMMYFUNCTION("IFERROR(AVERAGE(filter('Генеральный баннер'!$AA:$AA, 'Генеральный баннер'!$B:$B=$A951,'Генеральный баннер'!$C:$C=$B951,'Генеральный баннер'!$I:$I=$C951)), 0) "),0.0)</f>
        <v>0</v>
      </c>
      <c r="S951" s="91">
        <f>IFERROR(__xludf.DUMMYFUNCTION("IFERROR(SUM(filter('Генеральный баннер'!$AH:$AH, 'Генеральный баннер'!$B:$B=$A951,'Генеральный баннер'!$C:$C=$B951,'Генеральный баннер'!$I:$I=$C951)), 0) "),0.0)</f>
        <v>0</v>
      </c>
      <c r="T951" s="91" t="str">
        <f>IFERROR(__xludf.DUMMYFUNCTION("IFERROR(REGEXREPLACE(unique(filter('Генеральный баннер'!$A:$A, 'Генеральный баннер'!$B:$B=$A951,'Генеральный баннер'!$C:$C=$B951,'Генеральный баннер'!$I:$I=$C951)), ""\d+"", """"),"""")"),"")</f>
        <v/>
      </c>
      <c r="U951" s="91" t="str">
        <f>IFERROR(__xludf.DUMMYFUNCTION("IFERROR(unique(filter('Генеральный баннер'!$F:$F, 'Генеральный баннер'!$B:$B=$A951,'Генеральный баннер'!$C:$C=$B951,'Генеральный баннер'!$I:$I=$C951)),"""")"),"")</f>
        <v/>
      </c>
      <c r="V951" s="92" t="str">
        <f t="shared" si="3"/>
        <v/>
      </c>
      <c r="W951" s="93">
        <f>IFERROR(__xludf.DUMMYFUNCTION("IFERROR(SWITCH(lower(join("" "",U951:V951)),""а миллионник"", 62.5,""б миллионник"", 75,""а мск"", 50, ""б мск"", 62.5, ""a остальное"", 70, ""б остальное"", 80)/100,0)"),0.0)</f>
        <v>0</v>
      </c>
      <c r="X951" s="91">
        <f t="shared" si="4"/>
        <v>0</v>
      </c>
    </row>
    <row r="952">
      <c r="A952" s="12"/>
      <c r="B952" s="12"/>
      <c r="C952" s="12"/>
      <c r="D952" s="91">
        <f>IFERROR(__xludf.DUMMYFUNCTION("IFERROR(sum(filter('Основной эфир'!$AA:$AA, 'Основной эфир'!$B:$B=$A952,'Основной эфир'!$C:$C=$B952,'Основной эфир'!$I:$I=$C952)), 0) "),0.0)</f>
        <v>0</v>
      </c>
      <c r="E952" s="91">
        <f>IFERROR(__xludf.DUMMYFUNCTION("IFERROR(sum(filter('Основной эфир'!$AC:$AC, 'Основной эфир'!$B:$B=$A952,'Основной эфир'!$C:$C=$B952,'Основной эфир'!$I:$I=$C952)), 0) "),0.0)</f>
        <v>0</v>
      </c>
      <c r="F952" s="91">
        <f>IFERROR(__xludf.DUMMYFUNCTION("IFERROR(sum(filter('Основной эфир'!$O:$O, 'Основной эфир'!$B:$B=$A952,'Основной эфир'!$C:$C=$B952,'Основной эфир'!$I:$I=$C952)), 0) "),0.0)</f>
        <v>0</v>
      </c>
      <c r="G952" s="91">
        <f>IFERROR(__xludf.DUMMYFUNCTION("IFERROR(sum(filter('Основной эфир'!$Q:$Q, 'Основной эфир'!$B:$B=$A952,'Основной эфир'!$C:$C=$B952,'Основной эфир'!$I:$I=$C952)), 0) "),0.0)</f>
        <v>0</v>
      </c>
      <c r="H952" s="91">
        <f>IFERROR(__xludf.DUMMYFUNCTION("IFERROR(AVERAGE(filter('Основной эфир'!$Y:$Y, 'Основной эфир'!$B:$B=$A952,'Основной эфир'!$C:$C=$B952,'Основной эфир'!$I:$I=$C952)), 0) "),0.0)</f>
        <v>0</v>
      </c>
      <c r="I952" s="91">
        <f>IFERROR(__xludf.DUMMYFUNCTION("IFERROR(AVERAGE(filter('Основной эфир'!$AE:$AE, 'Основной эфир'!$B:$B=$A952,'Основной эфир'!$C:$C=$B952,'Основной эфир'!$I:$I=$C952)), 0) "),0.0)</f>
        <v>0</v>
      </c>
      <c r="J952" s="91">
        <f>IFERROR(__xludf.DUMMYFUNCTION("IFERROR(SUM(filter('Основной эфир'!$AL:$AL, 'Основной эфир'!$B:$B=$A952,'Основной эфир'!$C:$C=$B952,'Основной эфир'!$I:$I=$C952)), 0) "),0.0)</f>
        <v>0</v>
      </c>
      <c r="K952" s="91" t="str">
        <f>IFERROR(__xludf.DUMMYFUNCTION("IFERROR(REGEXREPLACE(unique(filter('Основной эфир'!$A:$A, 'Основной эфир'!$B:$B=$A952,'Основной эфир'!$C:$C=$B952,'Основной эфир'!$I:$I=$C952)), ""\d+"", """"),"""")"),"")</f>
        <v/>
      </c>
      <c r="L952" s="91" t="str">
        <f>IFERROR(__xludf.DUMMYFUNCTION("IFERROR(unique(filter('Основной эфир'!$F:$F, 'Основной эфир'!$B:$B=$A952,'Основной эфир'!$C:$C=$B952,'Основной эфир'!$I:$I=$C952)),"""")"),"")</f>
        <v/>
      </c>
      <c r="M952" s="92" t="str">
        <f t="shared" si="1"/>
        <v/>
      </c>
      <c r="N952" s="93">
        <f>IFERROR(__xludf.DUMMYFUNCTION("IFERROR(SWITCH(lower(join("" "",L952:M952)),""а миллионник"", 62.5,""б миллионник"", 75,""а мск"", 50, ""б мск"", 62.5, ""a остальное"", 70, ""б остальное"", 80)/100,0)"),0.0)</f>
        <v>0</v>
      </c>
      <c r="O952" s="91">
        <f t="shared" si="2"/>
        <v>0</v>
      </c>
      <c r="P952" s="91">
        <f>IFERROR(__xludf.DUMMYFUNCTION("IFERROR(sum(filter('Генеральный баннер'!$O:$O, 'Генеральный баннер'!$B:$B=$A952,'Генеральный баннер'!$C:$C=$B952,'Генеральный баннер'!$I:$I=$C952)), 0) "),0.0)</f>
        <v>0</v>
      </c>
      <c r="Q952" s="91">
        <f>IFERROR(__xludf.DUMMYFUNCTION("IFERROR(sum(filter('Генеральный баннер'!$Q:$Q, 'Генеральный баннер'!$B:$B=$A952,'Генеральный баннер'!$C:$C=$B952,'Генеральный баннер'!$I:$I=$C952)), 0) "),0.0)</f>
        <v>0</v>
      </c>
      <c r="R952" s="91">
        <f>IFERROR(__xludf.DUMMYFUNCTION("IFERROR(AVERAGE(filter('Генеральный баннер'!$AA:$AA, 'Генеральный баннер'!$B:$B=$A952,'Генеральный баннер'!$C:$C=$B952,'Генеральный баннер'!$I:$I=$C952)), 0) "),0.0)</f>
        <v>0</v>
      </c>
      <c r="S952" s="91">
        <f>IFERROR(__xludf.DUMMYFUNCTION("IFERROR(SUM(filter('Генеральный баннер'!$AH:$AH, 'Генеральный баннер'!$B:$B=$A952,'Генеральный баннер'!$C:$C=$B952,'Генеральный баннер'!$I:$I=$C952)), 0) "),0.0)</f>
        <v>0</v>
      </c>
      <c r="T952" s="91" t="str">
        <f>IFERROR(__xludf.DUMMYFUNCTION("IFERROR(REGEXREPLACE(unique(filter('Генеральный баннер'!$A:$A, 'Генеральный баннер'!$B:$B=$A952,'Генеральный баннер'!$C:$C=$B952,'Генеральный баннер'!$I:$I=$C952)), ""\d+"", """"),"""")"),"")</f>
        <v/>
      </c>
      <c r="U952" s="91" t="str">
        <f>IFERROR(__xludf.DUMMYFUNCTION("IFERROR(unique(filter('Генеральный баннер'!$F:$F, 'Генеральный баннер'!$B:$B=$A952,'Генеральный баннер'!$C:$C=$B952,'Генеральный баннер'!$I:$I=$C952)),"""")"),"")</f>
        <v/>
      </c>
      <c r="V952" s="92" t="str">
        <f t="shared" si="3"/>
        <v/>
      </c>
      <c r="W952" s="93">
        <f>IFERROR(__xludf.DUMMYFUNCTION("IFERROR(SWITCH(lower(join("" "",U952:V952)),""а миллионник"", 62.5,""б миллионник"", 75,""а мск"", 50, ""б мск"", 62.5, ""a остальное"", 70, ""б остальное"", 80)/100,0)"),0.0)</f>
        <v>0</v>
      </c>
      <c r="X952" s="91">
        <f t="shared" si="4"/>
        <v>0</v>
      </c>
    </row>
    <row r="953">
      <c r="A953" s="12"/>
      <c r="B953" s="12"/>
      <c r="C953" s="12"/>
      <c r="D953" s="91">
        <f>IFERROR(__xludf.DUMMYFUNCTION("IFERROR(sum(filter('Основной эфир'!$AA:$AA, 'Основной эфир'!$B:$B=$A953,'Основной эфир'!$C:$C=$B953,'Основной эфир'!$I:$I=$C953)), 0) "),0.0)</f>
        <v>0</v>
      </c>
      <c r="E953" s="91">
        <f>IFERROR(__xludf.DUMMYFUNCTION("IFERROR(sum(filter('Основной эфир'!$AC:$AC, 'Основной эфир'!$B:$B=$A953,'Основной эфир'!$C:$C=$B953,'Основной эфир'!$I:$I=$C953)), 0) "),0.0)</f>
        <v>0</v>
      </c>
      <c r="F953" s="91">
        <f>IFERROR(__xludf.DUMMYFUNCTION("IFERROR(sum(filter('Основной эфир'!$O:$O, 'Основной эфир'!$B:$B=$A953,'Основной эфир'!$C:$C=$B953,'Основной эфир'!$I:$I=$C953)), 0) "),0.0)</f>
        <v>0</v>
      </c>
      <c r="G953" s="91">
        <f>IFERROR(__xludf.DUMMYFUNCTION("IFERROR(sum(filter('Основной эфир'!$Q:$Q, 'Основной эфир'!$B:$B=$A953,'Основной эфир'!$C:$C=$B953,'Основной эфир'!$I:$I=$C953)), 0) "),0.0)</f>
        <v>0</v>
      </c>
      <c r="H953" s="91">
        <f>IFERROR(__xludf.DUMMYFUNCTION("IFERROR(AVERAGE(filter('Основной эфир'!$Y:$Y, 'Основной эфир'!$B:$B=$A953,'Основной эфир'!$C:$C=$B953,'Основной эфир'!$I:$I=$C953)), 0) "),0.0)</f>
        <v>0</v>
      </c>
      <c r="I953" s="91">
        <f>IFERROR(__xludf.DUMMYFUNCTION("IFERROR(AVERAGE(filter('Основной эфир'!$AE:$AE, 'Основной эфир'!$B:$B=$A953,'Основной эфир'!$C:$C=$B953,'Основной эфир'!$I:$I=$C953)), 0) "),0.0)</f>
        <v>0</v>
      </c>
      <c r="J953" s="91">
        <f>IFERROR(__xludf.DUMMYFUNCTION("IFERROR(SUM(filter('Основной эфир'!$AL:$AL, 'Основной эфир'!$B:$B=$A953,'Основной эфир'!$C:$C=$B953,'Основной эфир'!$I:$I=$C953)), 0) "),0.0)</f>
        <v>0</v>
      </c>
      <c r="K953" s="91" t="str">
        <f>IFERROR(__xludf.DUMMYFUNCTION("IFERROR(REGEXREPLACE(unique(filter('Основной эфир'!$A:$A, 'Основной эфир'!$B:$B=$A953,'Основной эфир'!$C:$C=$B953,'Основной эфир'!$I:$I=$C953)), ""\d+"", """"),"""")"),"")</f>
        <v/>
      </c>
      <c r="L953" s="91" t="str">
        <f>IFERROR(__xludf.DUMMYFUNCTION("IFERROR(unique(filter('Основной эфир'!$F:$F, 'Основной эфир'!$B:$B=$A953,'Основной эфир'!$C:$C=$B953,'Основной эфир'!$I:$I=$C953)),"""")"),"")</f>
        <v/>
      </c>
      <c r="M953" s="92" t="str">
        <f t="shared" si="1"/>
        <v/>
      </c>
      <c r="N953" s="93">
        <f>IFERROR(__xludf.DUMMYFUNCTION("IFERROR(SWITCH(lower(join("" "",L953:M953)),""а миллионник"", 62.5,""б миллионник"", 75,""а мск"", 50, ""б мск"", 62.5, ""a остальное"", 70, ""б остальное"", 80)/100,0)"),0.0)</f>
        <v>0</v>
      </c>
      <c r="O953" s="91">
        <f t="shared" si="2"/>
        <v>0</v>
      </c>
      <c r="P953" s="91">
        <f>IFERROR(__xludf.DUMMYFUNCTION("IFERROR(sum(filter('Генеральный баннер'!$O:$O, 'Генеральный баннер'!$B:$B=$A953,'Генеральный баннер'!$C:$C=$B953,'Генеральный баннер'!$I:$I=$C953)), 0) "),0.0)</f>
        <v>0</v>
      </c>
      <c r="Q953" s="91">
        <f>IFERROR(__xludf.DUMMYFUNCTION("IFERROR(sum(filter('Генеральный баннер'!$Q:$Q, 'Генеральный баннер'!$B:$B=$A953,'Генеральный баннер'!$C:$C=$B953,'Генеральный баннер'!$I:$I=$C953)), 0) "),0.0)</f>
        <v>0</v>
      </c>
      <c r="R953" s="91">
        <f>IFERROR(__xludf.DUMMYFUNCTION("IFERROR(AVERAGE(filter('Генеральный баннер'!$AA:$AA, 'Генеральный баннер'!$B:$B=$A953,'Генеральный баннер'!$C:$C=$B953,'Генеральный баннер'!$I:$I=$C953)), 0) "),0.0)</f>
        <v>0</v>
      </c>
      <c r="S953" s="91">
        <f>IFERROR(__xludf.DUMMYFUNCTION("IFERROR(SUM(filter('Генеральный баннер'!$AH:$AH, 'Генеральный баннер'!$B:$B=$A953,'Генеральный баннер'!$C:$C=$B953,'Генеральный баннер'!$I:$I=$C953)), 0) "),0.0)</f>
        <v>0</v>
      </c>
      <c r="T953" s="91" t="str">
        <f>IFERROR(__xludf.DUMMYFUNCTION("IFERROR(REGEXREPLACE(unique(filter('Генеральный баннер'!$A:$A, 'Генеральный баннер'!$B:$B=$A953,'Генеральный баннер'!$C:$C=$B953,'Генеральный баннер'!$I:$I=$C953)), ""\d+"", """"),"""")"),"")</f>
        <v/>
      </c>
      <c r="U953" s="91" t="str">
        <f>IFERROR(__xludf.DUMMYFUNCTION("IFERROR(unique(filter('Генеральный баннер'!$F:$F, 'Генеральный баннер'!$B:$B=$A953,'Генеральный баннер'!$C:$C=$B953,'Генеральный баннер'!$I:$I=$C953)),"""")"),"")</f>
        <v/>
      </c>
      <c r="V953" s="92" t="str">
        <f t="shared" si="3"/>
        <v/>
      </c>
      <c r="W953" s="93">
        <f>IFERROR(__xludf.DUMMYFUNCTION("IFERROR(SWITCH(lower(join("" "",U953:V953)),""а миллионник"", 62.5,""б миллионник"", 75,""а мск"", 50, ""б мск"", 62.5, ""a остальное"", 70, ""б остальное"", 80)/100,0)"),0.0)</f>
        <v>0</v>
      </c>
      <c r="X953" s="91">
        <f t="shared" si="4"/>
        <v>0</v>
      </c>
    </row>
    <row r="954">
      <c r="A954" s="12"/>
      <c r="B954" s="12"/>
      <c r="C954" s="12"/>
      <c r="D954" s="91">
        <f>IFERROR(__xludf.DUMMYFUNCTION("IFERROR(sum(filter('Основной эфир'!$AA:$AA, 'Основной эфир'!$B:$B=$A954,'Основной эфир'!$C:$C=$B954,'Основной эфир'!$I:$I=$C954)), 0) "),0.0)</f>
        <v>0</v>
      </c>
      <c r="E954" s="91">
        <f>IFERROR(__xludf.DUMMYFUNCTION("IFERROR(sum(filter('Основной эфир'!$AC:$AC, 'Основной эфир'!$B:$B=$A954,'Основной эфир'!$C:$C=$B954,'Основной эфир'!$I:$I=$C954)), 0) "),0.0)</f>
        <v>0</v>
      </c>
      <c r="F954" s="91">
        <f>IFERROR(__xludf.DUMMYFUNCTION("IFERROR(sum(filter('Основной эфир'!$O:$O, 'Основной эфир'!$B:$B=$A954,'Основной эфир'!$C:$C=$B954,'Основной эфир'!$I:$I=$C954)), 0) "),0.0)</f>
        <v>0</v>
      </c>
      <c r="G954" s="91">
        <f>IFERROR(__xludf.DUMMYFUNCTION("IFERROR(sum(filter('Основной эфир'!$Q:$Q, 'Основной эфир'!$B:$B=$A954,'Основной эфир'!$C:$C=$B954,'Основной эфир'!$I:$I=$C954)), 0) "),0.0)</f>
        <v>0</v>
      </c>
      <c r="H954" s="91">
        <f>IFERROR(__xludf.DUMMYFUNCTION("IFERROR(AVERAGE(filter('Основной эфир'!$Y:$Y, 'Основной эфир'!$B:$B=$A954,'Основной эфир'!$C:$C=$B954,'Основной эфир'!$I:$I=$C954)), 0) "),0.0)</f>
        <v>0</v>
      </c>
      <c r="I954" s="91">
        <f>IFERROR(__xludf.DUMMYFUNCTION("IFERROR(AVERAGE(filter('Основной эфир'!$AE:$AE, 'Основной эфир'!$B:$B=$A954,'Основной эфир'!$C:$C=$B954,'Основной эфир'!$I:$I=$C954)), 0) "),0.0)</f>
        <v>0</v>
      </c>
      <c r="J954" s="91">
        <f>IFERROR(__xludf.DUMMYFUNCTION("IFERROR(SUM(filter('Основной эфир'!$AL:$AL, 'Основной эфир'!$B:$B=$A954,'Основной эфир'!$C:$C=$B954,'Основной эфир'!$I:$I=$C954)), 0) "),0.0)</f>
        <v>0</v>
      </c>
      <c r="K954" s="91" t="str">
        <f>IFERROR(__xludf.DUMMYFUNCTION("IFERROR(REGEXREPLACE(unique(filter('Основной эфир'!$A:$A, 'Основной эфир'!$B:$B=$A954,'Основной эфир'!$C:$C=$B954,'Основной эфир'!$I:$I=$C954)), ""\d+"", """"),"""")"),"")</f>
        <v/>
      </c>
      <c r="L954" s="91" t="str">
        <f>IFERROR(__xludf.DUMMYFUNCTION("IFERROR(unique(filter('Основной эфир'!$F:$F, 'Основной эфир'!$B:$B=$A954,'Основной эфир'!$C:$C=$B954,'Основной эфир'!$I:$I=$C954)),"""")"),"")</f>
        <v/>
      </c>
      <c r="M954" s="92" t="str">
        <f t="shared" si="1"/>
        <v/>
      </c>
      <c r="N954" s="93">
        <f>IFERROR(__xludf.DUMMYFUNCTION("IFERROR(SWITCH(lower(join("" "",L954:M954)),""а миллионник"", 62.5,""б миллионник"", 75,""а мск"", 50, ""б мск"", 62.5, ""a остальное"", 70, ""б остальное"", 80)/100,0)"),0.0)</f>
        <v>0</v>
      </c>
      <c r="O954" s="91">
        <f t="shared" si="2"/>
        <v>0</v>
      </c>
      <c r="P954" s="91">
        <f>IFERROR(__xludf.DUMMYFUNCTION("IFERROR(sum(filter('Генеральный баннер'!$O:$O, 'Генеральный баннер'!$B:$B=$A954,'Генеральный баннер'!$C:$C=$B954,'Генеральный баннер'!$I:$I=$C954)), 0) "),0.0)</f>
        <v>0</v>
      </c>
      <c r="Q954" s="91">
        <f>IFERROR(__xludf.DUMMYFUNCTION("IFERROR(sum(filter('Генеральный баннер'!$Q:$Q, 'Генеральный баннер'!$B:$B=$A954,'Генеральный баннер'!$C:$C=$B954,'Генеральный баннер'!$I:$I=$C954)), 0) "),0.0)</f>
        <v>0</v>
      </c>
      <c r="R954" s="91">
        <f>IFERROR(__xludf.DUMMYFUNCTION("IFERROR(AVERAGE(filter('Генеральный баннер'!$AA:$AA, 'Генеральный баннер'!$B:$B=$A954,'Генеральный баннер'!$C:$C=$B954,'Генеральный баннер'!$I:$I=$C954)), 0) "),0.0)</f>
        <v>0</v>
      </c>
      <c r="S954" s="91">
        <f>IFERROR(__xludf.DUMMYFUNCTION("IFERROR(SUM(filter('Генеральный баннер'!$AH:$AH, 'Генеральный баннер'!$B:$B=$A954,'Генеральный баннер'!$C:$C=$B954,'Генеральный баннер'!$I:$I=$C954)), 0) "),0.0)</f>
        <v>0</v>
      </c>
      <c r="T954" s="91" t="str">
        <f>IFERROR(__xludf.DUMMYFUNCTION("IFERROR(REGEXREPLACE(unique(filter('Генеральный баннер'!$A:$A, 'Генеральный баннер'!$B:$B=$A954,'Генеральный баннер'!$C:$C=$B954,'Генеральный баннер'!$I:$I=$C954)), ""\d+"", """"),"""")"),"")</f>
        <v/>
      </c>
      <c r="U954" s="91" t="str">
        <f>IFERROR(__xludf.DUMMYFUNCTION("IFERROR(unique(filter('Генеральный баннер'!$F:$F, 'Генеральный баннер'!$B:$B=$A954,'Генеральный баннер'!$C:$C=$B954,'Генеральный баннер'!$I:$I=$C954)),"""")"),"")</f>
        <v/>
      </c>
      <c r="V954" s="92" t="str">
        <f t="shared" si="3"/>
        <v/>
      </c>
      <c r="W954" s="93">
        <f>IFERROR(__xludf.DUMMYFUNCTION("IFERROR(SWITCH(lower(join("" "",U954:V954)),""а миллионник"", 62.5,""б миллионник"", 75,""а мск"", 50, ""б мск"", 62.5, ""a остальное"", 70, ""б остальное"", 80)/100,0)"),0.0)</f>
        <v>0</v>
      </c>
      <c r="X954" s="91">
        <f t="shared" si="4"/>
        <v>0</v>
      </c>
    </row>
    <row r="955">
      <c r="A955" s="12"/>
      <c r="B955" s="12"/>
      <c r="C955" s="12"/>
      <c r="D955" s="91">
        <f>IFERROR(__xludf.DUMMYFUNCTION("IFERROR(sum(filter('Основной эфир'!$AA:$AA, 'Основной эфир'!$B:$B=$A955,'Основной эфир'!$C:$C=$B955,'Основной эфир'!$I:$I=$C955)), 0) "),0.0)</f>
        <v>0</v>
      </c>
      <c r="E955" s="91">
        <f>IFERROR(__xludf.DUMMYFUNCTION("IFERROR(sum(filter('Основной эфир'!$AC:$AC, 'Основной эфир'!$B:$B=$A955,'Основной эфир'!$C:$C=$B955,'Основной эфир'!$I:$I=$C955)), 0) "),0.0)</f>
        <v>0</v>
      </c>
      <c r="F955" s="91">
        <f>IFERROR(__xludf.DUMMYFUNCTION("IFERROR(sum(filter('Основной эфир'!$O:$O, 'Основной эфир'!$B:$B=$A955,'Основной эфир'!$C:$C=$B955,'Основной эфир'!$I:$I=$C955)), 0) "),0.0)</f>
        <v>0</v>
      </c>
      <c r="G955" s="91">
        <f>IFERROR(__xludf.DUMMYFUNCTION("IFERROR(sum(filter('Основной эфир'!$Q:$Q, 'Основной эфир'!$B:$B=$A955,'Основной эфир'!$C:$C=$B955,'Основной эфир'!$I:$I=$C955)), 0) "),0.0)</f>
        <v>0</v>
      </c>
      <c r="H955" s="91">
        <f>IFERROR(__xludf.DUMMYFUNCTION("IFERROR(AVERAGE(filter('Основной эфир'!$Y:$Y, 'Основной эфир'!$B:$B=$A955,'Основной эфир'!$C:$C=$B955,'Основной эфир'!$I:$I=$C955)), 0) "),0.0)</f>
        <v>0</v>
      </c>
      <c r="I955" s="91">
        <f>IFERROR(__xludf.DUMMYFUNCTION("IFERROR(AVERAGE(filter('Основной эфир'!$AE:$AE, 'Основной эфир'!$B:$B=$A955,'Основной эфир'!$C:$C=$B955,'Основной эфир'!$I:$I=$C955)), 0) "),0.0)</f>
        <v>0</v>
      </c>
      <c r="J955" s="91">
        <f>IFERROR(__xludf.DUMMYFUNCTION("IFERROR(SUM(filter('Основной эфир'!$AL:$AL, 'Основной эфир'!$B:$B=$A955,'Основной эфир'!$C:$C=$B955,'Основной эфир'!$I:$I=$C955)), 0) "),0.0)</f>
        <v>0</v>
      </c>
      <c r="K955" s="91" t="str">
        <f>IFERROR(__xludf.DUMMYFUNCTION("IFERROR(REGEXREPLACE(unique(filter('Основной эфир'!$A:$A, 'Основной эфир'!$B:$B=$A955,'Основной эфир'!$C:$C=$B955,'Основной эфир'!$I:$I=$C955)), ""\d+"", """"),"""")"),"")</f>
        <v/>
      </c>
      <c r="L955" s="91" t="str">
        <f>IFERROR(__xludf.DUMMYFUNCTION("IFERROR(unique(filter('Основной эфир'!$F:$F, 'Основной эфир'!$B:$B=$A955,'Основной эфир'!$C:$C=$B955,'Основной эфир'!$I:$I=$C955)),"""")"),"")</f>
        <v/>
      </c>
      <c r="M955" s="92" t="str">
        <f t="shared" si="1"/>
        <v/>
      </c>
      <c r="N955" s="93">
        <f>IFERROR(__xludf.DUMMYFUNCTION("IFERROR(SWITCH(lower(join("" "",L955:M955)),""а миллионник"", 62.5,""б миллионник"", 75,""а мск"", 50, ""б мск"", 62.5, ""a остальное"", 70, ""б остальное"", 80)/100,0)"),0.0)</f>
        <v>0</v>
      </c>
      <c r="O955" s="91">
        <f t="shared" si="2"/>
        <v>0</v>
      </c>
      <c r="P955" s="91">
        <f>IFERROR(__xludf.DUMMYFUNCTION("IFERROR(sum(filter('Генеральный баннер'!$O:$O, 'Генеральный баннер'!$B:$B=$A955,'Генеральный баннер'!$C:$C=$B955,'Генеральный баннер'!$I:$I=$C955)), 0) "),0.0)</f>
        <v>0</v>
      </c>
      <c r="Q955" s="91">
        <f>IFERROR(__xludf.DUMMYFUNCTION("IFERROR(sum(filter('Генеральный баннер'!$Q:$Q, 'Генеральный баннер'!$B:$B=$A955,'Генеральный баннер'!$C:$C=$B955,'Генеральный баннер'!$I:$I=$C955)), 0) "),0.0)</f>
        <v>0</v>
      </c>
      <c r="R955" s="91">
        <f>IFERROR(__xludf.DUMMYFUNCTION("IFERROR(AVERAGE(filter('Генеральный баннер'!$AA:$AA, 'Генеральный баннер'!$B:$B=$A955,'Генеральный баннер'!$C:$C=$B955,'Генеральный баннер'!$I:$I=$C955)), 0) "),0.0)</f>
        <v>0</v>
      </c>
      <c r="S955" s="91">
        <f>IFERROR(__xludf.DUMMYFUNCTION("IFERROR(SUM(filter('Генеральный баннер'!$AH:$AH, 'Генеральный баннер'!$B:$B=$A955,'Генеральный баннер'!$C:$C=$B955,'Генеральный баннер'!$I:$I=$C955)), 0) "),0.0)</f>
        <v>0</v>
      </c>
      <c r="T955" s="91" t="str">
        <f>IFERROR(__xludf.DUMMYFUNCTION("IFERROR(REGEXREPLACE(unique(filter('Генеральный баннер'!$A:$A, 'Генеральный баннер'!$B:$B=$A955,'Генеральный баннер'!$C:$C=$B955,'Генеральный баннер'!$I:$I=$C955)), ""\d+"", """"),"""")"),"")</f>
        <v/>
      </c>
      <c r="U955" s="91" t="str">
        <f>IFERROR(__xludf.DUMMYFUNCTION("IFERROR(unique(filter('Генеральный баннер'!$F:$F, 'Генеральный баннер'!$B:$B=$A955,'Генеральный баннер'!$C:$C=$B955,'Генеральный баннер'!$I:$I=$C955)),"""")"),"")</f>
        <v/>
      </c>
      <c r="V955" s="92" t="str">
        <f t="shared" si="3"/>
        <v/>
      </c>
      <c r="W955" s="93">
        <f>IFERROR(__xludf.DUMMYFUNCTION("IFERROR(SWITCH(lower(join("" "",U955:V955)),""а миллионник"", 62.5,""б миллионник"", 75,""а мск"", 50, ""б мск"", 62.5, ""a остальное"", 70, ""б остальное"", 80)/100,0)"),0.0)</f>
        <v>0</v>
      </c>
      <c r="X955" s="91">
        <f t="shared" si="4"/>
        <v>0</v>
      </c>
    </row>
    <row r="956">
      <c r="A956" s="12"/>
      <c r="B956" s="12"/>
      <c r="C956" s="12"/>
      <c r="D956" s="91">
        <f>IFERROR(__xludf.DUMMYFUNCTION("IFERROR(sum(filter('Основной эфир'!$AA:$AA, 'Основной эфир'!$B:$B=$A956,'Основной эфир'!$C:$C=$B956,'Основной эфир'!$I:$I=$C956)), 0) "),0.0)</f>
        <v>0</v>
      </c>
      <c r="E956" s="91">
        <f>IFERROR(__xludf.DUMMYFUNCTION("IFERROR(sum(filter('Основной эфир'!$AC:$AC, 'Основной эфир'!$B:$B=$A956,'Основной эфир'!$C:$C=$B956,'Основной эфир'!$I:$I=$C956)), 0) "),0.0)</f>
        <v>0</v>
      </c>
      <c r="F956" s="91">
        <f>IFERROR(__xludf.DUMMYFUNCTION("IFERROR(sum(filter('Основной эфир'!$O:$O, 'Основной эфир'!$B:$B=$A956,'Основной эфир'!$C:$C=$B956,'Основной эфир'!$I:$I=$C956)), 0) "),0.0)</f>
        <v>0</v>
      </c>
      <c r="G956" s="91">
        <f>IFERROR(__xludf.DUMMYFUNCTION("IFERROR(sum(filter('Основной эфир'!$Q:$Q, 'Основной эфир'!$B:$B=$A956,'Основной эфир'!$C:$C=$B956,'Основной эфир'!$I:$I=$C956)), 0) "),0.0)</f>
        <v>0</v>
      </c>
      <c r="H956" s="91">
        <f>IFERROR(__xludf.DUMMYFUNCTION("IFERROR(AVERAGE(filter('Основной эфир'!$Y:$Y, 'Основной эфир'!$B:$B=$A956,'Основной эфир'!$C:$C=$B956,'Основной эфир'!$I:$I=$C956)), 0) "),0.0)</f>
        <v>0</v>
      </c>
      <c r="I956" s="91">
        <f>IFERROR(__xludf.DUMMYFUNCTION("IFERROR(AVERAGE(filter('Основной эфир'!$AE:$AE, 'Основной эфир'!$B:$B=$A956,'Основной эфир'!$C:$C=$B956,'Основной эфир'!$I:$I=$C956)), 0) "),0.0)</f>
        <v>0</v>
      </c>
      <c r="J956" s="91">
        <f>IFERROR(__xludf.DUMMYFUNCTION("IFERROR(SUM(filter('Основной эфир'!$AL:$AL, 'Основной эфир'!$B:$B=$A956,'Основной эфир'!$C:$C=$B956,'Основной эфир'!$I:$I=$C956)), 0) "),0.0)</f>
        <v>0</v>
      </c>
      <c r="K956" s="91" t="str">
        <f>IFERROR(__xludf.DUMMYFUNCTION("IFERROR(REGEXREPLACE(unique(filter('Основной эфир'!$A:$A, 'Основной эфир'!$B:$B=$A956,'Основной эфир'!$C:$C=$B956,'Основной эфир'!$I:$I=$C956)), ""\d+"", """"),"""")"),"")</f>
        <v/>
      </c>
      <c r="L956" s="91" t="str">
        <f>IFERROR(__xludf.DUMMYFUNCTION("IFERROR(unique(filter('Основной эфир'!$F:$F, 'Основной эфир'!$B:$B=$A956,'Основной эфир'!$C:$C=$B956,'Основной эфир'!$I:$I=$C956)),"""")"),"")</f>
        <v/>
      </c>
      <c r="M956" s="92" t="str">
        <f t="shared" si="1"/>
        <v/>
      </c>
      <c r="N956" s="93">
        <f>IFERROR(__xludf.DUMMYFUNCTION("IFERROR(SWITCH(lower(join("" "",L956:M956)),""а миллионник"", 62.5,""б миллионник"", 75,""а мск"", 50, ""б мск"", 62.5, ""a остальное"", 70, ""б остальное"", 80)/100,0)"),0.0)</f>
        <v>0</v>
      </c>
      <c r="O956" s="91">
        <f t="shared" si="2"/>
        <v>0</v>
      </c>
      <c r="P956" s="91">
        <f>IFERROR(__xludf.DUMMYFUNCTION("IFERROR(sum(filter('Генеральный баннер'!$O:$O, 'Генеральный баннер'!$B:$B=$A956,'Генеральный баннер'!$C:$C=$B956,'Генеральный баннер'!$I:$I=$C956)), 0) "),0.0)</f>
        <v>0</v>
      </c>
      <c r="Q956" s="91">
        <f>IFERROR(__xludf.DUMMYFUNCTION("IFERROR(sum(filter('Генеральный баннер'!$Q:$Q, 'Генеральный баннер'!$B:$B=$A956,'Генеральный баннер'!$C:$C=$B956,'Генеральный баннер'!$I:$I=$C956)), 0) "),0.0)</f>
        <v>0</v>
      </c>
      <c r="R956" s="91">
        <f>IFERROR(__xludf.DUMMYFUNCTION("IFERROR(AVERAGE(filter('Генеральный баннер'!$AA:$AA, 'Генеральный баннер'!$B:$B=$A956,'Генеральный баннер'!$C:$C=$B956,'Генеральный баннер'!$I:$I=$C956)), 0) "),0.0)</f>
        <v>0</v>
      </c>
      <c r="S956" s="91">
        <f>IFERROR(__xludf.DUMMYFUNCTION("IFERROR(SUM(filter('Генеральный баннер'!$AH:$AH, 'Генеральный баннер'!$B:$B=$A956,'Генеральный баннер'!$C:$C=$B956,'Генеральный баннер'!$I:$I=$C956)), 0) "),0.0)</f>
        <v>0</v>
      </c>
      <c r="T956" s="91" t="str">
        <f>IFERROR(__xludf.DUMMYFUNCTION("IFERROR(REGEXREPLACE(unique(filter('Генеральный баннер'!$A:$A, 'Генеральный баннер'!$B:$B=$A956,'Генеральный баннер'!$C:$C=$B956,'Генеральный баннер'!$I:$I=$C956)), ""\d+"", """"),"""")"),"")</f>
        <v/>
      </c>
      <c r="U956" s="91" t="str">
        <f>IFERROR(__xludf.DUMMYFUNCTION("IFERROR(unique(filter('Генеральный баннер'!$F:$F, 'Генеральный баннер'!$B:$B=$A956,'Генеральный баннер'!$C:$C=$B956,'Генеральный баннер'!$I:$I=$C956)),"""")"),"")</f>
        <v/>
      </c>
      <c r="V956" s="92" t="str">
        <f t="shared" si="3"/>
        <v/>
      </c>
      <c r="W956" s="93">
        <f>IFERROR(__xludf.DUMMYFUNCTION("IFERROR(SWITCH(lower(join("" "",U956:V956)),""а миллионник"", 62.5,""б миллионник"", 75,""а мск"", 50, ""б мск"", 62.5, ""a остальное"", 70, ""б остальное"", 80)/100,0)"),0.0)</f>
        <v>0</v>
      </c>
      <c r="X956" s="91">
        <f t="shared" si="4"/>
        <v>0</v>
      </c>
    </row>
    <row r="957">
      <c r="A957" s="12"/>
      <c r="B957" s="12"/>
      <c r="C957" s="12"/>
      <c r="D957" s="91">
        <f>IFERROR(__xludf.DUMMYFUNCTION("IFERROR(sum(filter('Основной эфир'!$AA:$AA, 'Основной эфир'!$B:$B=$A957,'Основной эфир'!$C:$C=$B957,'Основной эфир'!$I:$I=$C957)), 0) "),0.0)</f>
        <v>0</v>
      </c>
      <c r="E957" s="91">
        <f>IFERROR(__xludf.DUMMYFUNCTION("IFERROR(sum(filter('Основной эфир'!$AC:$AC, 'Основной эфир'!$B:$B=$A957,'Основной эфир'!$C:$C=$B957,'Основной эфир'!$I:$I=$C957)), 0) "),0.0)</f>
        <v>0</v>
      </c>
      <c r="F957" s="91">
        <f>IFERROR(__xludf.DUMMYFUNCTION("IFERROR(sum(filter('Основной эфир'!$O:$O, 'Основной эфир'!$B:$B=$A957,'Основной эфир'!$C:$C=$B957,'Основной эфир'!$I:$I=$C957)), 0) "),0.0)</f>
        <v>0</v>
      </c>
      <c r="G957" s="91">
        <f>IFERROR(__xludf.DUMMYFUNCTION("IFERROR(sum(filter('Основной эфир'!$Q:$Q, 'Основной эфир'!$B:$B=$A957,'Основной эфир'!$C:$C=$B957,'Основной эфир'!$I:$I=$C957)), 0) "),0.0)</f>
        <v>0</v>
      </c>
      <c r="H957" s="91">
        <f>IFERROR(__xludf.DUMMYFUNCTION("IFERROR(AVERAGE(filter('Основной эфир'!$Y:$Y, 'Основной эфир'!$B:$B=$A957,'Основной эфир'!$C:$C=$B957,'Основной эфир'!$I:$I=$C957)), 0) "),0.0)</f>
        <v>0</v>
      </c>
      <c r="I957" s="91">
        <f>IFERROR(__xludf.DUMMYFUNCTION("IFERROR(AVERAGE(filter('Основной эфир'!$AE:$AE, 'Основной эфир'!$B:$B=$A957,'Основной эфир'!$C:$C=$B957,'Основной эфир'!$I:$I=$C957)), 0) "),0.0)</f>
        <v>0</v>
      </c>
      <c r="J957" s="91">
        <f>IFERROR(__xludf.DUMMYFUNCTION("IFERROR(SUM(filter('Основной эфир'!$AL:$AL, 'Основной эфир'!$B:$B=$A957,'Основной эфир'!$C:$C=$B957,'Основной эфир'!$I:$I=$C957)), 0) "),0.0)</f>
        <v>0</v>
      </c>
      <c r="K957" s="91" t="str">
        <f>IFERROR(__xludf.DUMMYFUNCTION("IFERROR(REGEXREPLACE(unique(filter('Основной эфир'!$A:$A, 'Основной эфир'!$B:$B=$A957,'Основной эфир'!$C:$C=$B957,'Основной эфир'!$I:$I=$C957)), ""\d+"", """"),"""")"),"")</f>
        <v/>
      </c>
      <c r="L957" s="91" t="str">
        <f>IFERROR(__xludf.DUMMYFUNCTION("IFERROR(unique(filter('Основной эфир'!$F:$F, 'Основной эфир'!$B:$B=$A957,'Основной эфир'!$C:$C=$B957,'Основной эфир'!$I:$I=$C957)),"""")"),"")</f>
        <v/>
      </c>
      <c r="M957" s="92" t="str">
        <f t="shared" si="1"/>
        <v/>
      </c>
      <c r="N957" s="93">
        <f>IFERROR(__xludf.DUMMYFUNCTION("IFERROR(SWITCH(lower(join("" "",L957:M957)),""а миллионник"", 62.5,""б миллионник"", 75,""а мск"", 50, ""б мск"", 62.5, ""a остальное"", 70, ""б остальное"", 80)/100,0)"),0.0)</f>
        <v>0</v>
      </c>
      <c r="O957" s="91">
        <f t="shared" si="2"/>
        <v>0</v>
      </c>
      <c r="P957" s="91">
        <f>IFERROR(__xludf.DUMMYFUNCTION("IFERROR(sum(filter('Генеральный баннер'!$O:$O, 'Генеральный баннер'!$B:$B=$A957,'Генеральный баннер'!$C:$C=$B957,'Генеральный баннер'!$I:$I=$C957)), 0) "),0.0)</f>
        <v>0</v>
      </c>
      <c r="Q957" s="91">
        <f>IFERROR(__xludf.DUMMYFUNCTION("IFERROR(sum(filter('Генеральный баннер'!$Q:$Q, 'Генеральный баннер'!$B:$B=$A957,'Генеральный баннер'!$C:$C=$B957,'Генеральный баннер'!$I:$I=$C957)), 0) "),0.0)</f>
        <v>0</v>
      </c>
      <c r="R957" s="91">
        <f>IFERROR(__xludf.DUMMYFUNCTION("IFERROR(AVERAGE(filter('Генеральный баннер'!$AA:$AA, 'Генеральный баннер'!$B:$B=$A957,'Генеральный баннер'!$C:$C=$B957,'Генеральный баннер'!$I:$I=$C957)), 0) "),0.0)</f>
        <v>0</v>
      </c>
      <c r="S957" s="91">
        <f>IFERROR(__xludf.DUMMYFUNCTION("IFERROR(SUM(filter('Генеральный баннер'!$AH:$AH, 'Генеральный баннер'!$B:$B=$A957,'Генеральный баннер'!$C:$C=$B957,'Генеральный баннер'!$I:$I=$C957)), 0) "),0.0)</f>
        <v>0</v>
      </c>
      <c r="T957" s="91" t="str">
        <f>IFERROR(__xludf.DUMMYFUNCTION("IFERROR(REGEXREPLACE(unique(filter('Генеральный баннер'!$A:$A, 'Генеральный баннер'!$B:$B=$A957,'Генеральный баннер'!$C:$C=$B957,'Генеральный баннер'!$I:$I=$C957)), ""\d+"", """"),"""")"),"")</f>
        <v/>
      </c>
      <c r="U957" s="91" t="str">
        <f>IFERROR(__xludf.DUMMYFUNCTION("IFERROR(unique(filter('Генеральный баннер'!$F:$F, 'Генеральный баннер'!$B:$B=$A957,'Генеральный баннер'!$C:$C=$B957,'Генеральный баннер'!$I:$I=$C957)),"""")"),"")</f>
        <v/>
      </c>
      <c r="V957" s="92" t="str">
        <f t="shared" si="3"/>
        <v/>
      </c>
      <c r="W957" s="93">
        <f>IFERROR(__xludf.DUMMYFUNCTION("IFERROR(SWITCH(lower(join("" "",U957:V957)),""а миллионник"", 62.5,""б миллионник"", 75,""а мск"", 50, ""б мск"", 62.5, ""a остальное"", 70, ""б остальное"", 80)/100,0)"),0.0)</f>
        <v>0</v>
      </c>
      <c r="X957" s="91">
        <f t="shared" si="4"/>
        <v>0</v>
      </c>
    </row>
    <row r="958">
      <c r="A958" s="12"/>
      <c r="B958" s="12"/>
      <c r="C958" s="12"/>
      <c r="D958" s="91">
        <f>IFERROR(__xludf.DUMMYFUNCTION("IFERROR(sum(filter('Основной эфир'!$AA:$AA, 'Основной эфир'!$B:$B=$A958,'Основной эфир'!$C:$C=$B958,'Основной эфир'!$I:$I=$C958)), 0) "),0.0)</f>
        <v>0</v>
      </c>
      <c r="E958" s="91">
        <f>IFERROR(__xludf.DUMMYFUNCTION("IFERROR(sum(filter('Основной эфир'!$AC:$AC, 'Основной эфир'!$B:$B=$A958,'Основной эфир'!$C:$C=$B958,'Основной эфир'!$I:$I=$C958)), 0) "),0.0)</f>
        <v>0</v>
      </c>
      <c r="F958" s="91">
        <f>IFERROR(__xludf.DUMMYFUNCTION("IFERROR(sum(filter('Основной эфир'!$O:$O, 'Основной эфир'!$B:$B=$A958,'Основной эфир'!$C:$C=$B958,'Основной эфир'!$I:$I=$C958)), 0) "),0.0)</f>
        <v>0</v>
      </c>
      <c r="G958" s="91">
        <f>IFERROR(__xludf.DUMMYFUNCTION("IFERROR(sum(filter('Основной эфир'!$Q:$Q, 'Основной эфир'!$B:$B=$A958,'Основной эфир'!$C:$C=$B958,'Основной эфир'!$I:$I=$C958)), 0) "),0.0)</f>
        <v>0</v>
      </c>
      <c r="H958" s="91">
        <f>IFERROR(__xludf.DUMMYFUNCTION("IFERROR(AVERAGE(filter('Основной эфир'!$Y:$Y, 'Основной эфир'!$B:$B=$A958,'Основной эфир'!$C:$C=$B958,'Основной эфир'!$I:$I=$C958)), 0) "),0.0)</f>
        <v>0</v>
      </c>
      <c r="I958" s="91">
        <f>IFERROR(__xludf.DUMMYFUNCTION("IFERROR(AVERAGE(filter('Основной эфир'!$AE:$AE, 'Основной эфир'!$B:$B=$A958,'Основной эфир'!$C:$C=$B958,'Основной эфир'!$I:$I=$C958)), 0) "),0.0)</f>
        <v>0</v>
      </c>
      <c r="J958" s="91">
        <f>IFERROR(__xludf.DUMMYFUNCTION("IFERROR(SUM(filter('Основной эфир'!$AL:$AL, 'Основной эфир'!$B:$B=$A958,'Основной эфир'!$C:$C=$B958,'Основной эфир'!$I:$I=$C958)), 0) "),0.0)</f>
        <v>0</v>
      </c>
      <c r="K958" s="91" t="str">
        <f>IFERROR(__xludf.DUMMYFUNCTION("IFERROR(REGEXREPLACE(unique(filter('Основной эфир'!$A:$A, 'Основной эфир'!$B:$B=$A958,'Основной эфир'!$C:$C=$B958,'Основной эфир'!$I:$I=$C958)), ""\d+"", """"),"""")"),"")</f>
        <v/>
      </c>
      <c r="L958" s="91" t="str">
        <f>IFERROR(__xludf.DUMMYFUNCTION("IFERROR(unique(filter('Основной эфир'!$F:$F, 'Основной эфир'!$B:$B=$A958,'Основной эфир'!$C:$C=$B958,'Основной эфир'!$I:$I=$C958)),"""")"),"")</f>
        <v/>
      </c>
      <c r="M958" s="92" t="str">
        <f t="shared" si="1"/>
        <v/>
      </c>
      <c r="N958" s="93">
        <f>IFERROR(__xludf.DUMMYFUNCTION("IFERROR(SWITCH(lower(join("" "",L958:M958)),""а миллионник"", 62.5,""б миллионник"", 75,""а мск"", 50, ""б мск"", 62.5, ""a остальное"", 70, ""б остальное"", 80)/100,0)"),0.0)</f>
        <v>0</v>
      </c>
      <c r="O958" s="91">
        <f t="shared" si="2"/>
        <v>0</v>
      </c>
      <c r="P958" s="91">
        <f>IFERROR(__xludf.DUMMYFUNCTION("IFERROR(sum(filter('Генеральный баннер'!$O:$O, 'Генеральный баннер'!$B:$B=$A958,'Генеральный баннер'!$C:$C=$B958,'Генеральный баннер'!$I:$I=$C958)), 0) "),0.0)</f>
        <v>0</v>
      </c>
      <c r="Q958" s="91">
        <f>IFERROR(__xludf.DUMMYFUNCTION("IFERROR(sum(filter('Генеральный баннер'!$Q:$Q, 'Генеральный баннер'!$B:$B=$A958,'Генеральный баннер'!$C:$C=$B958,'Генеральный баннер'!$I:$I=$C958)), 0) "),0.0)</f>
        <v>0</v>
      </c>
      <c r="R958" s="91">
        <f>IFERROR(__xludf.DUMMYFUNCTION("IFERROR(AVERAGE(filter('Генеральный баннер'!$AA:$AA, 'Генеральный баннер'!$B:$B=$A958,'Генеральный баннер'!$C:$C=$B958,'Генеральный баннер'!$I:$I=$C958)), 0) "),0.0)</f>
        <v>0</v>
      </c>
      <c r="S958" s="91">
        <f>IFERROR(__xludf.DUMMYFUNCTION("IFERROR(SUM(filter('Генеральный баннер'!$AH:$AH, 'Генеральный баннер'!$B:$B=$A958,'Генеральный баннер'!$C:$C=$B958,'Генеральный баннер'!$I:$I=$C958)), 0) "),0.0)</f>
        <v>0</v>
      </c>
      <c r="T958" s="91" t="str">
        <f>IFERROR(__xludf.DUMMYFUNCTION("IFERROR(REGEXREPLACE(unique(filter('Генеральный баннер'!$A:$A, 'Генеральный баннер'!$B:$B=$A958,'Генеральный баннер'!$C:$C=$B958,'Генеральный баннер'!$I:$I=$C958)), ""\d+"", """"),"""")"),"")</f>
        <v/>
      </c>
      <c r="U958" s="91" t="str">
        <f>IFERROR(__xludf.DUMMYFUNCTION("IFERROR(unique(filter('Генеральный баннер'!$F:$F, 'Генеральный баннер'!$B:$B=$A958,'Генеральный баннер'!$C:$C=$B958,'Генеральный баннер'!$I:$I=$C958)),"""")"),"")</f>
        <v/>
      </c>
      <c r="V958" s="92" t="str">
        <f t="shared" si="3"/>
        <v/>
      </c>
      <c r="W958" s="93">
        <f>IFERROR(__xludf.DUMMYFUNCTION("IFERROR(SWITCH(lower(join("" "",U958:V958)),""а миллионник"", 62.5,""б миллионник"", 75,""а мск"", 50, ""б мск"", 62.5, ""a остальное"", 70, ""б остальное"", 80)/100,0)"),0.0)</f>
        <v>0</v>
      </c>
      <c r="X958" s="91">
        <f t="shared" si="4"/>
        <v>0</v>
      </c>
    </row>
    <row r="959">
      <c r="A959" s="12"/>
      <c r="B959" s="12"/>
      <c r="C959" s="12"/>
      <c r="D959" s="91">
        <f>IFERROR(__xludf.DUMMYFUNCTION("IFERROR(sum(filter('Основной эфир'!$AA:$AA, 'Основной эфир'!$B:$B=$A959,'Основной эфир'!$C:$C=$B959,'Основной эфир'!$I:$I=$C959)), 0) "),0.0)</f>
        <v>0</v>
      </c>
      <c r="E959" s="91">
        <f>IFERROR(__xludf.DUMMYFUNCTION("IFERROR(sum(filter('Основной эфир'!$AC:$AC, 'Основной эфир'!$B:$B=$A959,'Основной эфир'!$C:$C=$B959,'Основной эфир'!$I:$I=$C959)), 0) "),0.0)</f>
        <v>0</v>
      </c>
      <c r="F959" s="91">
        <f>IFERROR(__xludf.DUMMYFUNCTION("IFERROR(sum(filter('Основной эфир'!$O:$O, 'Основной эфир'!$B:$B=$A959,'Основной эфир'!$C:$C=$B959,'Основной эфир'!$I:$I=$C959)), 0) "),0.0)</f>
        <v>0</v>
      </c>
      <c r="G959" s="91">
        <f>IFERROR(__xludf.DUMMYFUNCTION("IFERROR(sum(filter('Основной эфир'!$Q:$Q, 'Основной эфир'!$B:$B=$A959,'Основной эфир'!$C:$C=$B959,'Основной эфир'!$I:$I=$C959)), 0) "),0.0)</f>
        <v>0</v>
      </c>
      <c r="H959" s="91">
        <f>IFERROR(__xludf.DUMMYFUNCTION("IFERROR(AVERAGE(filter('Основной эфир'!$Y:$Y, 'Основной эфир'!$B:$B=$A959,'Основной эфир'!$C:$C=$B959,'Основной эфир'!$I:$I=$C959)), 0) "),0.0)</f>
        <v>0</v>
      </c>
      <c r="I959" s="91">
        <f>IFERROR(__xludf.DUMMYFUNCTION("IFERROR(AVERAGE(filter('Основной эфир'!$AE:$AE, 'Основной эфир'!$B:$B=$A959,'Основной эфир'!$C:$C=$B959,'Основной эфир'!$I:$I=$C959)), 0) "),0.0)</f>
        <v>0</v>
      </c>
      <c r="J959" s="91">
        <f>IFERROR(__xludf.DUMMYFUNCTION("IFERROR(SUM(filter('Основной эфир'!$AL:$AL, 'Основной эфир'!$B:$B=$A959,'Основной эфир'!$C:$C=$B959,'Основной эфир'!$I:$I=$C959)), 0) "),0.0)</f>
        <v>0</v>
      </c>
      <c r="K959" s="91" t="str">
        <f>IFERROR(__xludf.DUMMYFUNCTION("IFERROR(REGEXREPLACE(unique(filter('Основной эфир'!$A:$A, 'Основной эфир'!$B:$B=$A959,'Основной эфир'!$C:$C=$B959,'Основной эфир'!$I:$I=$C959)), ""\d+"", """"),"""")"),"")</f>
        <v/>
      </c>
      <c r="L959" s="91" t="str">
        <f>IFERROR(__xludf.DUMMYFUNCTION("IFERROR(unique(filter('Основной эфир'!$F:$F, 'Основной эфир'!$B:$B=$A959,'Основной эфир'!$C:$C=$B959,'Основной эфир'!$I:$I=$C959)),"""")"),"")</f>
        <v/>
      </c>
      <c r="M959" s="92" t="str">
        <f t="shared" si="1"/>
        <v/>
      </c>
      <c r="N959" s="93">
        <f>IFERROR(__xludf.DUMMYFUNCTION("IFERROR(SWITCH(lower(join("" "",L959:M959)),""а миллионник"", 62.5,""б миллионник"", 75,""а мск"", 50, ""б мск"", 62.5, ""a остальное"", 70, ""б остальное"", 80)/100,0)"),0.0)</f>
        <v>0</v>
      </c>
      <c r="O959" s="91">
        <f t="shared" si="2"/>
        <v>0</v>
      </c>
      <c r="P959" s="91">
        <f>IFERROR(__xludf.DUMMYFUNCTION("IFERROR(sum(filter('Генеральный баннер'!$O:$O, 'Генеральный баннер'!$B:$B=$A959,'Генеральный баннер'!$C:$C=$B959,'Генеральный баннер'!$I:$I=$C959)), 0) "),0.0)</f>
        <v>0</v>
      </c>
      <c r="Q959" s="91">
        <f>IFERROR(__xludf.DUMMYFUNCTION("IFERROR(sum(filter('Генеральный баннер'!$Q:$Q, 'Генеральный баннер'!$B:$B=$A959,'Генеральный баннер'!$C:$C=$B959,'Генеральный баннер'!$I:$I=$C959)), 0) "),0.0)</f>
        <v>0</v>
      </c>
      <c r="R959" s="91">
        <f>IFERROR(__xludf.DUMMYFUNCTION("IFERROR(AVERAGE(filter('Генеральный баннер'!$AA:$AA, 'Генеральный баннер'!$B:$B=$A959,'Генеральный баннер'!$C:$C=$B959,'Генеральный баннер'!$I:$I=$C959)), 0) "),0.0)</f>
        <v>0</v>
      </c>
      <c r="S959" s="91">
        <f>IFERROR(__xludf.DUMMYFUNCTION("IFERROR(SUM(filter('Генеральный баннер'!$AH:$AH, 'Генеральный баннер'!$B:$B=$A959,'Генеральный баннер'!$C:$C=$B959,'Генеральный баннер'!$I:$I=$C959)), 0) "),0.0)</f>
        <v>0</v>
      </c>
      <c r="T959" s="91" t="str">
        <f>IFERROR(__xludf.DUMMYFUNCTION("IFERROR(REGEXREPLACE(unique(filter('Генеральный баннер'!$A:$A, 'Генеральный баннер'!$B:$B=$A959,'Генеральный баннер'!$C:$C=$B959,'Генеральный баннер'!$I:$I=$C959)), ""\d+"", """"),"""")"),"")</f>
        <v/>
      </c>
      <c r="U959" s="91" t="str">
        <f>IFERROR(__xludf.DUMMYFUNCTION("IFERROR(unique(filter('Генеральный баннер'!$F:$F, 'Генеральный баннер'!$B:$B=$A959,'Генеральный баннер'!$C:$C=$B959,'Генеральный баннер'!$I:$I=$C959)),"""")"),"")</f>
        <v/>
      </c>
      <c r="V959" s="92" t="str">
        <f t="shared" si="3"/>
        <v/>
      </c>
      <c r="W959" s="93">
        <f>IFERROR(__xludf.DUMMYFUNCTION("IFERROR(SWITCH(lower(join("" "",U959:V959)),""а миллионник"", 62.5,""б миллионник"", 75,""а мск"", 50, ""б мск"", 62.5, ""a остальное"", 70, ""б остальное"", 80)/100,0)"),0.0)</f>
        <v>0</v>
      </c>
      <c r="X959" s="91">
        <f t="shared" si="4"/>
        <v>0</v>
      </c>
    </row>
    <row r="960">
      <c r="A960" s="12"/>
      <c r="B960" s="12"/>
      <c r="C960" s="12"/>
      <c r="D960" s="91">
        <f>IFERROR(__xludf.DUMMYFUNCTION("IFERROR(sum(filter('Основной эфир'!$AA:$AA, 'Основной эфир'!$B:$B=$A960,'Основной эфир'!$C:$C=$B960,'Основной эфир'!$I:$I=$C960)), 0) "),0.0)</f>
        <v>0</v>
      </c>
      <c r="E960" s="91">
        <f>IFERROR(__xludf.DUMMYFUNCTION("IFERROR(sum(filter('Основной эфир'!$AC:$AC, 'Основной эфир'!$B:$B=$A960,'Основной эфир'!$C:$C=$B960,'Основной эфир'!$I:$I=$C960)), 0) "),0.0)</f>
        <v>0</v>
      </c>
      <c r="F960" s="91">
        <f>IFERROR(__xludf.DUMMYFUNCTION("IFERROR(sum(filter('Основной эфир'!$O:$O, 'Основной эфир'!$B:$B=$A960,'Основной эфир'!$C:$C=$B960,'Основной эфир'!$I:$I=$C960)), 0) "),0.0)</f>
        <v>0</v>
      </c>
      <c r="G960" s="91">
        <f>IFERROR(__xludf.DUMMYFUNCTION("IFERROR(sum(filter('Основной эфир'!$Q:$Q, 'Основной эфир'!$B:$B=$A960,'Основной эфир'!$C:$C=$B960,'Основной эфир'!$I:$I=$C960)), 0) "),0.0)</f>
        <v>0</v>
      </c>
      <c r="H960" s="91">
        <f>IFERROR(__xludf.DUMMYFUNCTION("IFERROR(AVERAGE(filter('Основной эфир'!$Y:$Y, 'Основной эфир'!$B:$B=$A960,'Основной эфир'!$C:$C=$B960,'Основной эфир'!$I:$I=$C960)), 0) "),0.0)</f>
        <v>0</v>
      </c>
      <c r="I960" s="91">
        <f>IFERROR(__xludf.DUMMYFUNCTION("IFERROR(AVERAGE(filter('Основной эфир'!$AE:$AE, 'Основной эфир'!$B:$B=$A960,'Основной эфир'!$C:$C=$B960,'Основной эфир'!$I:$I=$C960)), 0) "),0.0)</f>
        <v>0</v>
      </c>
      <c r="J960" s="91">
        <f>IFERROR(__xludf.DUMMYFUNCTION("IFERROR(SUM(filter('Основной эфир'!$AL:$AL, 'Основной эфир'!$B:$B=$A960,'Основной эфир'!$C:$C=$B960,'Основной эфир'!$I:$I=$C960)), 0) "),0.0)</f>
        <v>0</v>
      </c>
      <c r="K960" s="91" t="str">
        <f>IFERROR(__xludf.DUMMYFUNCTION("IFERROR(REGEXREPLACE(unique(filter('Основной эфир'!$A:$A, 'Основной эфир'!$B:$B=$A960,'Основной эфир'!$C:$C=$B960,'Основной эфир'!$I:$I=$C960)), ""\d+"", """"),"""")"),"")</f>
        <v/>
      </c>
      <c r="L960" s="91" t="str">
        <f>IFERROR(__xludf.DUMMYFUNCTION("IFERROR(unique(filter('Основной эфир'!$F:$F, 'Основной эфир'!$B:$B=$A960,'Основной эфир'!$C:$C=$B960,'Основной эфир'!$I:$I=$C960)),"""")"),"")</f>
        <v/>
      </c>
      <c r="M960" s="92" t="str">
        <f t="shared" si="1"/>
        <v/>
      </c>
      <c r="N960" s="93">
        <f>IFERROR(__xludf.DUMMYFUNCTION("IFERROR(SWITCH(lower(join("" "",L960:M960)),""а миллионник"", 62.5,""б миллионник"", 75,""а мск"", 50, ""б мск"", 62.5, ""a остальное"", 70, ""б остальное"", 80)/100,0)"),0.0)</f>
        <v>0</v>
      </c>
      <c r="O960" s="91">
        <f t="shared" si="2"/>
        <v>0</v>
      </c>
      <c r="P960" s="91">
        <f>IFERROR(__xludf.DUMMYFUNCTION("IFERROR(sum(filter('Генеральный баннер'!$O:$O, 'Генеральный баннер'!$B:$B=$A960,'Генеральный баннер'!$C:$C=$B960,'Генеральный баннер'!$I:$I=$C960)), 0) "),0.0)</f>
        <v>0</v>
      </c>
      <c r="Q960" s="91">
        <f>IFERROR(__xludf.DUMMYFUNCTION("IFERROR(sum(filter('Генеральный баннер'!$Q:$Q, 'Генеральный баннер'!$B:$B=$A960,'Генеральный баннер'!$C:$C=$B960,'Генеральный баннер'!$I:$I=$C960)), 0) "),0.0)</f>
        <v>0</v>
      </c>
      <c r="R960" s="91">
        <f>IFERROR(__xludf.DUMMYFUNCTION("IFERROR(AVERAGE(filter('Генеральный баннер'!$AA:$AA, 'Генеральный баннер'!$B:$B=$A960,'Генеральный баннер'!$C:$C=$B960,'Генеральный баннер'!$I:$I=$C960)), 0) "),0.0)</f>
        <v>0</v>
      </c>
      <c r="S960" s="91">
        <f>IFERROR(__xludf.DUMMYFUNCTION("IFERROR(SUM(filter('Генеральный баннер'!$AH:$AH, 'Генеральный баннер'!$B:$B=$A960,'Генеральный баннер'!$C:$C=$B960,'Генеральный баннер'!$I:$I=$C960)), 0) "),0.0)</f>
        <v>0</v>
      </c>
      <c r="T960" s="91" t="str">
        <f>IFERROR(__xludf.DUMMYFUNCTION("IFERROR(REGEXREPLACE(unique(filter('Генеральный баннер'!$A:$A, 'Генеральный баннер'!$B:$B=$A960,'Генеральный баннер'!$C:$C=$B960,'Генеральный баннер'!$I:$I=$C960)), ""\d+"", """"),"""")"),"")</f>
        <v/>
      </c>
      <c r="U960" s="91" t="str">
        <f>IFERROR(__xludf.DUMMYFUNCTION("IFERROR(unique(filter('Генеральный баннер'!$F:$F, 'Генеральный баннер'!$B:$B=$A960,'Генеральный баннер'!$C:$C=$B960,'Генеральный баннер'!$I:$I=$C960)),"""")"),"")</f>
        <v/>
      </c>
      <c r="V960" s="92" t="str">
        <f t="shared" si="3"/>
        <v/>
      </c>
      <c r="W960" s="93">
        <f>IFERROR(__xludf.DUMMYFUNCTION("IFERROR(SWITCH(lower(join("" "",U960:V960)),""а миллионник"", 62.5,""б миллионник"", 75,""а мск"", 50, ""б мск"", 62.5, ""a остальное"", 70, ""б остальное"", 80)/100,0)"),0.0)</f>
        <v>0</v>
      </c>
      <c r="X960" s="91">
        <f t="shared" si="4"/>
        <v>0</v>
      </c>
    </row>
    <row r="961">
      <c r="A961" s="12"/>
      <c r="B961" s="12"/>
      <c r="C961" s="12"/>
      <c r="D961" s="91">
        <f>IFERROR(__xludf.DUMMYFUNCTION("IFERROR(sum(filter('Основной эфир'!$AA:$AA, 'Основной эфир'!$B:$B=$A961,'Основной эфир'!$C:$C=$B961,'Основной эфир'!$I:$I=$C961)), 0) "),0.0)</f>
        <v>0</v>
      </c>
      <c r="E961" s="91">
        <f>IFERROR(__xludf.DUMMYFUNCTION("IFERROR(sum(filter('Основной эфир'!$AC:$AC, 'Основной эфир'!$B:$B=$A961,'Основной эфир'!$C:$C=$B961,'Основной эфир'!$I:$I=$C961)), 0) "),0.0)</f>
        <v>0</v>
      </c>
      <c r="F961" s="91">
        <f>IFERROR(__xludf.DUMMYFUNCTION("IFERROR(sum(filter('Основной эфир'!$O:$O, 'Основной эфир'!$B:$B=$A961,'Основной эфир'!$C:$C=$B961,'Основной эфир'!$I:$I=$C961)), 0) "),0.0)</f>
        <v>0</v>
      </c>
      <c r="G961" s="91">
        <f>IFERROR(__xludf.DUMMYFUNCTION("IFERROR(sum(filter('Основной эфир'!$Q:$Q, 'Основной эфир'!$B:$B=$A961,'Основной эфир'!$C:$C=$B961,'Основной эфир'!$I:$I=$C961)), 0) "),0.0)</f>
        <v>0</v>
      </c>
      <c r="H961" s="91">
        <f>IFERROR(__xludf.DUMMYFUNCTION("IFERROR(AVERAGE(filter('Основной эфир'!$Y:$Y, 'Основной эфир'!$B:$B=$A961,'Основной эфир'!$C:$C=$B961,'Основной эфир'!$I:$I=$C961)), 0) "),0.0)</f>
        <v>0</v>
      </c>
      <c r="I961" s="91">
        <f>IFERROR(__xludf.DUMMYFUNCTION("IFERROR(AVERAGE(filter('Основной эфир'!$AE:$AE, 'Основной эфир'!$B:$B=$A961,'Основной эфир'!$C:$C=$B961,'Основной эфир'!$I:$I=$C961)), 0) "),0.0)</f>
        <v>0</v>
      </c>
      <c r="J961" s="91">
        <f>IFERROR(__xludf.DUMMYFUNCTION("IFERROR(SUM(filter('Основной эфир'!$AL:$AL, 'Основной эфир'!$B:$B=$A961,'Основной эфир'!$C:$C=$B961,'Основной эфир'!$I:$I=$C961)), 0) "),0.0)</f>
        <v>0</v>
      </c>
      <c r="K961" s="91" t="str">
        <f>IFERROR(__xludf.DUMMYFUNCTION("IFERROR(REGEXREPLACE(unique(filter('Основной эфир'!$A:$A, 'Основной эфир'!$B:$B=$A961,'Основной эфир'!$C:$C=$B961,'Основной эфир'!$I:$I=$C961)), ""\d+"", """"),"""")"),"")</f>
        <v/>
      </c>
      <c r="L961" s="91" t="str">
        <f>IFERROR(__xludf.DUMMYFUNCTION("IFERROR(unique(filter('Основной эфир'!$F:$F, 'Основной эфир'!$B:$B=$A961,'Основной эфир'!$C:$C=$B961,'Основной эфир'!$I:$I=$C961)),"""")"),"")</f>
        <v/>
      </c>
      <c r="M961" s="92" t="str">
        <f t="shared" si="1"/>
        <v/>
      </c>
      <c r="N961" s="93">
        <f>IFERROR(__xludf.DUMMYFUNCTION("IFERROR(SWITCH(lower(join("" "",L961:M961)),""а миллионник"", 62.5,""б миллионник"", 75,""а мск"", 50, ""б мск"", 62.5, ""a остальное"", 70, ""б остальное"", 80)/100,0)"),0.0)</f>
        <v>0</v>
      </c>
      <c r="O961" s="91">
        <f t="shared" si="2"/>
        <v>0</v>
      </c>
      <c r="P961" s="91">
        <f>IFERROR(__xludf.DUMMYFUNCTION("IFERROR(sum(filter('Генеральный баннер'!$O:$O, 'Генеральный баннер'!$B:$B=$A961,'Генеральный баннер'!$C:$C=$B961,'Генеральный баннер'!$I:$I=$C961)), 0) "),0.0)</f>
        <v>0</v>
      </c>
      <c r="Q961" s="91">
        <f>IFERROR(__xludf.DUMMYFUNCTION("IFERROR(sum(filter('Генеральный баннер'!$Q:$Q, 'Генеральный баннер'!$B:$B=$A961,'Генеральный баннер'!$C:$C=$B961,'Генеральный баннер'!$I:$I=$C961)), 0) "),0.0)</f>
        <v>0</v>
      </c>
      <c r="R961" s="91">
        <f>IFERROR(__xludf.DUMMYFUNCTION("IFERROR(AVERAGE(filter('Генеральный баннер'!$AA:$AA, 'Генеральный баннер'!$B:$B=$A961,'Генеральный баннер'!$C:$C=$B961,'Генеральный баннер'!$I:$I=$C961)), 0) "),0.0)</f>
        <v>0</v>
      </c>
      <c r="S961" s="91">
        <f>IFERROR(__xludf.DUMMYFUNCTION("IFERROR(SUM(filter('Генеральный баннер'!$AH:$AH, 'Генеральный баннер'!$B:$B=$A961,'Генеральный баннер'!$C:$C=$B961,'Генеральный баннер'!$I:$I=$C961)), 0) "),0.0)</f>
        <v>0</v>
      </c>
      <c r="T961" s="91" t="str">
        <f>IFERROR(__xludf.DUMMYFUNCTION("IFERROR(REGEXREPLACE(unique(filter('Генеральный баннер'!$A:$A, 'Генеральный баннер'!$B:$B=$A961,'Генеральный баннер'!$C:$C=$B961,'Генеральный баннер'!$I:$I=$C961)), ""\d+"", """"),"""")"),"")</f>
        <v/>
      </c>
      <c r="U961" s="91" t="str">
        <f>IFERROR(__xludf.DUMMYFUNCTION("IFERROR(unique(filter('Генеральный баннер'!$F:$F, 'Генеральный баннер'!$B:$B=$A961,'Генеральный баннер'!$C:$C=$B961,'Генеральный баннер'!$I:$I=$C961)),"""")"),"")</f>
        <v/>
      </c>
      <c r="V961" s="92" t="str">
        <f t="shared" si="3"/>
        <v/>
      </c>
      <c r="W961" s="93">
        <f>IFERROR(__xludf.DUMMYFUNCTION("IFERROR(SWITCH(lower(join("" "",U961:V961)),""а миллионник"", 62.5,""б миллионник"", 75,""а мск"", 50, ""б мск"", 62.5, ""a остальное"", 70, ""б остальное"", 80)/100,0)"),0.0)</f>
        <v>0</v>
      </c>
      <c r="X961" s="91">
        <f t="shared" si="4"/>
        <v>0</v>
      </c>
    </row>
    <row r="962">
      <c r="A962" s="12"/>
      <c r="B962" s="12"/>
      <c r="C962" s="12"/>
      <c r="D962" s="91">
        <f>IFERROR(__xludf.DUMMYFUNCTION("IFERROR(sum(filter('Основной эфир'!$AA:$AA, 'Основной эфир'!$B:$B=$A962,'Основной эфир'!$C:$C=$B962,'Основной эфир'!$I:$I=$C962)), 0) "),0.0)</f>
        <v>0</v>
      </c>
      <c r="E962" s="91">
        <f>IFERROR(__xludf.DUMMYFUNCTION("IFERROR(sum(filter('Основной эфир'!$AC:$AC, 'Основной эфир'!$B:$B=$A962,'Основной эфир'!$C:$C=$B962,'Основной эфир'!$I:$I=$C962)), 0) "),0.0)</f>
        <v>0</v>
      </c>
      <c r="F962" s="91">
        <f>IFERROR(__xludf.DUMMYFUNCTION("IFERROR(sum(filter('Основной эфир'!$O:$O, 'Основной эфир'!$B:$B=$A962,'Основной эфир'!$C:$C=$B962,'Основной эфир'!$I:$I=$C962)), 0) "),0.0)</f>
        <v>0</v>
      </c>
      <c r="G962" s="91">
        <f>IFERROR(__xludf.DUMMYFUNCTION("IFERROR(sum(filter('Основной эфир'!$Q:$Q, 'Основной эфир'!$B:$B=$A962,'Основной эфир'!$C:$C=$B962,'Основной эфир'!$I:$I=$C962)), 0) "),0.0)</f>
        <v>0</v>
      </c>
      <c r="H962" s="91">
        <f>IFERROR(__xludf.DUMMYFUNCTION("IFERROR(AVERAGE(filter('Основной эфир'!$Y:$Y, 'Основной эфир'!$B:$B=$A962,'Основной эфир'!$C:$C=$B962,'Основной эфир'!$I:$I=$C962)), 0) "),0.0)</f>
        <v>0</v>
      </c>
      <c r="I962" s="91">
        <f>IFERROR(__xludf.DUMMYFUNCTION("IFERROR(AVERAGE(filter('Основной эфир'!$AE:$AE, 'Основной эфир'!$B:$B=$A962,'Основной эфир'!$C:$C=$B962,'Основной эфир'!$I:$I=$C962)), 0) "),0.0)</f>
        <v>0</v>
      </c>
      <c r="J962" s="91">
        <f>IFERROR(__xludf.DUMMYFUNCTION("IFERROR(SUM(filter('Основной эфир'!$AL:$AL, 'Основной эфир'!$B:$B=$A962,'Основной эфир'!$C:$C=$B962,'Основной эфир'!$I:$I=$C962)), 0) "),0.0)</f>
        <v>0</v>
      </c>
      <c r="K962" s="91" t="str">
        <f>IFERROR(__xludf.DUMMYFUNCTION("IFERROR(REGEXREPLACE(unique(filter('Основной эфир'!$A:$A, 'Основной эфир'!$B:$B=$A962,'Основной эфир'!$C:$C=$B962,'Основной эфир'!$I:$I=$C962)), ""\d+"", """"),"""")"),"")</f>
        <v/>
      </c>
      <c r="L962" s="91" t="str">
        <f>IFERROR(__xludf.DUMMYFUNCTION("IFERROR(unique(filter('Основной эфир'!$F:$F, 'Основной эфир'!$B:$B=$A962,'Основной эфир'!$C:$C=$B962,'Основной эфир'!$I:$I=$C962)),"""")"),"")</f>
        <v/>
      </c>
      <c r="M962" s="92" t="str">
        <f t="shared" si="1"/>
        <v/>
      </c>
      <c r="N962" s="93">
        <f>IFERROR(__xludf.DUMMYFUNCTION("IFERROR(SWITCH(lower(join("" "",L962:M962)),""а миллионник"", 62.5,""б миллионник"", 75,""а мск"", 50, ""б мск"", 62.5, ""a остальное"", 70, ""б остальное"", 80)/100,0)"),0.0)</f>
        <v>0</v>
      </c>
      <c r="O962" s="91">
        <f t="shared" si="2"/>
        <v>0</v>
      </c>
      <c r="P962" s="91">
        <f>IFERROR(__xludf.DUMMYFUNCTION("IFERROR(sum(filter('Генеральный баннер'!$O:$O, 'Генеральный баннер'!$B:$B=$A962,'Генеральный баннер'!$C:$C=$B962,'Генеральный баннер'!$I:$I=$C962)), 0) "),0.0)</f>
        <v>0</v>
      </c>
      <c r="Q962" s="91">
        <f>IFERROR(__xludf.DUMMYFUNCTION("IFERROR(sum(filter('Генеральный баннер'!$Q:$Q, 'Генеральный баннер'!$B:$B=$A962,'Генеральный баннер'!$C:$C=$B962,'Генеральный баннер'!$I:$I=$C962)), 0) "),0.0)</f>
        <v>0</v>
      </c>
      <c r="R962" s="91">
        <f>IFERROR(__xludf.DUMMYFUNCTION("IFERROR(AVERAGE(filter('Генеральный баннер'!$AA:$AA, 'Генеральный баннер'!$B:$B=$A962,'Генеральный баннер'!$C:$C=$B962,'Генеральный баннер'!$I:$I=$C962)), 0) "),0.0)</f>
        <v>0</v>
      </c>
      <c r="S962" s="91">
        <f>IFERROR(__xludf.DUMMYFUNCTION("IFERROR(SUM(filter('Генеральный баннер'!$AH:$AH, 'Генеральный баннер'!$B:$B=$A962,'Генеральный баннер'!$C:$C=$B962,'Генеральный баннер'!$I:$I=$C962)), 0) "),0.0)</f>
        <v>0</v>
      </c>
      <c r="T962" s="91" t="str">
        <f>IFERROR(__xludf.DUMMYFUNCTION("IFERROR(REGEXREPLACE(unique(filter('Генеральный баннер'!$A:$A, 'Генеральный баннер'!$B:$B=$A962,'Генеральный баннер'!$C:$C=$B962,'Генеральный баннер'!$I:$I=$C962)), ""\d+"", """"),"""")"),"")</f>
        <v/>
      </c>
      <c r="U962" s="91" t="str">
        <f>IFERROR(__xludf.DUMMYFUNCTION("IFERROR(unique(filter('Генеральный баннер'!$F:$F, 'Генеральный баннер'!$B:$B=$A962,'Генеральный баннер'!$C:$C=$B962,'Генеральный баннер'!$I:$I=$C962)),"""")"),"")</f>
        <v/>
      </c>
      <c r="V962" s="92" t="str">
        <f t="shared" si="3"/>
        <v/>
      </c>
      <c r="W962" s="93">
        <f>IFERROR(__xludf.DUMMYFUNCTION("IFERROR(SWITCH(lower(join("" "",U962:V962)),""а миллионник"", 62.5,""б миллионник"", 75,""а мск"", 50, ""б мск"", 62.5, ""a остальное"", 70, ""б остальное"", 80)/100,0)"),0.0)</f>
        <v>0</v>
      </c>
      <c r="X962" s="91">
        <f t="shared" si="4"/>
        <v>0</v>
      </c>
    </row>
    <row r="963">
      <c r="A963" s="12"/>
      <c r="B963" s="12"/>
      <c r="C963" s="12"/>
      <c r="D963" s="91">
        <f>IFERROR(__xludf.DUMMYFUNCTION("IFERROR(sum(filter('Основной эфир'!$AA:$AA, 'Основной эфир'!$B:$B=$A963,'Основной эфир'!$C:$C=$B963,'Основной эфир'!$I:$I=$C963)), 0) "),0.0)</f>
        <v>0</v>
      </c>
      <c r="E963" s="91">
        <f>IFERROR(__xludf.DUMMYFUNCTION("IFERROR(sum(filter('Основной эфир'!$AC:$AC, 'Основной эфир'!$B:$B=$A963,'Основной эфир'!$C:$C=$B963,'Основной эфир'!$I:$I=$C963)), 0) "),0.0)</f>
        <v>0</v>
      </c>
      <c r="F963" s="91">
        <f>IFERROR(__xludf.DUMMYFUNCTION("IFERROR(sum(filter('Основной эфир'!$O:$O, 'Основной эфир'!$B:$B=$A963,'Основной эфир'!$C:$C=$B963,'Основной эфир'!$I:$I=$C963)), 0) "),0.0)</f>
        <v>0</v>
      </c>
      <c r="G963" s="91">
        <f>IFERROR(__xludf.DUMMYFUNCTION("IFERROR(sum(filter('Основной эфир'!$Q:$Q, 'Основной эфир'!$B:$B=$A963,'Основной эфир'!$C:$C=$B963,'Основной эфир'!$I:$I=$C963)), 0) "),0.0)</f>
        <v>0</v>
      </c>
      <c r="H963" s="91">
        <f>IFERROR(__xludf.DUMMYFUNCTION("IFERROR(AVERAGE(filter('Основной эфир'!$Y:$Y, 'Основной эфир'!$B:$B=$A963,'Основной эфир'!$C:$C=$B963,'Основной эфир'!$I:$I=$C963)), 0) "),0.0)</f>
        <v>0</v>
      </c>
      <c r="I963" s="91">
        <f>IFERROR(__xludf.DUMMYFUNCTION("IFERROR(AVERAGE(filter('Основной эфир'!$AE:$AE, 'Основной эфир'!$B:$B=$A963,'Основной эфир'!$C:$C=$B963,'Основной эфир'!$I:$I=$C963)), 0) "),0.0)</f>
        <v>0</v>
      </c>
      <c r="J963" s="91">
        <f>IFERROR(__xludf.DUMMYFUNCTION("IFERROR(SUM(filter('Основной эфир'!$AL:$AL, 'Основной эфир'!$B:$B=$A963,'Основной эфир'!$C:$C=$B963,'Основной эфир'!$I:$I=$C963)), 0) "),0.0)</f>
        <v>0</v>
      </c>
      <c r="K963" s="91" t="str">
        <f>IFERROR(__xludf.DUMMYFUNCTION("IFERROR(REGEXREPLACE(unique(filter('Основной эфир'!$A:$A, 'Основной эфир'!$B:$B=$A963,'Основной эфир'!$C:$C=$B963,'Основной эфир'!$I:$I=$C963)), ""\d+"", """"),"""")"),"")</f>
        <v/>
      </c>
      <c r="L963" s="91" t="str">
        <f>IFERROR(__xludf.DUMMYFUNCTION("IFERROR(unique(filter('Основной эфир'!$F:$F, 'Основной эфир'!$B:$B=$A963,'Основной эфир'!$C:$C=$B963,'Основной эфир'!$I:$I=$C963)),"""")"),"")</f>
        <v/>
      </c>
      <c r="M963" s="92" t="str">
        <f t="shared" si="1"/>
        <v/>
      </c>
      <c r="N963" s="93">
        <f>IFERROR(__xludf.DUMMYFUNCTION("IFERROR(SWITCH(lower(join("" "",L963:M963)),""а миллионник"", 62.5,""б миллионник"", 75,""а мск"", 50, ""б мск"", 62.5, ""a остальное"", 70, ""б остальное"", 80)/100,0)"),0.0)</f>
        <v>0</v>
      </c>
      <c r="O963" s="91">
        <f t="shared" si="2"/>
        <v>0</v>
      </c>
      <c r="P963" s="91">
        <f>IFERROR(__xludf.DUMMYFUNCTION("IFERROR(sum(filter('Генеральный баннер'!$O:$O, 'Генеральный баннер'!$B:$B=$A963,'Генеральный баннер'!$C:$C=$B963,'Генеральный баннер'!$I:$I=$C963)), 0) "),0.0)</f>
        <v>0</v>
      </c>
      <c r="Q963" s="91">
        <f>IFERROR(__xludf.DUMMYFUNCTION("IFERROR(sum(filter('Генеральный баннер'!$Q:$Q, 'Генеральный баннер'!$B:$B=$A963,'Генеральный баннер'!$C:$C=$B963,'Генеральный баннер'!$I:$I=$C963)), 0) "),0.0)</f>
        <v>0</v>
      </c>
      <c r="R963" s="91">
        <f>IFERROR(__xludf.DUMMYFUNCTION("IFERROR(AVERAGE(filter('Генеральный баннер'!$AA:$AA, 'Генеральный баннер'!$B:$B=$A963,'Генеральный баннер'!$C:$C=$B963,'Генеральный баннер'!$I:$I=$C963)), 0) "),0.0)</f>
        <v>0</v>
      </c>
      <c r="S963" s="91">
        <f>IFERROR(__xludf.DUMMYFUNCTION("IFERROR(SUM(filter('Генеральный баннер'!$AH:$AH, 'Генеральный баннер'!$B:$B=$A963,'Генеральный баннер'!$C:$C=$B963,'Генеральный баннер'!$I:$I=$C963)), 0) "),0.0)</f>
        <v>0</v>
      </c>
      <c r="T963" s="91" t="str">
        <f>IFERROR(__xludf.DUMMYFUNCTION("IFERROR(REGEXREPLACE(unique(filter('Генеральный баннер'!$A:$A, 'Генеральный баннер'!$B:$B=$A963,'Генеральный баннер'!$C:$C=$B963,'Генеральный баннер'!$I:$I=$C963)), ""\d+"", """"),"""")"),"")</f>
        <v/>
      </c>
      <c r="U963" s="91" t="str">
        <f>IFERROR(__xludf.DUMMYFUNCTION("IFERROR(unique(filter('Генеральный баннер'!$F:$F, 'Генеральный баннер'!$B:$B=$A963,'Генеральный баннер'!$C:$C=$B963,'Генеральный баннер'!$I:$I=$C963)),"""")"),"")</f>
        <v/>
      </c>
      <c r="V963" s="92" t="str">
        <f t="shared" si="3"/>
        <v/>
      </c>
      <c r="W963" s="93">
        <f>IFERROR(__xludf.DUMMYFUNCTION("IFERROR(SWITCH(lower(join("" "",U963:V963)),""а миллионник"", 62.5,""б миллионник"", 75,""а мск"", 50, ""б мск"", 62.5, ""a остальное"", 70, ""б остальное"", 80)/100,0)"),0.0)</f>
        <v>0</v>
      </c>
      <c r="X963" s="91">
        <f t="shared" si="4"/>
        <v>0</v>
      </c>
    </row>
    <row r="964">
      <c r="A964" s="12"/>
      <c r="B964" s="12"/>
      <c r="C964" s="12"/>
      <c r="D964" s="91">
        <f>IFERROR(__xludf.DUMMYFUNCTION("IFERROR(sum(filter('Основной эфир'!$AA:$AA, 'Основной эфир'!$B:$B=$A964,'Основной эфир'!$C:$C=$B964,'Основной эфир'!$I:$I=$C964)), 0) "),0.0)</f>
        <v>0</v>
      </c>
      <c r="E964" s="91">
        <f>IFERROR(__xludf.DUMMYFUNCTION("IFERROR(sum(filter('Основной эфир'!$AC:$AC, 'Основной эфир'!$B:$B=$A964,'Основной эфир'!$C:$C=$B964,'Основной эфир'!$I:$I=$C964)), 0) "),0.0)</f>
        <v>0</v>
      </c>
      <c r="F964" s="91">
        <f>IFERROR(__xludf.DUMMYFUNCTION("IFERROR(sum(filter('Основной эфир'!$O:$O, 'Основной эфир'!$B:$B=$A964,'Основной эфир'!$C:$C=$B964,'Основной эфир'!$I:$I=$C964)), 0) "),0.0)</f>
        <v>0</v>
      </c>
      <c r="G964" s="91">
        <f>IFERROR(__xludf.DUMMYFUNCTION("IFERROR(sum(filter('Основной эфир'!$Q:$Q, 'Основной эфир'!$B:$B=$A964,'Основной эфир'!$C:$C=$B964,'Основной эфир'!$I:$I=$C964)), 0) "),0.0)</f>
        <v>0</v>
      </c>
      <c r="H964" s="91">
        <f>IFERROR(__xludf.DUMMYFUNCTION("IFERROR(AVERAGE(filter('Основной эфир'!$Y:$Y, 'Основной эфир'!$B:$B=$A964,'Основной эфир'!$C:$C=$B964,'Основной эфир'!$I:$I=$C964)), 0) "),0.0)</f>
        <v>0</v>
      </c>
      <c r="I964" s="91">
        <f>IFERROR(__xludf.DUMMYFUNCTION("IFERROR(AVERAGE(filter('Основной эфир'!$AE:$AE, 'Основной эфир'!$B:$B=$A964,'Основной эфир'!$C:$C=$B964,'Основной эфир'!$I:$I=$C964)), 0) "),0.0)</f>
        <v>0</v>
      </c>
      <c r="J964" s="91">
        <f>IFERROR(__xludf.DUMMYFUNCTION("IFERROR(SUM(filter('Основной эфир'!$AL:$AL, 'Основной эфир'!$B:$B=$A964,'Основной эфир'!$C:$C=$B964,'Основной эфир'!$I:$I=$C964)), 0) "),0.0)</f>
        <v>0</v>
      </c>
      <c r="K964" s="91" t="str">
        <f>IFERROR(__xludf.DUMMYFUNCTION("IFERROR(REGEXREPLACE(unique(filter('Основной эфир'!$A:$A, 'Основной эфир'!$B:$B=$A964,'Основной эфир'!$C:$C=$B964,'Основной эфир'!$I:$I=$C964)), ""\d+"", """"),"""")"),"")</f>
        <v/>
      </c>
      <c r="L964" s="91" t="str">
        <f>IFERROR(__xludf.DUMMYFUNCTION("IFERROR(unique(filter('Основной эфир'!$F:$F, 'Основной эфир'!$B:$B=$A964,'Основной эфир'!$C:$C=$B964,'Основной эфир'!$I:$I=$C964)),"""")"),"")</f>
        <v/>
      </c>
      <c r="M964" s="92" t="str">
        <f t="shared" si="1"/>
        <v/>
      </c>
      <c r="N964" s="93">
        <f>IFERROR(__xludf.DUMMYFUNCTION("IFERROR(SWITCH(lower(join("" "",L964:M964)),""а миллионник"", 62.5,""б миллионник"", 75,""а мск"", 50, ""б мск"", 62.5, ""a остальное"", 70, ""б остальное"", 80)/100,0)"),0.0)</f>
        <v>0</v>
      </c>
      <c r="O964" s="91">
        <f t="shared" si="2"/>
        <v>0</v>
      </c>
      <c r="P964" s="91">
        <f>IFERROR(__xludf.DUMMYFUNCTION("IFERROR(sum(filter('Генеральный баннер'!$O:$O, 'Генеральный баннер'!$B:$B=$A964,'Генеральный баннер'!$C:$C=$B964,'Генеральный баннер'!$I:$I=$C964)), 0) "),0.0)</f>
        <v>0</v>
      </c>
      <c r="Q964" s="91">
        <f>IFERROR(__xludf.DUMMYFUNCTION("IFERROR(sum(filter('Генеральный баннер'!$Q:$Q, 'Генеральный баннер'!$B:$B=$A964,'Генеральный баннер'!$C:$C=$B964,'Генеральный баннер'!$I:$I=$C964)), 0) "),0.0)</f>
        <v>0</v>
      </c>
      <c r="R964" s="91">
        <f>IFERROR(__xludf.DUMMYFUNCTION("IFERROR(AVERAGE(filter('Генеральный баннер'!$AA:$AA, 'Генеральный баннер'!$B:$B=$A964,'Генеральный баннер'!$C:$C=$B964,'Генеральный баннер'!$I:$I=$C964)), 0) "),0.0)</f>
        <v>0</v>
      </c>
      <c r="S964" s="91">
        <f>IFERROR(__xludf.DUMMYFUNCTION("IFERROR(SUM(filter('Генеральный баннер'!$AH:$AH, 'Генеральный баннер'!$B:$B=$A964,'Генеральный баннер'!$C:$C=$B964,'Генеральный баннер'!$I:$I=$C964)), 0) "),0.0)</f>
        <v>0</v>
      </c>
      <c r="T964" s="91" t="str">
        <f>IFERROR(__xludf.DUMMYFUNCTION("IFERROR(REGEXREPLACE(unique(filter('Генеральный баннер'!$A:$A, 'Генеральный баннер'!$B:$B=$A964,'Генеральный баннер'!$C:$C=$B964,'Генеральный баннер'!$I:$I=$C964)), ""\d+"", """"),"""")"),"")</f>
        <v/>
      </c>
      <c r="U964" s="91" t="str">
        <f>IFERROR(__xludf.DUMMYFUNCTION("IFERROR(unique(filter('Генеральный баннер'!$F:$F, 'Генеральный баннер'!$B:$B=$A964,'Генеральный баннер'!$C:$C=$B964,'Генеральный баннер'!$I:$I=$C964)),"""")"),"")</f>
        <v/>
      </c>
      <c r="V964" s="92" t="str">
        <f t="shared" si="3"/>
        <v/>
      </c>
      <c r="W964" s="93">
        <f>IFERROR(__xludf.DUMMYFUNCTION("IFERROR(SWITCH(lower(join("" "",U964:V964)),""а миллионник"", 62.5,""б миллионник"", 75,""а мск"", 50, ""б мск"", 62.5, ""a остальное"", 70, ""б остальное"", 80)/100,0)"),0.0)</f>
        <v>0</v>
      </c>
      <c r="X964" s="91">
        <f t="shared" si="4"/>
        <v>0</v>
      </c>
    </row>
    <row r="965">
      <c r="A965" s="12"/>
      <c r="B965" s="12"/>
      <c r="C965" s="12"/>
      <c r="D965" s="91">
        <f>IFERROR(__xludf.DUMMYFUNCTION("IFERROR(sum(filter('Основной эфир'!$AA:$AA, 'Основной эфир'!$B:$B=$A965,'Основной эфир'!$C:$C=$B965,'Основной эфир'!$I:$I=$C965)), 0) "),0.0)</f>
        <v>0</v>
      </c>
      <c r="E965" s="91">
        <f>IFERROR(__xludf.DUMMYFUNCTION("IFERROR(sum(filter('Основной эфир'!$AC:$AC, 'Основной эфир'!$B:$B=$A965,'Основной эфир'!$C:$C=$B965,'Основной эфир'!$I:$I=$C965)), 0) "),0.0)</f>
        <v>0</v>
      </c>
      <c r="F965" s="91">
        <f>IFERROR(__xludf.DUMMYFUNCTION("IFERROR(sum(filter('Основной эфир'!$O:$O, 'Основной эфир'!$B:$B=$A965,'Основной эфир'!$C:$C=$B965,'Основной эфир'!$I:$I=$C965)), 0) "),0.0)</f>
        <v>0</v>
      </c>
      <c r="G965" s="91">
        <f>IFERROR(__xludf.DUMMYFUNCTION("IFERROR(sum(filter('Основной эфир'!$Q:$Q, 'Основной эфир'!$B:$B=$A965,'Основной эфир'!$C:$C=$B965,'Основной эфир'!$I:$I=$C965)), 0) "),0.0)</f>
        <v>0</v>
      </c>
      <c r="H965" s="91">
        <f>IFERROR(__xludf.DUMMYFUNCTION("IFERROR(AVERAGE(filter('Основной эфир'!$Y:$Y, 'Основной эфир'!$B:$B=$A965,'Основной эфир'!$C:$C=$B965,'Основной эфир'!$I:$I=$C965)), 0) "),0.0)</f>
        <v>0</v>
      </c>
      <c r="I965" s="91">
        <f>IFERROR(__xludf.DUMMYFUNCTION("IFERROR(AVERAGE(filter('Основной эфир'!$AE:$AE, 'Основной эфир'!$B:$B=$A965,'Основной эфир'!$C:$C=$B965,'Основной эфир'!$I:$I=$C965)), 0) "),0.0)</f>
        <v>0</v>
      </c>
      <c r="J965" s="91">
        <f>IFERROR(__xludf.DUMMYFUNCTION("IFERROR(SUM(filter('Основной эфир'!$AL:$AL, 'Основной эфир'!$B:$B=$A965,'Основной эфир'!$C:$C=$B965,'Основной эфир'!$I:$I=$C965)), 0) "),0.0)</f>
        <v>0</v>
      </c>
      <c r="K965" s="91" t="str">
        <f>IFERROR(__xludf.DUMMYFUNCTION("IFERROR(REGEXREPLACE(unique(filter('Основной эфир'!$A:$A, 'Основной эфир'!$B:$B=$A965,'Основной эфир'!$C:$C=$B965,'Основной эфир'!$I:$I=$C965)), ""\d+"", """"),"""")"),"")</f>
        <v/>
      </c>
      <c r="L965" s="91" t="str">
        <f>IFERROR(__xludf.DUMMYFUNCTION("IFERROR(unique(filter('Основной эфир'!$F:$F, 'Основной эфир'!$B:$B=$A965,'Основной эфир'!$C:$C=$B965,'Основной эфир'!$I:$I=$C965)),"""")"),"")</f>
        <v/>
      </c>
      <c r="M965" s="92" t="str">
        <f t="shared" si="1"/>
        <v/>
      </c>
      <c r="N965" s="93">
        <f>IFERROR(__xludf.DUMMYFUNCTION("IFERROR(SWITCH(lower(join("" "",L965:M965)),""а миллионник"", 62.5,""б миллионник"", 75,""а мск"", 50, ""б мск"", 62.5, ""a остальное"", 70, ""б остальное"", 80)/100,0)"),0.0)</f>
        <v>0</v>
      </c>
      <c r="O965" s="91">
        <f t="shared" si="2"/>
        <v>0</v>
      </c>
      <c r="P965" s="91">
        <f>IFERROR(__xludf.DUMMYFUNCTION("IFERROR(sum(filter('Генеральный баннер'!$O:$O, 'Генеральный баннер'!$B:$B=$A965,'Генеральный баннер'!$C:$C=$B965,'Генеральный баннер'!$I:$I=$C965)), 0) "),0.0)</f>
        <v>0</v>
      </c>
      <c r="Q965" s="91">
        <f>IFERROR(__xludf.DUMMYFUNCTION("IFERROR(sum(filter('Генеральный баннер'!$Q:$Q, 'Генеральный баннер'!$B:$B=$A965,'Генеральный баннер'!$C:$C=$B965,'Генеральный баннер'!$I:$I=$C965)), 0) "),0.0)</f>
        <v>0</v>
      </c>
      <c r="R965" s="91">
        <f>IFERROR(__xludf.DUMMYFUNCTION("IFERROR(AVERAGE(filter('Генеральный баннер'!$AA:$AA, 'Генеральный баннер'!$B:$B=$A965,'Генеральный баннер'!$C:$C=$B965,'Генеральный баннер'!$I:$I=$C965)), 0) "),0.0)</f>
        <v>0</v>
      </c>
      <c r="S965" s="91">
        <f>IFERROR(__xludf.DUMMYFUNCTION("IFERROR(SUM(filter('Генеральный баннер'!$AH:$AH, 'Генеральный баннер'!$B:$B=$A965,'Генеральный баннер'!$C:$C=$B965,'Генеральный баннер'!$I:$I=$C965)), 0) "),0.0)</f>
        <v>0</v>
      </c>
      <c r="T965" s="91" t="str">
        <f>IFERROR(__xludf.DUMMYFUNCTION("IFERROR(REGEXREPLACE(unique(filter('Генеральный баннер'!$A:$A, 'Генеральный баннер'!$B:$B=$A965,'Генеральный баннер'!$C:$C=$B965,'Генеральный баннер'!$I:$I=$C965)), ""\d+"", """"),"""")"),"")</f>
        <v/>
      </c>
      <c r="U965" s="91" t="str">
        <f>IFERROR(__xludf.DUMMYFUNCTION("IFERROR(unique(filter('Генеральный баннер'!$F:$F, 'Генеральный баннер'!$B:$B=$A965,'Генеральный баннер'!$C:$C=$B965,'Генеральный баннер'!$I:$I=$C965)),"""")"),"")</f>
        <v/>
      </c>
      <c r="V965" s="92" t="str">
        <f t="shared" si="3"/>
        <v/>
      </c>
      <c r="W965" s="93">
        <f>IFERROR(__xludf.DUMMYFUNCTION("IFERROR(SWITCH(lower(join("" "",U965:V965)),""а миллионник"", 62.5,""б миллионник"", 75,""а мск"", 50, ""б мск"", 62.5, ""a остальное"", 70, ""б остальное"", 80)/100,0)"),0.0)</f>
        <v>0</v>
      </c>
      <c r="X965" s="91">
        <f t="shared" si="4"/>
        <v>0</v>
      </c>
    </row>
    <row r="966">
      <c r="A966" s="12"/>
      <c r="B966" s="12"/>
      <c r="C966" s="12"/>
      <c r="D966" s="91">
        <f>IFERROR(__xludf.DUMMYFUNCTION("IFERROR(sum(filter('Основной эфир'!$AA:$AA, 'Основной эфир'!$B:$B=$A966,'Основной эфир'!$C:$C=$B966,'Основной эфир'!$I:$I=$C966)), 0) "),0.0)</f>
        <v>0</v>
      </c>
      <c r="E966" s="91">
        <f>IFERROR(__xludf.DUMMYFUNCTION("IFERROR(sum(filter('Основной эфир'!$AC:$AC, 'Основной эфир'!$B:$B=$A966,'Основной эфир'!$C:$C=$B966,'Основной эфир'!$I:$I=$C966)), 0) "),0.0)</f>
        <v>0</v>
      </c>
      <c r="F966" s="91">
        <f>IFERROR(__xludf.DUMMYFUNCTION("IFERROR(sum(filter('Основной эфир'!$O:$O, 'Основной эфир'!$B:$B=$A966,'Основной эфир'!$C:$C=$B966,'Основной эфир'!$I:$I=$C966)), 0) "),0.0)</f>
        <v>0</v>
      </c>
      <c r="G966" s="91">
        <f>IFERROR(__xludf.DUMMYFUNCTION("IFERROR(sum(filter('Основной эфир'!$Q:$Q, 'Основной эфир'!$B:$B=$A966,'Основной эфир'!$C:$C=$B966,'Основной эфир'!$I:$I=$C966)), 0) "),0.0)</f>
        <v>0</v>
      </c>
      <c r="H966" s="91">
        <f>IFERROR(__xludf.DUMMYFUNCTION("IFERROR(AVERAGE(filter('Основной эфир'!$Y:$Y, 'Основной эфир'!$B:$B=$A966,'Основной эфир'!$C:$C=$B966,'Основной эфир'!$I:$I=$C966)), 0) "),0.0)</f>
        <v>0</v>
      </c>
      <c r="I966" s="91">
        <f>IFERROR(__xludf.DUMMYFUNCTION("IFERROR(AVERAGE(filter('Основной эфир'!$AE:$AE, 'Основной эфир'!$B:$B=$A966,'Основной эфир'!$C:$C=$B966,'Основной эфир'!$I:$I=$C966)), 0) "),0.0)</f>
        <v>0</v>
      </c>
      <c r="J966" s="91">
        <f>IFERROR(__xludf.DUMMYFUNCTION("IFERROR(SUM(filter('Основной эфир'!$AL:$AL, 'Основной эфир'!$B:$B=$A966,'Основной эфир'!$C:$C=$B966,'Основной эфир'!$I:$I=$C966)), 0) "),0.0)</f>
        <v>0</v>
      </c>
      <c r="K966" s="91" t="str">
        <f>IFERROR(__xludf.DUMMYFUNCTION("IFERROR(REGEXREPLACE(unique(filter('Основной эфир'!$A:$A, 'Основной эфир'!$B:$B=$A966,'Основной эфир'!$C:$C=$B966,'Основной эфир'!$I:$I=$C966)), ""\d+"", """"),"""")"),"")</f>
        <v/>
      </c>
      <c r="L966" s="91" t="str">
        <f>IFERROR(__xludf.DUMMYFUNCTION("IFERROR(unique(filter('Основной эфир'!$F:$F, 'Основной эфир'!$B:$B=$A966,'Основной эфир'!$C:$C=$B966,'Основной эфир'!$I:$I=$C966)),"""")"),"")</f>
        <v/>
      </c>
      <c r="M966" s="92" t="str">
        <f t="shared" si="1"/>
        <v/>
      </c>
      <c r="N966" s="93">
        <f>IFERROR(__xludf.DUMMYFUNCTION("IFERROR(SWITCH(lower(join("" "",L966:M966)),""а миллионник"", 62.5,""б миллионник"", 75,""а мск"", 50, ""б мск"", 62.5, ""a остальное"", 70, ""б остальное"", 80)/100,0)"),0.0)</f>
        <v>0</v>
      </c>
      <c r="O966" s="91">
        <f t="shared" si="2"/>
        <v>0</v>
      </c>
      <c r="P966" s="91">
        <f>IFERROR(__xludf.DUMMYFUNCTION("IFERROR(sum(filter('Генеральный баннер'!$O:$O, 'Генеральный баннер'!$B:$B=$A966,'Генеральный баннер'!$C:$C=$B966,'Генеральный баннер'!$I:$I=$C966)), 0) "),0.0)</f>
        <v>0</v>
      </c>
      <c r="Q966" s="91">
        <f>IFERROR(__xludf.DUMMYFUNCTION("IFERROR(sum(filter('Генеральный баннер'!$Q:$Q, 'Генеральный баннер'!$B:$B=$A966,'Генеральный баннер'!$C:$C=$B966,'Генеральный баннер'!$I:$I=$C966)), 0) "),0.0)</f>
        <v>0</v>
      </c>
      <c r="R966" s="91">
        <f>IFERROR(__xludf.DUMMYFUNCTION("IFERROR(AVERAGE(filter('Генеральный баннер'!$AA:$AA, 'Генеральный баннер'!$B:$B=$A966,'Генеральный баннер'!$C:$C=$B966,'Генеральный баннер'!$I:$I=$C966)), 0) "),0.0)</f>
        <v>0</v>
      </c>
      <c r="S966" s="91">
        <f>IFERROR(__xludf.DUMMYFUNCTION("IFERROR(SUM(filter('Генеральный баннер'!$AH:$AH, 'Генеральный баннер'!$B:$B=$A966,'Генеральный баннер'!$C:$C=$B966,'Генеральный баннер'!$I:$I=$C966)), 0) "),0.0)</f>
        <v>0</v>
      </c>
      <c r="T966" s="91" t="str">
        <f>IFERROR(__xludf.DUMMYFUNCTION("IFERROR(REGEXREPLACE(unique(filter('Генеральный баннер'!$A:$A, 'Генеральный баннер'!$B:$B=$A966,'Генеральный баннер'!$C:$C=$B966,'Генеральный баннер'!$I:$I=$C966)), ""\d+"", """"),"""")"),"")</f>
        <v/>
      </c>
      <c r="U966" s="91" t="str">
        <f>IFERROR(__xludf.DUMMYFUNCTION("IFERROR(unique(filter('Генеральный баннер'!$F:$F, 'Генеральный баннер'!$B:$B=$A966,'Генеральный баннер'!$C:$C=$B966,'Генеральный баннер'!$I:$I=$C966)),"""")"),"")</f>
        <v/>
      </c>
      <c r="V966" s="92" t="str">
        <f t="shared" si="3"/>
        <v/>
      </c>
      <c r="W966" s="93">
        <f>IFERROR(__xludf.DUMMYFUNCTION("IFERROR(SWITCH(lower(join("" "",U966:V966)),""а миллионник"", 62.5,""б миллионник"", 75,""а мск"", 50, ""б мск"", 62.5, ""a остальное"", 70, ""б остальное"", 80)/100,0)"),0.0)</f>
        <v>0</v>
      </c>
      <c r="X966" s="91">
        <f t="shared" si="4"/>
        <v>0</v>
      </c>
    </row>
    <row r="967">
      <c r="A967" s="12"/>
      <c r="B967" s="12"/>
      <c r="C967" s="12"/>
      <c r="D967" s="91">
        <f>IFERROR(__xludf.DUMMYFUNCTION("IFERROR(sum(filter('Основной эфир'!$AA:$AA, 'Основной эфир'!$B:$B=$A967,'Основной эфир'!$C:$C=$B967,'Основной эфир'!$I:$I=$C967)), 0) "),0.0)</f>
        <v>0</v>
      </c>
      <c r="E967" s="91">
        <f>IFERROR(__xludf.DUMMYFUNCTION("IFERROR(sum(filter('Основной эфир'!$AC:$AC, 'Основной эфир'!$B:$B=$A967,'Основной эфир'!$C:$C=$B967,'Основной эфир'!$I:$I=$C967)), 0) "),0.0)</f>
        <v>0</v>
      </c>
      <c r="F967" s="91">
        <f>IFERROR(__xludf.DUMMYFUNCTION("IFERROR(sum(filter('Основной эфир'!$O:$O, 'Основной эфир'!$B:$B=$A967,'Основной эфир'!$C:$C=$B967,'Основной эфир'!$I:$I=$C967)), 0) "),0.0)</f>
        <v>0</v>
      </c>
      <c r="G967" s="91">
        <f>IFERROR(__xludf.DUMMYFUNCTION("IFERROR(sum(filter('Основной эфир'!$Q:$Q, 'Основной эфир'!$B:$B=$A967,'Основной эфир'!$C:$C=$B967,'Основной эфир'!$I:$I=$C967)), 0) "),0.0)</f>
        <v>0</v>
      </c>
      <c r="H967" s="91">
        <f>IFERROR(__xludf.DUMMYFUNCTION("IFERROR(AVERAGE(filter('Основной эфир'!$Y:$Y, 'Основной эфир'!$B:$B=$A967,'Основной эфир'!$C:$C=$B967,'Основной эфир'!$I:$I=$C967)), 0) "),0.0)</f>
        <v>0</v>
      </c>
      <c r="I967" s="91">
        <f>IFERROR(__xludf.DUMMYFUNCTION("IFERROR(AVERAGE(filter('Основной эфир'!$AE:$AE, 'Основной эфир'!$B:$B=$A967,'Основной эфир'!$C:$C=$B967,'Основной эфир'!$I:$I=$C967)), 0) "),0.0)</f>
        <v>0</v>
      </c>
      <c r="J967" s="91">
        <f>IFERROR(__xludf.DUMMYFUNCTION("IFERROR(SUM(filter('Основной эфир'!$AL:$AL, 'Основной эфир'!$B:$B=$A967,'Основной эфир'!$C:$C=$B967,'Основной эфир'!$I:$I=$C967)), 0) "),0.0)</f>
        <v>0</v>
      </c>
      <c r="K967" s="91" t="str">
        <f>IFERROR(__xludf.DUMMYFUNCTION("IFERROR(REGEXREPLACE(unique(filter('Основной эфир'!$A:$A, 'Основной эфир'!$B:$B=$A967,'Основной эфир'!$C:$C=$B967,'Основной эфир'!$I:$I=$C967)), ""\d+"", """"),"""")"),"")</f>
        <v/>
      </c>
      <c r="L967" s="91" t="str">
        <f>IFERROR(__xludf.DUMMYFUNCTION("IFERROR(unique(filter('Основной эфир'!$F:$F, 'Основной эфир'!$B:$B=$A967,'Основной эфир'!$C:$C=$B967,'Основной эфир'!$I:$I=$C967)),"""")"),"")</f>
        <v/>
      </c>
      <c r="M967" s="92" t="str">
        <f t="shared" si="1"/>
        <v/>
      </c>
      <c r="N967" s="93">
        <f>IFERROR(__xludf.DUMMYFUNCTION("IFERROR(SWITCH(lower(join("" "",L967:M967)),""а миллионник"", 62.5,""б миллионник"", 75,""а мск"", 50, ""б мск"", 62.5, ""a остальное"", 70, ""б остальное"", 80)/100,0)"),0.0)</f>
        <v>0</v>
      </c>
      <c r="O967" s="91">
        <f t="shared" si="2"/>
        <v>0</v>
      </c>
      <c r="P967" s="91">
        <f>IFERROR(__xludf.DUMMYFUNCTION("IFERROR(sum(filter('Генеральный баннер'!$O:$O, 'Генеральный баннер'!$B:$B=$A967,'Генеральный баннер'!$C:$C=$B967,'Генеральный баннер'!$I:$I=$C967)), 0) "),0.0)</f>
        <v>0</v>
      </c>
      <c r="Q967" s="91">
        <f>IFERROR(__xludf.DUMMYFUNCTION("IFERROR(sum(filter('Генеральный баннер'!$Q:$Q, 'Генеральный баннер'!$B:$B=$A967,'Генеральный баннер'!$C:$C=$B967,'Генеральный баннер'!$I:$I=$C967)), 0) "),0.0)</f>
        <v>0</v>
      </c>
      <c r="R967" s="91">
        <f>IFERROR(__xludf.DUMMYFUNCTION("IFERROR(AVERAGE(filter('Генеральный баннер'!$AA:$AA, 'Генеральный баннер'!$B:$B=$A967,'Генеральный баннер'!$C:$C=$B967,'Генеральный баннер'!$I:$I=$C967)), 0) "),0.0)</f>
        <v>0</v>
      </c>
      <c r="S967" s="91">
        <f>IFERROR(__xludf.DUMMYFUNCTION("IFERROR(SUM(filter('Генеральный баннер'!$AH:$AH, 'Генеральный баннер'!$B:$B=$A967,'Генеральный баннер'!$C:$C=$B967,'Генеральный баннер'!$I:$I=$C967)), 0) "),0.0)</f>
        <v>0</v>
      </c>
      <c r="T967" s="91" t="str">
        <f>IFERROR(__xludf.DUMMYFUNCTION("IFERROR(REGEXREPLACE(unique(filter('Генеральный баннер'!$A:$A, 'Генеральный баннер'!$B:$B=$A967,'Генеральный баннер'!$C:$C=$B967,'Генеральный баннер'!$I:$I=$C967)), ""\d+"", """"),"""")"),"")</f>
        <v/>
      </c>
      <c r="U967" s="91" t="str">
        <f>IFERROR(__xludf.DUMMYFUNCTION("IFERROR(unique(filter('Генеральный баннер'!$F:$F, 'Генеральный баннер'!$B:$B=$A967,'Генеральный баннер'!$C:$C=$B967,'Генеральный баннер'!$I:$I=$C967)),"""")"),"")</f>
        <v/>
      </c>
      <c r="V967" s="92" t="str">
        <f t="shared" si="3"/>
        <v/>
      </c>
      <c r="W967" s="93">
        <f>IFERROR(__xludf.DUMMYFUNCTION("IFERROR(SWITCH(lower(join("" "",U967:V967)),""а миллионник"", 62.5,""б миллионник"", 75,""а мск"", 50, ""б мск"", 62.5, ""a остальное"", 70, ""б остальное"", 80)/100,0)"),0.0)</f>
        <v>0</v>
      </c>
      <c r="X967" s="91">
        <f t="shared" si="4"/>
        <v>0</v>
      </c>
    </row>
    <row r="968">
      <c r="A968" s="12"/>
      <c r="B968" s="12"/>
      <c r="C968" s="12"/>
      <c r="D968" s="91">
        <f>IFERROR(__xludf.DUMMYFUNCTION("IFERROR(sum(filter('Основной эфир'!$AA:$AA, 'Основной эфир'!$B:$B=$A968,'Основной эфир'!$C:$C=$B968,'Основной эфир'!$I:$I=$C968)), 0) "),0.0)</f>
        <v>0</v>
      </c>
      <c r="E968" s="91">
        <f>IFERROR(__xludf.DUMMYFUNCTION("IFERROR(sum(filter('Основной эфир'!$AC:$AC, 'Основной эфир'!$B:$B=$A968,'Основной эфир'!$C:$C=$B968,'Основной эфир'!$I:$I=$C968)), 0) "),0.0)</f>
        <v>0</v>
      </c>
      <c r="F968" s="91">
        <f>IFERROR(__xludf.DUMMYFUNCTION("IFERROR(sum(filter('Основной эфир'!$O:$O, 'Основной эфир'!$B:$B=$A968,'Основной эфир'!$C:$C=$B968,'Основной эфир'!$I:$I=$C968)), 0) "),0.0)</f>
        <v>0</v>
      </c>
      <c r="G968" s="91">
        <f>IFERROR(__xludf.DUMMYFUNCTION("IFERROR(sum(filter('Основной эфир'!$Q:$Q, 'Основной эфир'!$B:$B=$A968,'Основной эфир'!$C:$C=$B968,'Основной эфир'!$I:$I=$C968)), 0) "),0.0)</f>
        <v>0</v>
      </c>
      <c r="H968" s="91">
        <f>IFERROR(__xludf.DUMMYFUNCTION("IFERROR(AVERAGE(filter('Основной эфир'!$Y:$Y, 'Основной эфир'!$B:$B=$A968,'Основной эфир'!$C:$C=$B968,'Основной эфир'!$I:$I=$C968)), 0) "),0.0)</f>
        <v>0</v>
      </c>
      <c r="I968" s="91">
        <f>IFERROR(__xludf.DUMMYFUNCTION("IFERROR(AVERAGE(filter('Основной эфир'!$AE:$AE, 'Основной эфир'!$B:$B=$A968,'Основной эфир'!$C:$C=$B968,'Основной эфир'!$I:$I=$C968)), 0) "),0.0)</f>
        <v>0</v>
      </c>
      <c r="J968" s="91">
        <f>IFERROR(__xludf.DUMMYFUNCTION("IFERROR(SUM(filter('Основной эфир'!$AL:$AL, 'Основной эфир'!$B:$B=$A968,'Основной эфир'!$C:$C=$B968,'Основной эфир'!$I:$I=$C968)), 0) "),0.0)</f>
        <v>0</v>
      </c>
      <c r="K968" s="91" t="str">
        <f>IFERROR(__xludf.DUMMYFUNCTION("IFERROR(REGEXREPLACE(unique(filter('Основной эфир'!$A:$A, 'Основной эфир'!$B:$B=$A968,'Основной эфир'!$C:$C=$B968,'Основной эфир'!$I:$I=$C968)), ""\d+"", """"),"""")"),"")</f>
        <v/>
      </c>
      <c r="L968" s="91" t="str">
        <f>IFERROR(__xludf.DUMMYFUNCTION("IFERROR(unique(filter('Основной эфир'!$F:$F, 'Основной эфир'!$B:$B=$A968,'Основной эфир'!$C:$C=$B968,'Основной эфир'!$I:$I=$C968)),"""")"),"")</f>
        <v/>
      </c>
      <c r="M968" s="92" t="str">
        <f t="shared" si="1"/>
        <v/>
      </c>
      <c r="N968" s="93">
        <f>IFERROR(__xludf.DUMMYFUNCTION("IFERROR(SWITCH(lower(join("" "",L968:M968)),""а миллионник"", 62.5,""б миллионник"", 75,""а мск"", 50, ""б мск"", 62.5, ""a остальное"", 70, ""б остальное"", 80)/100,0)"),0.0)</f>
        <v>0</v>
      </c>
      <c r="O968" s="91">
        <f t="shared" si="2"/>
        <v>0</v>
      </c>
      <c r="P968" s="91">
        <f>IFERROR(__xludf.DUMMYFUNCTION("IFERROR(sum(filter('Генеральный баннер'!$O:$O, 'Генеральный баннер'!$B:$B=$A968,'Генеральный баннер'!$C:$C=$B968,'Генеральный баннер'!$I:$I=$C968)), 0) "),0.0)</f>
        <v>0</v>
      </c>
      <c r="Q968" s="91">
        <f>IFERROR(__xludf.DUMMYFUNCTION("IFERROR(sum(filter('Генеральный баннер'!$Q:$Q, 'Генеральный баннер'!$B:$B=$A968,'Генеральный баннер'!$C:$C=$B968,'Генеральный баннер'!$I:$I=$C968)), 0) "),0.0)</f>
        <v>0</v>
      </c>
      <c r="R968" s="91">
        <f>IFERROR(__xludf.DUMMYFUNCTION("IFERROR(AVERAGE(filter('Генеральный баннер'!$AA:$AA, 'Генеральный баннер'!$B:$B=$A968,'Генеральный баннер'!$C:$C=$B968,'Генеральный баннер'!$I:$I=$C968)), 0) "),0.0)</f>
        <v>0</v>
      </c>
      <c r="S968" s="91">
        <f>IFERROR(__xludf.DUMMYFUNCTION("IFERROR(SUM(filter('Генеральный баннер'!$AH:$AH, 'Генеральный баннер'!$B:$B=$A968,'Генеральный баннер'!$C:$C=$B968,'Генеральный баннер'!$I:$I=$C968)), 0) "),0.0)</f>
        <v>0</v>
      </c>
      <c r="T968" s="91" t="str">
        <f>IFERROR(__xludf.DUMMYFUNCTION("IFERROR(REGEXREPLACE(unique(filter('Генеральный баннер'!$A:$A, 'Генеральный баннер'!$B:$B=$A968,'Генеральный баннер'!$C:$C=$B968,'Генеральный баннер'!$I:$I=$C968)), ""\d+"", """"),"""")"),"")</f>
        <v/>
      </c>
      <c r="U968" s="91" t="str">
        <f>IFERROR(__xludf.DUMMYFUNCTION("IFERROR(unique(filter('Генеральный баннер'!$F:$F, 'Генеральный баннер'!$B:$B=$A968,'Генеральный баннер'!$C:$C=$B968,'Генеральный баннер'!$I:$I=$C968)),"""")"),"")</f>
        <v/>
      </c>
      <c r="V968" s="92" t="str">
        <f t="shared" si="3"/>
        <v/>
      </c>
      <c r="W968" s="93">
        <f>IFERROR(__xludf.DUMMYFUNCTION("IFERROR(SWITCH(lower(join("" "",U968:V968)),""а миллионник"", 62.5,""б миллионник"", 75,""а мск"", 50, ""б мск"", 62.5, ""a остальное"", 70, ""б остальное"", 80)/100,0)"),0.0)</f>
        <v>0</v>
      </c>
      <c r="X968" s="91">
        <f t="shared" si="4"/>
        <v>0</v>
      </c>
    </row>
    <row r="969">
      <c r="A969" s="12"/>
      <c r="B969" s="12"/>
      <c r="C969" s="12"/>
      <c r="D969" s="91">
        <f>IFERROR(__xludf.DUMMYFUNCTION("IFERROR(sum(filter('Основной эфир'!$AA:$AA, 'Основной эфир'!$B:$B=$A969,'Основной эфир'!$C:$C=$B969,'Основной эфир'!$I:$I=$C969)), 0) "),0.0)</f>
        <v>0</v>
      </c>
      <c r="E969" s="91">
        <f>IFERROR(__xludf.DUMMYFUNCTION("IFERROR(sum(filter('Основной эфир'!$AC:$AC, 'Основной эфир'!$B:$B=$A969,'Основной эфир'!$C:$C=$B969,'Основной эфир'!$I:$I=$C969)), 0) "),0.0)</f>
        <v>0</v>
      </c>
      <c r="F969" s="91">
        <f>IFERROR(__xludf.DUMMYFUNCTION("IFERROR(sum(filter('Основной эфир'!$O:$O, 'Основной эфир'!$B:$B=$A969,'Основной эфир'!$C:$C=$B969,'Основной эфир'!$I:$I=$C969)), 0) "),0.0)</f>
        <v>0</v>
      </c>
      <c r="G969" s="91">
        <f>IFERROR(__xludf.DUMMYFUNCTION("IFERROR(sum(filter('Основной эфир'!$Q:$Q, 'Основной эфир'!$B:$B=$A969,'Основной эфир'!$C:$C=$B969,'Основной эфир'!$I:$I=$C969)), 0) "),0.0)</f>
        <v>0</v>
      </c>
      <c r="H969" s="91">
        <f>IFERROR(__xludf.DUMMYFUNCTION("IFERROR(AVERAGE(filter('Основной эфир'!$Y:$Y, 'Основной эфир'!$B:$B=$A969,'Основной эфир'!$C:$C=$B969,'Основной эфир'!$I:$I=$C969)), 0) "),0.0)</f>
        <v>0</v>
      </c>
      <c r="I969" s="91">
        <f>IFERROR(__xludf.DUMMYFUNCTION("IFERROR(AVERAGE(filter('Основной эфир'!$AE:$AE, 'Основной эфир'!$B:$B=$A969,'Основной эфир'!$C:$C=$B969,'Основной эфир'!$I:$I=$C969)), 0) "),0.0)</f>
        <v>0</v>
      </c>
      <c r="J969" s="91">
        <f>IFERROR(__xludf.DUMMYFUNCTION("IFERROR(SUM(filter('Основной эфир'!$AL:$AL, 'Основной эфир'!$B:$B=$A969,'Основной эфир'!$C:$C=$B969,'Основной эфир'!$I:$I=$C969)), 0) "),0.0)</f>
        <v>0</v>
      </c>
      <c r="K969" s="91" t="str">
        <f>IFERROR(__xludf.DUMMYFUNCTION("IFERROR(REGEXREPLACE(unique(filter('Основной эфир'!$A:$A, 'Основной эфир'!$B:$B=$A969,'Основной эфир'!$C:$C=$B969,'Основной эфир'!$I:$I=$C969)), ""\d+"", """"),"""")"),"")</f>
        <v/>
      </c>
      <c r="L969" s="91" t="str">
        <f>IFERROR(__xludf.DUMMYFUNCTION("IFERROR(unique(filter('Основной эфир'!$F:$F, 'Основной эфир'!$B:$B=$A969,'Основной эфир'!$C:$C=$B969,'Основной эфир'!$I:$I=$C969)),"""")"),"")</f>
        <v/>
      </c>
      <c r="M969" s="92" t="str">
        <f t="shared" si="1"/>
        <v/>
      </c>
      <c r="N969" s="93">
        <f>IFERROR(__xludf.DUMMYFUNCTION("IFERROR(SWITCH(lower(join("" "",L969:M969)),""а миллионник"", 62.5,""б миллионник"", 75,""а мск"", 50, ""б мск"", 62.5, ""a остальное"", 70, ""б остальное"", 80)/100,0)"),0.0)</f>
        <v>0</v>
      </c>
      <c r="O969" s="91">
        <f t="shared" si="2"/>
        <v>0</v>
      </c>
      <c r="P969" s="91">
        <f>IFERROR(__xludf.DUMMYFUNCTION("IFERROR(sum(filter('Генеральный баннер'!$O:$O, 'Генеральный баннер'!$B:$B=$A969,'Генеральный баннер'!$C:$C=$B969,'Генеральный баннер'!$I:$I=$C969)), 0) "),0.0)</f>
        <v>0</v>
      </c>
      <c r="Q969" s="91">
        <f>IFERROR(__xludf.DUMMYFUNCTION("IFERROR(sum(filter('Генеральный баннер'!$Q:$Q, 'Генеральный баннер'!$B:$B=$A969,'Генеральный баннер'!$C:$C=$B969,'Генеральный баннер'!$I:$I=$C969)), 0) "),0.0)</f>
        <v>0</v>
      </c>
      <c r="R969" s="91">
        <f>IFERROR(__xludf.DUMMYFUNCTION("IFERROR(AVERAGE(filter('Генеральный баннер'!$AA:$AA, 'Генеральный баннер'!$B:$B=$A969,'Генеральный баннер'!$C:$C=$B969,'Генеральный баннер'!$I:$I=$C969)), 0) "),0.0)</f>
        <v>0</v>
      </c>
      <c r="S969" s="91">
        <f>IFERROR(__xludf.DUMMYFUNCTION("IFERROR(SUM(filter('Генеральный баннер'!$AH:$AH, 'Генеральный баннер'!$B:$B=$A969,'Генеральный баннер'!$C:$C=$B969,'Генеральный баннер'!$I:$I=$C969)), 0) "),0.0)</f>
        <v>0</v>
      </c>
      <c r="T969" s="91" t="str">
        <f>IFERROR(__xludf.DUMMYFUNCTION("IFERROR(REGEXREPLACE(unique(filter('Генеральный баннер'!$A:$A, 'Генеральный баннер'!$B:$B=$A969,'Генеральный баннер'!$C:$C=$B969,'Генеральный баннер'!$I:$I=$C969)), ""\d+"", """"),"""")"),"")</f>
        <v/>
      </c>
      <c r="U969" s="91" t="str">
        <f>IFERROR(__xludf.DUMMYFUNCTION("IFERROR(unique(filter('Генеральный баннер'!$F:$F, 'Генеральный баннер'!$B:$B=$A969,'Генеральный баннер'!$C:$C=$B969,'Генеральный баннер'!$I:$I=$C969)),"""")"),"")</f>
        <v/>
      </c>
      <c r="V969" s="92" t="str">
        <f t="shared" si="3"/>
        <v/>
      </c>
      <c r="W969" s="93">
        <f>IFERROR(__xludf.DUMMYFUNCTION("IFERROR(SWITCH(lower(join("" "",U969:V969)),""а миллионник"", 62.5,""б миллионник"", 75,""а мск"", 50, ""б мск"", 62.5, ""a остальное"", 70, ""б остальное"", 80)/100,0)"),0.0)</f>
        <v>0</v>
      </c>
      <c r="X969" s="91">
        <f t="shared" si="4"/>
        <v>0</v>
      </c>
    </row>
    <row r="970">
      <c r="A970" s="12"/>
      <c r="B970" s="12"/>
      <c r="C970" s="12"/>
      <c r="D970" s="91">
        <f>IFERROR(__xludf.DUMMYFUNCTION("IFERROR(sum(filter('Основной эфир'!$AA:$AA, 'Основной эфир'!$B:$B=$A970,'Основной эфир'!$C:$C=$B970,'Основной эфир'!$I:$I=$C970)), 0) "),0.0)</f>
        <v>0</v>
      </c>
      <c r="E970" s="91">
        <f>IFERROR(__xludf.DUMMYFUNCTION("IFERROR(sum(filter('Основной эфир'!$AC:$AC, 'Основной эфир'!$B:$B=$A970,'Основной эфир'!$C:$C=$B970,'Основной эфир'!$I:$I=$C970)), 0) "),0.0)</f>
        <v>0</v>
      </c>
      <c r="F970" s="91">
        <f>IFERROR(__xludf.DUMMYFUNCTION("IFERROR(sum(filter('Основной эфир'!$O:$O, 'Основной эфир'!$B:$B=$A970,'Основной эфир'!$C:$C=$B970,'Основной эфир'!$I:$I=$C970)), 0) "),0.0)</f>
        <v>0</v>
      </c>
      <c r="G970" s="91">
        <f>IFERROR(__xludf.DUMMYFUNCTION("IFERROR(sum(filter('Основной эфир'!$Q:$Q, 'Основной эфир'!$B:$B=$A970,'Основной эфир'!$C:$C=$B970,'Основной эфир'!$I:$I=$C970)), 0) "),0.0)</f>
        <v>0</v>
      </c>
      <c r="H970" s="91">
        <f>IFERROR(__xludf.DUMMYFUNCTION("IFERROR(AVERAGE(filter('Основной эфир'!$Y:$Y, 'Основной эфир'!$B:$B=$A970,'Основной эфир'!$C:$C=$B970,'Основной эфир'!$I:$I=$C970)), 0) "),0.0)</f>
        <v>0</v>
      </c>
      <c r="I970" s="91">
        <f>IFERROR(__xludf.DUMMYFUNCTION("IFERROR(AVERAGE(filter('Основной эфир'!$AE:$AE, 'Основной эфир'!$B:$B=$A970,'Основной эфир'!$C:$C=$B970,'Основной эфир'!$I:$I=$C970)), 0) "),0.0)</f>
        <v>0</v>
      </c>
      <c r="J970" s="91">
        <f>IFERROR(__xludf.DUMMYFUNCTION("IFERROR(SUM(filter('Основной эфир'!$AL:$AL, 'Основной эфир'!$B:$B=$A970,'Основной эфир'!$C:$C=$B970,'Основной эфир'!$I:$I=$C970)), 0) "),0.0)</f>
        <v>0</v>
      </c>
      <c r="K970" s="91" t="str">
        <f>IFERROR(__xludf.DUMMYFUNCTION("IFERROR(REGEXREPLACE(unique(filter('Основной эфир'!$A:$A, 'Основной эфир'!$B:$B=$A970,'Основной эфир'!$C:$C=$B970,'Основной эфир'!$I:$I=$C970)), ""\d+"", """"),"""")"),"")</f>
        <v/>
      </c>
      <c r="L970" s="91" t="str">
        <f>IFERROR(__xludf.DUMMYFUNCTION("IFERROR(unique(filter('Основной эфир'!$F:$F, 'Основной эфир'!$B:$B=$A970,'Основной эфир'!$C:$C=$B970,'Основной эфир'!$I:$I=$C970)),"""")"),"")</f>
        <v/>
      </c>
      <c r="M970" s="92" t="str">
        <f t="shared" si="1"/>
        <v/>
      </c>
      <c r="N970" s="93">
        <f>IFERROR(__xludf.DUMMYFUNCTION("IFERROR(SWITCH(lower(join("" "",L970:M970)),""а миллионник"", 62.5,""б миллионник"", 75,""а мск"", 50, ""б мск"", 62.5, ""a остальное"", 70, ""б остальное"", 80)/100,0)"),0.0)</f>
        <v>0</v>
      </c>
      <c r="O970" s="91">
        <f t="shared" si="2"/>
        <v>0</v>
      </c>
      <c r="P970" s="91">
        <f>IFERROR(__xludf.DUMMYFUNCTION("IFERROR(sum(filter('Генеральный баннер'!$O:$O, 'Генеральный баннер'!$B:$B=$A970,'Генеральный баннер'!$C:$C=$B970,'Генеральный баннер'!$I:$I=$C970)), 0) "),0.0)</f>
        <v>0</v>
      </c>
      <c r="Q970" s="91">
        <f>IFERROR(__xludf.DUMMYFUNCTION("IFERROR(sum(filter('Генеральный баннер'!$Q:$Q, 'Генеральный баннер'!$B:$B=$A970,'Генеральный баннер'!$C:$C=$B970,'Генеральный баннер'!$I:$I=$C970)), 0) "),0.0)</f>
        <v>0</v>
      </c>
      <c r="R970" s="91">
        <f>IFERROR(__xludf.DUMMYFUNCTION("IFERROR(AVERAGE(filter('Генеральный баннер'!$AA:$AA, 'Генеральный баннер'!$B:$B=$A970,'Генеральный баннер'!$C:$C=$B970,'Генеральный баннер'!$I:$I=$C970)), 0) "),0.0)</f>
        <v>0</v>
      </c>
      <c r="S970" s="91">
        <f>IFERROR(__xludf.DUMMYFUNCTION("IFERROR(SUM(filter('Генеральный баннер'!$AH:$AH, 'Генеральный баннер'!$B:$B=$A970,'Генеральный баннер'!$C:$C=$B970,'Генеральный баннер'!$I:$I=$C970)), 0) "),0.0)</f>
        <v>0</v>
      </c>
      <c r="T970" s="91" t="str">
        <f>IFERROR(__xludf.DUMMYFUNCTION("IFERROR(REGEXREPLACE(unique(filter('Генеральный баннер'!$A:$A, 'Генеральный баннер'!$B:$B=$A970,'Генеральный баннер'!$C:$C=$B970,'Генеральный баннер'!$I:$I=$C970)), ""\d+"", """"),"""")"),"")</f>
        <v/>
      </c>
      <c r="U970" s="91" t="str">
        <f>IFERROR(__xludf.DUMMYFUNCTION("IFERROR(unique(filter('Генеральный баннер'!$F:$F, 'Генеральный баннер'!$B:$B=$A970,'Генеральный баннер'!$C:$C=$B970,'Генеральный баннер'!$I:$I=$C970)),"""")"),"")</f>
        <v/>
      </c>
      <c r="V970" s="92" t="str">
        <f t="shared" si="3"/>
        <v/>
      </c>
      <c r="W970" s="93">
        <f>IFERROR(__xludf.DUMMYFUNCTION("IFERROR(SWITCH(lower(join("" "",U970:V970)),""а миллионник"", 62.5,""б миллионник"", 75,""а мск"", 50, ""б мск"", 62.5, ""a остальное"", 70, ""б остальное"", 80)/100,0)"),0.0)</f>
        <v>0</v>
      </c>
      <c r="X970" s="91">
        <f t="shared" si="4"/>
        <v>0</v>
      </c>
    </row>
    <row r="971">
      <c r="A971" s="12"/>
      <c r="B971" s="12"/>
      <c r="C971" s="12"/>
      <c r="D971" s="91">
        <f>IFERROR(__xludf.DUMMYFUNCTION("IFERROR(sum(filter('Основной эфир'!$AA:$AA, 'Основной эфир'!$B:$B=$A971,'Основной эфир'!$C:$C=$B971,'Основной эфир'!$I:$I=$C971)), 0) "),0.0)</f>
        <v>0</v>
      </c>
      <c r="E971" s="91">
        <f>IFERROR(__xludf.DUMMYFUNCTION("IFERROR(sum(filter('Основной эфир'!$AC:$AC, 'Основной эфир'!$B:$B=$A971,'Основной эфир'!$C:$C=$B971,'Основной эфир'!$I:$I=$C971)), 0) "),0.0)</f>
        <v>0</v>
      </c>
      <c r="F971" s="91">
        <f>IFERROR(__xludf.DUMMYFUNCTION("IFERROR(sum(filter('Основной эфир'!$O:$O, 'Основной эфир'!$B:$B=$A971,'Основной эфир'!$C:$C=$B971,'Основной эфир'!$I:$I=$C971)), 0) "),0.0)</f>
        <v>0</v>
      </c>
      <c r="G971" s="91">
        <f>IFERROR(__xludf.DUMMYFUNCTION("IFERROR(sum(filter('Основной эфир'!$Q:$Q, 'Основной эфир'!$B:$B=$A971,'Основной эфир'!$C:$C=$B971,'Основной эфир'!$I:$I=$C971)), 0) "),0.0)</f>
        <v>0</v>
      </c>
      <c r="H971" s="91">
        <f>IFERROR(__xludf.DUMMYFUNCTION("IFERROR(AVERAGE(filter('Основной эфир'!$Y:$Y, 'Основной эфир'!$B:$B=$A971,'Основной эфир'!$C:$C=$B971,'Основной эфир'!$I:$I=$C971)), 0) "),0.0)</f>
        <v>0</v>
      </c>
      <c r="I971" s="91">
        <f>IFERROR(__xludf.DUMMYFUNCTION("IFERROR(AVERAGE(filter('Основной эфир'!$AE:$AE, 'Основной эфир'!$B:$B=$A971,'Основной эфир'!$C:$C=$B971,'Основной эфир'!$I:$I=$C971)), 0) "),0.0)</f>
        <v>0</v>
      </c>
      <c r="J971" s="91">
        <f>IFERROR(__xludf.DUMMYFUNCTION("IFERROR(SUM(filter('Основной эфир'!$AL:$AL, 'Основной эфир'!$B:$B=$A971,'Основной эфир'!$C:$C=$B971,'Основной эфир'!$I:$I=$C971)), 0) "),0.0)</f>
        <v>0</v>
      </c>
      <c r="K971" s="91" t="str">
        <f>IFERROR(__xludf.DUMMYFUNCTION("IFERROR(REGEXREPLACE(unique(filter('Основной эфир'!$A:$A, 'Основной эфир'!$B:$B=$A971,'Основной эфир'!$C:$C=$B971,'Основной эфир'!$I:$I=$C971)), ""\d+"", """"),"""")"),"")</f>
        <v/>
      </c>
      <c r="L971" s="91" t="str">
        <f>IFERROR(__xludf.DUMMYFUNCTION("IFERROR(unique(filter('Основной эфир'!$F:$F, 'Основной эфир'!$B:$B=$A971,'Основной эфир'!$C:$C=$B971,'Основной эфир'!$I:$I=$C971)),"""")"),"")</f>
        <v/>
      </c>
      <c r="M971" s="92" t="str">
        <f t="shared" si="1"/>
        <v/>
      </c>
      <c r="N971" s="93">
        <f>IFERROR(__xludf.DUMMYFUNCTION("IFERROR(SWITCH(lower(join("" "",L971:M971)),""а миллионник"", 62.5,""б миллионник"", 75,""а мск"", 50, ""б мск"", 62.5, ""a остальное"", 70, ""б остальное"", 80)/100,0)"),0.0)</f>
        <v>0</v>
      </c>
      <c r="O971" s="91">
        <f t="shared" si="2"/>
        <v>0</v>
      </c>
      <c r="P971" s="91">
        <f>IFERROR(__xludf.DUMMYFUNCTION("IFERROR(sum(filter('Генеральный баннер'!$O:$O, 'Генеральный баннер'!$B:$B=$A971,'Генеральный баннер'!$C:$C=$B971,'Генеральный баннер'!$I:$I=$C971)), 0) "),0.0)</f>
        <v>0</v>
      </c>
      <c r="Q971" s="91">
        <f>IFERROR(__xludf.DUMMYFUNCTION("IFERROR(sum(filter('Генеральный баннер'!$Q:$Q, 'Генеральный баннер'!$B:$B=$A971,'Генеральный баннер'!$C:$C=$B971,'Генеральный баннер'!$I:$I=$C971)), 0) "),0.0)</f>
        <v>0</v>
      </c>
      <c r="R971" s="91">
        <f>IFERROR(__xludf.DUMMYFUNCTION("IFERROR(AVERAGE(filter('Генеральный баннер'!$AA:$AA, 'Генеральный баннер'!$B:$B=$A971,'Генеральный баннер'!$C:$C=$B971,'Генеральный баннер'!$I:$I=$C971)), 0) "),0.0)</f>
        <v>0</v>
      </c>
      <c r="S971" s="91">
        <f>IFERROR(__xludf.DUMMYFUNCTION("IFERROR(SUM(filter('Генеральный баннер'!$AH:$AH, 'Генеральный баннер'!$B:$B=$A971,'Генеральный баннер'!$C:$C=$B971,'Генеральный баннер'!$I:$I=$C971)), 0) "),0.0)</f>
        <v>0</v>
      </c>
      <c r="T971" s="91" t="str">
        <f>IFERROR(__xludf.DUMMYFUNCTION("IFERROR(REGEXREPLACE(unique(filter('Генеральный баннер'!$A:$A, 'Генеральный баннер'!$B:$B=$A971,'Генеральный баннер'!$C:$C=$B971,'Генеральный баннер'!$I:$I=$C971)), ""\d+"", """"),"""")"),"")</f>
        <v/>
      </c>
      <c r="U971" s="91" t="str">
        <f>IFERROR(__xludf.DUMMYFUNCTION("IFERROR(unique(filter('Генеральный баннер'!$F:$F, 'Генеральный баннер'!$B:$B=$A971,'Генеральный баннер'!$C:$C=$B971,'Генеральный баннер'!$I:$I=$C971)),"""")"),"")</f>
        <v/>
      </c>
      <c r="V971" s="92" t="str">
        <f t="shared" si="3"/>
        <v/>
      </c>
      <c r="W971" s="93">
        <f>IFERROR(__xludf.DUMMYFUNCTION("IFERROR(SWITCH(lower(join("" "",U971:V971)),""а миллионник"", 62.5,""б миллионник"", 75,""а мск"", 50, ""б мск"", 62.5, ""a остальное"", 70, ""б остальное"", 80)/100,0)"),0.0)</f>
        <v>0</v>
      </c>
      <c r="X971" s="91">
        <f t="shared" si="4"/>
        <v>0</v>
      </c>
    </row>
    <row r="972">
      <c r="A972" s="12"/>
      <c r="B972" s="12"/>
      <c r="C972" s="12"/>
      <c r="D972" s="91">
        <f>IFERROR(__xludf.DUMMYFUNCTION("IFERROR(sum(filter('Основной эфир'!$AA:$AA, 'Основной эфир'!$B:$B=$A972,'Основной эфир'!$C:$C=$B972,'Основной эфир'!$I:$I=$C972)), 0) "),0.0)</f>
        <v>0</v>
      </c>
      <c r="E972" s="91">
        <f>IFERROR(__xludf.DUMMYFUNCTION("IFERROR(sum(filter('Основной эфир'!$AC:$AC, 'Основной эфир'!$B:$B=$A972,'Основной эфир'!$C:$C=$B972,'Основной эфир'!$I:$I=$C972)), 0) "),0.0)</f>
        <v>0</v>
      </c>
      <c r="F972" s="91">
        <f>IFERROR(__xludf.DUMMYFUNCTION("IFERROR(sum(filter('Основной эфир'!$O:$O, 'Основной эфир'!$B:$B=$A972,'Основной эфир'!$C:$C=$B972,'Основной эфир'!$I:$I=$C972)), 0) "),0.0)</f>
        <v>0</v>
      </c>
      <c r="G972" s="91">
        <f>IFERROR(__xludf.DUMMYFUNCTION("IFERROR(sum(filter('Основной эфир'!$Q:$Q, 'Основной эфир'!$B:$B=$A972,'Основной эфир'!$C:$C=$B972,'Основной эфир'!$I:$I=$C972)), 0) "),0.0)</f>
        <v>0</v>
      </c>
      <c r="H972" s="91">
        <f>IFERROR(__xludf.DUMMYFUNCTION("IFERROR(AVERAGE(filter('Основной эфир'!$Y:$Y, 'Основной эфир'!$B:$B=$A972,'Основной эфир'!$C:$C=$B972,'Основной эфир'!$I:$I=$C972)), 0) "),0.0)</f>
        <v>0</v>
      </c>
      <c r="I972" s="91">
        <f>IFERROR(__xludf.DUMMYFUNCTION("IFERROR(AVERAGE(filter('Основной эфир'!$AE:$AE, 'Основной эфир'!$B:$B=$A972,'Основной эфир'!$C:$C=$B972,'Основной эфир'!$I:$I=$C972)), 0) "),0.0)</f>
        <v>0</v>
      </c>
      <c r="J972" s="91">
        <f>IFERROR(__xludf.DUMMYFUNCTION("IFERROR(SUM(filter('Основной эфир'!$AL:$AL, 'Основной эфир'!$B:$B=$A972,'Основной эфир'!$C:$C=$B972,'Основной эфир'!$I:$I=$C972)), 0) "),0.0)</f>
        <v>0</v>
      </c>
      <c r="K972" s="91" t="str">
        <f>IFERROR(__xludf.DUMMYFUNCTION("IFERROR(REGEXREPLACE(unique(filter('Основной эфир'!$A:$A, 'Основной эфир'!$B:$B=$A972,'Основной эфир'!$C:$C=$B972,'Основной эфир'!$I:$I=$C972)), ""\d+"", """"),"""")"),"")</f>
        <v/>
      </c>
      <c r="L972" s="91" t="str">
        <f>IFERROR(__xludf.DUMMYFUNCTION("IFERROR(unique(filter('Основной эфир'!$F:$F, 'Основной эфир'!$B:$B=$A972,'Основной эфир'!$C:$C=$B972,'Основной эфир'!$I:$I=$C972)),"""")"),"")</f>
        <v/>
      </c>
      <c r="M972" s="92" t="str">
        <f t="shared" si="1"/>
        <v/>
      </c>
      <c r="N972" s="93">
        <f>IFERROR(__xludf.DUMMYFUNCTION("IFERROR(SWITCH(lower(join("" "",L972:M972)),""а миллионник"", 62.5,""б миллионник"", 75,""а мск"", 50, ""б мск"", 62.5, ""a остальное"", 70, ""б остальное"", 80)/100,0)"),0.0)</f>
        <v>0</v>
      </c>
      <c r="O972" s="91">
        <f t="shared" si="2"/>
        <v>0</v>
      </c>
      <c r="P972" s="91">
        <f>IFERROR(__xludf.DUMMYFUNCTION("IFERROR(sum(filter('Генеральный баннер'!$O:$O, 'Генеральный баннер'!$B:$B=$A972,'Генеральный баннер'!$C:$C=$B972,'Генеральный баннер'!$I:$I=$C972)), 0) "),0.0)</f>
        <v>0</v>
      </c>
      <c r="Q972" s="91">
        <f>IFERROR(__xludf.DUMMYFUNCTION("IFERROR(sum(filter('Генеральный баннер'!$Q:$Q, 'Генеральный баннер'!$B:$B=$A972,'Генеральный баннер'!$C:$C=$B972,'Генеральный баннер'!$I:$I=$C972)), 0) "),0.0)</f>
        <v>0</v>
      </c>
      <c r="R972" s="91">
        <f>IFERROR(__xludf.DUMMYFUNCTION("IFERROR(AVERAGE(filter('Генеральный баннер'!$AA:$AA, 'Генеральный баннер'!$B:$B=$A972,'Генеральный баннер'!$C:$C=$B972,'Генеральный баннер'!$I:$I=$C972)), 0) "),0.0)</f>
        <v>0</v>
      </c>
      <c r="S972" s="91">
        <f>IFERROR(__xludf.DUMMYFUNCTION("IFERROR(SUM(filter('Генеральный баннер'!$AH:$AH, 'Генеральный баннер'!$B:$B=$A972,'Генеральный баннер'!$C:$C=$B972,'Генеральный баннер'!$I:$I=$C972)), 0) "),0.0)</f>
        <v>0</v>
      </c>
      <c r="T972" s="91" t="str">
        <f>IFERROR(__xludf.DUMMYFUNCTION("IFERROR(REGEXREPLACE(unique(filter('Генеральный баннер'!$A:$A, 'Генеральный баннер'!$B:$B=$A972,'Генеральный баннер'!$C:$C=$B972,'Генеральный баннер'!$I:$I=$C972)), ""\d+"", """"),"""")"),"")</f>
        <v/>
      </c>
      <c r="U972" s="91" t="str">
        <f>IFERROR(__xludf.DUMMYFUNCTION("IFERROR(unique(filter('Генеральный баннер'!$F:$F, 'Генеральный баннер'!$B:$B=$A972,'Генеральный баннер'!$C:$C=$B972,'Генеральный баннер'!$I:$I=$C972)),"""")"),"")</f>
        <v/>
      </c>
      <c r="V972" s="92" t="str">
        <f t="shared" si="3"/>
        <v/>
      </c>
      <c r="W972" s="93">
        <f>IFERROR(__xludf.DUMMYFUNCTION("IFERROR(SWITCH(lower(join("" "",U972:V972)),""а миллионник"", 62.5,""б миллионник"", 75,""а мск"", 50, ""б мск"", 62.5, ""a остальное"", 70, ""б остальное"", 80)/100,0)"),0.0)</f>
        <v>0</v>
      </c>
      <c r="X972" s="91">
        <f t="shared" si="4"/>
        <v>0</v>
      </c>
    </row>
    <row r="973">
      <c r="A973" s="12"/>
      <c r="B973" s="12"/>
      <c r="C973" s="12"/>
      <c r="D973" s="91">
        <f>IFERROR(__xludf.DUMMYFUNCTION("IFERROR(sum(filter('Основной эфир'!$AA:$AA, 'Основной эфир'!$B:$B=$A973,'Основной эфир'!$C:$C=$B973,'Основной эфир'!$I:$I=$C973)), 0) "),0.0)</f>
        <v>0</v>
      </c>
      <c r="E973" s="91">
        <f>IFERROR(__xludf.DUMMYFUNCTION("IFERROR(sum(filter('Основной эфир'!$AC:$AC, 'Основной эфир'!$B:$B=$A973,'Основной эфир'!$C:$C=$B973,'Основной эфир'!$I:$I=$C973)), 0) "),0.0)</f>
        <v>0</v>
      </c>
      <c r="F973" s="91">
        <f>IFERROR(__xludf.DUMMYFUNCTION("IFERROR(sum(filter('Основной эфир'!$O:$O, 'Основной эфир'!$B:$B=$A973,'Основной эфир'!$C:$C=$B973,'Основной эфир'!$I:$I=$C973)), 0) "),0.0)</f>
        <v>0</v>
      </c>
      <c r="G973" s="91">
        <f>IFERROR(__xludf.DUMMYFUNCTION("IFERROR(sum(filter('Основной эфир'!$Q:$Q, 'Основной эфир'!$B:$B=$A973,'Основной эфир'!$C:$C=$B973,'Основной эфир'!$I:$I=$C973)), 0) "),0.0)</f>
        <v>0</v>
      </c>
      <c r="H973" s="91">
        <f>IFERROR(__xludf.DUMMYFUNCTION("IFERROR(AVERAGE(filter('Основной эфир'!$Y:$Y, 'Основной эфир'!$B:$B=$A973,'Основной эфир'!$C:$C=$B973,'Основной эфир'!$I:$I=$C973)), 0) "),0.0)</f>
        <v>0</v>
      </c>
      <c r="I973" s="91">
        <f>IFERROR(__xludf.DUMMYFUNCTION("IFERROR(AVERAGE(filter('Основной эфир'!$AE:$AE, 'Основной эфир'!$B:$B=$A973,'Основной эфир'!$C:$C=$B973,'Основной эфир'!$I:$I=$C973)), 0) "),0.0)</f>
        <v>0</v>
      </c>
      <c r="J973" s="91">
        <f>IFERROR(__xludf.DUMMYFUNCTION("IFERROR(SUM(filter('Основной эфир'!$AL:$AL, 'Основной эфир'!$B:$B=$A973,'Основной эфир'!$C:$C=$B973,'Основной эфир'!$I:$I=$C973)), 0) "),0.0)</f>
        <v>0</v>
      </c>
      <c r="K973" s="91" t="str">
        <f>IFERROR(__xludf.DUMMYFUNCTION("IFERROR(REGEXREPLACE(unique(filter('Основной эфир'!$A:$A, 'Основной эфир'!$B:$B=$A973,'Основной эфир'!$C:$C=$B973,'Основной эфир'!$I:$I=$C973)), ""\d+"", """"),"""")"),"")</f>
        <v/>
      </c>
      <c r="L973" s="91" t="str">
        <f>IFERROR(__xludf.DUMMYFUNCTION("IFERROR(unique(filter('Основной эфир'!$F:$F, 'Основной эфир'!$B:$B=$A973,'Основной эфир'!$C:$C=$B973,'Основной эфир'!$I:$I=$C973)),"""")"),"")</f>
        <v/>
      </c>
      <c r="M973" s="92" t="str">
        <f t="shared" si="1"/>
        <v/>
      </c>
      <c r="N973" s="93">
        <f>IFERROR(__xludf.DUMMYFUNCTION("IFERROR(SWITCH(lower(join("" "",L973:M973)),""а миллионник"", 62.5,""б миллионник"", 75,""а мск"", 50, ""б мск"", 62.5, ""a остальное"", 70, ""б остальное"", 80)/100,0)"),0.0)</f>
        <v>0</v>
      </c>
      <c r="O973" s="91">
        <f t="shared" si="2"/>
        <v>0</v>
      </c>
      <c r="P973" s="91">
        <f>IFERROR(__xludf.DUMMYFUNCTION("IFERROR(sum(filter('Генеральный баннер'!$O:$O, 'Генеральный баннер'!$B:$B=$A973,'Генеральный баннер'!$C:$C=$B973,'Генеральный баннер'!$I:$I=$C973)), 0) "),0.0)</f>
        <v>0</v>
      </c>
      <c r="Q973" s="91">
        <f>IFERROR(__xludf.DUMMYFUNCTION("IFERROR(sum(filter('Генеральный баннер'!$Q:$Q, 'Генеральный баннер'!$B:$B=$A973,'Генеральный баннер'!$C:$C=$B973,'Генеральный баннер'!$I:$I=$C973)), 0) "),0.0)</f>
        <v>0</v>
      </c>
      <c r="R973" s="91">
        <f>IFERROR(__xludf.DUMMYFUNCTION("IFERROR(AVERAGE(filter('Генеральный баннер'!$AA:$AA, 'Генеральный баннер'!$B:$B=$A973,'Генеральный баннер'!$C:$C=$B973,'Генеральный баннер'!$I:$I=$C973)), 0) "),0.0)</f>
        <v>0</v>
      </c>
      <c r="S973" s="91">
        <f>IFERROR(__xludf.DUMMYFUNCTION("IFERROR(SUM(filter('Генеральный баннер'!$AH:$AH, 'Генеральный баннер'!$B:$B=$A973,'Генеральный баннер'!$C:$C=$B973,'Генеральный баннер'!$I:$I=$C973)), 0) "),0.0)</f>
        <v>0</v>
      </c>
      <c r="T973" s="91" t="str">
        <f>IFERROR(__xludf.DUMMYFUNCTION("IFERROR(REGEXREPLACE(unique(filter('Генеральный баннер'!$A:$A, 'Генеральный баннер'!$B:$B=$A973,'Генеральный баннер'!$C:$C=$B973,'Генеральный баннер'!$I:$I=$C973)), ""\d+"", """"),"""")"),"")</f>
        <v/>
      </c>
      <c r="U973" s="91" t="str">
        <f>IFERROR(__xludf.DUMMYFUNCTION("IFERROR(unique(filter('Генеральный баннер'!$F:$F, 'Генеральный баннер'!$B:$B=$A973,'Генеральный баннер'!$C:$C=$B973,'Генеральный баннер'!$I:$I=$C973)),"""")"),"")</f>
        <v/>
      </c>
      <c r="V973" s="92" t="str">
        <f t="shared" si="3"/>
        <v/>
      </c>
      <c r="W973" s="93">
        <f>IFERROR(__xludf.DUMMYFUNCTION("IFERROR(SWITCH(lower(join("" "",U973:V973)),""а миллионник"", 62.5,""б миллионник"", 75,""а мск"", 50, ""б мск"", 62.5, ""a остальное"", 70, ""б остальное"", 80)/100,0)"),0.0)</f>
        <v>0</v>
      </c>
      <c r="X973" s="91">
        <f t="shared" si="4"/>
        <v>0</v>
      </c>
    </row>
    <row r="974">
      <c r="A974" s="12"/>
      <c r="B974" s="12"/>
      <c r="C974" s="12"/>
      <c r="D974" s="91">
        <f>IFERROR(__xludf.DUMMYFUNCTION("IFERROR(sum(filter('Основной эфир'!$AA:$AA, 'Основной эфир'!$B:$B=$A974,'Основной эфир'!$C:$C=$B974,'Основной эфир'!$I:$I=$C974)), 0) "),0.0)</f>
        <v>0</v>
      </c>
      <c r="E974" s="91">
        <f>IFERROR(__xludf.DUMMYFUNCTION("IFERROR(sum(filter('Основной эфир'!$AC:$AC, 'Основной эфир'!$B:$B=$A974,'Основной эфир'!$C:$C=$B974,'Основной эфир'!$I:$I=$C974)), 0) "),0.0)</f>
        <v>0</v>
      </c>
      <c r="F974" s="91">
        <f>IFERROR(__xludf.DUMMYFUNCTION("IFERROR(sum(filter('Основной эфир'!$O:$O, 'Основной эфир'!$B:$B=$A974,'Основной эфир'!$C:$C=$B974,'Основной эфир'!$I:$I=$C974)), 0) "),0.0)</f>
        <v>0</v>
      </c>
      <c r="G974" s="91">
        <f>IFERROR(__xludf.DUMMYFUNCTION("IFERROR(sum(filter('Основной эфир'!$Q:$Q, 'Основной эфир'!$B:$B=$A974,'Основной эфир'!$C:$C=$B974,'Основной эфир'!$I:$I=$C974)), 0) "),0.0)</f>
        <v>0</v>
      </c>
      <c r="H974" s="91">
        <f>IFERROR(__xludf.DUMMYFUNCTION("IFERROR(AVERAGE(filter('Основной эфир'!$Y:$Y, 'Основной эфир'!$B:$B=$A974,'Основной эфир'!$C:$C=$B974,'Основной эфир'!$I:$I=$C974)), 0) "),0.0)</f>
        <v>0</v>
      </c>
      <c r="I974" s="91">
        <f>IFERROR(__xludf.DUMMYFUNCTION("IFERROR(AVERAGE(filter('Основной эфир'!$AE:$AE, 'Основной эфир'!$B:$B=$A974,'Основной эфир'!$C:$C=$B974,'Основной эфир'!$I:$I=$C974)), 0) "),0.0)</f>
        <v>0</v>
      </c>
      <c r="J974" s="91">
        <f>IFERROR(__xludf.DUMMYFUNCTION("IFERROR(SUM(filter('Основной эфир'!$AL:$AL, 'Основной эфир'!$B:$B=$A974,'Основной эфир'!$C:$C=$B974,'Основной эфир'!$I:$I=$C974)), 0) "),0.0)</f>
        <v>0</v>
      </c>
      <c r="K974" s="91" t="str">
        <f>IFERROR(__xludf.DUMMYFUNCTION("IFERROR(REGEXREPLACE(unique(filter('Основной эфир'!$A:$A, 'Основной эфир'!$B:$B=$A974,'Основной эфир'!$C:$C=$B974,'Основной эфир'!$I:$I=$C974)), ""\d+"", """"),"""")"),"")</f>
        <v/>
      </c>
      <c r="L974" s="91" t="str">
        <f>IFERROR(__xludf.DUMMYFUNCTION("IFERROR(unique(filter('Основной эфир'!$F:$F, 'Основной эфир'!$B:$B=$A974,'Основной эфир'!$C:$C=$B974,'Основной эфир'!$I:$I=$C974)),"""")"),"")</f>
        <v/>
      </c>
      <c r="M974" s="92" t="str">
        <f t="shared" si="1"/>
        <v/>
      </c>
      <c r="N974" s="93">
        <f>IFERROR(__xludf.DUMMYFUNCTION("IFERROR(SWITCH(lower(join("" "",L974:M974)),""а миллионник"", 62.5,""б миллионник"", 75,""а мск"", 50, ""б мск"", 62.5, ""a остальное"", 70, ""б остальное"", 80)/100,0)"),0.0)</f>
        <v>0</v>
      </c>
      <c r="O974" s="91">
        <f t="shared" si="2"/>
        <v>0</v>
      </c>
      <c r="P974" s="91">
        <f>IFERROR(__xludf.DUMMYFUNCTION("IFERROR(sum(filter('Генеральный баннер'!$O:$O, 'Генеральный баннер'!$B:$B=$A974,'Генеральный баннер'!$C:$C=$B974,'Генеральный баннер'!$I:$I=$C974)), 0) "),0.0)</f>
        <v>0</v>
      </c>
      <c r="Q974" s="91">
        <f>IFERROR(__xludf.DUMMYFUNCTION("IFERROR(sum(filter('Генеральный баннер'!$Q:$Q, 'Генеральный баннер'!$B:$B=$A974,'Генеральный баннер'!$C:$C=$B974,'Генеральный баннер'!$I:$I=$C974)), 0) "),0.0)</f>
        <v>0</v>
      </c>
      <c r="R974" s="91">
        <f>IFERROR(__xludf.DUMMYFUNCTION("IFERROR(AVERAGE(filter('Генеральный баннер'!$AA:$AA, 'Генеральный баннер'!$B:$B=$A974,'Генеральный баннер'!$C:$C=$B974,'Генеральный баннер'!$I:$I=$C974)), 0) "),0.0)</f>
        <v>0</v>
      </c>
      <c r="S974" s="91">
        <f>IFERROR(__xludf.DUMMYFUNCTION("IFERROR(SUM(filter('Генеральный баннер'!$AH:$AH, 'Генеральный баннер'!$B:$B=$A974,'Генеральный баннер'!$C:$C=$B974,'Генеральный баннер'!$I:$I=$C974)), 0) "),0.0)</f>
        <v>0</v>
      </c>
      <c r="T974" s="91" t="str">
        <f>IFERROR(__xludf.DUMMYFUNCTION("IFERROR(REGEXREPLACE(unique(filter('Генеральный баннер'!$A:$A, 'Генеральный баннер'!$B:$B=$A974,'Генеральный баннер'!$C:$C=$B974,'Генеральный баннер'!$I:$I=$C974)), ""\d+"", """"),"""")"),"")</f>
        <v/>
      </c>
      <c r="U974" s="91" t="str">
        <f>IFERROR(__xludf.DUMMYFUNCTION("IFERROR(unique(filter('Генеральный баннер'!$F:$F, 'Генеральный баннер'!$B:$B=$A974,'Генеральный баннер'!$C:$C=$B974,'Генеральный баннер'!$I:$I=$C974)),"""")"),"")</f>
        <v/>
      </c>
      <c r="V974" s="92" t="str">
        <f t="shared" si="3"/>
        <v/>
      </c>
      <c r="W974" s="93">
        <f>IFERROR(__xludf.DUMMYFUNCTION("IFERROR(SWITCH(lower(join("" "",U974:V974)),""а миллионник"", 62.5,""б миллионник"", 75,""а мск"", 50, ""б мск"", 62.5, ""a остальное"", 70, ""б остальное"", 80)/100,0)"),0.0)</f>
        <v>0</v>
      </c>
      <c r="X974" s="91">
        <f t="shared" si="4"/>
        <v>0</v>
      </c>
    </row>
    <row r="975">
      <c r="A975" s="12"/>
      <c r="B975" s="12"/>
      <c r="C975" s="12"/>
      <c r="D975" s="91">
        <f>IFERROR(__xludf.DUMMYFUNCTION("IFERROR(sum(filter('Основной эфир'!$AA:$AA, 'Основной эфир'!$B:$B=$A975,'Основной эфир'!$C:$C=$B975,'Основной эфир'!$I:$I=$C975)), 0) "),0.0)</f>
        <v>0</v>
      </c>
      <c r="E975" s="91">
        <f>IFERROR(__xludf.DUMMYFUNCTION("IFERROR(sum(filter('Основной эфир'!$AC:$AC, 'Основной эфир'!$B:$B=$A975,'Основной эфир'!$C:$C=$B975,'Основной эфир'!$I:$I=$C975)), 0) "),0.0)</f>
        <v>0</v>
      </c>
      <c r="F975" s="91">
        <f>IFERROR(__xludf.DUMMYFUNCTION("IFERROR(sum(filter('Основной эфир'!$O:$O, 'Основной эфир'!$B:$B=$A975,'Основной эфир'!$C:$C=$B975,'Основной эфир'!$I:$I=$C975)), 0) "),0.0)</f>
        <v>0</v>
      </c>
      <c r="G975" s="91">
        <f>IFERROR(__xludf.DUMMYFUNCTION("IFERROR(sum(filter('Основной эфир'!$Q:$Q, 'Основной эфир'!$B:$B=$A975,'Основной эфир'!$C:$C=$B975,'Основной эфир'!$I:$I=$C975)), 0) "),0.0)</f>
        <v>0</v>
      </c>
      <c r="H975" s="91">
        <f>IFERROR(__xludf.DUMMYFUNCTION("IFERROR(AVERAGE(filter('Основной эфир'!$Y:$Y, 'Основной эфир'!$B:$B=$A975,'Основной эфир'!$C:$C=$B975,'Основной эфир'!$I:$I=$C975)), 0) "),0.0)</f>
        <v>0</v>
      </c>
      <c r="I975" s="91">
        <f>IFERROR(__xludf.DUMMYFUNCTION("IFERROR(AVERAGE(filter('Основной эфир'!$AE:$AE, 'Основной эфир'!$B:$B=$A975,'Основной эфир'!$C:$C=$B975,'Основной эфир'!$I:$I=$C975)), 0) "),0.0)</f>
        <v>0</v>
      </c>
      <c r="J975" s="91">
        <f>IFERROR(__xludf.DUMMYFUNCTION("IFERROR(SUM(filter('Основной эфир'!$AL:$AL, 'Основной эфир'!$B:$B=$A975,'Основной эфир'!$C:$C=$B975,'Основной эфир'!$I:$I=$C975)), 0) "),0.0)</f>
        <v>0</v>
      </c>
      <c r="K975" s="91" t="str">
        <f>IFERROR(__xludf.DUMMYFUNCTION("IFERROR(REGEXREPLACE(unique(filter('Основной эфир'!$A:$A, 'Основной эфир'!$B:$B=$A975,'Основной эфир'!$C:$C=$B975,'Основной эфир'!$I:$I=$C975)), ""\d+"", """"),"""")"),"")</f>
        <v/>
      </c>
      <c r="L975" s="91" t="str">
        <f>IFERROR(__xludf.DUMMYFUNCTION("IFERROR(unique(filter('Основной эфир'!$F:$F, 'Основной эфир'!$B:$B=$A975,'Основной эфир'!$C:$C=$B975,'Основной эфир'!$I:$I=$C975)),"""")"),"")</f>
        <v/>
      </c>
      <c r="M975" s="92" t="str">
        <f t="shared" si="1"/>
        <v/>
      </c>
      <c r="N975" s="93">
        <f>IFERROR(__xludf.DUMMYFUNCTION("IFERROR(SWITCH(lower(join("" "",L975:M975)),""а миллионник"", 62.5,""б миллионник"", 75,""а мск"", 50, ""б мск"", 62.5, ""a остальное"", 70, ""б остальное"", 80)/100,0)"),0.0)</f>
        <v>0</v>
      </c>
      <c r="O975" s="91">
        <f t="shared" si="2"/>
        <v>0</v>
      </c>
      <c r="P975" s="91">
        <f>IFERROR(__xludf.DUMMYFUNCTION("IFERROR(sum(filter('Генеральный баннер'!$O:$O, 'Генеральный баннер'!$B:$B=$A975,'Генеральный баннер'!$C:$C=$B975,'Генеральный баннер'!$I:$I=$C975)), 0) "),0.0)</f>
        <v>0</v>
      </c>
      <c r="Q975" s="91">
        <f>IFERROR(__xludf.DUMMYFUNCTION("IFERROR(sum(filter('Генеральный баннер'!$Q:$Q, 'Генеральный баннер'!$B:$B=$A975,'Генеральный баннер'!$C:$C=$B975,'Генеральный баннер'!$I:$I=$C975)), 0) "),0.0)</f>
        <v>0</v>
      </c>
      <c r="R975" s="91">
        <f>IFERROR(__xludf.DUMMYFUNCTION("IFERROR(AVERAGE(filter('Генеральный баннер'!$AA:$AA, 'Генеральный баннер'!$B:$B=$A975,'Генеральный баннер'!$C:$C=$B975,'Генеральный баннер'!$I:$I=$C975)), 0) "),0.0)</f>
        <v>0</v>
      </c>
      <c r="S975" s="91">
        <f>IFERROR(__xludf.DUMMYFUNCTION("IFERROR(SUM(filter('Генеральный баннер'!$AH:$AH, 'Генеральный баннер'!$B:$B=$A975,'Генеральный баннер'!$C:$C=$B975,'Генеральный баннер'!$I:$I=$C975)), 0) "),0.0)</f>
        <v>0</v>
      </c>
      <c r="T975" s="91" t="str">
        <f>IFERROR(__xludf.DUMMYFUNCTION("IFERROR(REGEXREPLACE(unique(filter('Генеральный баннер'!$A:$A, 'Генеральный баннер'!$B:$B=$A975,'Генеральный баннер'!$C:$C=$B975,'Генеральный баннер'!$I:$I=$C975)), ""\d+"", """"),"""")"),"")</f>
        <v/>
      </c>
      <c r="U975" s="91" t="str">
        <f>IFERROR(__xludf.DUMMYFUNCTION("IFERROR(unique(filter('Генеральный баннер'!$F:$F, 'Генеральный баннер'!$B:$B=$A975,'Генеральный баннер'!$C:$C=$B975,'Генеральный баннер'!$I:$I=$C975)),"""")"),"")</f>
        <v/>
      </c>
      <c r="V975" s="92" t="str">
        <f t="shared" si="3"/>
        <v/>
      </c>
      <c r="W975" s="93">
        <f>IFERROR(__xludf.DUMMYFUNCTION("IFERROR(SWITCH(lower(join("" "",U975:V975)),""а миллионник"", 62.5,""б миллионник"", 75,""а мск"", 50, ""б мск"", 62.5, ""a остальное"", 70, ""б остальное"", 80)/100,0)"),0.0)</f>
        <v>0</v>
      </c>
      <c r="X975" s="91">
        <f t="shared" si="4"/>
        <v>0</v>
      </c>
    </row>
    <row r="976">
      <c r="A976" s="12"/>
      <c r="B976" s="12"/>
      <c r="C976" s="12"/>
      <c r="D976" s="91">
        <f>IFERROR(__xludf.DUMMYFUNCTION("IFERROR(sum(filter('Основной эфир'!$AA:$AA, 'Основной эфир'!$B:$B=$A976,'Основной эфир'!$C:$C=$B976,'Основной эфир'!$I:$I=$C976)), 0) "),0.0)</f>
        <v>0</v>
      </c>
      <c r="E976" s="91">
        <f>IFERROR(__xludf.DUMMYFUNCTION("IFERROR(sum(filter('Основной эфир'!$AC:$AC, 'Основной эфир'!$B:$B=$A976,'Основной эфир'!$C:$C=$B976,'Основной эфир'!$I:$I=$C976)), 0) "),0.0)</f>
        <v>0</v>
      </c>
      <c r="F976" s="91">
        <f>IFERROR(__xludf.DUMMYFUNCTION("IFERROR(sum(filter('Основной эфир'!$O:$O, 'Основной эфир'!$B:$B=$A976,'Основной эфир'!$C:$C=$B976,'Основной эфир'!$I:$I=$C976)), 0) "),0.0)</f>
        <v>0</v>
      </c>
      <c r="G976" s="91">
        <f>IFERROR(__xludf.DUMMYFUNCTION("IFERROR(sum(filter('Основной эфир'!$Q:$Q, 'Основной эфир'!$B:$B=$A976,'Основной эфир'!$C:$C=$B976,'Основной эфир'!$I:$I=$C976)), 0) "),0.0)</f>
        <v>0</v>
      </c>
      <c r="H976" s="91">
        <f>IFERROR(__xludf.DUMMYFUNCTION("IFERROR(AVERAGE(filter('Основной эфир'!$Y:$Y, 'Основной эфир'!$B:$B=$A976,'Основной эфир'!$C:$C=$B976,'Основной эфир'!$I:$I=$C976)), 0) "),0.0)</f>
        <v>0</v>
      </c>
      <c r="I976" s="91">
        <f>IFERROR(__xludf.DUMMYFUNCTION("IFERROR(AVERAGE(filter('Основной эфир'!$AE:$AE, 'Основной эфир'!$B:$B=$A976,'Основной эфир'!$C:$C=$B976,'Основной эфир'!$I:$I=$C976)), 0) "),0.0)</f>
        <v>0</v>
      </c>
      <c r="J976" s="91">
        <f>IFERROR(__xludf.DUMMYFUNCTION("IFERROR(SUM(filter('Основной эфир'!$AL:$AL, 'Основной эфир'!$B:$B=$A976,'Основной эфир'!$C:$C=$B976,'Основной эфир'!$I:$I=$C976)), 0) "),0.0)</f>
        <v>0</v>
      </c>
      <c r="K976" s="91" t="str">
        <f>IFERROR(__xludf.DUMMYFUNCTION("IFERROR(REGEXREPLACE(unique(filter('Основной эфир'!$A:$A, 'Основной эфир'!$B:$B=$A976,'Основной эфир'!$C:$C=$B976,'Основной эфир'!$I:$I=$C976)), ""\d+"", """"),"""")"),"")</f>
        <v/>
      </c>
      <c r="L976" s="91" t="str">
        <f>IFERROR(__xludf.DUMMYFUNCTION("IFERROR(unique(filter('Основной эфир'!$F:$F, 'Основной эфир'!$B:$B=$A976,'Основной эфир'!$C:$C=$B976,'Основной эфир'!$I:$I=$C976)),"""")"),"")</f>
        <v/>
      </c>
      <c r="M976" s="92" t="str">
        <f t="shared" si="1"/>
        <v/>
      </c>
      <c r="N976" s="93">
        <f>IFERROR(__xludf.DUMMYFUNCTION("IFERROR(SWITCH(lower(join("" "",L976:M976)),""а миллионник"", 62.5,""б миллионник"", 75,""а мск"", 50, ""б мск"", 62.5, ""a остальное"", 70, ""б остальное"", 80)/100,0)"),0.0)</f>
        <v>0</v>
      </c>
      <c r="O976" s="91">
        <f t="shared" si="2"/>
        <v>0</v>
      </c>
      <c r="P976" s="91">
        <f>IFERROR(__xludf.DUMMYFUNCTION("IFERROR(sum(filter('Генеральный баннер'!$O:$O, 'Генеральный баннер'!$B:$B=$A976,'Генеральный баннер'!$C:$C=$B976,'Генеральный баннер'!$I:$I=$C976)), 0) "),0.0)</f>
        <v>0</v>
      </c>
      <c r="Q976" s="91">
        <f>IFERROR(__xludf.DUMMYFUNCTION("IFERROR(sum(filter('Генеральный баннер'!$Q:$Q, 'Генеральный баннер'!$B:$B=$A976,'Генеральный баннер'!$C:$C=$B976,'Генеральный баннер'!$I:$I=$C976)), 0) "),0.0)</f>
        <v>0</v>
      </c>
      <c r="R976" s="91">
        <f>IFERROR(__xludf.DUMMYFUNCTION("IFERROR(AVERAGE(filter('Генеральный баннер'!$AA:$AA, 'Генеральный баннер'!$B:$B=$A976,'Генеральный баннер'!$C:$C=$B976,'Генеральный баннер'!$I:$I=$C976)), 0) "),0.0)</f>
        <v>0</v>
      </c>
      <c r="S976" s="91">
        <f>IFERROR(__xludf.DUMMYFUNCTION("IFERROR(SUM(filter('Генеральный баннер'!$AH:$AH, 'Генеральный баннер'!$B:$B=$A976,'Генеральный баннер'!$C:$C=$B976,'Генеральный баннер'!$I:$I=$C976)), 0) "),0.0)</f>
        <v>0</v>
      </c>
      <c r="T976" s="91" t="str">
        <f>IFERROR(__xludf.DUMMYFUNCTION("IFERROR(REGEXREPLACE(unique(filter('Генеральный баннер'!$A:$A, 'Генеральный баннер'!$B:$B=$A976,'Генеральный баннер'!$C:$C=$B976,'Генеральный баннер'!$I:$I=$C976)), ""\d+"", """"),"""")"),"")</f>
        <v/>
      </c>
      <c r="U976" s="91" t="str">
        <f>IFERROR(__xludf.DUMMYFUNCTION("IFERROR(unique(filter('Генеральный баннер'!$F:$F, 'Генеральный баннер'!$B:$B=$A976,'Генеральный баннер'!$C:$C=$B976,'Генеральный баннер'!$I:$I=$C976)),"""")"),"")</f>
        <v/>
      </c>
      <c r="V976" s="92" t="str">
        <f t="shared" si="3"/>
        <v/>
      </c>
      <c r="W976" s="93">
        <f>IFERROR(__xludf.DUMMYFUNCTION("IFERROR(SWITCH(lower(join("" "",U976:V976)),""а миллионник"", 62.5,""б миллионник"", 75,""а мск"", 50, ""б мск"", 62.5, ""a остальное"", 70, ""б остальное"", 80)/100,0)"),0.0)</f>
        <v>0</v>
      </c>
      <c r="X976" s="91">
        <f t="shared" si="4"/>
        <v>0</v>
      </c>
    </row>
    <row r="977">
      <c r="A977" s="12"/>
      <c r="B977" s="12"/>
      <c r="C977" s="12"/>
      <c r="D977" s="91">
        <f>IFERROR(__xludf.DUMMYFUNCTION("IFERROR(sum(filter('Основной эфир'!$AA:$AA, 'Основной эфир'!$B:$B=$A977,'Основной эфир'!$C:$C=$B977,'Основной эфир'!$I:$I=$C977)), 0) "),0.0)</f>
        <v>0</v>
      </c>
      <c r="E977" s="91">
        <f>IFERROR(__xludf.DUMMYFUNCTION("IFERROR(sum(filter('Основной эфир'!$AC:$AC, 'Основной эфир'!$B:$B=$A977,'Основной эфир'!$C:$C=$B977,'Основной эфир'!$I:$I=$C977)), 0) "),0.0)</f>
        <v>0</v>
      </c>
      <c r="F977" s="91">
        <f>IFERROR(__xludf.DUMMYFUNCTION("IFERROR(sum(filter('Основной эфир'!$O:$O, 'Основной эфир'!$B:$B=$A977,'Основной эфир'!$C:$C=$B977,'Основной эфир'!$I:$I=$C977)), 0) "),0.0)</f>
        <v>0</v>
      </c>
      <c r="G977" s="91">
        <f>IFERROR(__xludf.DUMMYFUNCTION("IFERROR(sum(filter('Основной эфир'!$Q:$Q, 'Основной эфир'!$B:$B=$A977,'Основной эфир'!$C:$C=$B977,'Основной эфир'!$I:$I=$C977)), 0) "),0.0)</f>
        <v>0</v>
      </c>
      <c r="H977" s="91">
        <f>IFERROR(__xludf.DUMMYFUNCTION("IFERROR(AVERAGE(filter('Основной эфир'!$Y:$Y, 'Основной эфир'!$B:$B=$A977,'Основной эфир'!$C:$C=$B977,'Основной эфир'!$I:$I=$C977)), 0) "),0.0)</f>
        <v>0</v>
      </c>
      <c r="I977" s="91">
        <f>IFERROR(__xludf.DUMMYFUNCTION("IFERROR(AVERAGE(filter('Основной эфир'!$AE:$AE, 'Основной эфир'!$B:$B=$A977,'Основной эфир'!$C:$C=$B977,'Основной эфир'!$I:$I=$C977)), 0) "),0.0)</f>
        <v>0</v>
      </c>
      <c r="J977" s="91">
        <f>IFERROR(__xludf.DUMMYFUNCTION("IFERROR(SUM(filter('Основной эфир'!$AL:$AL, 'Основной эфир'!$B:$B=$A977,'Основной эфир'!$C:$C=$B977,'Основной эфир'!$I:$I=$C977)), 0) "),0.0)</f>
        <v>0</v>
      </c>
      <c r="K977" s="91" t="str">
        <f>IFERROR(__xludf.DUMMYFUNCTION("IFERROR(REGEXREPLACE(unique(filter('Основной эфир'!$A:$A, 'Основной эфир'!$B:$B=$A977,'Основной эфир'!$C:$C=$B977,'Основной эфир'!$I:$I=$C977)), ""\d+"", """"),"""")"),"")</f>
        <v/>
      </c>
      <c r="L977" s="91" t="str">
        <f>IFERROR(__xludf.DUMMYFUNCTION("IFERROR(unique(filter('Основной эфир'!$F:$F, 'Основной эфир'!$B:$B=$A977,'Основной эфир'!$C:$C=$B977,'Основной эфир'!$I:$I=$C977)),"""")"),"")</f>
        <v/>
      </c>
      <c r="M977" s="92" t="str">
        <f t="shared" si="1"/>
        <v/>
      </c>
      <c r="N977" s="93">
        <f>IFERROR(__xludf.DUMMYFUNCTION("IFERROR(SWITCH(lower(join("" "",L977:M977)),""а миллионник"", 62.5,""б миллионник"", 75,""а мск"", 50, ""б мск"", 62.5, ""a остальное"", 70, ""б остальное"", 80)/100,0)"),0.0)</f>
        <v>0</v>
      </c>
      <c r="O977" s="91">
        <f t="shared" si="2"/>
        <v>0</v>
      </c>
      <c r="P977" s="91">
        <f>IFERROR(__xludf.DUMMYFUNCTION("IFERROR(sum(filter('Генеральный баннер'!$O:$O, 'Генеральный баннер'!$B:$B=$A977,'Генеральный баннер'!$C:$C=$B977,'Генеральный баннер'!$I:$I=$C977)), 0) "),0.0)</f>
        <v>0</v>
      </c>
      <c r="Q977" s="91">
        <f>IFERROR(__xludf.DUMMYFUNCTION("IFERROR(sum(filter('Генеральный баннер'!$Q:$Q, 'Генеральный баннер'!$B:$B=$A977,'Генеральный баннер'!$C:$C=$B977,'Генеральный баннер'!$I:$I=$C977)), 0) "),0.0)</f>
        <v>0</v>
      </c>
      <c r="R977" s="91">
        <f>IFERROR(__xludf.DUMMYFUNCTION("IFERROR(AVERAGE(filter('Генеральный баннер'!$AA:$AA, 'Генеральный баннер'!$B:$B=$A977,'Генеральный баннер'!$C:$C=$B977,'Генеральный баннер'!$I:$I=$C977)), 0) "),0.0)</f>
        <v>0</v>
      </c>
      <c r="S977" s="91">
        <f>IFERROR(__xludf.DUMMYFUNCTION("IFERROR(SUM(filter('Генеральный баннер'!$AH:$AH, 'Генеральный баннер'!$B:$B=$A977,'Генеральный баннер'!$C:$C=$B977,'Генеральный баннер'!$I:$I=$C977)), 0) "),0.0)</f>
        <v>0</v>
      </c>
      <c r="T977" s="91" t="str">
        <f>IFERROR(__xludf.DUMMYFUNCTION("IFERROR(REGEXREPLACE(unique(filter('Генеральный баннер'!$A:$A, 'Генеральный баннер'!$B:$B=$A977,'Генеральный баннер'!$C:$C=$B977,'Генеральный баннер'!$I:$I=$C977)), ""\d+"", """"),"""")"),"")</f>
        <v/>
      </c>
      <c r="U977" s="91" t="str">
        <f>IFERROR(__xludf.DUMMYFUNCTION("IFERROR(unique(filter('Генеральный баннер'!$F:$F, 'Генеральный баннер'!$B:$B=$A977,'Генеральный баннер'!$C:$C=$B977,'Генеральный баннер'!$I:$I=$C977)),"""")"),"")</f>
        <v/>
      </c>
      <c r="V977" s="92" t="str">
        <f t="shared" si="3"/>
        <v/>
      </c>
      <c r="W977" s="93">
        <f>IFERROR(__xludf.DUMMYFUNCTION("IFERROR(SWITCH(lower(join("" "",U977:V977)),""а миллионник"", 62.5,""б миллионник"", 75,""а мск"", 50, ""б мск"", 62.5, ""a остальное"", 70, ""б остальное"", 80)/100,0)"),0.0)</f>
        <v>0</v>
      </c>
      <c r="X977" s="91">
        <f t="shared" si="4"/>
        <v>0</v>
      </c>
    </row>
    <row r="978">
      <c r="A978" s="12"/>
      <c r="B978" s="12"/>
      <c r="C978" s="12"/>
      <c r="D978" s="91">
        <f>IFERROR(__xludf.DUMMYFUNCTION("IFERROR(sum(filter('Основной эфир'!$AA:$AA, 'Основной эфир'!$B:$B=$A978,'Основной эфир'!$C:$C=$B978,'Основной эфир'!$I:$I=$C978)), 0) "),0.0)</f>
        <v>0</v>
      </c>
      <c r="E978" s="91">
        <f>IFERROR(__xludf.DUMMYFUNCTION("IFERROR(sum(filter('Основной эфир'!$AC:$AC, 'Основной эфир'!$B:$B=$A978,'Основной эфир'!$C:$C=$B978,'Основной эфир'!$I:$I=$C978)), 0) "),0.0)</f>
        <v>0</v>
      </c>
      <c r="F978" s="91">
        <f>IFERROR(__xludf.DUMMYFUNCTION("IFERROR(sum(filter('Основной эфир'!$O:$O, 'Основной эфир'!$B:$B=$A978,'Основной эфир'!$C:$C=$B978,'Основной эфир'!$I:$I=$C978)), 0) "),0.0)</f>
        <v>0</v>
      </c>
      <c r="G978" s="91">
        <f>IFERROR(__xludf.DUMMYFUNCTION("IFERROR(sum(filter('Основной эфир'!$Q:$Q, 'Основной эфир'!$B:$B=$A978,'Основной эфир'!$C:$C=$B978,'Основной эфир'!$I:$I=$C978)), 0) "),0.0)</f>
        <v>0</v>
      </c>
      <c r="H978" s="91">
        <f>IFERROR(__xludf.DUMMYFUNCTION("IFERROR(AVERAGE(filter('Основной эфир'!$Y:$Y, 'Основной эфир'!$B:$B=$A978,'Основной эфир'!$C:$C=$B978,'Основной эфир'!$I:$I=$C978)), 0) "),0.0)</f>
        <v>0</v>
      </c>
      <c r="I978" s="91">
        <f>IFERROR(__xludf.DUMMYFUNCTION("IFERROR(AVERAGE(filter('Основной эфир'!$AE:$AE, 'Основной эфир'!$B:$B=$A978,'Основной эфир'!$C:$C=$B978,'Основной эфир'!$I:$I=$C978)), 0) "),0.0)</f>
        <v>0</v>
      </c>
      <c r="J978" s="91">
        <f>IFERROR(__xludf.DUMMYFUNCTION("IFERROR(SUM(filter('Основной эфир'!$AL:$AL, 'Основной эфир'!$B:$B=$A978,'Основной эфир'!$C:$C=$B978,'Основной эфир'!$I:$I=$C978)), 0) "),0.0)</f>
        <v>0</v>
      </c>
      <c r="K978" s="91" t="str">
        <f>IFERROR(__xludf.DUMMYFUNCTION("IFERROR(REGEXREPLACE(unique(filter('Основной эфир'!$A:$A, 'Основной эфир'!$B:$B=$A978,'Основной эфир'!$C:$C=$B978,'Основной эфир'!$I:$I=$C978)), ""\d+"", """"),"""")"),"")</f>
        <v/>
      </c>
      <c r="L978" s="91" t="str">
        <f>IFERROR(__xludf.DUMMYFUNCTION("IFERROR(unique(filter('Основной эфир'!$F:$F, 'Основной эфир'!$B:$B=$A978,'Основной эфир'!$C:$C=$B978,'Основной эфир'!$I:$I=$C978)),"""")"),"")</f>
        <v/>
      </c>
      <c r="M978" s="92" t="str">
        <f t="shared" si="1"/>
        <v/>
      </c>
      <c r="N978" s="93">
        <f>IFERROR(__xludf.DUMMYFUNCTION("IFERROR(SWITCH(lower(join("" "",L978:M978)),""а миллионник"", 62.5,""б миллионник"", 75,""а мск"", 50, ""б мск"", 62.5, ""a остальное"", 70, ""б остальное"", 80)/100,0)"),0.0)</f>
        <v>0</v>
      </c>
      <c r="O978" s="91">
        <f t="shared" si="2"/>
        <v>0</v>
      </c>
      <c r="P978" s="91">
        <f>IFERROR(__xludf.DUMMYFUNCTION("IFERROR(sum(filter('Генеральный баннер'!$O:$O, 'Генеральный баннер'!$B:$B=$A978,'Генеральный баннер'!$C:$C=$B978,'Генеральный баннер'!$I:$I=$C978)), 0) "),0.0)</f>
        <v>0</v>
      </c>
      <c r="Q978" s="91">
        <f>IFERROR(__xludf.DUMMYFUNCTION("IFERROR(sum(filter('Генеральный баннер'!$Q:$Q, 'Генеральный баннер'!$B:$B=$A978,'Генеральный баннер'!$C:$C=$B978,'Генеральный баннер'!$I:$I=$C978)), 0) "),0.0)</f>
        <v>0</v>
      </c>
      <c r="R978" s="91">
        <f>IFERROR(__xludf.DUMMYFUNCTION("IFERROR(AVERAGE(filter('Генеральный баннер'!$AA:$AA, 'Генеральный баннер'!$B:$B=$A978,'Генеральный баннер'!$C:$C=$B978,'Генеральный баннер'!$I:$I=$C978)), 0) "),0.0)</f>
        <v>0</v>
      </c>
      <c r="S978" s="91">
        <f>IFERROR(__xludf.DUMMYFUNCTION("IFERROR(SUM(filter('Генеральный баннер'!$AH:$AH, 'Генеральный баннер'!$B:$B=$A978,'Генеральный баннер'!$C:$C=$B978,'Генеральный баннер'!$I:$I=$C978)), 0) "),0.0)</f>
        <v>0</v>
      </c>
      <c r="T978" s="91" t="str">
        <f>IFERROR(__xludf.DUMMYFUNCTION("IFERROR(REGEXREPLACE(unique(filter('Генеральный баннер'!$A:$A, 'Генеральный баннер'!$B:$B=$A978,'Генеральный баннер'!$C:$C=$B978,'Генеральный баннер'!$I:$I=$C978)), ""\d+"", """"),"""")"),"")</f>
        <v/>
      </c>
      <c r="U978" s="91" t="str">
        <f>IFERROR(__xludf.DUMMYFUNCTION("IFERROR(unique(filter('Генеральный баннер'!$F:$F, 'Генеральный баннер'!$B:$B=$A978,'Генеральный баннер'!$C:$C=$B978,'Генеральный баннер'!$I:$I=$C978)),"""")"),"")</f>
        <v/>
      </c>
      <c r="V978" s="92" t="str">
        <f t="shared" si="3"/>
        <v/>
      </c>
      <c r="W978" s="93">
        <f>IFERROR(__xludf.DUMMYFUNCTION("IFERROR(SWITCH(lower(join("" "",U978:V978)),""а миллионник"", 62.5,""б миллионник"", 75,""а мск"", 50, ""б мск"", 62.5, ""a остальное"", 70, ""б остальное"", 80)/100,0)"),0.0)</f>
        <v>0</v>
      </c>
      <c r="X978" s="91">
        <f t="shared" si="4"/>
        <v>0</v>
      </c>
    </row>
    <row r="979">
      <c r="A979" s="12"/>
      <c r="B979" s="12"/>
      <c r="C979" s="12"/>
      <c r="D979" s="91">
        <f>IFERROR(__xludf.DUMMYFUNCTION("IFERROR(sum(filter('Основной эфир'!$AA:$AA, 'Основной эфир'!$B:$B=$A979,'Основной эфир'!$C:$C=$B979,'Основной эфир'!$I:$I=$C979)), 0) "),0.0)</f>
        <v>0</v>
      </c>
      <c r="E979" s="91">
        <f>IFERROR(__xludf.DUMMYFUNCTION("IFERROR(sum(filter('Основной эфир'!$AC:$AC, 'Основной эфир'!$B:$B=$A979,'Основной эфир'!$C:$C=$B979,'Основной эфир'!$I:$I=$C979)), 0) "),0.0)</f>
        <v>0</v>
      </c>
      <c r="F979" s="91">
        <f>IFERROR(__xludf.DUMMYFUNCTION("IFERROR(sum(filter('Основной эфир'!$O:$O, 'Основной эфир'!$B:$B=$A979,'Основной эфир'!$C:$C=$B979,'Основной эфир'!$I:$I=$C979)), 0) "),0.0)</f>
        <v>0</v>
      </c>
      <c r="G979" s="91">
        <f>IFERROR(__xludf.DUMMYFUNCTION("IFERROR(sum(filter('Основной эфир'!$Q:$Q, 'Основной эфир'!$B:$B=$A979,'Основной эфир'!$C:$C=$B979,'Основной эфир'!$I:$I=$C979)), 0) "),0.0)</f>
        <v>0</v>
      </c>
      <c r="H979" s="91">
        <f>IFERROR(__xludf.DUMMYFUNCTION("IFERROR(AVERAGE(filter('Основной эфир'!$Y:$Y, 'Основной эфир'!$B:$B=$A979,'Основной эфир'!$C:$C=$B979,'Основной эфир'!$I:$I=$C979)), 0) "),0.0)</f>
        <v>0</v>
      </c>
      <c r="I979" s="91">
        <f>IFERROR(__xludf.DUMMYFUNCTION("IFERROR(AVERAGE(filter('Основной эфир'!$AE:$AE, 'Основной эфир'!$B:$B=$A979,'Основной эфир'!$C:$C=$B979,'Основной эфир'!$I:$I=$C979)), 0) "),0.0)</f>
        <v>0</v>
      </c>
      <c r="J979" s="91">
        <f>IFERROR(__xludf.DUMMYFUNCTION("IFERROR(SUM(filter('Основной эфир'!$AL:$AL, 'Основной эфир'!$B:$B=$A979,'Основной эфир'!$C:$C=$B979,'Основной эфир'!$I:$I=$C979)), 0) "),0.0)</f>
        <v>0</v>
      </c>
      <c r="K979" s="91" t="str">
        <f>IFERROR(__xludf.DUMMYFUNCTION("IFERROR(REGEXREPLACE(unique(filter('Основной эфир'!$A:$A, 'Основной эфир'!$B:$B=$A979,'Основной эфир'!$C:$C=$B979,'Основной эфир'!$I:$I=$C979)), ""\d+"", """"),"""")"),"")</f>
        <v/>
      </c>
      <c r="L979" s="91" t="str">
        <f>IFERROR(__xludf.DUMMYFUNCTION("IFERROR(unique(filter('Основной эфир'!$F:$F, 'Основной эфир'!$B:$B=$A979,'Основной эфир'!$C:$C=$B979,'Основной эфир'!$I:$I=$C979)),"""")"),"")</f>
        <v/>
      </c>
      <c r="M979" s="92" t="str">
        <f t="shared" si="1"/>
        <v/>
      </c>
      <c r="N979" s="93">
        <f>IFERROR(__xludf.DUMMYFUNCTION("IFERROR(SWITCH(lower(join("" "",L979:M979)),""а миллионник"", 62.5,""б миллионник"", 75,""а мск"", 50, ""б мск"", 62.5, ""a остальное"", 70, ""б остальное"", 80)/100,0)"),0.0)</f>
        <v>0</v>
      </c>
      <c r="O979" s="91">
        <f t="shared" si="2"/>
        <v>0</v>
      </c>
      <c r="P979" s="91">
        <f>IFERROR(__xludf.DUMMYFUNCTION("IFERROR(sum(filter('Генеральный баннер'!$O:$O, 'Генеральный баннер'!$B:$B=$A979,'Генеральный баннер'!$C:$C=$B979,'Генеральный баннер'!$I:$I=$C979)), 0) "),0.0)</f>
        <v>0</v>
      </c>
      <c r="Q979" s="91">
        <f>IFERROR(__xludf.DUMMYFUNCTION("IFERROR(sum(filter('Генеральный баннер'!$Q:$Q, 'Генеральный баннер'!$B:$B=$A979,'Генеральный баннер'!$C:$C=$B979,'Генеральный баннер'!$I:$I=$C979)), 0) "),0.0)</f>
        <v>0</v>
      </c>
      <c r="R979" s="91">
        <f>IFERROR(__xludf.DUMMYFUNCTION("IFERROR(AVERAGE(filter('Генеральный баннер'!$AA:$AA, 'Генеральный баннер'!$B:$B=$A979,'Генеральный баннер'!$C:$C=$B979,'Генеральный баннер'!$I:$I=$C979)), 0) "),0.0)</f>
        <v>0</v>
      </c>
      <c r="S979" s="91">
        <f>IFERROR(__xludf.DUMMYFUNCTION("IFERROR(SUM(filter('Генеральный баннер'!$AH:$AH, 'Генеральный баннер'!$B:$B=$A979,'Генеральный баннер'!$C:$C=$B979,'Генеральный баннер'!$I:$I=$C979)), 0) "),0.0)</f>
        <v>0</v>
      </c>
      <c r="T979" s="91" t="str">
        <f>IFERROR(__xludf.DUMMYFUNCTION("IFERROR(REGEXREPLACE(unique(filter('Генеральный баннер'!$A:$A, 'Генеральный баннер'!$B:$B=$A979,'Генеральный баннер'!$C:$C=$B979,'Генеральный баннер'!$I:$I=$C979)), ""\d+"", """"),"""")"),"")</f>
        <v/>
      </c>
      <c r="U979" s="91" t="str">
        <f>IFERROR(__xludf.DUMMYFUNCTION("IFERROR(unique(filter('Генеральный баннер'!$F:$F, 'Генеральный баннер'!$B:$B=$A979,'Генеральный баннер'!$C:$C=$B979,'Генеральный баннер'!$I:$I=$C979)),"""")"),"")</f>
        <v/>
      </c>
      <c r="V979" s="92" t="str">
        <f t="shared" si="3"/>
        <v/>
      </c>
      <c r="W979" s="93">
        <f>IFERROR(__xludf.DUMMYFUNCTION("IFERROR(SWITCH(lower(join("" "",U979:V979)),""а миллионник"", 62.5,""б миллионник"", 75,""а мск"", 50, ""б мск"", 62.5, ""a остальное"", 70, ""б остальное"", 80)/100,0)"),0.0)</f>
        <v>0</v>
      </c>
      <c r="X979" s="91">
        <f t="shared" si="4"/>
        <v>0</v>
      </c>
    </row>
    <row r="980">
      <c r="A980" s="12"/>
      <c r="B980" s="12"/>
      <c r="C980" s="12"/>
      <c r="D980" s="91">
        <f>IFERROR(__xludf.DUMMYFUNCTION("IFERROR(sum(filter('Основной эфир'!$AA:$AA, 'Основной эфир'!$B:$B=$A980,'Основной эфир'!$C:$C=$B980,'Основной эфир'!$I:$I=$C980)), 0) "),0.0)</f>
        <v>0</v>
      </c>
      <c r="E980" s="91">
        <f>IFERROR(__xludf.DUMMYFUNCTION("IFERROR(sum(filter('Основной эфир'!$AC:$AC, 'Основной эфир'!$B:$B=$A980,'Основной эфир'!$C:$C=$B980,'Основной эфир'!$I:$I=$C980)), 0) "),0.0)</f>
        <v>0</v>
      </c>
      <c r="F980" s="91">
        <f>IFERROR(__xludf.DUMMYFUNCTION("IFERROR(sum(filter('Основной эфир'!$O:$O, 'Основной эфир'!$B:$B=$A980,'Основной эфир'!$C:$C=$B980,'Основной эфир'!$I:$I=$C980)), 0) "),0.0)</f>
        <v>0</v>
      </c>
      <c r="G980" s="91">
        <f>IFERROR(__xludf.DUMMYFUNCTION("IFERROR(sum(filter('Основной эфир'!$Q:$Q, 'Основной эфир'!$B:$B=$A980,'Основной эфир'!$C:$C=$B980,'Основной эфир'!$I:$I=$C980)), 0) "),0.0)</f>
        <v>0</v>
      </c>
      <c r="H980" s="91">
        <f>IFERROR(__xludf.DUMMYFUNCTION("IFERROR(AVERAGE(filter('Основной эфир'!$Y:$Y, 'Основной эфир'!$B:$B=$A980,'Основной эфир'!$C:$C=$B980,'Основной эфир'!$I:$I=$C980)), 0) "),0.0)</f>
        <v>0</v>
      </c>
      <c r="I980" s="91">
        <f>IFERROR(__xludf.DUMMYFUNCTION("IFERROR(AVERAGE(filter('Основной эфир'!$AE:$AE, 'Основной эфир'!$B:$B=$A980,'Основной эфир'!$C:$C=$B980,'Основной эфир'!$I:$I=$C980)), 0) "),0.0)</f>
        <v>0</v>
      </c>
      <c r="J980" s="91">
        <f>IFERROR(__xludf.DUMMYFUNCTION("IFERROR(SUM(filter('Основной эфир'!$AL:$AL, 'Основной эфир'!$B:$B=$A980,'Основной эфир'!$C:$C=$B980,'Основной эфир'!$I:$I=$C980)), 0) "),0.0)</f>
        <v>0</v>
      </c>
      <c r="K980" s="91" t="str">
        <f>IFERROR(__xludf.DUMMYFUNCTION("IFERROR(REGEXREPLACE(unique(filter('Основной эфир'!$A:$A, 'Основной эфир'!$B:$B=$A980,'Основной эфир'!$C:$C=$B980,'Основной эфир'!$I:$I=$C980)), ""\d+"", """"),"""")"),"")</f>
        <v/>
      </c>
      <c r="L980" s="91" t="str">
        <f>IFERROR(__xludf.DUMMYFUNCTION("IFERROR(unique(filter('Основной эфир'!$F:$F, 'Основной эфир'!$B:$B=$A980,'Основной эфир'!$C:$C=$B980,'Основной эфир'!$I:$I=$C980)),"""")"),"")</f>
        <v/>
      </c>
      <c r="M980" s="92" t="str">
        <f t="shared" si="1"/>
        <v/>
      </c>
      <c r="N980" s="93">
        <f>IFERROR(__xludf.DUMMYFUNCTION("IFERROR(SWITCH(lower(join("" "",L980:M980)),""а миллионник"", 62.5,""б миллионник"", 75,""а мск"", 50, ""б мск"", 62.5, ""a остальное"", 70, ""б остальное"", 80)/100,0)"),0.0)</f>
        <v>0</v>
      </c>
      <c r="O980" s="91">
        <f t="shared" si="2"/>
        <v>0</v>
      </c>
      <c r="P980" s="91">
        <f>IFERROR(__xludf.DUMMYFUNCTION("IFERROR(sum(filter('Генеральный баннер'!$O:$O, 'Генеральный баннер'!$B:$B=$A980,'Генеральный баннер'!$C:$C=$B980,'Генеральный баннер'!$I:$I=$C980)), 0) "),0.0)</f>
        <v>0</v>
      </c>
      <c r="Q980" s="91">
        <f>IFERROR(__xludf.DUMMYFUNCTION("IFERROR(sum(filter('Генеральный баннер'!$Q:$Q, 'Генеральный баннер'!$B:$B=$A980,'Генеральный баннер'!$C:$C=$B980,'Генеральный баннер'!$I:$I=$C980)), 0) "),0.0)</f>
        <v>0</v>
      </c>
      <c r="R980" s="91">
        <f>IFERROR(__xludf.DUMMYFUNCTION("IFERROR(AVERAGE(filter('Генеральный баннер'!$AA:$AA, 'Генеральный баннер'!$B:$B=$A980,'Генеральный баннер'!$C:$C=$B980,'Генеральный баннер'!$I:$I=$C980)), 0) "),0.0)</f>
        <v>0</v>
      </c>
      <c r="S980" s="91">
        <f>IFERROR(__xludf.DUMMYFUNCTION("IFERROR(SUM(filter('Генеральный баннер'!$AH:$AH, 'Генеральный баннер'!$B:$B=$A980,'Генеральный баннер'!$C:$C=$B980,'Генеральный баннер'!$I:$I=$C980)), 0) "),0.0)</f>
        <v>0</v>
      </c>
      <c r="T980" s="91" t="str">
        <f>IFERROR(__xludf.DUMMYFUNCTION("IFERROR(REGEXREPLACE(unique(filter('Генеральный баннер'!$A:$A, 'Генеральный баннер'!$B:$B=$A980,'Генеральный баннер'!$C:$C=$B980,'Генеральный баннер'!$I:$I=$C980)), ""\d+"", """"),"""")"),"")</f>
        <v/>
      </c>
      <c r="U980" s="91" t="str">
        <f>IFERROR(__xludf.DUMMYFUNCTION("IFERROR(unique(filter('Генеральный баннер'!$F:$F, 'Генеральный баннер'!$B:$B=$A980,'Генеральный баннер'!$C:$C=$B980,'Генеральный баннер'!$I:$I=$C980)),"""")"),"")</f>
        <v/>
      </c>
      <c r="V980" s="92" t="str">
        <f t="shared" si="3"/>
        <v/>
      </c>
      <c r="W980" s="93">
        <f>IFERROR(__xludf.DUMMYFUNCTION("IFERROR(SWITCH(lower(join("" "",U980:V980)),""а миллионник"", 62.5,""б миллионник"", 75,""а мск"", 50, ""б мск"", 62.5, ""a остальное"", 70, ""б остальное"", 80)/100,0)"),0.0)</f>
        <v>0</v>
      </c>
      <c r="X980" s="91">
        <f t="shared" si="4"/>
        <v>0</v>
      </c>
    </row>
    <row r="981">
      <c r="A981" s="12"/>
      <c r="B981" s="12"/>
      <c r="C981" s="12"/>
      <c r="D981" s="91">
        <f>IFERROR(__xludf.DUMMYFUNCTION("IFERROR(sum(filter('Основной эфир'!$AA:$AA, 'Основной эфир'!$B:$B=$A981,'Основной эфир'!$C:$C=$B981,'Основной эфир'!$I:$I=$C981)), 0) "),0.0)</f>
        <v>0</v>
      </c>
      <c r="E981" s="91">
        <f>IFERROR(__xludf.DUMMYFUNCTION("IFERROR(sum(filter('Основной эфир'!$AC:$AC, 'Основной эфир'!$B:$B=$A981,'Основной эфир'!$C:$C=$B981,'Основной эфир'!$I:$I=$C981)), 0) "),0.0)</f>
        <v>0</v>
      </c>
      <c r="F981" s="91">
        <f>IFERROR(__xludf.DUMMYFUNCTION("IFERROR(sum(filter('Основной эфир'!$O:$O, 'Основной эфир'!$B:$B=$A981,'Основной эфир'!$C:$C=$B981,'Основной эфир'!$I:$I=$C981)), 0) "),0.0)</f>
        <v>0</v>
      </c>
      <c r="G981" s="91">
        <f>IFERROR(__xludf.DUMMYFUNCTION("IFERROR(sum(filter('Основной эфир'!$Q:$Q, 'Основной эфир'!$B:$B=$A981,'Основной эфир'!$C:$C=$B981,'Основной эфир'!$I:$I=$C981)), 0) "),0.0)</f>
        <v>0</v>
      </c>
      <c r="H981" s="91">
        <f>IFERROR(__xludf.DUMMYFUNCTION("IFERROR(AVERAGE(filter('Основной эфир'!$Y:$Y, 'Основной эфир'!$B:$B=$A981,'Основной эфир'!$C:$C=$B981,'Основной эфир'!$I:$I=$C981)), 0) "),0.0)</f>
        <v>0</v>
      </c>
      <c r="I981" s="91">
        <f>IFERROR(__xludf.DUMMYFUNCTION("IFERROR(AVERAGE(filter('Основной эфир'!$AE:$AE, 'Основной эфир'!$B:$B=$A981,'Основной эфир'!$C:$C=$B981,'Основной эфир'!$I:$I=$C981)), 0) "),0.0)</f>
        <v>0</v>
      </c>
      <c r="J981" s="91">
        <f>IFERROR(__xludf.DUMMYFUNCTION("IFERROR(SUM(filter('Основной эфир'!$AL:$AL, 'Основной эфир'!$B:$B=$A981,'Основной эфир'!$C:$C=$B981,'Основной эфир'!$I:$I=$C981)), 0) "),0.0)</f>
        <v>0</v>
      </c>
      <c r="K981" s="91" t="str">
        <f>IFERROR(__xludf.DUMMYFUNCTION("IFERROR(REGEXREPLACE(unique(filter('Основной эфир'!$A:$A, 'Основной эфир'!$B:$B=$A981,'Основной эфир'!$C:$C=$B981,'Основной эфир'!$I:$I=$C981)), ""\d+"", """"),"""")"),"")</f>
        <v/>
      </c>
      <c r="L981" s="91" t="str">
        <f>IFERROR(__xludf.DUMMYFUNCTION("IFERROR(unique(filter('Основной эфир'!$F:$F, 'Основной эфир'!$B:$B=$A981,'Основной эфир'!$C:$C=$B981,'Основной эфир'!$I:$I=$C981)),"""")"),"")</f>
        <v/>
      </c>
      <c r="M981" s="92" t="str">
        <f t="shared" si="1"/>
        <v/>
      </c>
      <c r="N981" s="93">
        <f>IFERROR(__xludf.DUMMYFUNCTION("IFERROR(SWITCH(lower(join("" "",L981:M981)),""а миллионник"", 62.5,""б миллионник"", 75,""а мск"", 50, ""б мск"", 62.5, ""a остальное"", 70, ""б остальное"", 80)/100,0)"),0.0)</f>
        <v>0</v>
      </c>
      <c r="O981" s="91">
        <f t="shared" si="2"/>
        <v>0</v>
      </c>
      <c r="P981" s="91">
        <f>IFERROR(__xludf.DUMMYFUNCTION("IFERROR(sum(filter('Генеральный баннер'!$O:$O, 'Генеральный баннер'!$B:$B=$A981,'Генеральный баннер'!$C:$C=$B981,'Генеральный баннер'!$I:$I=$C981)), 0) "),0.0)</f>
        <v>0</v>
      </c>
      <c r="Q981" s="91">
        <f>IFERROR(__xludf.DUMMYFUNCTION("IFERROR(sum(filter('Генеральный баннер'!$Q:$Q, 'Генеральный баннер'!$B:$B=$A981,'Генеральный баннер'!$C:$C=$B981,'Генеральный баннер'!$I:$I=$C981)), 0) "),0.0)</f>
        <v>0</v>
      </c>
      <c r="R981" s="91">
        <f>IFERROR(__xludf.DUMMYFUNCTION("IFERROR(AVERAGE(filter('Генеральный баннер'!$AA:$AA, 'Генеральный баннер'!$B:$B=$A981,'Генеральный баннер'!$C:$C=$B981,'Генеральный баннер'!$I:$I=$C981)), 0) "),0.0)</f>
        <v>0</v>
      </c>
      <c r="S981" s="91">
        <f>IFERROR(__xludf.DUMMYFUNCTION("IFERROR(SUM(filter('Генеральный баннер'!$AH:$AH, 'Генеральный баннер'!$B:$B=$A981,'Генеральный баннер'!$C:$C=$B981,'Генеральный баннер'!$I:$I=$C981)), 0) "),0.0)</f>
        <v>0</v>
      </c>
      <c r="T981" s="91" t="str">
        <f>IFERROR(__xludf.DUMMYFUNCTION("IFERROR(REGEXREPLACE(unique(filter('Генеральный баннер'!$A:$A, 'Генеральный баннер'!$B:$B=$A981,'Генеральный баннер'!$C:$C=$B981,'Генеральный баннер'!$I:$I=$C981)), ""\d+"", """"),"""")"),"")</f>
        <v/>
      </c>
      <c r="U981" s="91" t="str">
        <f>IFERROR(__xludf.DUMMYFUNCTION("IFERROR(unique(filter('Генеральный баннер'!$F:$F, 'Генеральный баннер'!$B:$B=$A981,'Генеральный баннер'!$C:$C=$B981,'Генеральный баннер'!$I:$I=$C981)),"""")"),"")</f>
        <v/>
      </c>
      <c r="V981" s="92" t="str">
        <f t="shared" si="3"/>
        <v/>
      </c>
      <c r="W981" s="93">
        <f>IFERROR(__xludf.DUMMYFUNCTION("IFERROR(SWITCH(lower(join("" "",U981:V981)),""а миллионник"", 62.5,""б миллионник"", 75,""а мск"", 50, ""б мск"", 62.5, ""a остальное"", 70, ""б остальное"", 80)/100,0)"),0.0)</f>
        <v>0</v>
      </c>
      <c r="X981" s="91">
        <f t="shared" si="4"/>
        <v>0</v>
      </c>
    </row>
    <row r="982">
      <c r="A982" s="12"/>
      <c r="B982" s="12"/>
      <c r="C982" s="12"/>
      <c r="D982" s="91">
        <f>IFERROR(__xludf.DUMMYFUNCTION("IFERROR(sum(filter('Основной эфир'!$AA:$AA, 'Основной эфир'!$B:$B=$A982,'Основной эфир'!$C:$C=$B982,'Основной эфир'!$I:$I=$C982)), 0) "),0.0)</f>
        <v>0</v>
      </c>
      <c r="E982" s="91">
        <f>IFERROR(__xludf.DUMMYFUNCTION("IFERROR(sum(filter('Основной эфир'!$AC:$AC, 'Основной эфир'!$B:$B=$A982,'Основной эфир'!$C:$C=$B982,'Основной эфир'!$I:$I=$C982)), 0) "),0.0)</f>
        <v>0</v>
      </c>
      <c r="F982" s="91">
        <f>IFERROR(__xludf.DUMMYFUNCTION("IFERROR(sum(filter('Основной эфир'!$O:$O, 'Основной эфир'!$B:$B=$A982,'Основной эфир'!$C:$C=$B982,'Основной эфир'!$I:$I=$C982)), 0) "),0.0)</f>
        <v>0</v>
      </c>
      <c r="G982" s="91">
        <f>IFERROR(__xludf.DUMMYFUNCTION("IFERROR(sum(filter('Основной эфир'!$Q:$Q, 'Основной эфир'!$B:$B=$A982,'Основной эфир'!$C:$C=$B982,'Основной эфир'!$I:$I=$C982)), 0) "),0.0)</f>
        <v>0</v>
      </c>
      <c r="H982" s="91">
        <f>IFERROR(__xludf.DUMMYFUNCTION("IFERROR(AVERAGE(filter('Основной эфир'!$Y:$Y, 'Основной эфир'!$B:$B=$A982,'Основной эфир'!$C:$C=$B982,'Основной эфир'!$I:$I=$C982)), 0) "),0.0)</f>
        <v>0</v>
      </c>
      <c r="I982" s="91">
        <f>IFERROR(__xludf.DUMMYFUNCTION("IFERROR(AVERAGE(filter('Основной эфир'!$AE:$AE, 'Основной эфир'!$B:$B=$A982,'Основной эфир'!$C:$C=$B982,'Основной эфир'!$I:$I=$C982)), 0) "),0.0)</f>
        <v>0</v>
      </c>
      <c r="J982" s="91">
        <f>IFERROR(__xludf.DUMMYFUNCTION("IFERROR(SUM(filter('Основной эфир'!$AL:$AL, 'Основной эфир'!$B:$B=$A982,'Основной эфир'!$C:$C=$B982,'Основной эфир'!$I:$I=$C982)), 0) "),0.0)</f>
        <v>0</v>
      </c>
      <c r="K982" s="91" t="str">
        <f>IFERROR(__xludf.DUMMYFUNCTION("IFERROR(REGEXREPLACE(unique(filter('Основной эфир'!$A:$A, 'Основной эфир'!$B:$B=$A982,'Основной эфир'!$C:$C=$B982,'Основной эфир'!$I:$I=$C982)), ""\d+"", """"),"""")"),"")</f>
        <v/>
      </c>
      <c r="L982" s="91" t="str">
        <f>IFERROR(__xludf.DUMMYFUNCTION("IFERROR(unique(filter('Основной эфир'!$F:$F, 'Основной эфир'!$B:$B=$A982,'Основной эфир'!$C:$C=$B982,'Основной эфир'!$I:$I=$C982)),"""")"),"")</f>
        <v/>
      </c>
      <c r="M982" s="92" t="str">
        <f t="shared" si="1"/>
        <v/>
      </c>
      <c r="N982" s="93">
        <f>IFERROR(__xludf.DUMMYFUNCTION("IFERROR(SWITCH(lower(join("" "",L982:M982)),""а миллионник"", 62.5,""б миллионник"", 75,""а мск"", 50, ""б мск"", 62.5, ""a остальное"", 70, ""б остальное"", 80)/100,0)"),0.0)</f>
        <v>0</v>
      </c>
      <c r="O982" s="91">
        <f t="shared" si="2"/>
        <v>0</v>
      </c>
      <c r="P982" s="91">
        <f>IFERROR(__xludf.DUMMYFUNCTION("IFERROR(sum(filter('Генеральный баннер'!$O:$O, 'Генеральный баннер'!$B:$B=$A982,'Генеральный баннер'!$C:$C=$B982,'Генеральный баннер'!$I:$I=$C982)), 0) "),0.0)</f>
        <v>0</v>
      </c>
      <c r="Q982" s="91">
        <f>IFERROR(__xludf.DUMMYFUNCTION("IFERROR(sum(filter('Генеральный баннер'!$Q:$Q, 'Генеральный баннер'!$B:$B=$A982,'Генеральный баннер'!$C:$C=$B982,'Генеральный баннер'!$I:$I=$C982)), 0) "),0.0)</f>
        <v>0</v>
      </c>
      <c r="R982" s="91">
        <f>IFERROR(__xludf.DUMMYFUNCTION("IFERROR(AVERAGE(filter('Генеральный баннер'!$AA:$AA, 'Генеральный баннер'!$B:$B=$A982,'Генеральный баннер'!$C:$C=$B982,'Генеральный баннер'!$I:$I=$C982)), 0) "),0.0)</f>
        <v>0</v>
      </c>
      <c r="S982" s="91">
        <f>IFERROR(__xludf.DUMMYFUNCTION("IFERROR(SUM(filter('Генеральный баннер'!$AH:$AH, 'Генеральный баннер'!$B:$B=$A982,'Генеральный баннер'!$C:$C=$B982,'Генеральный баннер'!$I:$I=$C982)), 0) "),0.0)</f>
        <v>0</v>
      </c>
      <c r="T982" s="91" t="str">
        <f>IFERROR(__xludf.DUMMYFUNCTION("IFERROR(REGEXREPLACE(unique(filter('Генеральный баннер'!$A:$A, 'Генеральный баннер'!$B:$B=$A982,'Генеральный баннер'!$C:$C=$B982,'Генеральный баннер'!$I:$I=$C982)), ""\d+"", """"),"""")"),"")</f>
        <v/>
      </c>
      <c r="U982" s="91" t="str">
        <f>IFERROR(__xludf.DUMMYFUNCTION("IFERROR(unique(filter('Генеральный баннер'!$F:$F, 'Генеральный баннер'!$B:$B=$A982,'Генеральный баннер'!$C:$C=$B982,'Генеральный баннер'!$I:$I=$C982)),"""")"),"")</f>
        <v/>
      </c>
      <c r="V982" s="92" t="str">
        <f t="shared" si="3"/>
        <v/>
      </c>
      <c r="W982" s="93">
        <f>IFERROR(__xludf.DUMMYFUNCTION("IFERROR(SWITCH(lower(join("" "",U982:V982)),""а миллионник"", 62.5,""б миллионник"", 75,""а мск"", 50, ""б мск"", 62.5, ""a остальное"", 70, ""б остальное"", 80)/100,0)"),0.0)</f>
        <v>0</v>
      </c>
      <c r="X982" s="91">
        <f t="shared" si="4"/>
        <v>0</v>
      </c>
    </row>
    <row r="983">
      <c r="A983" s="12"/>
      <c r="B983" s="12"/>
      <c r="C983" s="12"/>
      <c r="D983" s="91">
        <f>IFERROR(__xludf.DUMMYFUNCTION("IFERROR(sum(filter('Основной эфир'!$AA:$AA, 'Основной эфир'!$B:$B=$A983,'Основной эфир'!$C:$C=$B983,'Основной эфир'!$I:$I=$C983)), 0) "),0.0)</f>
        <v>0</v>
      </c>
      <c r="E983" s="91">
        <f>IFERROR(__xludf.DUMMYFUNCTION("IFERROR(sum(filter('Основной эфир'!$AC:$AC, 'Основной эфир'!$B:$B=$A983,'Основной эфир'!$C:$C=$B983,'Основной эфир'!$I:$I=$C983)), 0) "),0.0)</f>
        <v>0</v>
      </c>
      <c r="F983" s="91">
        <f>IFERROR(__xludf.DUMMYFUNCTION("IFERROR(sum(filter('Основной эфир'!$O:$O, 'Основной эфир'!$B:$B=$A983,'Основной эфир'!$C:$C=$B983,'Основной эфир'!$I:$I=$C983)), 0) "),0.0)</f>
        <v>0</v>
      </c>
      <c r="G983" s="91">
        <f>IFERROR(__xludf.DUMMYFUNCTION("IFERROR(sum(filter('Основной эфир'!$Q:$Q, 'Основной эфир'!$B:$B=$A983,'Основной эфир'!$C:$C=$B983,'Основной эфир'!$I:$I=$C983)), 0) "),0.0)</f>
        <v>0</v>
      </c>
      <c r="H983" s="91">
        <f>IFERROR(__xludf.DUMMYFUNCTION("IFERROR(AVERAGE(filter('Основной эфир'!$Y:$Y, 'Основной эфир'!$B:$B=$A983,'Основной эфир'!$C:$C=$B983,'Основной эфир'!$I:$I=$C983)), 0) "),0.0)</f>
        <v>0</v>
      </c>
      <c r="I983" s="91">
        <f>IFERROR(__xludf.DUMMYFUNCTION("IFERROR(AVERAGE(filter('Основной эфир'!$AE:$AE, 'Основной эфир'!$B:$B=$A983,'Основной эфир'!$C:$C=$B983,'Основной эфир'!$I:$I=$C983)), 0) "),0.0)</f>
        <v>0</v>
      </c>
      <c r="J983" s="91">
        <f>IFERROR(__xludf.DUMMYFUNCTION("IFERROR(SUM(filter('Основной эфир'!$AL:$AL, 'Основной эфир'!$B:$B=$A983,'Основной эфир'!$C:$C=$B983,'Основной эфир'!$I:$I=$C983)), 0) "),0.0)</f>
        <v>0</v>
      </c>
      <c r="K983" s="91" t="str">
        <f>IFERROR(__xludf.DUMMYFUNCTION("IFERROR(REGEXREPLACE(unique(filter('Основной эфир'!$A:$A, 'Основной эфир'!$B:$B=$A983,'Основной эфир'!$C:$C=$B983,'Основной эфир'!$I:$I=$C983)), ""\d+"", """"),"""")"),"")</f>
        <v/>
      </c>
      <c r="L983" s="91" t="str">
        <f>IFERROR(__xludf.DUMMYFUNCTION("IFERROR(unique(filter('Основной эфир'!$F:$F, 'Основной эфир'!$B:$B=$A983,'Основной эфир'!$C:$C=$B983,'Основной эфир'!$I:$I=$C983)),"""")"),"")</f>
        <v/>
      </c>
      <c r="M983" s="92" t="str">
        <f t="shared" si="1"/>
        <v/>
      </c>
      <c r="N983" s="93">
        <f>IFERROR(__xludf.DUMMYFUNCTION("IFERROR(SWITCH(lower(join("" "",L983:M983)),""а миллионник"", 62.5,""б миллионник"", 75,""а мск"", 50, ""б мск"", 62.5, ""a остальное"", 70, ""б остальное"", 80)/100,0)"),0.0)</f>
        <v>0</v>
      </c>
      <c r="O983" s="91">
        <f t="shared" si="2"/>
        <v>0</v>
      </c>
      <c r="P983" s="91">
        <f>IFERROR(__xludf.DUMMYFUNCTION("IFERROR(sum(filter('Генеральный баннер'!$O:$O, 'Генеральный баннер'!$B:$B=$A983,'Генеральный баннер'!$C:$C=$B983,'Генеральный баннер'!$I:$I=$C983)), 0) "),0.0)</f>
        <v>0</v>
      </c>
      <c r="Q983" s="91">
        <f>IFERROR(__xludf.DUMMYFUNCTION("IFERROR(sum(filter('Генеральный баннер'!$Q:$Q, 'Генеральный баннер'!$B:$B=$A983,'Генеральный баннер'!$C:$C=$B983,'Генеральный баннер'!$I:$I=$C983)), 0) "),0.0)</f>
        <v>0</v>
      </c>
      <c r="R983" s="91">
        <f>IFERROR(__xludf.DUMMYFUNCTION("IFERROR(AVERAGE(filter('Генеральный баннер'!$AA:$AA, 'Генеральный баннер'!$B:$B=$A983,'Генеральный баннер'!$C:$C=$B983,'Генеральный баннер'!$I:$I=$C983)), 0) "),0.0)</f>
        <v>0</v>
      </c>
      <c r="S983" s="91">
        <f>IFERROR(__xludf.DUMMYFUNCTION("IFERROR(SUM(filter('Генеральный баннер'!$AH:$AH, 'Генеральный баннер'!$B:$B=$A983,'Генеральный баннер'!$C:$C=$B983,'Генеральный баннер'!$I:$I=$C983)), 0) "),0.0)</f>
        <v>0</v>
      </c>
      <c r="T983" s="91" t="str">
        <f>IFERROR(__xludf.DUMMYFUNCTION("IFERROR(REGEXREPLACE(unique(filter('Генеральный баннер'!$A:$A, 'Генеральный баннер'!$B:$B=$A983,'Генеральный баннер'!$C:$C=$B983,'Генеральный баннер'!$I:$I=$C983)), ""\d+"", """"),"""")"),"")</f>
        <v/>
      </c>
      <c r="U983" s="91" t="str">
        <f>IFERROR(__xludf.DUMMYFUNCTION("IFERROR(unique(filter('Генеральный баннер'!$F:$F, 'Генеральный баннер'!$B:$B=$A983,'Генеральный баннер'!$C:$C=$B983,'Генеральный баннер'!$I:$I=$C983)),"""")"),"")</f>
        <v/>
      </c>
      <c r="V983" s="92" t="str">
        <f t="shared" si="3"/>
        <v/>
      </c>
      <c r="W983" s="93">
        <f>IFERROR(__xludf.DUMMYFUNCTION("IFERROR(SWITCH(lower(join("" "",U983:V983)),""а миллионник"", 62.5,""б миллионник"", 75,""а мск"", 50, ""б мск"", 62.5, ""a остальное"", 70, ""б остальное"", 80)/100,0)"),0.0)</f>
        <v>0</v>
      </c>
      <c r="X983" s="91">
        <f t="shared" si="4"/>
        <v>0</v>
      </c>
    </row>
    <row r="984">
      <c r="A984" s="12"/>
      <c r="B984" s="12"/>
      <c r="C984" s="12"/>
      <c r="D984" s="91">
        <f>IFERROR(__xludf.DUMMYFUNCTION("IFERROR(sum(filter('Основной эфир'!$AA:$AA, 'Основной эфир'!$B:$B=$A984,'Основной эфир'!$C:$C=$B984,'Основной эфир'!$I:$I=$C984)), 0) "),0.0)</f>
        <v>0</v>
      </c>
      <c r="E984" s="91">
        <f>IFERROR(__xludf.DUMMYFUNCTION("IFERROR(sum(filter('Основной эфир'!$AC:$AC, 'Основной эфир'!$B:$B=$A984,'Основной эфир'!$C:$C=$B984,'Основной эфир'!$I:$I=$C984)), 0) "),0.0)</f>
        <v>0</v>
      </c>
      <c r="F984" s="91">
        <f>IFERROR(__xludf.DUMMYFUNCTION("IFERROR(sum(filter('Основной эфир'!$O:$O, 'Основной эфир'!$B:$B=$A984,'Основной эфир'!$C:$C=$B984,'Основной эфир'!$I:$I=$C984)), 0) "),0.0)</f>
        <v>0</v>
      </c>
      <c r="G984" s="91">
        <f>IFERROR(__xludf.DUMMYFUNCTION("IFERROR(sum(filter('Основной эфир'!$Q:$Q, 'Основной эфир'!$B:$B=$A984,'Основной эфир'!$C:$C=$B984,'Основной эфир'!$I:$I=$C984)), 0) "),0.0)</f>
        <v>0</v>
      </c>
      <c r="H984" s="91">
        <f>IFERROR(__xludf.DUMMYFUNCTION("IFERROR(AVERAGE(filter('Основной эфир'!$Y:$Y, 'Основной эфир'!$B:$B=$A984,'Основной эфир'!$C:$C=$B984,'Основной эфир'!$I:$I=$C984)), 0) "),0.0)</f>
        <v>0</v>
      </c>
      <c r="I984" s="91">
        <f>IFERROR(__xludf.DUMMYFUNCTION("IFERROR(AVERAGE(filter('Основной эфир'!$AE:$AE, 'Основной эфир'!$B:$B=$A984,'Основной эфир'!$C:$C=$B984,'Основной эфир'!$I:$I=$C984)), 0) "),0.0)</f>
        <v>0</v>
      </c>
      <c r="J984" s="91">
        <f>IFERROR(__xludf.DUMMYFUNCTION("IFERROR(SUM(filter('Основной эфир'!$AL:$AL, 'Основной эфир'!$B:$B=$A984,'Основной эфир'!$C:$C=$B984,'Основной эфир'!$I:$I=$C984)), 0) "),0.0)</f>
        <v>0</v>
      </c>
      <c r="K984" s="91" t="str">
        <f>IFERROR(__xludf.DUMMYFUNCTION("IFERROR(REGEXREPLACE(unique(filter('Основной эфир'!$A:$A, 'Основной эфир'!$B:$B=$A984,'Основной эфир'!$C:$C=$B984,'Основной эфир'!$I:$I=$C984)), ""\d+"", """"),"""")"),"")</f>
        <v/>
      </c>
      <c r="L984" s="91" t="str">
        <f>IFERROR(__xludf.DUMMYFUNCTION("IFERROR(unique(filter('Основной эфир'!$F:$F, 'Основной эфир'!$B:$B=$A984,'Основной эфир'!$C:$C=$B984,'Основной эфир'!$I:$I=$C984)),"""")"),"")</f>
        <v/>
      </c>
      <c r="M984" s="92" t="str">
        <f t="shared" si="1"/>
        <v/>
      </c>
      <c r="N984" s="93">
        <f>IFERROR(__xludf.DUMMYFUNCTION("IFERROR(SWITCH(lower(join("" "",L984:M984)),""а миллионник"", 62.5,""б миллионник"", 75,""а мск"", 50, ""б мск"", 62.5, ""a остальное"", 70, ""б остальное"", 80)/100,0)"),0.0)</f>
        <v>0</v>
      </c>
      <c r="O984" s="91">
        <f t="shared" si="2"/>
        <v>0</v>
      </c>
      <c r="P984" s="91">
        <f>IFERROR(__xludf.DUMMYFUNCTION("IFERROR(sum(filter('Генеральный баннер'!$O:$O, 'Генеральный баннер'!$B:$B=$A984,'Генеральный баннер'!$C:$C=$B984,'Генеральный баннер'!$I:$I=$C984)), 0) "),0.0)</f>
        <v>0</v>
      </c>
      <c r="Q984" s="91">
        <f>IFERROR(__xludf.DUMMYFUNCTION("IFERROR(sum(filter('Генеральный баннер'!$Q:$Q, 'Генеральный баннер'!$B:$B=$A984,'Генеральный баннер'!$C:$C=$B984,'Генеральный баннер'!$I:$I=$C984)), 0) "),0.0)</f>
        <v>0</v>
      </c>
      <c r="R984" s="91">
        <f>IFERROR(__xludf.DUMMYFUNCTION("IFERROR(AVERAGE(filter('Генеральный баннер'!$AA:$AA, 'Генеральный баннер'!$B:$B=$A984,'Генеральный баннер'!$C:$C=$B984,'Генеральный баннер'!$I:$I=$C984)), 0) "),0.0)</f>
        <v>0</v>
      </c>
      <c r="S984" s="91">
        <f>IFERROR(__xludf.DUMMYFUNCTION("IFERROR(SUM(filter('Генеральный баннер'!$AH:$AH, 'Генеральный баннер'!$B:$B=$A984,'Генеральный баннер'!$C:$C=$B984,'Генеральный баннер'!$I:$I=$C984)), 0) "),0.0)</f>
        <v>0</v>
      </c>
      <c r="T984" s="91" t="str">
        <f>IFERROR(__xludf.DUMMYFUNCTION("IFERROR(REGEXREPLACE(unique(filter('Генеральный баннер'!$A:$A, 'Генеральный баннер'!$B:$B=$A984,'Генеральный баннер'!$C:$C=$B984,'Генеральный баннер'!$I:$I=$C984)), ""\d+"", """"),"""")"),"")</f>
        <v/>
      </c>
      <c r="U984" s="91" t="str">
        <f>IFERROR(__xludf.DUMMYFUNCTION("IFERROR(unique(filter('Генеральный баннер'!$F:$F, 'Генеральный баннер'!$B:$B=$A984,'Генеральный баннер'!$C:$C=$B984,'Генеральный баннер'!$I:$I=$C984)),"""")"),"")</f>
        <v/>
      </c>
      <c r="V984" s="92" t="str">
        <f t="shared" si="3"/>
        <v/>
      </c>
      <c r="W984" s="93">
        <f>IFERROR(__xludf.DUMMYFUNCTION("IFERROR(SWITCH(lower(join("" "",U984:V984)),""а миллионник"", 62.5,""б миллионник"", 75,""а мск"", 50, ""б мск"", 62.5, ""a остальное"", 70, ""б остальное"", 80)/100,0)"),0.0)</f>
        <v>0</v>
      </c>
      <c r="X984" s="91">
        <f t="shared" si="4"/>
        <v>0</v>
      </c>
    </row>
    <row r="985">
      <c r="A985" s="12"/>
      <c r="B985" s="12"/>
      <c r="C985" s="12"/>
      <c r="D985" s="91">
        <f>IFERROR(__xludf.DUMMYFUNCTION("IFERROR(sum(filter('Основной эфир'!$AA:$AA, 'Основной эфир'!$B:$B=$A985,'Основной эфир'!$C:$C=$B985,'Основной эфир'!$I:$I=$C985)), 0) "),0.0)</f>
        <v>0</v>
      </c>
      <c r="E985" s="91">
        <f>IFERROR(__xludf.DUMMYFUNCTION("IFERROR(sum(filter('Основной эфир'!$AC:$AC, 'Основной эфир'!$B:$B=$A985,'Основной эфир'!$C:$C=$B985,'Основной эфир'!$I:$I=$C985)), 0) "),0.0)</f>
        <v>0</v>
      </c>
      <c r="F985" s="91">
        <f>IFERROR(__xludf.DUMMYFUNCTION("IFERROR(sum(filter('Основной эфир'!$O:$O, 'Основной эфир'!$B:$B=$A985,'Основной эфир'!$C:$C=$B985,'Основной эфир'!$I:$I=$C985)), 0) "),0.0)</f>
        <v>0</v>
      </c>
      <c r="G985" s="91">
        <f>IFERROR(__xludf.DUMMYFUNCTION("IFERROR(sum(filter('Основной эфир'!$Q:$Q, 'Основной эфир'!$B:$B=$A985,'Основной эфир'!$C:$C=$B985,'Основной эфир'!$I:$I=$C985)), 0) "),0.0)</f>
        <v>0</v>
      </c>
      <c r="H985" s="91">
        <f>IFERROR(__xludf.DUMMYFUNCTION("IFERROR(AVERAGE(filter('Основной эфир'!$Y:$Y, 'Основной эфир'!$B:$B=$A985,'Основной эфир'!$C:$C=$B985,'Основной эфир'!$I:$I=$C985)), 0) "),0.0)</f>
        <v>0</v>
      </c>
      <c r="I985" s="91">
        <f>IFERROR(__xludf.DUMMYFUNCTION("IFERROR(AVERAGE(filter('Основной эфир'!$AE:$AE, 'Основной эфир'!$B:$B=$A985,'Основной эфир'!$C:$C=$B985,'Основной эфир'!$I:$I=$C985)), 0) "),0.0)</f>
        <v>0</v>
      </c>
      <c r="J985" s="91">
        <f>IFERROR(__xludf.DUMMYFUNCTION("IFERROR(SUM(filter('Основной эфир'!$AL:$AL, 'Основной эфир'!$B:$B=$A985,'Основной эфир'!$C:$C=$B985,'Основной эфир'!$I:$I=$C985)), 0) "),0.0)</f>
        <v>0</v>
      </c>
      <c r="K985" s="91" t="str">
        <f>IFERROR(__xludf.DUMMYFUNCTION("IFERROR(REGEXREPLACE(unique(filter('Основной эфир'!$A:$A, 'Основной эфир'!$B:$B=$A985,'Основной эфир'!$C:$C=$B985,'Основной эфир'!$I:$I=$C985)), ""\d+"", """"),"""")"),"")</f>
        <v/>
      </c>
      <c r="L985" s="91" t="str">
        <f>IFERROR(__xludf.DUMMYFUNCTION("IFERROR(unique(filter('Основной эфир'!$F:$F, 'Основной эфир'!$B:$B=$A985,'Основной эфир'!$C:$C=$B985,'Основной эфир'!$I:$I=$C985)),"""")"),"")</f>
        <v/>
      </c>
      <c r="M985" s="92" t="str">
        <f t="shared" si="1"/>
        <v/>
      </c>
      <c r="N985" s="93">
        <f>IFERROR(__xludf.DUMMYFUNCTION("IFERROR(SWITCH(lower(join("" "",L985:M985)),""а миллионник"", 62.5,""б миллионник"", 75,""а мск"", 50, ""б мск"", 62.5, ""a остальное"", 70, ""б остальное"", 80)/100,0)"),0.0)</f>
        <v>0</v>
      </c>
      <c r="O985" s="91">
        <f t="shared" si="2"/>
        <v>0</v>
      </c>
      <c r="P985" s="91">
        <f>IFERROR(__xludf.DUMMYFUNCTION("IFERROR(sum(filter('Генеральный баннер'!$O:$O, 'Генеральный баннер'!$B:$B=$A985,'Генеральный баннер'!$C:$C=$B985,'Генеральный баннер'!$I:$I=$C985)), 0) "),0.0)</f>
        <v>0</v>
      </c>
      <c r="Q985" s="91">
        <f>IFERROR(__xludf.DUMMYFUNCTION("IFERROR(sum(filter('Генеральный баннер'!$Q:$Q, 'Генеральный баннер'!$B:$B=$A985,'Генеральный баннер'!$C:$C=$B985,'Генеральный баннер'!$I:$I=$C985)), 0) "),0.0)</f>
        <v>0</v>
      </c>
      <c r="R985" s="91">
        <f>IFERROR(__xludf.DUMMYFUNCTION("IFERROR(AVERAGE(filter('Генеральный баннер'!$AA:$AA, 'Генеральный баннер'!$B:$B=$A985,'Генеральный баннер'!$C:$C=$B985,'Генеральный баннер'!$I:$I=$C985)), 0) "),0.0)</f>
        <v>0</v>
      </c>
      <c r="S985" s="91">
        <f>IFERROR(__xludf.DUMMYFUNCTION("IFERROR(SUM(filter('Генеральный баннер'!$AH:$AH, 'Генеральный баннер'!$B:$B=$A985,'Генеральный баннер'!$C:$C=$B985,'Генеральный баннер'!$I:$I=$C985)), 0) "),0.0)</f>
        <v>0</v>
      </c>
      <c r="T985" s="91" t="str">
        <f>IFERROR(__xludf.DUMMYFUNCTION("IFERROR(REGEXREPLACE(unique(filter('Генеральный баннер'!$A:$A, 'Генеральный баннер'!$B:$B=$A985,'Генеральный баннер'!$C:$C=$B985,'Генеральный баннер'!$I:$I=$C985)), ""\d+"", """"),"""")"),"")</f>
        <v/>
      </c>
      <c r="U985" s="91" t="str">
        <f>IFERROR(__xludf.DUMMYFUNCTION("IFERROR(unique(filter('Генеральный баннер'!$F:$F, 'Генеральный баннер'!$B:$B=$A985,'Генеральный баннер'!$C:$C=$B985,'Генеральный баннер'!$I:$I=$C985)),"""")"),"")</f>
        <v/>
      </c>
      <c r="V985" s="92" t="str">
        <f t="shared" si="3"/>
        <v/>
      </c>
      <c r="W985" s="93">
        <f>IFERROR(__xludf.DUMMYFUNCTION("IFERROR(SWITCH(lower(join("" "",U985:V985)),""а миллионник"", 62.5,""б миллионник"", 75,""а мск"", 50, ""б мск"", 62.5, ""a остальное"", 70, ""б остальное"", 80)/100,0)"),0.0)</f>
        <v>0</v>
      </c>
      <c r="X985" s="91">
        <f t="shared" si="4"/>
        <v>0</v>
      </c>
    </row>
    <row r="986">
      <c r="A986" s="12"/>
      <c r="B986" s="12"/>
      <c r="C986" s="12"/>
      <c r="D986" s="91">
        <f>IFERROR(__xludf.DUMMYFUNCTION("IFERROR(sum(filter('Основной эфир'!$AA:$AA, 'Основной эфир'!$B:$B=$A986,'Основной эфир'!$C:$C=$B986,'Основной эфир'!$I:$I=$C986)), 0) "),0.0)</f>
        <v>0</v>
      </c>
      <c r="E986" s="91">
        <f>IFERROR(__xludf.DUMMYFUNCTION("IFERROR(sum(filter('Основной эфир'!$AC:$AC, 'Основной эфир'!$B:$B=$A986,'Основной эфир'!$C:$C=$B986,'Основной эфир'!$I:$I=$C986)), 0) "),0.0)</f>
        <v>0</v>
      </c>
      <c r="F986" s="91">
        <f>IFERROR(__xludf.DUMMYFUNCTION("IFERROR(sum(filter('Основной эфир'!$O:$O, 'Основной эфир'!$B:$B=$A986,'Основной эфир'!$C:$C=$B986,'Основной эфир'!$I:$I=$C986)), 0) "),0.0)</f>
        <v>0</v>
      </c>
      <c r="G986" s="91">
        <f>IFERROR(__xludf.DUMMYFUNCTION("IFERROR(sum(filter('Основной эфир'!$Q:$Q, 'Основной эфир'!$B:$B=$A986,'Основной эфир'!$C:$C=$B986,'Основной эфир'!$I:$I=$C986)), 0) "),0.0)</f>
        <v>0</v>
      </c>
      <c r="H986" s="91">
        <f>IFERROR(__xludf.DUMMYFUNCTION("IFERROR(AVERAGE(filter('Основной эфир'!$Y:$Y, 'Основной эфир'!$B:$B=$A986,'Основной эфир'!$C:$C=$B986,'Основной эфир'!$I:$I=$C986)), 0) "),0.0)</f>
        <v>0</v>
      </c>
      <c r="I986" s="91">
        <f>IFERROR(__xludf.DUMMYFUNCTION("IFERROR(AVERAGE(filter('Основной эфир'!$AE:$AE, 'Основной эфир'!$B:$B=$A986,'Основной эфир'!$C:$C=$B986,'Основной эфир'!$I:$I=$C986)), 0) "),0.0)</f>
        <v>0</v>
      </c>
      <c r="J986" s="91">
        <f>IFERROR(__xludf.DUMMYFUNCTION("IFERROR(SUM(filter('Основной эфир'!$AL:$AL, 'Основной эфир'!$B:$B=$A986,'Основной эфир'!$C:$C=$B986,'Основной эфир'!$I:$I=$C986)), 0) "),0.0)</f>
        <v>0</v>
      </c>
      <c r="K986" s="91" t="str">
        <f>IFERROR(__xludf.DUMMYFUNCTION("IFERROR(REGEXREPLACE(unique(filter('Основной эфир'!$A:$A, 'Основной эфир'!$B:$B=$A986,'Основной эфир'!$C:$C=$B986,'Основной эфир'!$I:$I=$C986)), ""\d+"", """"),"""")"),"")</f>
        <v/>
      </c>
      <c r="L986" s="91" t="str">
        <f>IFERROR(__xludf.DUMMYFUNCTION("IFERROR(unique(filter('Основной эфир'!$F:$F, 'Основной эфир'!$B:$B=$A986,'Основной эфир'!$C:$C=$B986,'Основной эфир'!$I:$I=$C986)),"""")"),"")</f>
        <v/>
      </c>
      <c r="M986" s="92" t="str">
        <f t="shared" si="1"/>
        <v/>
      </c>
      <c r="N986" s="93">
        <f>IFERROR(__xludf.DUMMYFUNCTION("IFERROR(SWITCH(lower(join("" "",L986:M986)),""а миллионник"", 62.5,""б миллионник"", 75,""а мск"", 50, ""б мск"", 62.5, ""a остальное"", 70, ""б остальное"", 80)/100,0)"),0.0)</f>
        <v>0</v>
      </c>
      <c r="O986" s="91">
        <f t="shared" si="2"/>
        <v>0</v>
      </c>
      <c r="P986" s="91">
        <f>IFERROR(__xludf.DUMMYFUNCTION("IFERROR(sum(filter('Генеральный баннер'!$O:$O, 'Генеральный баннер'!$B:$B=$A986,'Генеральный баннер'!$C:$C=$B986,'Генеральный баннер'!$I:$I=$C986)), 0) "),0.0)</f>
        <v>0</v>
      </c>
      <c r="Q986" s="91">
        <f>IFERROR(__xludf.DUMMYFUNCTION("IFERROR(sum(filter('Генеральный баннер'!$Q:$Q, 'Генеральный баннер'!$B:$B=$A986,'Генеральный баннер'!$C:$C=$B986,'Генеральный баннер'!$I:$I=$C986)), 0) "),0.0)</f>
        <v>0</v>
      </c>
      <c r="R986" s="91">
        <f>IFERROR(__xludf.DUMMYFUNCTION("IFERROR(AVERAGE(filter('Генеральный баннер'!$AA:$AA, 'Генеральный баннер'!$B:$B=$A986,'Генеральный баннер'!$C:$C=$B986,'Генеральный баннер'!$I:$I=$C986)), 0) "),0.0)</f>
        <v>0</v>
      </c>
      <c r="S986" s="91">
        <f>IFERROR(__xludf.DUMMYFUNCTION("IFERROR(SUM(filter('Генеральный баннер'!$AH:$AH, 'Генеральный баннер'!$B:$B=$A986,'Генеральный баннер'!$C:$C=$B986,'Генеральный баннер'!$I:$I=$C986)), 0) "),0.0)</f>
        <v>0</v>
      </c>
      <c r="T986" s="91" t="str">
        <f>IFERROR(__xludf.DUMMYFUNCTION("IFERROR(REGEXREPLACE(unique(filter('Генеральный баннер'!$A:$A, 'Генеральный баннер'!$B:$B=$A986,'Генеральный баннер'!$C:$C=$B986,'Генеральный баннер'!$I:$I=$C986)), ""\d+"", """"),"""")"),"")</f>
        <v/>
      </c>
      <c r="U986" s="91" t="str">
        <f>IFERROR(__xludf.DUMMYFUNCTION("IFERROR(unique(filter('Генеральный баннер'!$F:$F, 'Генеральный баннер'!$B:$B=$A986,'Генеральный баннер'!$C:$C=$B986,'Генеральный баннер'!$I:$I=$C986)),"""")"),"")</f>
        <v/>
      </c>
      <c r="V986" s="92" t="str">
        <f t="shared" si="3"/>
        <v/>
      </c>
      <c r="W986" s="93">
        <f>IFERROR(__xludf.DUMMYFUNCTION("IFERROR(SWITCH(lower(join("" "",U986:V986)),""а миллионник"", 62.5,""б миллионник"", 75,""а мск"", 50, ""б мск"", 62.5, ""a остальное"", 70, ""б остальное"", 80)/100,0)"),0.0)</f>
        <v>0</v>
      </c>
      <c r="X986" s="91">
        <f t="shared" si="4"/>
        <v>0</v>
      </c>
    </row>
    <row r="987">
      <c r="A987" s="12"/>
      <c r="B987" s="12"/>
      <c r="C987" s="12"/>
      <c r="D987" s="91">
        <f>IFERROR(__xludf.DUMMYFUNCTION("IFERROR(sum(filter('Основной эфир'!$AA:$AA, 'Основной эфир'!$B:$B=$A987,'Основной эфир'!$C:$C=$B987,'Основной эфир'!$I:$I=$C987)), 0) "),0.0)</f>
        <v>0</v>
      </c>
      <c r="E987" s="91">
        <f>IFERROR(__xludf.DUMMYFUNCTION("IFERROR(sum(filter('Основной эфир'!$AC:$AC, 'Основной эфир'!$B:$B=$A987,'Основной эфир'!$C:$C=$B987,'Основной эфир'!$I:$I=$C987)), 0) "),0.0)</f>
        <v>0</v>
      </c>
      <c r="F987" s="91">
        <f>IFERROR(__xludf.DUMMYFUNCTION("IFERROR(sum(filter('Основной эфир'!$O:$O, 'Основной эфир'!$B:$B=$A987,'Основной эфир'!$C:$C=$B987,'Основной эфир'!$I:$I=$C987)), 0) "),0.0)</f>
        <v>0</v>
      </c>
      <c r="G987" s="91">
        <f>IFERROR(__xludf.DUMMYFUNCTION("IFERROR(sum(filter('Основной эфир'!$Q:$Q, 'Основной эфир'!$B:$B=$A987,'Основной эфир'!$C:$C=$B987,'Основной эфир'!$I:$I=$C987)), 0) "),0.0)</f>
        <v>0</v>
      </c>
      <c r="H987" s="91">
        <f>IFERROR(__xludf.DUMMYFUNCTION("IFERROR(AVERAGE(filter('Основной эфир'!$Y:$Y, 'Основной эфир'!$B:$B=$A987,'Основной эфир'!$C:$C=$B987,'Основной эфир'!$I:$I=$C987)), 0) "),0.0)</f>
        <v>0</v>
      </c>
      <c r="I987" s="91">
        <f>IFERROR(__xludf.DUMMYFUNCTION("IFERROR(AVERAGE(filter('Основной эфир'!$AE:$AE, 'Основной эфир'!$B:$B=$A987,'Основной эфир'!$C:$C=$B987,'Основной эфир'!$I:$I=$C987)), 0) "),0.0)</f>
        <v>0</v>
      </c>
      <c r="J987" s="91">
        <f>IFERROR(__xludf.DUMMYFUNCTION("IFERROR(SUM(filter('Основной эфир'!$AL:$AL, 'Основной эфир'!$B:$B=$A987,'Основной эфир'!$C:$C=$B987,'Основной эфир'!$I:$I=$C987)), 0) "),0.0)</f>
        <v>0</v>
      </c>
      <c r="K987" s="91" t="str">
        <f>IFERROR(__xludf.DUMMYFUNCTION("IFERROR(REGEXREPLACE(unique(filter('Основной эфир'!$A:$A, 'Основной эфир'!$B:$B=$A987,'Основной эфир'!$C:$C=$B987,'Основной эфир'!$I:$I=$C987)), ""\d+"", """"),"""")"),"")</f>
        <v/>
      </c>
      <c r="L987" s="91" t="str">
        <f>IFERROR(__xludf.DUMMYFUNCTION("IFERROR(unique(filter('Основной эфир'!$F:$F, 'Основной эфир'!$B:$B=$A987,'Основной эфир'!$C:$C=$B987,'Основной эфир'!$I:$I=$C987)),"""")"),"")</f>
        <v/>
      </c>
      <c r="M987" s="92" t="str">
        <f t="shared" si="1"/>
        <v/>
      </c>
      <c r="N987" s="93">
        <f>IFERROR(__xludf.DUMMYFUNCTION("IFERROR(SWITCH(lower(join("" "",L987:M987)),""а миллионник"", 62.5,""б миллионник"", 75,""а мск"", 50, ""б мск"", 62.5, ""a остальное"", 70, ""б остальное"", 80)/100,0)"),0.0)</f>
        <v>0</v>
      </c>
      <c r="O987" s="91">
        <f t="shared" si="2"/>
        <v>0</v>
      </c>
      <c r="P987" s="91">
        <f>IFERROR(__xludf.DUMMYFUNCTION("IFERROR(sum(filter('Генеральный баннер'!$O:$O, 'Генеральный баннер'!$B:$B=$A987,'Генеральный баннер'!$C:$C=$B987,'Генеральный баннер'!$I:$I=$C987)), 0) "),0.0)</f>
        <v>0</v>
      </c>
      <c r="Q987" s="91">
        <f>IFERROR(__xludf.DUMMYFUNCTION("IFERROR(sum(filter('Генеральный баннер'!$Q:$Q, 'Генеральный баннер'!$B:$B=$A987,'Генеральный баннер'!$C:$C=$B987,'Генеральный баннер'!$I:$I=$C987)), 0) "),0.0)</f>
        <v>0</v>
      </c>
      <c r="R987" s="91">
        <f>IFERROR(__xludf.DUMMYFUNCTION("IFERROR(AVERAGE(filter('Генеральный баннер'!$AA:$AA, 'Генеральный баннер'!$B:$B=$A987,'Генеральный баннер'!$C:$C=$B987,'Генеральный баннер'!$I:$I=$C987)), 0) "),0.0)</f>
        <v>0</v>
      </c>
      <c r="S987" s="91">
        <f>IFERROR(__xludf.DUMMYFUNCTION("IFERROR(SUM(filter('Генеральный баннер'!$AH:$AH, 'Генеральный баннер'!$B:$B=$A987,'Генеральный баннер'!$C:$C=$B987,'Генеральный баннер'!$I:$I=$C987)), 0) "),0.0)</f>
        <v>0</v>
      </c>
      <c r="T987" s="91" t="str">
        <f>IFERROR(__xludf.DUMMYFUNCTION("IFERROR(REGEXREPLACE(unique(filter('Генеральный баннер'!$A:$A, 'Генеральный баннер'!$B:$B=$A987,'Генеральный баннер'!$C:$C=$B987,'Генеральный баннер'!$I:$I=$C987)), ""\d+"", """"),"""")"),"")</f>
        <v/>
      </c>
      <c r="U987" s="91" t="str">
        <f>IFERROR(__xludf.DUMMYFUNCTION("IFERROR(unique(filter('Генеральный баннер'!$F:$F, 'Генеральный баннер'!$B:$B=$A987,'Генеральный баннер'!$C:$C=$B987,'Генеральный баннер'!$I:$I=$C987)),"""")"),"")</f>
        <v/>
      </c>
      <c r="V987" s="92" t="str">
        <f t="shared" si="3"/>
        <v/>
      </c>
      <c r="W987" s="93">
        <f>IFERROR(__xludf.DUMMYFUNCTION("IFERROR(SWITCH(lower(join("" "",U987:V987)),""а миллионник"", 62.5,""б миллионник"", 75,""а мск"", 50, ""б мск"", 62.5, ""a остальное"", 70, ""б остальное"", 80)/100,0)"),0.0)</f>
        <v>0</v>
      </c>
      <c r="X987" s="91">
        <f t="shared" si="4"/>
        <v>0</v>
      </c>
    </row>
    <row r="988">
      <c r="A988" s="12"/>
      <c r="B988" s="12"/>
      <c r="C988" s="12"/>
      <c r="D988" s="91">
        <f>IFERROR(__xludf.DUMMYFUNCTION("IFERROR(sum(filter('Основной эфир'!$AA:$AA, 'Основной эфир'!$B:$B=$A988,'Основной эфир'!$C:$C=$B988,'Основной эфир'!$I:$I=$C988)), 0) "),0.0)</f>
        <v>0</v>
      </c>
      <c r="E988" s="91">
        <f>IFERROR(__xludf.DUMMYFUNCTION("IFERROR(sum(filter('Основной эфир'!$AC:$AC, 'Основной эфир'!$B:$B=$A988,'Основной эфир'!$C:$C=$B988,'Основной эфир'!$I:$I=$C988)), 0) "),0.0)</f>
        <v>0</v>
      </c>
      <c r="F988" s="91">
        <f>IFERROR(__xludf.DUMMYFUNCTION("IFERROR(sum(filter('Основной эфир'!$O:$O, 'Основной эфир'!$B:$B=$A988,'Основной эфир'!$C:$C=$B988,'Основной эфир'!$I:$I=$C988)), 0) "),0.0)</f>
        <v>0</v>
      </c>
      <c r="G988" s="91">
        <f>IFERROR(__xludf.DUMMYFUNCTION("IFERROR(sum(filter('Основной эфир'!$Q:$Q, 'Основной эфир'!$B:$B=$A988,'Основной эфир'!$C:$C=$B988,'Основной эфир'!$I:$I=$C988)), 0) "),0.0)</f>
        <v>0</v>
      </c>
      <c r="H988" s="91">
        <f>IFERROR(__xludf.DUMMYFUNCTION("IFERROR(AVERAGE(filter('Основной эфир'!$Y:$Y, 'Основной эфир'!$B:$B=$A988,'Основной эфир'!$C:$C=$B988,'Основной эфир'!$I:$I=$C988)), 0) "),0.0)</f>
        <v>0</v>
      </c>
      <c r="I988" s="91">
        <f>IFERROR(__xludf.DUMMYFUNCTION("IFERROR(AVERAGE(filter('Основной эфир'!$AE:$AE, 'Основной эфир'!$B:$B=$A988,'Основной эфир'!$C:$C=$B988,'Основной эфир'!$I:$I=$C988)), 0) "),0.0)</f>
        <v>0</v>
      </c>
      <c r="J988" s="91">
        <f>IFERROR(__xludf.DUMMYFUNCTION("IFERROR(SUM(filter('Основной эфир'!$AL:$AL, 'Основной эфир'!$B:$B=$A988,'Основной эфир'!$C:$C=$B988,'Основной эфир'!$I:$I=$C988)), 0) "),0.0)</f>
        <v>0</v>
      </c>
      <c r="K988" s="91" t="str">
        <f>IFERROR(__xludf.DUMMYFUNCTION("IFERROR(REGEXREPLACE(unique(filter('Основной эфир'!$A:$A, 'Основной эфир'!$B:$B=$A988,'Основной эфир'!$C:$C=$B988,'Основной эфир'!$I:$I=$C988)), ""\d+"", """"),"""")"),"")</f>
        <v/>
      </c>
      <c r="L988" s="91" t="str">
        <f>IFERROR(__xludf.DUMMYFUNCTION("IFERROR(unique(filter('Основной эфир'!$F:$F, 'Основной эфир'!$B:$B=$A988,'Основной эфир'!$C:$C=$B988,'Основной эфир'!$I:$I=$C988)),"""")"),"")</f>
        <v/>
      </c>
      <c r="M988" s="92" t="str">
        <f t="shared" si="1"/>
        <v/>
      </c>
      <c r="N988" s="93">
        <f>IFERROR(__xludf.DUMMYFUNCTION("IFERROR(SWITCH(lower(join("" "",L988:M988)),""а миллионник"", 62.5,""б миллионник"", 75,""а мск"", 50, ""б мск"", 62.5, ""a остальное"", 70, ""б остальное"", 80)/100,0)"),0.0)</f>
        <v>0</v>
      </c>
      <c r="O988" s="91">
        <f t="shared" si="2"/>
        <v>0</v>
      </c>
      <c r="P988" s="91">
        <f>IFERROR(__xludf.DUMMYFUNCTION("IFERROR(sum(filter('Генеральный баннер'!$O:$O, 'Генеральный баннер'!$B:$B=$A988,'Генеральный баннер'!$C:$C=$B988,'Генеральный баннер'!$I:$I=$C988)), 0) "),0.0)</f>
        <v>0</v>
      </c>
      <c r="Q988" s="91">
        <f>IFERROR(__xludf.DUMMYFUNCTION("IFERROR(sum(filter('Генеральный баннер'!$Q:$Q, 'Генеральный баннер'!$B:$B=$A988,'Генеральный баннер'!$C:$C=$B988,'Генеральный баннер'!$I:$I=$C988)), 0) "),0.0)</f>
        <v>0</v>
      </c>
      <c r="R988" s="91">
        <f>IFERROR(__xludf.DUMMYFUNCTION("IFERROR(AVERAGE(filter('Генеральный баннер'!$AA:$AA, 'Генеральный баннер'!$B:$B=$A988,'Генеральный баннер'!$C:$C=$B988,'Генеральный баннер'!$I:$I=$C988)), 0) "),0.0)</f>
        <v>0</v>
      </c>
      <c r="S988" s="91">
        <f>IFERROR(__xludf.DUMMYFUNCTION("IFERROR(SUM(filter('Генеральный баннер'!$AH:$AH, 'Генеральный баннер'!$B:$B=$A988,'Генеральный баннер'!$C:$C=$B988,'Генеральный баннер'!$I:$I=$C988)), 0) "),0.0)</f>
        <v>0</v>
      </c>
      <c r="T988" s="91" t="str">
        <f>IFERROR(__xludf.DUMMYFUNCTION("IFERROR(REGEXREPLACE(unique(filter('Генеральный баннер'!$A:$A, 'Генеральный баннер'!$B:$B=$A988,'Генеральный баннер'!$C:$C=$B988,'Генеральный баннер'!$I:$I=$C988)), ""\d+"", """"),"""")"),"")</f>
        <v/>
      </c>
      <c r="U988" s="91" t="str">
        <f>IFERROR(__xludf.DUMMYFUNCTION("IFERROR(unique(filter('Генеральный баннер'!$F:$F, 'Генеральный баннер'!$B:$B=$A988,'Генеральный баннер'!$C:$C=$B988,'Генеральный баннер'!$I:$I=$C988)),"""")"),"")</f>
        <v/>
      </c>
      <c r="V988" s="92" t="str">
        <f t="shared" si="3"/>
        <v/>
      </c>
      <c r="W988" s="93">
        <f>IFERROR(__xludf.DUMMYFUNCTION("IFERROR(SWITCH(lower(join("" "",U988:V988)),""а миллионник"", 62.5,""б миллионник"", 75,""а мск"", 50, ""б мск"", 62.5, ""a остальное"", 70, ""б остальное"", 80)/100,0)"),0.0)</f>
        <v>0</v>
      </c>
      <c r="X988" s="91">
        <f t="shared" si="4"/>
        <v>0</v>
      </c>
    </row>
    <row r="989">
      <c r="A989" s="12"/>
      <c r="B989" s="12"/>
      <c r="C989" s="12"/>
      <c r="D989" s="91">
        <f>IFERROR(__xludf.DUMMYFUNCTION("IFERROR(sum(filter('Основной эфир'!$AA:$AA, 'Основной эфир'!$B:$B=$A989,'Основной эфир'!$C:$C=$B989,'Основной эфир'!$I:$I=$C989)), 0) "),0.0)</f>
        <v>0</v>
      </c>
      <c r="E989" s="91">
        <f>IFERROR(__xludf.DUMMYFUNCTION("IFERROR(sum(filter('Основной эфир'!$AC:$AC, 'Основной эфир'!$B:$B=$A989,'Основной эфир'!$C:$C=$B989,'Основной эфир'!$I:$I=$C989)), 0) "),0.0)</f>
        <v>0</v>
      </c>
      <c r="F989" s="91">
        <f>IFERROR(__xludf.DUMMYFUNCTION("IFERROR(sum(filter('Основной эфир'!$O:$O, 'Основной эфир'!$B:$B=$A989,'Основной эфир'!$C:$C=$B989,'Основной эфир'!$I:$I=$C989)), 0) "),0.0)</f>
        <v>0</v>
      </c>
      <c r="G989" s="91">
        <f>IFERROR(__xludf.DUMMYFUNCTION("IFERROR(sum(filter('Основной эфир'!$Q:$Q, 'Основной эфир'!$B:$B=$A989,'Основной эфир'!$C:$C=$B989,'Основной эфир'!$I:$I=$C989)), 0) "),0.0)</f>
        <v>0</v>
      </c>
      <c r="H989" s="91">
        <f>IFERROR(__xludf.DUMMYFUNCTION("IFERROR(AVERAGE(filter('Основной эфир'!$Y:$Y, 'Основной эфир'!$B:$B=$A989,'Основной эфир'!$C:$C=$B989,'Основной эфир'!$I:$I=$C989)), 0) "),0.0)</f>
        <v>0</v>
      </c>
      <c r="I989" s="91">
        <f>IFERROR(__xludf.DUMMYFUNCTION("IFERROR(AVERAGE(filter('Основной эфир'!$AE:$AE, 'Основной эфир'!$B:$B=$A989,'Основной эфир'!$C:$C=$B989,'Основной эфир'!$I:$I=$C989)), 0) "),0.0)</f>
        <v>0</v>
      </c>
      <c r="J989" s="91">
        <f>IFERROR(__xludf.DUMMYFUNCTION("IFERROR(SUM(filter('Основной эфир'!$AL:$AL, 'Основной эфир'!$B:$B=$A989,'Основной эфир'!$C:$C=$B989,'Основной эфир'!$I:$I=$C989)), 0) "),0.0)</f>
        <v>0</v>
      </c>
      <c r="K989" s="91" t="str">
        <f>IFERROR(__xludf.DUMMYFUNCTION("IFERROR(REGEXREPLACE(unique(filter('Основной эфир'!$A:$A, 'Основной эфир'!$B:$B=$A989,'Основной эфир'!$C:$C=$B989,'Основной эфир'!$I:$I=$C989)), ""\d+"", """"),"""")"),"")</f>
        <v/>
      </c>
      <c r="L989" s="91" t="str">
        <f>IFERROR(__xludf.DUMMYFUNCTION("IFERROR(unique(filter('Основной эфир'!$F:$F, 'Основной эфир'!$B:$B=$A989,'Основной эфир'!$C:$C=$B989,'Основной эфир'!$I:$I=$C989)),"""")"),"")</f>
        <v/>
      </c>
      <c r="M989" s="92" t="str">
        <f t="shared" si="1"/>
        <v/>
      </c>
      <c r="N989" s="93">
        <f>IFERROR(__xludf.DUMMYFUNCTION("IFERROR(SWITCH(lower(join("" "",L989:M989)),""а миллионник"", 62.5,""б миллионник"", 75,""а мск"", 50, ""б мск"", 62.5, ""a остальное"", 70, ""б остальное"", 80)/100,0)"),0.0)</f>
        <v>0</v>
      </c>
      <c r="O989" s="91">
        <f t="shared" si="2"/>
        <v>0</v>
      </c>
      <c r="P989" s="91">
        <f>IFERROR(__xludf.DUMMYFUNCTION("IFERROR(sum(filter('Генеральный баннер'!$O:$O, 'Генеральный баннер'!$B:$B=$A989,'Генеральный баннер'!$C:$C=$B989,'Генеральный баннер'!$I:$I=$C989)), 0) "),0.0)</f>
        <v>0</v>
      </c>
      <c r="Q989" s="91">
        <f>IFERROR(__xludf.DUMMYFUNCTION("IFERROR(sum(filter('Генеральный баннер'!$Q:$Q, 'Генеральный баннер'!$B:$B=$A989,'Генеральный баннер'!$C:$C=$B989,'Генеральный баннер'!$I:$I=$C989)), 0) "),0.0)</f>
        <v>0</v>
      </c>
      <c r="R989" s="91">
        <f>IFERROR(__xludf.DUMMYFUNCTION("IFERROR(AVERAGE(filter('Генеральный баннер'!$AA:$AA, 'Генеральный баннер'!$B:$B=$A989,'Генеральный баннер'!$C:$C=$B989,'Генеральный баннер'!$I:$I=$C989)), 0) "),0.0)</f>
        <v>0</v>
      </c>
      <c r="S989" s="91">
        <f>IFERROR(__xludf.DUMMYFUNCTION("IFERROR(SUM(filter('Генеральный баннер'!$AH:$AH, 'Генеральный баннер'!$B:$B=$A989,'Генеральный баннер'!$C:$C=$B989,'Генеральный баннер'!$I:$I=$C989)), 0) "),0.0)</f>
        <v>0</v>
      </c>
      <c r="T989" s="91" t="str">
        <f>IFERROR(__xludf.DUMMYFUNCTION("IFERROR(REGEXREPLACE(unique(filter('Генеральный баннер'!$A:$A, 'Генеральный баннер'!$B:$B=$A989,'Генеральный баннер'!$C:$C=$B989,'Генеральный баннер'!$I:$I=$C989)), ""\d+"", """"),"""")"),"")</f>
        <v/>
      </c>
      <c r="U989" s="91" t="str">
        <f>IFERROR(__xludf.DUMMYFUNCTION("IFERROR(unique(filter('Генеральный баннер'!$F:$F, 'Генеральный баннер'!$B:$B=$A989,'Генеральный баннер'!$C:$C=$B989,'Генеральный баннер'!$I:$I=$C989)),"""")"),"")</f>
        <v/>
      </c>
      <c r="V989" s="92" t="str">
        <f t="shared" si="3"/>
        <v/>
      </c>
      <c r="W989" s="93">
        <f>IFERROR(__xludf.DUMMYFUNCTION("IFERROR(SWITCH(lower(join("" "",U989:V989)),""а миллионник"", 62.5,""б миллионник"", 75,""а мск"", 50, ""б мск"", 62.5, ""a остальное"", 70, ""б остальное"", 80)/100,0)"),0.0)</f>
        <v>0</v>
      </c>
      <c r="X989" s="91">
        <f t="shared" si="4"/>
        <v>0</v>
      </c>
    </row>
    <row r="990">
      <c r="A990" s="12"/>
      <c r="B990" s="12"/>
      <c r="C990" s="12"/>
      <c r="D990" s="91">
        <f>IFERROR(__xludf.DUMMYFUNCTION("IFERROR(sum(filter('Основной эфир'!$AA:$AA, 'Основной эфир'!$B:$B=$A990,'Основной эфир'!$C:$C=$B990,'Основной эфир'!$I:$I=$C990)), 0) "),0.0)</f>
        <v>0</v>
      </c>
      <c r="E990" s="91">
        <f>IFERROR(__xludf.DUMMYFUNCTION("IFERROR(sum(filter('Основной эфир'!$AC:$AC, 'Основной эфир'!$B:$B=$A990,'Основной эфир'!$C:$C=$B990,'Основной эфир'!$I:$I=$C990)), 0) "),0.0)</f>
        <v>0</v>
      </c>
      <c r="F990" s="91">
        <f>IFERROR(__xludf.DUMMYFUNCTION("IFERROR(sum(filter('Основной эфир'!$O:$O, 'Основной эфир'!$B:$B=$A990,'Основной эфир'!$C:$C=$B990,'Основной эфир'!$I:$I=$C990)), 0) "),0.0)</f>
        <v>0</v>
      </c>
      <c r="G990" s="91">
        <f>IFERROR(__xludf.DUMMYFUNCTION("IFERROR(sum(filter('Основной эфир'!$Q:$Q, 'Основной эфир'!$B:$B=$A990,'Основной эфир'!$C:$C=$B990,'Основной эфир'!$I:$I=$C990)), 0) "),0.0)</f>
        <v>0</v>
      </c>
      <c r="H990" s="91">
        <f>IFERROR(__xludf.DUMMYFUNCTION("IFERROR(AVERAGE(filter('Основной эфир'!$Y:$Y, 'Основной эфир'!$B:$B=$A990,'Основной эфир'!$C:$C=$B990,'Основной эфир'!$I:$I=$C990)), 0) "),0.0)</f>
        <v>0</v>
      </c>
      <c r="I990" s="91">
        <f>IFERROR(__xludf.DUMMYFUNCTION("IFERROR(AVERAGE(filter('Основной эфир'!$AE:$AE, 'Основной эфир'!$B:$B=$A990,'Основной эфир'!$C:$C=$B990,'Основной эфир'!$I:$I=$C990)), 0) "),0.0)</f>
        <v>0</v>
      </c>
      <c r="J990" s="91">
        <f>IFERROR(__xludf.DUMMYFUNCTION("IFERROR(SUM(filter('Основной эфир'!$AL:$AL, 'Основной эфир'!$B:$B=$A990,'Основной эфир'!$C:$C=$B990,'Основной эфир'!$I:$I=$C990)), 0) "),0.0)</f>
        <v>0</v>
      </c>
      <c r="K990" s="91" t="str">
        <f>IFERROR(__xludf.DUMMYFUNCTION("IFERROR(REGEXREPLACE(unique(filter('Основной эфир'!$A:$A, 'Основной эфир'!$B:$B=$A990,'Основной эфир'!$C:$C=$B990,'Основной эфир'!$I:$I=$C990)), ""\d+"", """"),"""")"),"")</f>
        <v/>
      </c>
      <c r="L990" s="91" t="str">
        <f>IFERROR(__xludf.DUMMYFUNCTION("IFERROR(unique(filter('Основной эфир'!$F:$F, 'Основной эфир'!$B:$B=$A990,'Основной эфир'!$C:$C=$B990,'Основной эфир'!$I:$I=$C990)),"""")"),"")</f>
        <v/>
      </c>
      <c r="M990" s="92" t="str">
        <f t="shared" si="1"/>
        <v/>
      </c>
      <c r="N990" s="93">
        <f>IFERROR(__xludf.DUMMYFUNCTION("IFERROR(SWITCH(lower(join("" "",L990:M990)),""а миллионник"", 62.5,""б миллионник"", 75,""а мск"", 50, ""б мск"", 62.5, ""a остальное"", 70, ""б остальное"", 80)/100,0)"),0.0)</f>
        <v>0</v>
      </c>
      <c r="O990" s="91">
        <f t="shared" si="2"/>
        <v>0</v>
      </c>
      <c r="P990" s="91">
        <f>IFERROR(__xludf.DUMMYFUNCTION("IFERROR(sum(filter('Генеральный баннер'!$O:$O, 'Генеральный баннер'!$B:$B=$A990,'Генеральный баннер'!$C:$C=$B990,'Генеральный баннер'!$I:$I=$C990)), 0) "),0.0)</f>
        <v>0</v>
      </c>
      <c r="Q990" s="91">
        <f>IFERROR(__xludf.DUMMYFUNCTION("IFERROR(sum(filter('Генеральный баннер'!$Q:$Q, 'Генеральный баннер'!$B:$B=$A990,'Генеральный баннер'!$C:$C=$B990,'Генеральный баннер'!$I:$I=$C990)), 0) "),0.0)</f>
        <v>0</v>
      </c>
      <c r="R990" s="91">
        <f>IFERROR(__xludf.DUMMYFUNCTION("IFERROR(AVERAGE(filter('Генеральный баннер'!$AA:$AA, 'Генеральный баннер'!$B:$B=$A990,'Генеральный баннер'!$C:$C=$B990,'Генеральный баннер'!$I:$I=$C990)), 0) "),0.0)</f>
        <v>0</v>
      </c>
      <c r="S990" s="91">
        <f>IFERROR(__xludf.DUMMYFUNCTION("IFERROR(SUM(filter('Генеральный баннер'!$AH:$AH, 'Генеральный баннер'!$B:$B=$A990,'Генеральный баннер'!$C:$C=$B990,'Генеральный баннер'!$I:$I=$C990)), 0) "),0.0)</f>
        <v>0</v>
      </c>
      <c r="T990" s="91" t="str">
        <f>IFERROR(__xludf.DUMMYFUNCTION("IFERROR(REGEXREPLACE(unique(filter('Генеральный баннер'!$A:$A, 'Генеральный баннер'!$B:$B=$A990,'Генеральный баннер'!$C:$C=$B990,'Генеральный баннер'!$I:$I=$C990)), ""\d+"", """"),"""")"),"")</f>
        <v/>
      </c>
      <c r="U990" s="91" t="str">
        <f>IFERROR(__xludf.DUMMYFUNCTION("IFERROR(unique(filter('Генеральный баннер'!$F:$F, 'Генеральный баннер'!$B:$B=$A990,'Генеральный баннер'!$C:$C=$B990,'Генеральный баннер'!$I:$I=$C990)),"""")"),"")</f>
        <v/>
      </c>
      <c r="V990" s="92" t="str">
        <f t="shared" si="3"/>
        <v/>
      </c>
      <c r="W990" s="93">
        <f>IFERROR(__xludf.DUMMYFUNCTION("IFERROR(SWITCH(lower(join("" "",U990:V990)),""а миллионник"", 62.5,""б миллионник"", 75,""а мск"", 50, ""б мск"", 62.5, ""a остальное"", 70, ""б остальное"", 80)/100,0)"),0.0)</f>
        <v>0</v>
      </c>
      <c r="X990" s="91">
        <f t="shared" si="4"/>
        <v>0</v>
      </c>
    </row>
    <row r="991">
      <c r="A991" s="12"/>
      <c r="B991" s="12"/>
      <c r="C991" s="12"/>
      <c r="D991" s="91">
        <f>IFERROR(__xludf.DUMMYFUNCTION("IFERROR(sum(filter('Основной эфир'!$AA:$AA, 'Основной эфир'!$B:$B=$A991,'Основной эфир'!$C:$C=$B991,'Основной эфир'!$I:$I=$C991)), 0) "),0.0)</f>
        <v>0</v>
      </c>
      <c r="E991" s="91">
        <f>IFERROR(__xludf.DUMMYFUNCTION("IFERROR(sum(filter('Основной эфир'!$AC:$AC, 'Основной эфир'!$B:$B=$A991,'Основной эфир'!$C:$C=$B991,'Основной эфир'!$I:$I=$C991)), 0) "),0.0)</f>
        <v>0</v>
      </c>
      <c r="F991" s="91">
        <f>IFERROR(__xludf.DUMMYFUNCTION("IFERROR(sum(filter('Основной эфир'!$O:$O, 'Основной эфир'!$B:$B=$A991,'Основной эфир'!$C:$C=$B991,'Основной эфир'!$I:$I=$C991)), 0) "),0.0)</f>
        <v>0</v>
      </c>
      <c r="G991" s="91">
        <f>IFERROR(__xludf.DUMMYFUNCTION("IFERROR(sum(filter('Основной эфир'!$Q:$Q, 'Основной эфир'!$B:$B=$A991,'Основной эфир'!$C:$C=$B991,'Основной эфир'!$I:$I=$C991)), 0) "),0.0)</f>
        <v>0</v>
      </c>
      <c r="H991" s="91">
        <f>IFERROR(__xludf.DUMMYFUNCTION("IFERROR(AVERAGE(filter('Основной эфир'!$Y:$Y, 'Основной эфир'!$B:$B=$A991,'Основной эфир'!$C:$C=$B991,'Основной эфир'!$I:$I=$C991)), 0) "),0.0)</f>
        <v>0</v>
      </c>
      <c r="I991" s="91">
        <f>IFERROR(__xludf.DUMMYFUNCTION("IFERROR(AVERAGE(filter('Основной эфир'!$AE:$AE, 'Основной эфир'!$B:$B=$A991,'Основной эфир'!$C:$C=$B991,'Основной эфир'!$I:$I=$C991)), 0) "),0.0)</f>
        <v>0</v>
      </c>
      <c r="J991" s="91">
        <f>IFERROR(__xludf.DUMMYFUNCTION("IFERROR(SUM(filter('Основной эфир'!$AL:$AL, 'Основной эфир'!$B:$B=$A991,'Основной эфир'!$C:$C=$B991,'Основной эфир'!$I:$I=$C991)), 0) "),0.0)</f>
        <v>0</v>
      </c>
      <c r="K991" s="91" t="str">
        <f>IFERROR(__xludf.DUMMYFUNCTION("IFERROR(REGEXREPLACE(unique(filter('Основной эфир'!$A:$A, 'Основной эфир'!$B:$B=$A991,'Основной эфир'!$C:$C=$B991,'Основной эфир'!$I:$I=$C991)), ""\d+"", """"),"""")"),"")</f>
        <v/>
      </c>
      <c r="L991" s="91" t="str">
        <f>IFERROR(__xludf.DUMMYFUNCTION("IFERROR(unique(filter('Основной эфир'!$F:$F, 'Основной эфир'!$B:$B=$A991,'Основной эфир'!$C:$C=$B991,'Основной эфир'!$I:$I=$C991)),"""")"),"")</f>
        <v/>
      </c>
      <c r="M991" s="92" t="str">
        <f t="shared" si="1"/>
        <v/>
      </c>
      <c r="N991" s="93">
        <f>IFERROR(__xludf.DUMMYFUNCTION("IFERROR(SWITCH(lower(join("" "",L991:M991)),""а миллионник"", 62.5,""б миллионник"", 75,""а мск"", 50, ""б мск"", 62.5, ""a остальное"", 70, ""б остальное"", 80)/100,0)"),0.0)</f>
        <v>0</v>
      </c>
      <c r="O991" s="91">
        <f t="shared" si="2"/>
        <v>0</v>
      </c>
      <c r="P991" s="91">
        <f>IFERROR(__xludf.DUMMYFUNCTION("IFERROR(sum(filter('Генеральный баннер'!$O:$O, 'Генеральный баннер'!$B:$B=$A991,'Генеральный баннер'!$C:$C=$B991,'Генеральный баннер'!$I:$I=$C991)), 0) "),0.0)</f>
        <v>0</v>
      </c>
      <c r="Q991" s="91">
        <f>IFERROR(__xludf.DUMMYFUNCTION("IFERROR(sum(filter('Генеральный баннер'!$Q:$Q, 'Генеральный баннер'!$B:$B=$A991,'Генеральный баннер'!$C:$C=$B991,'Генеральный баннер'!$I:$I=$C991)), 0) "),0.0)</f>
        <v>0</v>
      </c>
      <c r="R991" s="91">
        <f>IFERROR(__xludf.DUMMYFUNCTION("IFERROR(AVERAGE(filter('Генеральный баннер'!$AA:$AA, 'Генеральный баннер'!$B:$B=$A991,'Генеральный баннер'!$C:$C=$B991,'Генеральный баннер'!$I:$I=$C991)), 0) "),0.0)</f>
        <v>0</v>
      </c>
      <c r="S991" s="91">
        <f>IFERROR(__xludf.DUMMYFUNCTION("IFERROR(SUM(filter('Генеральный баннер'!$AH:$AH, 'Генеральный баннер'!$B:$B=$A991,'Генеральный баннер'!$C:$C=$B991,'Генеральный баннер'!$I:$I=$C991)), 0) "),0.0)</f>
        <v>0</v>
      </c>
      <c r="T991" s="91" t="str">
        <f>IFERROR(__xludf.DUMMYFUNCTION("IFERROR(REGEXREPLACE(unique(filter('Генеральный баннер'!$A:$A, 'Генеральный баннер'!$B:$B=$A991,'Генеральный баннер'!$C:$C=$B991,'Генеральный баннер'!$I:$I=$C991)), ""\d+"", """"),"""")"),"")</f>
        <v/>
      </c>
      <c r="U991" s="91" t="str">
        <f>IFERROR(__xludf.DUMMYFUNCTION("IFERROR(unique(filter('Генеральный баннер'!$F:$F, 'Генеральный баннер'!$B:$B=$A991,'Генеральный баннер'!$C:$C=$B991,'Генеральный баннер'!$I:$I=$C991)),"""")"),"")</f>
        <v/>
      </c>
      <c r="V991" s="92" t="str">
        <f t="shared" si="3"/>
        <v/>
      </c>
      <c r="W991" s="93">
        <f>IFERROR(__xludf.DUMMYFUNCTION("IFERROR(SWITCH(lower(join("" "",U991:V991)),""а миллионник"", 62.5,""б миллионник"", 75,""а мск"", 50, ""б мск"", 62.5, ""a остальное"", 70, ""б остальное"", 80)/100,0)"),0.0)</f>
        <v>0</v>
      </c>
      <c r="X991" s="91">
        <f t="shared" si="4"/>
        <v>0</v>
      </c>
    </row>
    <row r="992">
      <c r="A992" s="12"/>
      <c r="B992" s="12"/>
      <c r="C992" s="12"/>
      <c r="D992" s="91">
        <f>IFERROR(__xludf.DUMMYFUNCTION("IFERROR(sum(filter('Основной эфир'!$AA:$AA, 'Основной эфир'!$B:$B=$A992,'Основной эфир'!$C:$C=$B992,'Основной эфир'!$I:$I=$C992)), 0) "),0.0)</f>
        <v>0</v>
      </c>
      <c r="E992" s="91">
        <f>IFERROR(__xludf.DUMMYFUNCTION("IFERROR(sum(filter('Основной эфир'!$AC:$AC, 'Основной эфир'!$B:$B=$A992,'Основной эфир'!$C:$C=$B992,'Основной эфир'!$I:$I=$C992)), 0) "),0.0)</f>
        <v>0</v>
      </c>
      <c r="F992" s="91">
        <f>IFERROR(__xludf.DUMMYFUNCTION("IFERROR(sum(filter('Основной эфир'!$O:$O, 'Основной эфир'!$B:$B=$A992,'Основной эфир'!$C:$C=$B992,'Основной эфир'!$I:$I=$C992)), 0) "),0.0)</f>
        <v>0</v>
      </c>
      <c r="G992" s="91">
        <f>IFERROR(__xludf.DUMMYFUNCTION("IFERROR(sum(filter('Основной эфир'!$Q:$Q, 'Основной эфир'!$B:$B=$A992,'Основной эфир'!$C:$C=$B992,'Основной эфир'!$I:$I=$C992)), 0) "),0.0)</f>
        <v>0</v>
      </c>
      <c r="H992" s="91">
        <f>IFERROR(__xludf.DUMMYFUNCTION("IFERROR(AVERAGE(filter('Основной эфир'!$Y:$Y, 'Основной эфир'!$B:$B=$A992,'Основной эфир'!$C:$C=$B992,'Основной эфир'!$I:$I=$C992)), 0) "),0.0)</f>
        <v>0</v>
      </c>
      <c r="I992" s="91">
        <f>IFERROR(__xludf.DUMMYFUNCTION("IFERROR(AVERAGE(filter('Основной эфир'!$AE:$AE, 'Основной эфир'!$B:$B=$A992,'Основной эфир'!$C:$C=$B992,'Основной эфир'!$I:$I=$C992)), 0) "),0.0)</f>
        <v>0</v>
      </c>
      <c r="J992" s="91">
        <f>IFERROR(__xludf.DUMMYFUNCTION("IFERROR(SUM(filter('Основной эфир'!$AL:$AL, 'Основной эфир'!$B:$B=$A992,'Основной эфир'!$C:$C=$B992,'Основной эфир'!$I:$I=$C992)), 0) "),0.0)</f>
        <v>0</v>
      </c>
      <c r="K992" s="91" t="str">
        <f>IFERROR(__xludf.DUMMYFUNCTION("IFERROR(REGEXREPLACE(unique(filter('Основной эфир'!$A:$A, 'Основной эфир'!$B:$B=$A992,'Основной эфир'!$C:$C=$B992,'Основной эфир'!$I:$I=$C992)), ""\d+"", """"),"""")"),"")</f>
        <v/>
      </c>
      <c r="L992" s="91" t="str">
        <f>IFERROR(__xludf.DUMMYFUNCTION("IFERROR(unique(filter('Основной эфир'!$F:$F, 'Основной эфир'!$B:$B=$A992,'Основной эфир'!$C:$C=$B992,'Основной эфир'!$I:$I=$C992)),"""")"),"")</f>
        <v/>
      </c>
      <c r="M992" s="92" t="str">
        <f t="shared" si="1"/>
        <v/>
      </c>
      <c r="N992" s="93">
        <f>IFERROR(__xludf.DUMMYFUNCTION("IFERROR(SWITCH(lower(join("" "",L992:M992)),""а миллионник"", 62.5,""б миллионник"", 75,""а мск"", 50, ""б мск"", 62.5, ""a остальное"", 70, ""б остальное"", 80)/100,0)"),0.0)</f>
        <v>0</v>
      </c>
      <c r="O992" s="91">
        <f t="shared" si="2"/>
        <v>0</v>
      </c>
      <c r="P992" s="91">
        <f>IFERROR(__xludf.DUMMYFUNCTION("IFERROR(sum(filter('Генеральный баннер'!$O:$O, 'Генеральный баннер'!$B:$B=$A992,'Генеральный баннер'!$C:$C=$B992,'Генеральный баннер'!$I:$I=$C992)), 0) "),0.0)</f>
        <v>0</v>
      </c>
      <c r="Q992" s="91">
        <f>IFERROR(__xludf.DUMMYFUNCTION("IFERROR(sum(filter('Генеральный баннер'!$Q:$Q, 'Генеральный баннер'!$B:$B=$A992,'Генеральный баннер'!$C:$C=$B992,'Генеральный баннер'!$I:$I=$C992)), 0) "),0.0)</f>
        <v>0</v>
      </c>
      <c r="R992" s="91">
        <f>IFERROR(__xludf.DUMMYFUNCTION("IFERROR(AVERAGE(filter('Генеральный баннер'!$AA:$AA, 'Генеральный баннер'!$B:$B=$A992,'Генеральный баннер'!$C:$C=$B992,'Генеральный баннер'!$I:$I=$C992)), 0) "),0.0)</f>
        <v>0</v>
      </c>
      <c r="S992" s="91">
        <f>IFERROR(__xludf.DUMMYFUNCTION("IFERROR(SUM(filter('Генеральный баннер'!$AH:$AH, 'Генеральный баннер'!$B:$B=$A992,'Генеральный баннер'!$C:$C=$B992,'Генеральный баннер'!$I:$I=$C992)), 0) "),0.0)</f>
        <v>0</v>
      </c>
      <c r="T992" s="91" t="str">
        <f>IFERROR(__xludf.DUMMYFUNCTION("IFERROR(REGEXREPLACE(unique(filter('Генеральный баннер'!$A:$A, 'Генеральный баннер'!$B:$B=$A992,'Генеральный баннер'!$C:$C=$B992,'Генеральный баннер'!$I:$I=$C992)), ""\d+"", """"),"""")"),"")</f>
        <v/>
      </c>
      <c r="U992" s="91" t="str">
        <f>IFERROR(__xludf.DUMMYFUNCTION("IFERROR(unique(filter('Генеральный баннер'!$F:$F, 'Генеральный баннер'!$B:$B=$A992,'Генеральный баннер'!$C:$C=$B992,'Генеральный баннер'!$I:$I=$C992)),"""")"),"")</f>
        <v/>
      </c>
      <c r="V992" s="92" t="str">
        <f t="shared" si="3"/>
        <v/>
      </c>
      <c r="W992" s="93">
        <f>IFERROR(__xludf.DUMMYFUNCTION("IFERROR(SWITCH(lower(join("" "",U992:V992)),""а миллионник"", 62.5,""б миллионник"", 75,""а мск"", 50, ""б мск"", 62.5, ""a остальное"", 70, ""б остальное"", 80)/100,0)"),0.0)</f>
        <v>0</v>
      </c>
      <c r="X992" s="91">
        <f t="shared" si="4"/>
        <v>0</v>
      </c>
    </row>
    <row r="993">
      <c r="A993" s="12"/>
      <c r="B993" s="12"/>
      <c r="C993" s="12"/>
      <c r="D993" s="91">
        <f>IFERROR(__xludf.DUMMYFUNCTION("IFERROR(sum(filter('Основной эфир'!$AA:$AA, 'Основной эфир'!$B:$B=$A993,'Основной эфир'!$C:$C=$B993,'Основной эфир'!$I:$I=$C993)), 0) "),0.0)</f>
        <v>0</v>
      </c>
      <c r="E993" s="91">
        <f>IFERROR(__xludf.DUMMYFUNCTION("IFERROR(sum(filter('Основной эфир'!$AC:$AC, 'Основной эфир'!$B:$B=$A993,'Основной эфир'!$C:$C=$B993,'Основной эфир'!$I:$I=$C993)), 0) "),0.0)</f>
        <v>0</v>
      </c>
      <c r="F993" s="91">
        <f>IFERROR(__xludf.DUMMYFUNCTION("IFERROR(sum(filter('Основной эфир'!$O:$O, 'Основной эфир'!$B:$B=$A993,'Основной эфир'!$C:$C=$B993,'Основной эфир'!$I:$I=$C993)), 0) "),0.0)</f>
        <v>0</v>
      </c>
      <c r="G993" s="91">
        <f>IFERROR(__xludf.DUMMYFUNCTION("IFERROR(sum(filter('Основной эфир'!$Q:$Q, 'Основной эфир'!$B:$B=$A993,'Основной эфир'!$C:$C=$B993,'Основной эфир'!$I:$I=$C993)), 0) "),0.0)</f>
        <v>0</v>
      </c>
      <c r="H993" s="91">
        <f>IFERROR(__xludf.DUMMYFUNCTION("IFERROR(AVERAGE(filter('Основной эфир'!$Y:$Y, 'Основной эфир'!$B:$B=$A993,'Основной эфир'!$C:$C=$B993,'Основной эфир'!$I:$I=$C993)), 0) "),0.0)</f>
        <v>0</v>
      </c>
      <c r="I993" s="91">
        <f>IFERROR(__xludf.DUMMYFUNCTION("IFERROR(AVERAGE(filter('Основной эфир'!$AE:$AE, 'Основной эфир'!$B:$B=$A993,'Основной эфир'!$C:$C=$B993,'Основной эфир'!$I:$I=$C993)), 0) "),0.0)</f>
        <v>0</v>
      </c>
      <c r="J993" s="91">
        <f>IFERROR(__xludf.DUMMYFUNCTION("IFERROR(SUM(filter('Основной эфир'!$AL:$AL, 'Основной эфир'!$B:$B=$A993,'Основной эфир'!$C:$C=$B993,'Основной эфир'!$I:$I=$C993)), 0) "),0.0)</f>
        <v>0</v>
      </c>
      <c r="K993" s="91" t="str">
        <f>IFERROR(__xludf.DUMMYFUNCTION("IFERROR(REGEXREPLACE(unique(filter('Основной эфир'!$A:$A, 'Основной эфир'!$B:$B=$A993,'Основной эфир'!$C:$C=$B993,'Основной эфир'!$I:$I=$C993)), ""\d+"", """"),"""")"),"")</f>
        <v/>
      </c>
      <c r="L993" s="91" t="str">
        <f>IFERROR(__xludf.DUMMYFUNCTION("IFERROR(unique(filter('Основной эфир'!$F:$F, 'Основной эфир'!$B:$B=$A993,'Основной эфир'!$C:$C=$B993,'Основной эфир'!$I:$I=$C993)),"""")"),"")</f>
        <v/>
      </c>
      <c r="M993" s="92" t="str">
        <f t="shared" si="1"/>
        <v/>
      </c>
      <c r="N993" s="93">
        <f>IFERROR(__xludf.DUMMYFUNCTION("IFERROR(SWITCH(lower(join("" "",L993:M993)),""а миллионник"", 62.5,""б миллионник"", 75,""а мск"", 50, ""б мск"", 62.5, ""a остальное"", 70, ""б остальное"", 80)/100,0)"),0.0)</f>
        <v>0</v>
      </c>
      <c r="O993" s="91">
        <f t="shared" si="2"/>
        <v>0</v>
      </c>
      <c r="P993" s="91">
        <f>IFERROR(__xludf.DUMMYFUNCTION("IFERROR(sum(filter('Генеральный баннер'!$O:$O, 'Генеральный баннер'!$B:$B=$A993,'Генеральный баннер'!$C:$C=$B993,'Генеральный баннер'!$I:$I=$C993)), 0) "),0.0)</f>
        <v>0</v>
      </c>
      <c r="Q993" s="91">
        <f>IFERROR(__xludf.DUMMYFUNCTION("IFERROR(sum(filter('Генеральный баннер'!$Q:$Q, 'Генеральный баннер'!$B:$B=$A993,'Генеральный баннер'!$C:$C=$B993,'Генеральный баннер'!$I:$I=$C993)), 0) "),0.0)</f>
        <v>0</v>
      </c>
      <c r="R993" s="91">
        <f>IFERROR(__xludf.DUMMYFUNCTION("IFERROR(AVERAGE(filter('Генеральный баннер'!$AA:$AA, 'Генеральный баннер'!$B:$B=$A993,'Генеральный баннер'!$C:$C=$B993,'Генеральный баннер'!$I:$I=$C993)), 0) "),0.0)</f>
        <v>0</v>
      </c>
      <c r="S993" s="91">
        <f>IFERROR(__xludf.DUMMYFUNCTION("IFERROR(SUM(filter('Генеральный баннер'!$AH:$AH, 'Генеральный баннер'!$B:$B=$A993,'Генеральный баннер'!$C:$C=$B993,'Генеральный баннер'!$I:$I=$C993)), 0) "),0.0)</f>
        <v>0</v>
      </c>
      <c r="T993" s="91" t="str">
        <f>IFERROR(__xludf.DUMMYFUNCTION("IFERROR(REGEXREPLACE(unique(filter('Генеральный баннер'!$A:$A, 'Генеральный баннер'!$B:$B=$A993,'Генеральный баннер'!$C:$C=$B993,'Генеральный баннер'!$I:$I=$C993)), ""\d+"", """"),"""")"),"")</f>
        <v/>
      </c>
      <c r="U993" s="91" t="str">
        <f>IFERROR(__xludf.DUMMYFUNCTION("IFERROR(unique(filter('Генеральный баннер'!$F:$F, 'Генеральный баннер'!$B:$B=$A993,'Генеральный баннер'!$C:$C=$B993,'Генеральный баннер'!$I:$I=$C993)),"""")"),"")</f>
        <v/>
      </c>
      <c r="V993" s="92" t="str">
        <f t="shared" si="3"/>
        <v/>
      </c>
      <c r="W993" s="93">
        <f>IFERROR(__xludf.DUMMYFUNCTION("IFERROR(SWITCH(lower(join("" "",U993:V993)),""а миллионник"", 62.5,""б миллионник"", 75,""а мск"", 50, ""б мск"", 62.5, ""a остальное"", 70, ""б остальное"", 80)/100,0)"),0.0)</f>
        <v>0</v>
      </c>
      <c r="X993" s="91">
        <f t="shared" si="4"/>
        <v>0</v>
      </c>
    </row>
    <row r="994">
      <c r="A994" s="12"/>
      <c r="B994" s="12"/>
      <c r="C994" s="12"/>
      <c r="D994" s="91">
        <f>IFERROR(__xludf.DUMMYFUNCTION("IFERROR(sum(filter('Основной эфир'!$AA:$AA, 'Основной эфир'!$B:$B=$A994,'Основной эфир'!$C:$C=$B994,'Основной эфир'!$I:$I=$C994)), 0) "),0.0)</f>
        <v>0</v>
      </c>
      <c r="E994" s="91">
        <f>IFERROR(__xludf.DUMMYFUNCTION("IFERROR(sum(filter('Основной эфир'!$AC:$AC, 'Основной эфир'!$B:$B=$A994,'Основной эфир'!$C:$C=$B994,'Основной эфир'!$I:$I=$C994)), 0) "),0.0)</f>
        <v>0</v>
      </c>
      <c r="F994" s="91">
        <f>IFERROR(__xludf.DUMMYFUNCTION("IFERROR(sum(filter('Основной эфир'!$O:$O, 'Основной эфир'!$B:$B=$A994,'Основной эфир'!$C:$C=$B994,'Основной эфир'!$I:$I=$C994)), 0) "),0.0)</f>
        <v>0</v>
      </c>
      <c r="G994" s="91">
        <f>IFERROR(__xludf.DUMMYFUNCTION("IFERROR(sum(filter('Основной эфир'!$Q:$Q, 'Основной эфир'!$B:$B=$A994,'Основной эфир'!$C:$C=$B994,'Основной эфир'!$I:$I=$C994)), 0) "),0.0)</f>
        <v>0</v>
      </c>
      <c r="H994" s="91">
        <f>IFERROR(__xludf.DUMMYFUNCTION("IFERROR(AVERAGE(filter('Основной эфир'!$Y:$Y, 'Основной эфир'!$B:$B=$A994,'Основной эфир'!$C:$C=$B994,'Основной эфир'!$I:$I=$C994)), 0) "),0.0)</f>
        <v>0</v>
      </c>
      <c r="I994" s="91">
        <f>IFERROR(__xludf.DUMMYFUNCTION("IFERROR(AVERAGE(filter('Основной эфир'!$AE:$AE, 'Основной эфир'!$B:$B=$A994,'Основной эфир'!$C:$C=$B994,'Основной эфир'!$I:$I=$C994)), 0) "),0.0)</f>
        <v>0</v>
      </c>
      <c r="J994" s="91">
        <f>IFERROR(__xludf.DUMMYFUNCTION("IFERROR(SUM(filter('Основной эфир'!$AL:$AL, 'Основной эфир'!$B:$B=$A994,'Основной эфир'!$C:$C=$B994,'Основной эфир'!$I:$I=$C994)), 0) "),0.0)</f>
        <v>0</v>
      </c>
      <c r="K994" s="91" t="str">
        <f>IFERROR(__xludf.DUMMYFUNCTION("IFERROR(REGEXREPLACE(unique(filter('Основной эфир'!$A:$A, 'Основной эфир'!$B:$B=$A994,'Основной эфир'!$C:$C=$B994,'Основной эфир'!$I:$I=$C994)), ""\d+"", """"),"""")"),"")</f>
        <v/>
      </c>
      <c r="L994" s="91" t="str">
        <f>IFERROR(__xludf.DUMMYFUNCTION("IFERROR(unique(filter('Основной эфир'!$F:$F, 'Основной эфир'!$B:$B=$A994,'Основной эфир'!$C:$C=$B994,'Основной эфир'!$I:$I=$C994)),"""")"),"")</f>
        <v/>
      </c>
      <c r="M994" s="92" t="str">
        <f t="shared" si="1"/>
        <v/>
      </c>
      <c r="N994" s="93">
        <f>IFERROR(__xludf.DUMMYFUNCTION("IFERROR(SWITCH(lower(join("" "",L994:M994)),""а миллионник"", 62.5,""б миллионник"", 75,""а мск"", 50, ""б мск"", 62.5, ""a остальное"", 70, ""б остальное"", 80)/100,0)"),0.0)</f>
        <v>0</v>
      </c>
      <c r="O994" s="91">
        <f t="shared" si="2"/>
        <v>0</v>
      </c>
      <c r="P994" s="91">
        <f>IFERROR(__xludf.DUMMYFUNCTION("IFERROR(sum(filter('Генеральный баннер'!$O:$O, 'Генеральный баннер'!$B:$B=$A994,'Генеральный баннер'!$C:$C=$B994,'Генеральный баннер'!$I:$I=$C994)), 0) "),0.0)</f>
        <v>0</v>
      </c>
      <c r="Q994" s="91">
        <f>IFERROR(__xludf.DUMMYFUNCTION("IFERROR(sum(filter('Генеральный баннер'!$Q:$Q, 'Генеральный баннер'!$B:$B=$A994,'Генеральный баннер'!$C:$C=$B994,'Генеральный баннер'!$I:$I=$C994)), 0) "),0.0)</f>
        <v>0</v>
      </c>
      <c r="R994" s="91">
        <f>IFERROR(__xludf.DUMMYFUNCTION("IFERROR(AVERAGE(filter('Генеральный баннер'!$AA:$AA, 'Генеральный баннер'!$B:$B=$A994,'Генеральный баннер'!$C:$C=$B994,'Генеральный баннер'!$I:$I=$C994)), 0) "),0.0)</f>
        <v>0</v>
      </c>
      <c r="S994" s="91">
        <f>IFERROR(__xludf.DUMMYFUNCTION("IFERROR(SUM(filter('Генеральный баннер'!$AH:$AH, 'Генеральный баннер'!$B:$B=$A994,'Генеральный баннер'!$C:$C=$B994,'Генеральный баннер'!$I:$I=$C994)), 0) "),0.0)</f>
        <v>0</v>
      </c>
      <c r="T994" s="91" t="str">
        <f>IFERROR(__xludf.DUMMYFUNCTION("IFERROR(REGEXREPLACE(unique(filter('Генеральный баннер'!$A:$A, 'Генеральный баннер'!$B:$B=$A994,'Генеральный баннер'!$C:$C=$B994,'Генеральный баннер'!$I:$I=$C994)), ""\d+"", """"),"""")"),"")</f>
        <v/>
      </c>
      <c r="U994" s="91" t="str">
        <f>IFERROR(__xludf.DUMMYFUNCTION("IFERROR(unique(filter('Генеральный баннер'!$F:$F, 'Генеральный баннер'!$B:$B=$A994,'Генеральный баннер'!$C:$C=$B994,'Генеральный баннер'!$I:$I=$C994)),"""")"),"")</f>
        <v/>
      </c>
      <c r="V994" s="92" t="str">
        <f t="shared" si="3"/>
        <v/>
      </c>
      <c r="W994" s="93">
        <f>IFERROR(__xludf.DUMMYFUNCTION("IFERROR(SWITCH(lower(join("" "",U994:V994)),""а миллионник"", 62.5,""б миллионник"", 75,""а мск"", 50, ""б мск"", 62.5, ""a остальное"", 70, ""б остальное"", 80)/100,0)"),0.0)</f>
        <v>0</v>
      </c>
      <c r="X994" s="91">
        <f t="shared" si="4"/>
        <v>0</v>
      </c>
    </row>
    <row r="995">
      <c r="A995" s="12"/>
      <c r="B995" s="12"/>
      <c r="C995" s="12"/>
      <c r="D995" s="91">
        <f>IFERROR(__xludf.DUMMYFUNCTION("IFERROR(sum(filter('Основной эфир'!$AA:$AA, 'Основной эфир'!$B:$B=$A995,'Основной эфир'!$C:$C=$B995,'Основной эфир'!$I:$I=$C995)), 0) "),0.0)</f>
        <v>0</v>
      </c>
      <c r="E995" s="91">
        <f>IFERROR(__xludf.DUMMYFUNCTION("IFERROR(sum(filter('Основной эфир'!$AC:$AC, 'Основной эфир'!$B:$B=$A995,'Основной эфир'!$C:$C=$B995,'Основной эфир'!$I:$I=$C995)), 0) "),0.0)</f>
        <v>0</v>
      </c>
      <c r="F995" s="91">
        <f>IFERROR(__xludf.DUMMYFUNCTION("IFERROR(sum(filter('Основной эфир'!$O:$O, 'Основной эфир'!$B:$B=$A995,'Основной эфир'!$C:$C=$B995,'Основной эфир'!$I:$I=$C995)), 0) "),0.0)</f>
        <v>0</v>
      </c>
      <c r="G995" s="91">
        <f>IFERROR(__xludf.DUMMYFUNCTION("IFERROR(sum(filter('Основной эфир'!$Q:$Q, 'Основной эфир'!$B:$B=$A995,'Основной эфир'!$C:$C=$B995,'Основной эфир'!$I:$I=$C995)), 0) "),0.0)</f>
        <v>0</v>
      </c>
      <c r="H995" s="91">
        <f>IFERROR(__xludf.DUMMYFUNCTION("IFERROR(AVERAGE(filter('Основной эфир'!$Y:$Y, 'Основной эфир'!$B:$B=$A995,'Основной эфир'!$C:$C=$B995,'Основной эфир'!$I:$I=$C995)), 0) "),0.0)</f>
        <v>0</v>
      </c>
      <c r="I995" s="91">
        <f>IFERROR(__xludf.DUMMYFUNCTION("IFERROR(AVERAGE(filter('Основной эфир'!$AE:$AE, 'Основной эфир'!$B:$B=$A995,'Основной эфир'!$C:$C=$B995,'Основной эфир'!$I:$I=$C995)), 0) "),0.0)</f>
        <v>0</v>
      </c>
      <c r="J995" s="91">
        <f>IFERROR(__xludf.DUMMYFUNCTION("IFERROR(SUM(filter('Основной эфир'!$AL:$AL, 'Основной эфир'!$B:$B=$A995,'Основной эфир'!$C:$C=$B995,'Основной эфир'!$I:$I=$C995)), 0) "),0.0)</f>
        <v>0</v>
      </c>
      <c r="K995" s="91" t="str">
        <f>IFERROR(__xludf.DUMMYFUNCTION("IFERROR(REGEXREPLACE(unique(filter('Основной эфир'!$A:$A, 'Основной эфир'!$B:$B=$A995,'Основной эфир'!$C:$C=$B995,'Основной эфир'!$I:$I=$C995)), ""\d+"", """"),"""")"),"")</f>
        <v/>
      </c>
      <c r="L995" s="91" t="str">
        <f>IFERROR(__xludf.DUMMYFUNCTION("IFERROR(unique(filter('Основной эфир'!$F:$F, 'Основной эфир'!$B:$B=$A995,'Основной эфир'!$C:$C=$B995,'Основной эфир'!$I:$I=$C995)),"""")"),"")</f>
        <v/>
      </c>
      <c r="M995" s="92" t="str">
        <f t="shared" si="1"/>
        <v/>
      </c>
      <c r="N995" s="93">
        <f>IFERROR(__xludf.DUMMYFUNCTION("IFERROR(SWITCH(lower(join("" "",L995:M995)),""а миллионник"", 62.5,""б миллионник"", 75,""а мск"", 50, ""б мск"", 62.5, ""a остальное"", 70, ""б остальное"", 80)/100,0)"),0.0)</f>
        <v>0</v>
      </c>
      <c r="O995" s="91">
        <f t="shared" si="2"/>
        <v>0</v>
      </c>
      <c r="P995" s="91">
        <f>IFERROR(__xludf.DUMMYFUNCTION("IFERROR(sum(filter('Генеральный баннер'!$O:$O, 'Генеральный баннер'!$B:$B=$A995,'Генеральный баннер'!$C:$C=$B995,'Генеральный баннер'!$I:$I=$C995)), 0) "),0.0)</f>
        <v>0</v>
      </c>
      <c r="Q995" s="91">
        <f>IFERROR(__xludf.DUMMYFUNCTION("IFERROR(sum(filter('Генеральный баннер'!$Q:$Q, 'Генеральный баннер'!$B:$B=$A995,'Генеральный баннер'!$C:$C=$B995,'Генеральный баннер'!$I:$I=$C995)), 0) "),0.0)</f>
        <v>0</v>
      </c>
      <c r="R995" s="91">
        <f>IFERROR(__xludf.DUMMYFUNCTION("IFERROR(AVERAGE(filter('Генеральный баннер'!$AA:$AA, 'Генеральный баннер'!$B:$B=$A995,'Генеральный баннер'!$C:$C=$B995,'Генеральный баннер'!$I:$I=$C995)), 0) "),0.0)</f>
        <v>0</v>
      </c>
      <c r="S995" s="91">
        <f>IFERROR(__xludf.DUMMYFUNCTION("IFERROR(SUM(filter('Генеральный баннер'!$AH:$AH, 'Генеральный баннер'!$B:$B=$A995,'Генеральный баннер'!$C:$C=$B995,'Генеральный баннер'!$I:$I=$C995)), 0) "),0.0)</f>
        <v>0</v>
      </c>
      <c r="T995" s="91" t="str">
        <f>IFERROR(__xludf.DUMMYFUNCTION("IFERROR(REGEXREPLACE(unique(filter('Генеральный баннер'!$A:$A, 'Генеральный баннер'!$B:$B=$A995,'Генеральный баннер'!$C:$C=$B995,'Генеральный баннер'!$I:$I=$C995)), ""\d+"", """"),"""")"),"")</f>
        <v/>
      </c>
      <c r="U995" s="91" t="str">
        <f>IFERROR(__xludf.DUMMYFUNCTION("IFERROR(unique(filter('Генеральный баннер'!$F:$F, 'Генеральный баннер'!$B:$B=$A995,'Генеральный баннер'!$C:$C=$B995,'Генеральный баннер'!$I:$I=$C995)),"""")"),"")</f>
        <v/>
      </c>
      <c r="V995" s="92" t="str">
        <f t="shared" si="3"/>
        <v/>
      </c>
      <c r="W995" s="93">
        <f>IFERROR(__xludf.DUMMYFUNCTION("IFERROR(SWITCH(lower(join("" "",U995:V995)),""а миллионник"", 62.5,""б миллионник"", 75,""а мск"", 50, ""б мск"", 62.5, ""a остальное"", 70, ""б остальное"", 80)/100,0)"),0.0)</f>
        <v>0</v>
      </c>
      <c r="X995" s="91">
        <f t="shared" si="4"/>
        <v>0</v>
      </c>
    </row>
    <row r="996">
      <c r="A996" s="12"/>
      <c r="B996" s="12"/>
      <c r="C996" s="12"/>
      <c r="D996" s="91">
        <f>IFERROR(__xludf.DUMMYFUNCTION("IFERROR(sum(filter('Основной эфир'!$AA:$AA, 'Основной эфир'!$B:$B=$A996,'Основной эфир'!$C:$C=$B996,'Основной эфир'!$I:$I=$C996)), 0) "),0.0)</f>
        <v>0</v>
      </c>
      <c r="E996" s="91">
        <f>IFERROR(__xludf.DUMMYFUNCTION("IFERROR(sum(filter('Основной эфир'!$AC:$AC, 'Основной эфир'!$B:$B=$A996,'Основной эфир'!$C:$C=$B996,'Основной эфир'!$I:$I=$C996)), 0) "),0.0)</f>
        <v>0</v>
      </c>
      <c r="F996" s="91">
        <f>IFERROR(__xludf.DUMMYFUNCTION("IFERROR(sum(filter('Основной эфир'!$O:$O, 'Основной эфир'!$B:$B=$A996,'Основной эфир'!$C:$C=$B996,'Основной эфир'!$I:$I=$C996)), 0) "),0.0)</f>
        <v>0</v>
      </c>
      <c r="G996" s="91">
        <f>IFERROR(__xludf.DUMMYFUNCTION("IFERROR(sum(filter('Основной эфир'!$Q:$Q, 'Основной эфир'!$B:$B=$A996,'Основной эфир'!$C:$C=$B996,'Основной эфир'!$I:$I=$C996)), 0) "),0.0)</f>
        <v>0</v>
      </c>
      <c r="H996" s="91">
        <f>IFERROR(__xludf.DUMMYFUNCTION("IFERROR(AVERAGE(filter('Основной эфир'!$Y:$Y, 'Основной эфир'!$B:$B=$A996,'Основной эфир'!$C:$C=$B996,'Основной эфир'!$I:$I=$C996)), 0) "),0.0)</f>
        <v>0</v>
      </c>
      <c r="I996" s="91">
        <f>IFERROR(__xludf.DUMMYFUNCTION("IFERROR(AVERAGE(filter('Основной эфир'!$AE:$AE, 'Основной эфир'!$B:$B=$A996,'Основной эфир'!$C:$C=$B996,'Основной эфир'!$I:$I=$C996)), 0) "),0.0)</f>
        <v>0</v>
      </c>
      <c r="J996" s="91">
        <f>IFERROR(__xludf.DUMMYFUNCTION("IFERROR(SUM(filter('Основной эфир'!$AL:$AL, 'Основной эфир'!$B:$B=$A996,'Основной эфир'!$C:$C=$B996,'Основной эфир'!$I:$I=$C996)), 0) "),0.0)</f>
        <v>0</v>
      </c>
      <c r="K996" s="91" t="str">
        <f>IFERROR(__xludf.DUMMYFUNCTION("IFERROR(REGEXREPLACE(unique(filter('Основной эфир'!$A:$A, 'Основной эфир'!$B:$B=$A996,'Основной эфир'!$C:$C=$B996,'Основной эфир'!$I:$I=$C996)), ""\d+"", """"),"""")"),"")</f>
        <v/>
      </c>
      <c r="L996" s="91" t="str">
        <f>IFERROR(__xludf.DUMMYFUNCTION("IFERROR(unique(filter('Основной эфир'!$F:$F, 'Основной эфир'!$B:$B=$A996,'Основной эфир'!$C:$C=$B996,'Основной эфир'!$I:$I=$C996)),"""")"),"")</f>
        <v/>
      </c>
      <c r="M996" s="92" t="str">
        <f t="shared" si="1"/>
        <v/>
      </c>
      <c r="N996" s="93">
        <f>IFERROR(__xludf.DUMMYFUNCTION("IFERROR(SWITCH(lower(join("" "",L996:M996)),""а миллионник"", 62.5,""б миллионник"", 75,""а мск"", 50, ""б мск"", 62.5, ""a остальное"", 70, ""б остальное"", 80)/100,0)"),0.0)</f>
        <v>0</v>
      </c>
      <c r="O996" s="91">
        <f t="shared" si="2"/>
        <v>0</v>
      </c>
      <c r="P996" s="91">
        <f>IFERROR(__xludf.DUMMYFUNCTION("IFERROR(sum(filter('Генеральный баннер'!$O:$O, 'Генеральный баннер'!$B:$B=$A996,'Генеральный баннер'!$C:$C=$B996,'Генеральный баннер'!$I:$I=$C996)), 0) "),0.0)</f>
        <v>0</v>
      </c>
      <c r="Q996" s="91">
        <f>IFERROR(__xludf.DUMMYFUNCTION("IFERROR(sum(filter('Генеральный баннер'!$Q:$Q, 'Генеральный баннер'!$B:$B=$A996,'Генеральный баннер'!$C:$C=$B996,'Генеральный баннер'!$I:$I=$C996)), 0) "),0.0)</f>
        <v>0</v>
      </c>
      <c r="R996" s="91">
        <f>IFERROR(__xludf.DUMMYFUNCTION("IFERROR(AVERAGE(filter('Генеральный баннер'!$AA:$AA, 'Генеральный баннер'!$B:$B=$A996,'Генеральный баннер'!$C:$C=$B996,'Генеральный баннер'!$I:$I=$C996)), 0) "),0.0)</f>
        <v>0</v>
      </c>
      <c r="S996" s="91">
        <f>IFERROR(__xludf.DUMMYFUNCTION("IFERROR(SUM(filter('Генеральный баннер'!$AH:$AH, 'Генеральный баннер'!$B:$B=$A996,'Генеральный баннер'!$C:$C=$B996,'Генеральный баннер'!$I:$I=$C996)), 0) "),0.0)</f>
        <v>0</v>
      </c>
      <c r="T996" s="91" t="str">
        <f>IFERROR(__xludf.DUMMYFUNCTION("IFERROR(REGEXREPLACE(unique(filter('Генеральный баннер'!$A:$A, 'Генеральный баннер'!$B:$B=$A996,'Генеральный баннер'!$C:$C=$B996,'Генеральный баннер'!$I:$I=$C996)), ""\d+"", """"),"""")"),"")</f>
        <v/>
      </c>
      <c r="U996" s="91" t="str">
        <f>IFERROR(__xludf.DUMMYFUNCTION("IFERROR(unique(filter('Генеральный баннер'!$F:$F, 'Генеральный баннер'!$B:$B=$A996,'Генеральный баннер'!$C:$C=$B996,'Генеральный баннер'!$I:$I=$C996)),"""")"),"")</f>
        <v/>
      </c>
      <c r="V996" s="92" t="str">
        <f t="shared" si="3"/>
        <v/>
      </c>
      <c r="W996" s="93">
        <f>IFERROR(__xludf.DUMMYFUNCTION("IFERROR(SWITCH(lower(join("" "",U996:V996)),""а миллионник"", 62.5,""б миллионник"", 75,""а мск"", 50, ""б мск"", 62.5, ""a остальное"", 70, ""б остальное"", 80)/100,0)"),0.0)</f>
        <v>0</v>
      </c>
      <c r="X996" s="91">
        <f t="shared" si="4"/>
        <v>0</v>
      </c>
    </row>
    <row r="997">
      <c r="A997" s="12"/>
      <c r="B997" s="12"/>
      <c r="C997" s="12"/>
      <c r="D997" s="91">
        <f>IFERROR(__xludf.DUMMYFUNCTION("IFERROR(sum(filter('Основной эфир'!$AA:$AA, 'Основной эфир'!$B:$B=$A997,'Основной эфир'!$C:$C=$B997,'Основной эфир'!$I:$I=$C997)), 0) "),0.0)</f>
        <v>0</v>
      </c>
      <c r="E997" s="91">
        <f>IFERROR(__xludf.DUMMYFUNCTION("IFERROR(sum(filter('Основной эфир'!$AC:$AC, 'Основной эфир'!$B:$B=$A997,'Основной эфир'!$C:$C=$B997,'Основной эфир'!$I:$I=$C997)), 0) "),0.0)</f>
        <v>0</v>
      </c>
      <c r="F997" s="91">
        <f>IFERROR(__xludf.DUMMYFUNCTION("IFERROR(sum(filter('Основной эфир'!$O:$O, 'Основной эфир'!$B:$B=$A997,'Основной эфир'!$C:$C=$B997,'Основной эфир'!$I:$I=$C997)), 0) "),0.0)</f>
        <v>0</v>
      </c>
      <c r="G997" s="91">
        <f>IFERROR(__xludf.DUMMYFUNCTION("IFERROR(sum(filter('Основной эфир'!$Q:$Q, 'Основной эфир'!$B:$B=$A997,'Основной эфир'!$C:$C=$B997,'Основной эфир'!$I:$I=$C997)), 0) "),0.0)</f>
        <v>0</v>
      </c>
      <c r="H997" s="91">
        <f>IFERROR(__xludf.DUMMYFUNCTION("IFERROR(AVERAGE(filter('Основной эфир'!$Y:$Y, 'Основной эфир'!$B:$B=$A997,'Основной эфир'!$C:$C=$B997,'Основной эфир'!$I:$I=$C997)), 0) "),0.0)</f>
        <v>0</v>
      </c>
      <c r="I997" s="91">
        <f>IFERROR(__xludf.DUMMYFUNCTION("IFERROR(AVERAGE(filter('Основной эфир'!$AE:$AE, 'Основной эфир'!$B:$B=$A997,'Основной эфир'!$C:$C=$B997,'Основной эфир'!$I:$I=$C997)), 0) "),0.0)</f>
        <v>0</v>
      </c>
      <c r="J997" s="91">
        <f>IFERROR(__xludf.DUMMYFUNCTION("IFERROR(SUM(filter('Основной эфир'!$AL:$AL, 'Основной эфир'!$B:$B=$A997,'Основной эфир'!$C:$C=$B997,'Основной эфир'!$I:$I=$C997)), 0) "),0.0)</f>
        <v>0</v>
      </c>
      <c r="K997" s="91" t="str">
        <f>IFERROR(__xludf.DUMMYFUNCTION("IFERROR(REGEXREPLACE(unique(filter('Основной эфир'!$A:$A, 'Основной эфир'!$B:$B=$A997,'Основной эфир'!$C:$C=$B997,'Основной эфир'!$I:$I=$C997)), ""\d+"", """"),"""")"),"")</f>
        <v/>
      </c>
      <c r="L997" s="91" t="str">
        <f>IFERROR(__xludf.DUMMYFUNCTION("IFERROR(unique(filter('Основной эфир'!$F:$F, 'Основной эфир'!$B:$B=$A997,'Основной эфир'!$C:$C=$B997,'Основной эфир'!$I:$I=$C997)),"""")"),"")</f>
        <v/>
      </c>
      <c r="M997" s="92" t="str">
        <f t="shared" si="1"/>
        <v/>
      </c>
      <c r="N997" s="93">
        <f>IFERROR(__xludf.DUMMYFUNCTION("IFERROR(SWITCH(lower(join("" "",L997:M997)),""а миллионник"", 62.5,""б миллионник"", 75,""а мск"", 50, ""б мск"", 62.5, ""a остальное"", 70, ""б остальное"", 80)/100,0)"),0.0)</f>
        <v>0</v>
      </c>
      <c r="O997" s="91">
        <f t="shared" si="2"/>
        <v>0</v>
      </c>
      <c r="P997" s="91">
        <f>IFERROR(__xludf.DUMMYFUNCTION("IFERROR(sum(filter('Генеральный баннер'!$O:$O, 'Генеральный баннер'!$B:$B=$A997,'Генеральный баннер'!$C:$C=$B997,'Генеральный баннер'!$I:$I=$C997)), 0) "),0.0)</f>
        <v>0</v>
      </c>
      <c r="Q997" s="91">
        <f>IFERROR(__xludf.DUMMYFUNCTION("IFERROR(sum(filter('Генеральный баннер'!$Q:$Q, 'Генеральный баннер'!$B:$B=$A997,'Генеральный баннер'!$C:$C=$B997,'Генеральный баннер'!$I:$I=$C997)), 0) "),0.0)</f>
        <v>0</v>
      </c>
      <c r="R997" s="91">
        <f>IFERROR(__xludf.DUMMYFUNCTION("IFERROR(AVERAGE(filter('Генеральный баннер'!$AA:$AA, 'Генеральный баннер'!$B:$B=$A997,'Генеральный баннер'!$C:$C=$B997,'Генеральный баннер'!$I:$I=$C997)), 0) "),0.0)</f>
        <v>0</v>
      </c>
      <c r="S997" s="91">
        <f>IFERROR(__xludf.DUMMYFUNCTION("IFERROR(SUM(filter('Генеральный баннер'!$AH:$AH, 'Генеральный баннер'!$B:$B=$A997,'Генеральный баннер'!$C:$C=$B997,'Генеральный баннер'!$I:$I=$C997)), 0) "),0.0)</f>
        <v>0</v>
      </c>
      <c r="T997" s="91" t="str">
        <f>IFERROR(__xludf.DUMMYFUNCTION("IFERROR(REGEXREPLACE(unique(filter('Генеральный баннер'!$A:$A, 'Генеральный баннер'!$B:$B=$A997,'Генеральный баннер'!$C:$C=$B997,'Генеральный баннер'!$I:$I=$C997)), ""\d+"", """"),"""")"),"")</f>
        <v/>
      </c>
      <c r="U997" s="91" t="str">
        <f>IFERROR(__xludf.DUMMYFUNCTION("IFERROR(unique(filter('Генеральный баннер'!$F:$F, 'Генеральный баннер'!$B:$B=$A997,'Генеральный баннер'!$C:$C=$B997,'Генеральный баннер'!$I:$I=$C997)),"""")"),"")</f>
        <v/>
      </c>
      <c r="V997" s="92" t="str">
        <f t="shared" si="3"/>
        <v/>
      </c>
      <c r="W997" s="93">
        <f>IFERROR(__xludf.DUMMYFUNCTION("IFERROR(SWITCH(lower(join("" "",U997:V997)),""а миллионник"", 62.5,""б миллионник"", 75,""а мск"", 50, ""б мск"", 62.5, ""a остальное"", 70, ""б остальное"", 80)/100,0)"),0.0)</f>
        <v>0</v>
      </c>
      <c r="X997" s="91">
        <f t="shared" si="4"/>
        <v>0</v>
      </c>
    </row>
    <row r="998">
      <c r="A998" s="12"/>
      <c r="B998" s="12"/>
      <c r="C998" s="12"/>
      <c r="D998" s="91">
        <f>IFERROR(__xludf.DUMMYFUNCTION("IFERROR(sum(filter('Основной эфир'!$AA:$AA, 'Основной эфир'!$B:$B=$A998,'Основной эфир'!$C:$C=$B998,'Основной эфир'!$I:$I=$C998)), 0) "),0.0)</f>
        <v>0</v>
      </c>
      <c r="E998" s="91">
        <f>IFERROR(__xludf.DUMMYFUNCTION("IFERROR(sum(filter('Основной эфир'!$AC:$AC, 'Основной эфир'!$B:$B=$A998,'Основной эфир'!$C:$C=$B998,'Основной эфир'!$I:$I=$C998)), 0) "),0.0)</f>
        <v>0</v>
      </c>
      <c r="F998" s="91">
        <f>IFERROR(__xludf.DUMMYFUNCTION("IFERROR(sum(filter('Основной эфир'!$O:$O, 'Основной эфир'!$B:$B=$A998,'Основной эфир'!$C:$C=$B998,'Основной эфир'!$I:$I=$C998)), 0) "),0.0)</f>
        <v>0</v>
      </c>
      <c r="G998" s="91">
        <f>IFERROR(__xludf.DUMMYFUNCTION("IFERROR(sum(filter('Основной эфир'!$Q:$Q, 'Основной эфир'!$B:$B=$A998,'Основной эфир'!$C:$C=$B998,'Основной эфир'!$I:$I=$C998)), 0) "),0.0)</f>
        <v>0</v>
      </c>
      <c r="H998" s="91">
        <f>IFERROR(__xludf.DUMMYFUNCTION("IFERROR(AVERAGE(filter('Основной эфир'!$Y:$Y, 'Основной эфир'!$B:$B=$A998,'Основной эфир'!$C:$C=$B998,'Основной эфир'!$I:$I=$C998)), 0) "),0.0)</f>
        <v>0</v>
      </c>
      <c r="I998" s="91">
        <f>IFERROR(__xludf.DUMMYFUNCTION("IFERROR(AVERAGE(filter('Основной эфир'!$AE:$AE, 'Основной эфир'!$B:$B=$A998,'Основной эфир'!$C:$C=$B998,'Основной эфир'!$I:$I=$C998)), 0) "),0.0)</f>
        <v>0</v>
      </c>
      <c r="J998" s="91">
        <f>IFERROR(__xludf.DUMMYFUNCTION("IFERROR(SUM(filter('Основной эфир'!$AL:$AL, 'Основной эфир'!$B:$B=$A998,'Основной эфир'!$C:$C=$B998,'Основной эфир'!$I:$I=$C998)), 0) "),0.0)</f>
        <v>0</v>
      </c>
      <c r="K998" s="91" t="str">
        <f>IFERROR(__xludf.DUMMYFUNCTION("IFERROR(REGEXREPLACE(unique(filter('Основной эфир'!$A:$A, 'Основной эфир'!$B:$B=$A998,'Основной эфир'!$C:$C=$B998,'Основной эфир'!$I:$I=$C998)), ""\d+"", """"),"""")"),"")</f>
        <v/>
      </c>
      <c r="L998" s="91" t="str">
        <f>IFERROR(__xludf.DUMMYFUNCTION("IFERROR(unique(filter('Основной эфир'!$F:$F, 'Основной эфир'!$B:$B=$A998,'Основной эфир'!$C:$C=$B998,'Основной эфир'!$I:$I=$C998)),"""")"),"")</f>
        <v/>
      </c>
      <c r="M998" s="92" t="str">
        <f t="shared" si="1"/>
        <v/>
      </c>
      <c r="N998" s="93">
        <f>IFERROR(__xludf.DUMMYFUNCTION("IFERROR(SWITCH(lower(join("" "",L998:M998)),""а миллионник"", 62.5,""б миллионник"", 75,""а мск"", 50, ""б мск"", 62.5, ""a остальное"", 70, ""б остальное"", 80)/100,0)"),0.0)</f>
        <v>0</v>
      </c>
      <c r="O998" s="91">
        <f t="shared" si="2"/>
        <v>0</v>
      </c>
      <c r="P998" s="91">
        <f>IFERROR(__xludf.DUMMYFUNCTION("IFERROR(sum(filter('Генеральный баннер'!$O:$O, 'Генеральный баннер'!$B:$B=$A998,'Генеральный баннер'!$C:$C=$B998,'Генеральный баннер'!$I:$I=$C998)), 0) "),0.0)</f>
        <v>0</v>
      </c>
      <c r="Q998" s="91">
        <f>IFERROR(__xludf.DUMMYFUNCTION("IFERROR(sum(filter('Генеральный баннер'!$Q:$Q, 'Генеральный баннер'!$B:$B=$A998,'Генеральный баннер'!$C:$C=$B998,'Генеральный баннер'!$I:$I=$C998)), 0) "),0.0)</f>
        <v>0</v>
      </c>
      <c r="R998" s="91">
        <f>IFERROR(__xludf.DUMMYFUNCTION("IFERROR(AVERAGE(filter('Генеральный баннер'!$AA:$AA, 'Генеральный баннер'!$B:$B=$A998,'Генеральный баннер'!$C:$C=$B998,'Генеральный баннер'!$I:$I=$C998)), 0) "),0.0)</f>
        <v>0</v>
      </c>
      <c r="S998" s="91">
        <f>IFERROR(__xludf.DUMMYFUNCTION("IFERROR(SUM(filter('Генеральный баннер'!$AH:$AH, 'Генеральный баннер'!$B:$B=$A998,'Генеральный баннер'!$C:$C=$B998,'Генеральный баннер'!$I:$I=$C998)), 0) "),0.0)</f>
        <v>0</v>
      </c>
      <c r="T998" s="91" t="str">
        <f>IFERROR(__xludf.DUMMYFUNCTION("IFERROR(REGEXREPLACE(unique(filter('Генеральный баннер'!$A:$A, 'Генеральный баннер'!$B:$B=$A998,'Генеральный баннер'!$C:$C=$B998,'Генеральный баннер'!$I:$I=$C998)), ""\d+"", """"),"""")"),"")</f>
        <v/>
      </c>
      <c r="U998" s="91" t="str">
        <f>IFERROR(__xludf.DUMMYFUNCTION("IFERROR(unique(filter('Генеральный баннер'!$F:$F, 'Генеральный баннер'!$B:$B=$A998,'Генеральный баннер'!$C:$C=$B998,'Генеральный баннер'!$I:$I=$C998)),"""")"),"")</f>
        <v/>
      </c>
      <c r="V998" s="92" t="str">
        <f t="shared" si="3"/>
        <v/>
      </c>
      <c r="W998" s="93">
        <f>IFERROR(__xludf.DUMMYFUNCTION("IFERROR(SWITCH(lower(join("" "",U998:V998)),""а миллионник"", 62.5,""б миллионник"", 75,""а мск"", 50, ""б мск"", 62.5, ""a остальное"", 70, ""б остальное"", 80)/100,0)"),0.0)</f>
        <v>0</v>
      </c>
      <c r="X998" s="91">
        <f t="shared" si="4"/>
        <v>0</v>
      </c>
    </row>
    <row r="999">
      <c r="A999" s="12"/>
      <c r="B999" s="12"/>
      <c r="C999" s="12"/>
      <c r="D999" s="91">
        <f>IFERROR(__xludf.DUMMYFUNCTION("IFERROR(sum(filter('Основной эфир'!$AA:$AA, 'Основной эфир'!$B:$B=$A999,'Основной эфир'!$C:$C=$B999,'Основной эфир'!$I:$I=$C999)), 0) "),0.0)</f>
        <v>0</v>
      </c>
      <c r="E999" s="91">
        <f>IFERROR(__xludf.DUMMYFUNCTION("IFERROR(sum(filter('Основной эфир'!$AC:$AC, 'Основной эфир'!$B:$B=$A999,'Основной эфир'!$C:$C=$B999,'Основной эфир'!$I:$I=$C999)), 0) "),0.0)</f>
        <v>0</v>
      </c>
      <c r="F999" s="91">
        <f>IFERROR(__xludf.DUMMYFUNCTION("IFERROR(sum(filter('Основной эфир'!$O:$O, 'Основной эфир'!$B:$B=$A999,'Основной эфир'!$C:$C=$B999,'Основной эфир'!$I:$I=$C999)), 0) "),0.0)</f>
        <v>0</v>
      </c>
      <c r="G999" s="91">
        <f>IFERROR(__xludf.DUMMYFUNCTION("IFERROR(sum(filter('Основной эфир'!$Q:$Q, 'Основной эфир'!$B:$B=$A999,'Основной эфир'!$C:$C=$B999,'Основной эфир'!$I:$I=$C999)), 0) "),0.0)</f>
        <v>0</v>
      </c>
      <c r="H999" s="91">
        <f>IFERROR(__xludf.DUMMYFUNCTION("IFERROR(AVERAGE(filter('Основной эфир'!$Y:$Y, 'Основной эфир'!$B:$B=$A999,'Основной эфир'!$C:$C=$B999,'Основной эфир'!$I:$I=$C999)), 0) "),0.0)</f>
        <v>0</v>
      </c>
      <c r="I999" s="91">
        <f>IFERROR(__xludf.DUMMYFUNCTION("IFERROR(AVERAGE(filter('Основной эфир'!$AE:$AE, 'Основной эфир'!$B:$B=$A999,'Основной эфир'!$C:$C=$B999,'Основной эфир'!$I:$I=$C999)), 0) "),0.0)</f>
        <v>0</v>
      </c>
      <c r="J999" s="91">
        <f>IFERROR(__xludf.DUMMYFUNCTION("IFERROR(SUM(filter('Основной эфир'!$AL:$AL, 'Основной эфир'!$B:$B=$A999,'Основной эфир'!$C:$C=$B999,'Основной эфир'!$I:$I=$C999)), 0) "),0.0)</f>
        <v>0</v>
      </c>
      <c r="K999" s="91" t="str">
        <f>IFERROR(__xludf.DUMMYFUNCTION("IFERROR(REGEXREPLACE(unique(filter('Основной эфир'!$A:$A, 'Основной эфир'!$B:$B=$A999,'Основной эфир'!$C:$C=$B999,'Основной эфир'!$I:$I=$C999)), ""\d+"", """"),"""")"),"")</f>
        <v/>
      </c>
      <c r="L999" s="91" t="str">
        <f>IFERROR(__xludf.DUMMYFUNCTION("IFERROR(unique(filter('Основной эфир'!$F:$F, 'Основной эфир'!$B:$B=$A999,'Основной эфир'!$C:$C=$B999,'Основной эфир'!$I:$I=$C999)),"""")"),"")</f>
        <v/>
      </c>
      <c r="M999" s="92" t="str">
        <f t="shared" si="1"/>
        <v/>
      </c>
      <c r="N999" s="93">
        <f>IFERROR(__xludf.DUMMYFUNCTION("IFERROR(SWITCH(lower(join("" "",L999:M999)),""а миллионник"", 62.5,""б миллионник"", 75,""а мск"", 50, ""б мск"", 62.5, ""a остальное"", 70, ""б остальное"", 80)/100,0)"),0.0)</f>
        <v>0</v>
      </c>
      <c r="O999" s="91">
        <f t="shared" si="2"/>
        <v>0</v>
      </c>
      <c r="P999" s="91">
        <f>IFERROR(__xludf.DUMMYFUNCTION("IFERROR(sum(filter('Генеральный баннер'!$O:$O, 'Генеральный баннер'!$B:$B=$A999,'Генеральный баннер'!$C:$C=$B999,'Генеральный баннер'!$I:$I=$C999)), 0) "),0.0)</f>
        <v>0</v>
      </c>
      <c r="Q999" s="91">
        <f>IFERROR(__xludf.DUMMYFUNCTION("IFERROR(sum(filter('Генеральный баннер'!$Q:$Q, 'Генеральный баннер'!$B:$B=$A999,'Генеральный баннер'!$C:$C=$B999,'Генеральный баннер'!$I:$I=$C999)), 0) "),0.0)</f>
        <v>0</v>
      </c>
      <c r="R999" s="91">
        <f>IFERROR(__xludf.DUMMYFUNCTION("IFERROR(AVERAGE(filter('Генеральный баннер'!$AA:$AA, 'Генеральный баннер'!$B:$B=$A999,'Генеральный баннер'!$C:$C=$B999,'Генеральный баннер'!$I:$I=$C999)), 0) "),0.0)</f>
        <v>0</v>
      </c>
      <c r="S999" s="91">
        <f>IFERROR(__xludf.DUMMYFUNCTION("IFERROR(SUM(filter('Генеральный баннер'!$AH:$AH, 'Генеральный баннер'!$B:$B=$A999,'Генеральный баннер'!$C:$C=$B999,'Генеральный баннер'!$I:$I=$C999)), 0) "),0.0)</f>
        <v>0</v>
      </c>
      <c r="T999" s="91" t="str">
        <f>IFERROR(__xludf.DUMMYFUNCTION("IFERROR(REGEXREPLACE(unique(filter('Генеральный баннер'!$A:$A, 'Генеральный баннер'!$B:$B=$A999,'Генеральный баннер'!$C:$C=$B999,'Генеральный баннер'!$I:$I=$C999)), ""\d+"", """"),"""")"),"")</f>
        <v/>
      </c>
      <c r="U999" s="91" t="str">
        <f>IFERROR(__xludf.DUMMYFUNCTION("IFERROR(unique(filter('Генеральный баннер'!$F:$F, 'Генеральный баннер'!$B:$B=$A999,'Генеральный баннер'!$C:$C=$B999,'Генеральный баннер'!$I:$I=$C999)),"""")"),"")</f>
        <v/>
      </c>
      <c r="V999" s="92" t="str">
        <f t="shared" si="3"/>
        <v/>
      </c>
      <c r="W999" s="93">
        <f>IFERROR(__xludf.DUMMYFUNCTION("IFERROR(SWITCH(lower(join("" "",U999:V999)),""а миллионник"", 62.5,""б миллионник"", 75,""а мск"", 50, ""б мск"", 62.5, ""a остальное"", 70, ""б остальное"", 80)/100,0)"),0.0)</f>
        <v>0</v>
      </c>
      <c r="X999" s="91">
        <f t="shared" si="4"/>
        <v>0</v>
      </c>
    </row>
    <row r="1000">
      <c r="A1000" s="12"/>
      <c r="B1000" s="12"/>
      <c r="C1000" s="12"/>
      <c r="D1000" s="91">
        <f>IFERROR(__xludf.DUMMYFUNCTION("IFERROR(sum(filter('Основной эфир'!$AA:$AA, 'Основной эфир'!$B:$B=$A1000,'Основной эфир'!$C:$C=$B1000,'Основной эфир'!$I:$I=$C1000)), 0) "),0.0)</f>
        <v>0</v>
      </c>
      <c r="E1000" s="91">
        <f>IFERROR(__xludf.DUMMYFUNCTION("IFERROR(sum(filter('Основной эфир'!$AC:$AC, 'Основной эфир'!$B:$B=$A1000,'Основной эфир'!$C:$C=$B1000,'Основной эфир'!$I:$I=$C1000)), 0) "),0.0)</f>
        <v>0</v>
      </c>
      <c r="F1000" s="91">
        <f>IFERROR(__xludf.DUMMYFUNCTION("IFERROR(sum(filter('Основной эфир'!$O:$O, 'Основной эфир'!$B:$B=$A1000,'Основной эфир'!$C:$C=$B1000,'Основной эфир'!$I:$I=$C1000)), 0) "),0.0)</f>
        <v>0</v>
      </c>
      <c r="G1000" s="91">
        <f>IFERROR(__xludf.DUMMYFUNCTION("IFERROR(sum(filter('Основной эфир'!$Q:$Q, 'Основной эфир'!$B:$B=$A1000,'Основной эфир'!$C:$C=$B1000,'Основной эфир'!$I:$I=$C1000)), 0) "),0.0)</f>
        <v>0</v>
      </c>
      <c r="H1000" s="91">
        <f>IFERROR(__xludf.DUMMYFUNCTION("IFERROR(AVERAGE(filter('Основной эфир'!$Y:$Y, 'Основной эфир'!$B:$B=$A1000,'Основной эфир'!$C:$C=$B1000,'Основной эфир'!$I:$I=$C1000)), 0) "),0.0)</f>
        <v>0</v>
      </c>
      <c r="I1000" s="91">
        <f>IFERROR(__xludf.DUMMYFUNCTION("IFERROR(AVERAGE(filter('Основной эфир'!$AE:$AE, 'Основной эфир'!$B:$B=$A1000,'Основной эфир'!$C:$C=$B1000,'Основной эфир'!$I:$I=$C1000)), 0) "),0.0)</f>
        <v>0</v>
      </c>
      <c r="J1000" s="91">
        <f>IFERROR(__xludf.DUMMYFUNCTION("IFERROR(SUM(filter('Основной эфир'!$AL:$AL, 'Основной эфир'!$B:$B=$A1000,'Основной эфир'!$C:$C=$B1000,'Основной эфир'!$I:$I=$C1000)), 0) "),0.0)</f>
        <v>0</v>
      </c>
      <c r="K1000" s="91" t="str">
        <f>IFERROR(__xludf.DUMMYFUNCTION("IFERROR(REGEXREPLACE(unique(filter('Основной эфир'!$A:$A, 'Основной эфир'!$B:$B=$A1000,'Основной эфир'!$C:$C=$B1000,'Основной эфир'!$I:$I=$C1000)), ""\d+"", """"),"""")"),"")</f>
        <v/>
      </c>
      <c r="L1000" s="91" t="str">
        <f>IFERROR(__xludf.DUMMYFUNCTION("IFERROR(unique(filter('Основной эфир'!$F:$F, 'Основной эфир'!$B:$B=$A1000,'Основной эфир'!$C:$C=$B1000,'Основной эфир'!$I:$I=$C1000)),"""")"),"")</f>
        <v/>
      </c>
      <c r="M1000" s="92" t="str">
        <f t="shared" si="1"/>
        <v/>
      </c>
      <c r="N1000" s="93">
        <f>IFERROR(__xludf.DUMMYFUNCTION("IFERROR(SWITCH(lower(join("" "",L1000:M1000)),""а миллионник"", 62.5,""б миллионник"", 75,""а мск"", 50, ""б мск"", 62.5, ""a остальное"", 70, ""б остальное"", 80)/100,0)"),0.0)</f>
        <v>0</v>
      </c>
      <c r="O1000" s="91">
        <f t="shared" si="2"/>
        <v>0</v>
      </c>
      <c r="P1000" s="91">
        <f>IFERROR(__xludf.DUMMYFUNCTION("IFERROR(sum(filter('Генеральный баннер'!$O:$O, 'Генеральный баннер'!$B:$B=$A1000,'Генеральный баннер'!$C:$C=$B1000,'Генеральный баннер'!$I:$I=$C1000)), 0) "),0.0)</f>
        <v>0</v>
      </c>
      <c r="Q1000" s="91">
        <f>IFERROR(__xludf.DUMMYFUNCTION("IFERROR(sum(filter('Генеральный баннер'!$Q:$Q, 'Генеральный баннер'!$B:$B=$A1000,'Генеральный баннер'!$C:$C=$B1000,'Генеральный баннер'!$I:$I=$C1000)), 0) "),0.0)</f>
        <v>0</v>
      </c>
      <c r="R1000" s="91">
        <f>IFERROR(__xludf.DUMMYFUNCTION("IFERROR(AVERAGE(filter('Генеральный баннер'!$AA:$AA, 'Генеральный баннер'!$B:$B=$A1000,'Генеральный баннер'!$C:$C=$B1000,'Генеральный баннер'!$I:$I=$C1000)), 0) "),0.0)</f>
        <v>0</v>
      </c>
      <c r="S1000" s="91">
        <f>IFERROR(__xludf.DUMMYFUNCTION("IFERROR(SUM(filter('Генеральный баннер'!$AH:$AH, 'Генеральный баннер'!$B:$B=$A1000,'Генеральный баннер'!$C:$C=$B1000,'Генеральный баннер'!$I:$I=$C1000)), 0) "),0.0)</f>
        <v>0</v>
      </c>
      <c r="T1000" s="91" t="str">
        <f>IFERROR(__xludf.DUMMYFUNCTION("IFERROR(REGEXREPLACE(unique(filter('Генеральный баннер'!$A:$A, 'Генеральный баннер'!$B:$B=$A1000,'Генеральный баннер'!$C:$C=$B1000,'Генеральный баннер'!$I:$I=$C1000)), ""\d+"", """"),"""")"),"")</f>
        <v/>
      </c>
      <c r="U1000" s="91" t="str">
        <f>IFERROR(__xludf.DUMMYFUNCTION("IFERROR(unique(filter('Генеральный баннер'!$F:$F, 'Генеральный баннер'!$B:$B=$A1000,'Генеральный баннер'!$C:$C=$B1000,'Генеральный баннер'!$I:$I=$C1000)),"""")"),"")</f>
        <v/>
      </c>
      <c r="V1000" s="92" t="str">
        <f t="shared" si="3"/>
        <v/>
      </c>
      <c r="W1000" s="93">
        <f>IFERROR(__xludf.DUMMYFUNCTION("IFERROR(SWITCH(lower(join("" "",U1000:V1000)),""а миллионник"", 62.5,""б миллионник"", 75,""а мск"", 50, ""б мск"", 62.5, ""a остальное"", 70, ""б остальное"", 80)/100,0)"),0.0)</f>
        <v>0</v>
      </c>
      <c r="X1000" s="91">
        <f t="shared" si="4"/>
        <v>0</v>
      </c>
    </row>
    <row r="1001">
      <c r="A1001" s="12"/>
      <c r="B1001" s="12"/>
      <c r="C1001" s="12"/>
      <c r="D1001" s="91">
        <f>IFERROR(__xludf.DUMMYFUNCTION("IFERROR(sum(filter('Основной эфир'!$AA:$AA, 'Основной эфир'!$B:$B=$A1001,'Основной эфир'!$C:$C=$B1001,'Основной эфир'!$I:$I=$C1001)), 0) "),0.0)</f>
        <v>0</v>
      </c>
      <c r="E1001" s="91">
        <f>IFERROR(__xludf.DUMMYFUNCTION("IFERROR(sum(filter('Основной эфир'!$AC:$AC, 'Основной эфир'!$B:$B=$A1001,'Основной эфир'!$C:$C=$B1001,'Основной эфир'!$I:$I=$C1001)), 0) "),0.0)</f>
        <v>0</v>
      </c>
      <c r="F1001" s="91">
        <f>IFERROR(__xludf.DUMMYFUNCTION("IFERROR(sum(filter('Основной эфир'!$O:$O, 'Основной эфир'!$B:$B=$A1001,'Основной эфир'!$C:$C=$B1001,'Основной эфир'!$I:$I=$C1001)), 0) "),0.0)</f>
        <v>0</v>
      </c>
      <c r="G1001" s="91">
        <f>IFERROR(__xludf.DUMMYFUNCTION("IFERROR(sum(filter('Основной эфир'!$Q:$Q, 'Основной эфир'!$B:$B=$A1001,'Основной эфир'!$C:$C=$B1001,'Основной эфир'!$I:$I=$C1001)), 0) "),0.0)</f>
        <v>0</v>
      </c>
      <c r="H1001" s="91">
        <f>IFERROR(__xludf.DUMMYFUNCTION("IFERROR(AVERAGE(filter('Основной эфир'!$Y:$Y, 'Основной эфир'!$B:$B=$A1001,'Основной эфир'!$C:$C=$B1001,'Основной эфир'!$I:$I=$C1001)), 0) "),0.0)</f>
        <v>0</v>
      </c>
      <c r="I1001" s="91">
        <f>IFERROR(__xludf.DUMMYFUNCTION("IFERROR(AVERAGE(filter('Основной эфир'!$AE:$AE, 'Основной эфир'!$B:$B=$A1001,'Основной эфир'!$C:$C=$B1001,'Основной эфир'!$I:$I=$C1001)), 0) "),0.0)</f>
        <v>0</v>
      </c>
      <c r="J1001" s="91">
        <f>IFERROR(__xludf.DUMMYFUNCTION("IFERROR(SUM(filter('Основной эфир'!$AL:$AL, 'Основной эфир'!$B:$B=$A1001,'Основной эфир'!$C:$C=$B1001,'Основной эфир'!$I:$I=$C1001)), 0) "),0.0)</f>
        <v>0</v>
      </c>
      <c r="K1001" s="91" t="str">
        <f>IFERROR(__xludf.DUMMYFUNCTION("IFERROR(REGEXREPLACE(unique(filter('Основной эфир'!$A:$A, 'Основной эфир'!$B:$B=$A1001,'Основной эфир'!$C:$C=$B1001,'Основной эфир'!$I:$I=$C1001)), ""\d+"", """"),"""")"),"")</f>
        <v/>
      </c>
      <c r="L1001" s="91" t="str">
        <f>IFERROR(__xludf.DUMMYFUNCTION("IFERROR(unique(filter('Основной эфир'!$F:$F, 'Основной эфир'!$B:$B=$A1001,'Основной эфир'!$C:$C=$B1001,'Основной эфир'!$I:$I=$C1001)),"""")"),"")</f>
        <v/>
      </c>
      <c r="M1001" s="92" t="str">
        <f t="shared" si="1"/>
        <v/>
      </c>
      <c r="N1001" s="93">
        <f>IFERROR(__xludf.DUMMYFUNCTION("IFERROR(SWITCH(lower(join("" "",L1001:M1001)),""а миллионник"", 62.5,""б миллионник"", 75,""а мск"", 50, ""б мск"", 62.5, ""a остальное"", 70, ""б остальное"", 80)/100,0)"),0.0)</f>
        <v>0</v>
      </c>
      <c r="O1001" s="91">
        <f t="shared" si="2"/>
        <v>0</v>
      </c>
      <c r="P1001" s="91">
        <f>IFERROR(__xludf.DUMMYFUNCTION("IFERROR(sum(filter('Генеральный баннер'!$O:$O, 'Генеральный баннер'!$B:$B=$A1001,'Генеральный баннер'!$C:$C=$B1001,'Генеральный баннер'!$I:$I=$C1001)), 0) "),0.0)</f>
        <v>0</v>
      </c>
      <c r="Q1001" s="91">
        <f>IFERROR(__xludf.DUMMYFUNCTION("IFERROR(sum(filter('Генеральный баннер'!$Q:$Q, 'Генеральный баннер'!$B:$B=$A1001,'Генеральный баннер'!$C:$C=$B1001,'Генеральный баннер'!$I:$I=$C1001)), 0) "),0.0)</f>
        <v>0</v>
      </c>
      <c r="R1001" s="91">
        <f>IFERROR(__xludf.DUMMYFUNCTION("IFERROR(AVERAGE(filter('Генеральный баннер'!$AA:$AA, 'Генеральный баннер'!$B:$B=$A1001,'Генеральный баннер'!$C:$C=$B1001,'Генеральный баннер'!$I:$I=$C1001)), 0) "),0.0)</f>
        <v>0</v>
      </c>
      <c r="S1001" s="91">
        <f>IFERROR(__xludf.DUMMYFUNCTION("IFERROR(SUM(filter('Генеральный баннер'!$AH:$AH, 'Генеральный баннер'!$B:$B=$A1001,'Генеральный баннер'!$C:$C=$B1001,'Генеральный баннер'!$I:$I=$C1001)), 0) "),0.0)</f>
        <v>0</v>
      </c>
      <c r="T1001" s="91" t="str">
        <f>IFERROR(__xludf.DUMMYFUNCTION("IFERROR(REGEXREPLACE(unique(filter('Генеральный баннер'!$A:$A, 'Генеральный баннер'!$B:$B=$A1001,'Генеральный баннер'!$C:$C=$B1001,'Генеральный баннер'!$I:$I=$C1001)), ""\d+"", """"),"""")"),"")</f>
        <v/>
      </c>
      <c r="U1001" s="91" t="str">
        <f>IFERROR(__xludf.DUMMYFUNCTION("IFERROR(unique(filter('Генеральный баннер'!$F:$F, 'Генеральный баннер'!$B:$B=$A1001,'Генеральный баннер'!$C:$C=$B1001,'Генеральный баннер'!$I:$I=$C1001)),"""")"),"")</f>
        <v/>
      </c>
      <c r="V1001" s="92" t="str">
        <f t="shared" si="3"/>
        <v/>
      </c>
      <c r="W1001" s="93">
        <f>IFERROR(__xludf.DUMMYFUNCTION("IFERROR(SWITCH(lower(join("" "",U1001:V1001)),""а миллионник"", 62.5,""б миллионник"", 75,""а мск"", 50, ""б мск"", 62.5, ""a остальное"", 70, ""б остальное"", 80)/100,0)"),0.0)</f>
        <v>0</v>
      </c>
      <c r="X1001" s="91">
        <f t="shared" si="4"/>
        <v>0</v>
      </c>
    </row>
    <row r="1002">
      <c r="A1002" s="12"/>
      <c r="B1002" s="12"/>
      <c r="C1002" s="12"/>
      <c r="D1002" s="91">
        <f>IFERROR(__xludf.DUMMYFUNCTION("IFERROR(sum(filter('Основной эфир'!$AA:$AA, 'Основной эфир'!$B:$B=$A1002,'Основной эфир'!$C:$C=$B1002,'Основной эфир'!$I:$I=$C1002)), 0) "),0.0)</f>
        <v>0</v>
      </c>
      <c r="E1002" s="91">
        <f>IFERROR(__xludf.DUMMYFUNCTION("IFERROR(sum(filter('Основной эфир'!$AC:$AC, 'Основной эфир'!$B:$B=$A1002,'Основной эфир'!$C:$C=$B1002,'Основной эфир'!$I:$I=$C1002)), 0) "),0.0)</f>
        <v>0</v>
      </c>
      <c r="F1002" s="91">
        <f>IFERROR(__xludf.DUMMYFUNCTION("IFERROR(sum(filter('Основной эфир'!$O:$O, 'Основной эфир'!$B:$B=$A1002,'Основной эфир'!$C:$C=$B1002,'Основной эфир'!$I:$I=$C1002)), 0) "),0.0)</f>
        <v>0</v>
      </c>
      <c r="G1002" s="91">
        <f>IFERROR(__xludf.DUMMYFUNCTION("IFERROR(sum(filter('Основной эфир'!$Q:$Q, 'Основной эфир'!$B:$B=$A1002,'Основной эфир'!$C:$C=$B1002,'Основной эфир'!$I:$I=$C1002)), 0) "),0.0)</f>
        <v>0</v>
      </c>
      <c r="H1002" s="91">
        <f>IFERROR(__xludf.DUMMYFUNCTION("IFERROR(AVERAGE(filter('Основной эфир'!$Y:$Y, 'Основной эфир'!$B:$B=$A1002,'Основной эфир'!$C:$C=$B1002,'Основной эфир'!$I:$I=$C1002)), 0) "),0.0)</f>
        <v>0</v>
      </c>
      <c r="I1002" s="91">
        <f>IFERROR(__xludf.DUMMYFUNCTION("IFERROR(AVERAGE(filter('Основной эфир'!$AE:$AE, 'Основной эфир'!$B:$B=$A1002,'Основной эфир'!$C:$C=$B1002,'Основной эфир'!$I:$I=$C1002)), 0) "),0.0)</f>
        <v>0</v>
      </c>
      <c r="J1002" s="91">
        <f>IFERROR(__xludf.DUMMYFUNCTION("IFERROR(SUM(filter('Основной эфир'!$AL:$AL, 'Основной эфир'!$B:$B=$A1002,'Основной эфир'!$C:$C=$B1002,'Основной эфир'!$I:$I=$C1002)), 0) "),0.0)</f>
        <v>0</v>
      </c>
      <c r="K1002" s="91" t="str">
        <f>IFERROR(__xludf.DUMMYFUNCTION("IFERROR(REGEXREPLACE(unique(filter('Основной эфир'!$A:$A, 'Основной эфир'!$B:$B=$A1002,'Основной эфир'!$C:$C=$B1002,'Основной эфир'!$I:$I=$C1002)), ""\d+"", """"),"""")"),"")</f>
        <v/>
      </c>
      <c r="L1002" s="91" t="str">
        <f>IFERROR(__xludf.DUMMYFUNCTION("IFERROR(unique(filter('Основной эфир'!$F:$F, 'Основной эфир'!$B:$B=$A1002,'Основной эфир'!$C:$C=$B1002,'Основной эфир'!$I:$I=$C1002)),"""")"),"")</f>
        <v/>
      </c>
      <c r="M1002" s="92" t="str">
        <f t="shared" si="1"/>
        <v/>
      </c>
      <c r="N1002" s="93">
        <f>IFERROR(__xludf.DUMMYFUNCTION("IFERROR(SWITCH(lower(join("" "",L1002:M1002)),""а миллионник"", 62.5,""б миллионник"", 75,""а мск"", 50, ""б мск"", 62.5, ""a остальное"", 70, ""б остальное"", 80)/100,0)"),0.0)</f>
        <v>0</v>
      </c>
      <c r="O1002" s="91">
        <f t="shared" si="2"/>
        <v>0</v>
      </c>
      <c r="P1002" s="91">
        <f>IFERROR(__xludf.DUMMYFUNCTION("IFERROR(sum(filter('Генеральный баннер'!$O:$O, 'Генеральный баннер'!$B:$B=$A1002,'Генеральный баннер'!$C:$C=$B1002,'Генеральный баннер'!$I:$I=$C1002)), 0) "),0.0)</f>
        <v>0</v>
      </c>
      <c r="Q1002" s="91">
        <f>IFERROR(__xludf.DUMMYFUNCTION("IFERROR(sum(filter('Генеральный баннер'!$Q:$Q, 'Генеральный баннер'!$B:$B=$A1002,'Генеральный баннер'!$C:$C=$B1002,'Генеральный баннер'!$I:$I=$C1002)), 0) "),0.0)</f>
        <v>0</v>
      </c>
      <c r="R1002" s="91">
        <f>IFERROR(__xludf.DUMMYFUNCTION("IFERROR(AVERAGE(filter('Генеральный баннер'!$AA:$AA, 'Генеральный баннер'!$B:$B=$A1002,'Генеральный баннер'!$C:$C=$B1002,'Генеральный баннер'!$I:$I=$C1002)), 0) "),0.0)</f>
        <v>0</v>
      </c>
      <c r="S1002" s="91">
        <f>IFERROR(__xludf.DUMMYFUNCTION("IFERROR(SUM(filter('Генеральный баннер'!$AH:$AH, 'Генеральный баннер'!$B:$B=$A1002,'Генеральный баннер'!$C:$C=$B1002,'Генеральный баннер'!$I:$I=$C1002)), 0) "),0.0)</f>
        <v>0</v>
      </c>
      <c r="T1002" s="91" t="str">
        <f>IFERROR(__xludf.DUMMYFUNCTION("IFERROR(REGEXREPLACE(unique(filter('Генеральный баннер'!$A:$A, 'Генеральный баннер'!$B:$B=$A1002,'Генеральный баннер'!$C:$C=$B1002,'Генеральный баннер'!$I:$I=$C1002)), ""\d+"", """"),"""")"),"")</f>
        <v/>
      </c>
      <c r="U1002" s="91" t="str">
        <f>IFERROR(__xludf.DUMMYFUNCTION("IFERROR(unique(filter('Генеральный баннер'!$F:$F, 'Генеральный баннер'!$B:$B=$A1002,'Генеральный баннер'!$C:$C=$B1002,'Генеральный баннер'!$I:$I=$C1002)),"""")"),"")</f>
        <v/>
      </c>
      <c r="V1002" s="92" t="str">
        <f t="shared" si="3"/>
        <v/>
      </c>
      <c r="W1002" s="93">
        <f>IFERROR(__xludf.DUMMYFUNCTION("IFERROR(SWITCH(lower(join("" "",U1002:V1002)),""а миллионник"", 62.5,""б миллионник"", 75,""а мск"", 50, ""б мск"", 62.5, ""a остальное"", 70, ""б остальное"", 80)/100,0)"),0.0)</f>
        <v>0</v>
      </c>
      <c r="X1002" s="91">
        <f t="shared" si="4"/>
        <v>0</v>
      </c>
    </row>
  </sheetData>
  <mergeCells count="3">
    <mergeCell ref="A1:C2"/>
    <mergeCell ref="D1:O2"/>
    <mergeCell ref="P1:X2"/>
  </mergeCells>
  <dataValidations>
    <dataValidation type="list" allowBlank="1" showErrorMessage="1" sqref="A4:A1002">
      <formula1>'Данные для построения списка'!$A$2:$A$998</formula1>
    </dataValidation>
    <dataValidation type="list" allowBlank="1" sqref="C6">
      <formula1>"ЖК Новое Внуково 1,ЖК Новое Внуково 2,ЖК Новое Внуково 3,ЖК Новое Внуково 4"</formula1>
    </dataValidation>
    <dataValidation type="list" allowBlank="1" sqref="B6">
      <formula1>"Внуково,Красногорск,Мисайлово,Одинцово,Путилково,Щербинка"</formula1>
    </dataValidation>
    <dataValidation type="list" allowBlank="1" sqref="B7">
      <formula1>"Казань,Усады"</formula1>
    </dataValidation>
    <dataValidation type="list" allowBlank="1" sqref="C7">
      <formula1>"ЖК Счастливый"</formula1>
    </dataValidation>
    <dataValidation type="list" allowBlank="1" sqref="B4:B5">
      <formula1>"Нефтекамск,Октябрьский,Стерлитамак,Уфа"</formula1>
    </dataValidation>
    <dataValidation type="list" allowBlank="1" sqref="C4:C5">
      <formula1>"ЖК  Южный,ЖК 8 Марта 1,ЖК 8 Марта 2,ЖК Акварель,ЖК Аксаковский ,ЖК Аксаковский Сад,ЖК Арбат,ЖК Арена,ЖК Бакалинская,ЖК Белая река,ЖК Ботанический сад,ЖК Ветер,ЖК Видинеевский,ЖК Видный 1,ЖК Видный 2,ЖК Выбор первых,ЖК Высотная,ЖК Гоголя 53,ЖК Гоголя 63,ЖК"&amp;" Грин Дом,ЖК Гурьевский,ЖК Дёма ,ЖК Зеленая Роща,ЖК Зорге парк,ЖК Изумрудный 1,ЖК Изумрудный 2,ЖК Изумрудный 3,ЖК Изумрудный 4,ЖК Иремель,ЖК Искра,ЖК квартал Алтын,ЖК квартал Колгуевский,ЖК Квартал Набережная,ЖК Квартал Центр ,ЖК Красинский,ЖК Кристалл,ЖК"&amp;" Лайт,ЖК Лилия,ЖК МВД,ЖК Мечтателей,ЖК на Академика Королева 35,ЖК на Бикбая,ЖК На Исмагилова,ЖК на Караидельской,ЖК на Комсомольской,ЖК на Маршала Жукова,ЖК на Мингажева,ЖК на Набережной реки Уфы 3/5,ЖК на Перовской 54,ЖК на Революционной,ЖК на Сочинской"&amp;",ЖК на Ураксина,ЖК на Цурюпа 78,ЖК на Цюрупы,ЖК на Чернышевского,ЖК Новаленд 1,ЖК Новаленд 2,ЖК Новаленд 3,ЖК Новаленд 4,ЖК Новая Дёма,ЖК Новомостовая,ЖК Нью-Йорт,ЖК Орион,ЖК Панорама,ЖК Парус,ЖК Петропавловский,ЖК Планета,ЖК Планета 2,ЖК Планета 3,ЖК Пол"&amp;"есье,ЖК Полесье 2,ЖК Полесье 3,ЖК Президент отель,ЖК Проезд Лесной 16,ЖК Республика ,ЖК Республика 1,ЖК Риверсайд,ЖК Свобода 1,ЖК Свобода 2,ЖК Семь звёзд,ЖК Семья,ЖК Старый центр,ЖК Тихий Центр,ЖК Трио,ЖК Уфимский кремль ,ЖК Цветы Башкирии 1,ЖК Цветы Башк"&amp;"ирии 2,ЖК Цветы Башкирии 3,ЖК Центр,ЖК Черемушки,ЖК Черемушки 2,ЖК Черемушки 3,ЖК Черниковские высотки,ЖК Чистое небо ,ЖК Эверест,ЖК Элементум,ЖК Элементум 2,ЖК Южный 2,ЖК Яркий квартал МАДРИД,ЖК Яркий Квартал Париж 1,ЖК Яркий Квартал Париж 2,ЖК Яркий Ква"&amp;"ртал Париж 3,ЖК Idel Tower,ЖК Idel Tower 2,ЖК Smart Plaza,ЖК The Prime,Зеленый квартал (затон),квартал Амантая,Квартал Башкирия,квартал Белореченский,квартал Гагаринский ,Квартал дом Профсоюзов,Квартал Дружба,Квартал Зенцова,Квартал Корсо,квартал Кузнецов"&amp;"ский затон,Квартал Летчиков,Квартал Маяк,Квартал Олимп,Квартал Олимп 2,Квартал Олимп 3,Квартал Университетский"</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51.75"/>
    <col customWidth="1" min="5" max="5" width="24.63"/>
    <col customWidth="1" min="6" max="12" width="21.0"/>
  </cols>
  <sheetData>
    <row r="1">
      <c r="A1" s="101"/>
      <c r="B1" s="102" t="s">
        <v>2004</v>
      </c>
      <c r="C1" s="81"/>
      <c r="D1" s="81"/>
      <c r="E1" s="81"/>
      <c r="F1" s="81"/>
      <c r="G1" s="81"/>
      <c r="H1" s="82"/>
      <c r="I1" s="103"/>
      <c r="J1" s="104"/>
      <c r="K1" s="104"/>
      <c r="L1" s="104"/>
      <c r="M1" s="104"/>
      <c r="N1" s="104"/>
      <c r="O1" s="104"/>
      <c r="P1" s="104"/>
      <c r="Q1" s="105"/>
      <c r="R1" s="105"/>
      <c r="S1" s="105"/>
      <c r="T1" s="105"/>
      <c r="U1" s="104"/>
      <c r="V1" s="104"/>
      <c r="W1" s="104"/>
      <c r="X1" s="104"/>
      <c r="Y1" s="104"/>
      <c r="Z1" s="104"/>
      <c r="AA1" s="104"/>
      <c r="AB1" s="104"/>
    </row>
    <row r="2" ht="45.0" customHeight="1">
      <c r="A2" s="106"/>
      <c r="B2" s="84"/>
      <c r="C2" s="85"/>
      <c r="D2" s="85"/>
      <c r="E2" s="85"/>
      <c r="F2" s="85"/>
      <c r="G2" s="85"/>
      <c r="H2" s="86"/>
      <c r="I2" s="103"/>
      <c r="J2" s="104"/>
      <c r="K2" s="104"/>
      <c r="L2" s="104"/>
      <c r="M2" s="104"/>
      <c r="N2" s="104"/>
      <c r="O2" s="104"/>
      <c r="P2" s="104"/>
      <c r="Q2" s="105"/>
      <c r="R2" s="105"/>
      <c r="S2" s="105"/>
      <c r="T2" s="105"/>
      <c r="U2" s="104"/>
      <c r="V2" s="104"/>
      <c r="W2" s="104"/>
      <c r="X2" s="104"/>
      <c r="Y2" s="104"/>
      <c r="Z2" s="104"/>
      <c r="AA2" s="104"/>
      <c r="AB2" s="104"/>
    </row>
    <row r="3">
      <c r="A3" s="103"/>
      <c r="B3" s="103"/>
      <c r="C3" s="103"/>
      <c r="D3" s="103"/>
      <c r="E3" s="107" t="s">
        <v>2015</v>
      </c>
      <c r="F3" s="103"/>
      <c r="G3" s="103"/>
      <c r="H3" s="103"/>
      <c r="I3" s="103"/>
      <c r="J3" s="99"/>
      <c r="K3" s="104"/>
      <c r="L3" s="104"/>
      <c r="M3" s="104"/>
      <c r="N3" s="104"/>
      <c r="O3" s="104"/>
      <c r="P3" s="104"/>
      <c r="Q3" s="104"/>
      <c r="R3" s="104"/>
      <c r="S3" s="104"/>
      <c r="T3" s="104"/>
      <c r="U3" s="104"/>
      <c r="V3" s="104"/>
      <c r="W3" s="104"/>
      <c r="X3" s="104"/>
      <c r="Y3" s="104"/>
      <c r="Z3" s="104"/>
      <c r="AA3" s="104"/>
      <c r="AB3" s="104"/>
    </row>
    <row r="4">
      <c r="A4" s="108" t="s">
        <v>2020</v>
      </c>
      <c r="B4" s="109"/>
      <c r="C4" s="6"/>
      <c r="D4" s="103"/>
      <c r="E4" s="110" t="s">
        <v>1470</v>
      </c>
      <c r="F4" s="103"/>
      <c r="G4" s="103"/>
      <c r="H4" s="103"/>
      <c r="I4" s="103"/>
      <c r="J4" s="99"/>
      <c r="K4" s="104"/>
      <c r="L4" s="104"/>
      <c r="M4" s="104"/>
      <c r="N4" s="104"/>
      <c r="O4" s="104"/>
      <c r="P4" s="104"/>
      <c r="Q4" s="104"/>
      <c r="R4" s="104"/>
      <c r="S4" s="104"/>
      <c r="T4" s="104"/>
      <c r="U4" s="104"/>
      <c r="V4" s="104"/>
      <c r="W4" s="104"/>
      <c r="X4" s="104"/>
      <c r="Y4" s="104"/>
      <c r="Z4" s="104"/>
      <c r="AA4" s="104"/>
      <c r="AB4" s="104"/>
    </row>
    <row r="5">
      <c r="A5" s="111" t="s">
        <v>2031</v>
      </c>
      <c r="B5" s="112" t="str">
        <f>IFERROR(__xludf.DUMMYFUNCTION("join("", "", unique(filter('Выбор адресов'!B4:B988,'Выбор адресов'!B4:B988&lt;&gt;"""")))"),"Уфа, Внуково, Усады")</f>
        <v>Уфа, Внуково, Усады</v>
      </c>
      <c r="C5" s="6"/>
      <c r="D5" s="103"/>
      <c r="E5" s="110" t="s">
        <v>1478</v>
      </c>
      <c r="F5" s="103"/>
      <c r="G5" s="103"/>
      <c r="H5" s="103"/>
      <c r="I5" s="103"/>
      <c r="J5" s="99"/>
      <c r="K5" s="104"/>
      <c r="L5" s="104"/>
      <c r="M5" s="104"/>
      <c r="N5" s="104"/>
      <c r="O5" s="104"/>
      <c r="P5" s="104"/>
      <c r="Q5" s="104"/>
      <c r="R5" s="104"/>
      <c r="S5" s="104"/>
      <c r="T5" s="104"/>
      <c r="U5" s="104"/>
      <c r="V5" s="104"/>
      <c r="W5" s="104"/>
      <c r="X5" s="104"/>
      <c r="Y5" s="104"/>
      <c r="Z5" s="104"/>
      <c r="AA5" s="104"/>
      <c r="AB5" s="104"/>
    </row>
    <row r="6">
      <c r="A6" s="108" t="s">
        <v>2040</v>
      </c>
      <c r="B6" s="112" t="str">
        <f>IFERROR(__xludf.DUMMYFUNCTION("join("", "", unique(filter('Выбор адресов'!C$4:C988,'Выбор адресов'!C$4:C988&lt;&gt;"""")))"),"ЖК Видинеевский, ЖК  Южный, ЖК Новое Внуково 1, ЖК Счастливый")</f>
        <v>ЖК Видинеевский, ЖК  Южный, ЖК Новое Внуково 1, ЖК Счастливый</v>
      </c>
      <c r="C6" s="6"/>
      <c r="D6" s="103"/>
      <c r="E6" s="110" t="s">
        <v>2041</v>
      </c>
      <c r="F6" s="103"/>
      <c r="G6" s="103"/>
      <c r="H6" s="103"/>
      <c r="I6" s="103"/>
      <c r="J6" s="99"/>
      <c r="K6" s="104"/>
      <c r="L6" s="104"/>
      <c r="M6" s="104"/>
      <c r="N6" s="104"/>
      <c r="O6" s="104"/>
      <c r="P6" s="104"/>
      <c r="Q6" s="104"/>
      <c r="R6" s="104"/>
      <c r="S6" s="104"/>
      <c r="T6" s="104"/>
      <c r="U6" s="104"/>
      <c r="V6" s="104"/>
      <c r="W6" s="104"/>
      <c r="X6" s="104"/>
      <c r="Y6" s="104"/>
      <c r="Z6" s="104"/>
      <c r="AA6" s="104"/>
      <c r="AB6" s="104"/>
    </row>
    <row r="7">
      <c r="A7" s="108" t="s">
        <v>1488</v>
      </c>
      <c r="B7" s="113">
        <f>SWITCH( $A$8, "Основной эфир", sum('Выбор адресов'!$I:$I), "Генеральный баннер", sum('Выбор адресов'!$R:$R))</f>
        <v>37779.02902</v>
      </c>
      <c r="C7" s="6"/>
      <c r="D7" s="103"/>
      <c r="E7" s="103"/>
      <c r="F7" s="103"/>
      <c r="G7" s="103"/>
      <c r="H7" s="103"/>
      <c r="I7" s="103"/>
      <c r="J7" s="99"/>
      <c r="K7" s="104"/>
      <c r="L7" s="104"/>
      <c r="M7" s="104"/>
      <c r="N7" s="104"/>
      <c r="O7" s="104"/>
      <c r="P7" s="104"/>
      <c r="Q7" s="104"/>
      <c r="R7" s="104"/>
      <c r="S7" s="104"/>
      <c r="T7" s="104"/>
      <c r="U7" s="104"/>
      <c r="V7" s="104"/>
      <c r="W7" s="104"/>
      <c r="X7" s="104"/>
      <c r="Y7" s="104"/>
      <c r="Z7" s="104"/>
      <c r="AA7" s="104"/>
      <c r="AB7" s="104"/>
    </row>
    <row r="8">
      <c r="A8" s="109" t="s">
        <v>1470</v>
      </c>
      <c r="B8" s="114"/>
      <c r="C8" s="6"/>
      <c r="D8" s="103"/>
      <c r="E8" s="103"/>
      <c r="F8" s="103"/>
      <c r="G8" s="103"/>
      <c r="H8" s="103"/>
      <c r="I8" s="103"/>
      <c r="J8" s="99"/>
      <c r="K8" s="104"/>
      <c r="L8" s="104"/>
      <c r="M8" s="104"/>
      <c r="N8" s="104"/>
      <c r="O8" s="104"/>
      <c r="P8" s="104"/>
      <c r="Q8" s="104"/>
      <c r="R8" s="104"/>
      <c r="S8" s="104"/>
      <c r="T8" s="104"/>
      <c r="U8" s="104"/>
      <c r="V8" s="104"/>
      <c r="W8" s="104"/>
      <c r="X8" s="104"/>
      <c r="Y8" s="104"/>
      <c r="Z8" s="104"/>
      <c r="AA8" s="104"/>
      <c r="AB8" s="104"/>
    </row>
    <row r="9">
      <c r="A9" s="115"/>
      <c r="B9" s="115"/>
      <c r="C9" s="115"/>
      <c r="D9" s="115"/>
      <c r="E9" s="103"/>
      <c r="F9" s="103"/>
      <c r="G9" s="103"/>
      <c r="H9" s="103"/>
      <c r="I9" s="103"/>
      <c r="J9" s="99"/>
      <c r="K9" s="104"/>
      <c r="L9" s="104"/>
      <c r="M9" s="104"/>
      <c r="N9" s="104"/>
      <c r="O9" s="104"/>
      <c r="P9" s="104"/>
      <c r="Q9" s="116"/>
      <c r="R9" s="116"/>
      <c r="S9" s="116"/>
      <c r="T9" s="104"/>
      <c r="U9" s="104"/>
      <c r="V9" s="104"/>
      <c r="W9" s="104"/>
      <c r="X9" s="104"/>
      <c r="Y9" s="104"/>
      <c r="Z9" s="104"/>
      <c r="AA9" s="104"/>
      <c r="AB9" s="104"/>
    </row>
    <row r="10">
      <c r="A10" s="115"/>
      <c r="B10" s="115"/>
      <c r="C10" s="115"/>
      <c r="D10" s="115"/>
      <c r="E10" s="103"/>
      <c r="F10" s="103"/>
      <c r="G10" s="103"/>
      <c r="H10" s="103"/>
      <c r="I10" s="103"/>
      <c r="J10" s="99"/>
      <c r="K10" s="104"/>
      <c r="L10" s="104"/>
      <c r="M10" s="104"/>
      <c r="N10" s="104"/>
      <c r="O10" s="104"/>
      <c r="P10" s="104"/>
      <c r="Q10" s="104"/>
      <c r="R10" s="104"/>
      <c r="S10" s="104"/>
      <c r="T10" s="104"/>
      <c r="U10" s="104"/>
      <c r="V10" s="104"/>
      <c r="W10" s="104"/>
      <c r="X10" s="104"/>
      <c r="Y10" s="104"/>
      <c r="Z10" s="104"/>
      <c r="AA10" s="104"/>
      <c r="AB10" s="104"/>
    </row>
    <row r="11">
      <c r="A11" s="117" t="s">
        <v>2065</v>
      </c>
      <c r="B11" s="103"/>
      <c r="C11" s="103"/>
      <c r="D11" s="103"/>
      <c r="E11" s="103"/>
      <c r="F11" s="103"/>
      <c r="G11" s="103"/>
      <c r="H11" s="103"/>
      <c r="I11" s="103"/>
      <c r="J11" s="99"/>
      <c r="K11" s="104"/>
      <c r="L11" s="104"/>
      <c r="M11" s="104"/>
      <c r="N11" s="104"/>
      <c r="O11" s="104"/>
      <c r="P11" s="104"/>
      <c r="Q11" s="104"/>
      <c r="R11" s="104"/>
      <c r="S11" s="104"/>
      <c r="T11" s="104"/>
      <c r="U11" s="104"/>
      <c r="V11" s="104"/>
      <c r="W11" s="104"/>
      <c r="X11" s="104"/>
      <c r="Y11" s="104"/>
      <c r="Z11" s="104"/>
      <c r="AA11" s="104"/>
      <c r="AB11" s="104"/>
    </row>
    <row r="12">
      <c r="A12" s="118" t="s">
        <v>1485</v>
      </c>
      <c r="B12" s="119" t="s">
        <v>1486</v>
      </c>
      <c r="C12" s="119" t="s">
        <v>2069</v>
      </c>
      <c r="D12" s="119" t="s">
        <v>1487</v>
      </c>
      <c r="E12" s="119" t="s">
        <v>2070</v>
      </c>
      <c r="F12" s="119" t="s">
        <v>2071</v>
      </c>
      <c r="G12" s="120" t="s">
        <v>2072</v>
      </c>
      <c r="H12" s="118" t="s">
        <v>2073</v>
      </c>
      <c r="I12" s="103"/>
      <c r="J12" s="99"/>
      <c r="K12" s="104"/>
      <c r="L12" s="104"/>
      <c r="M12" s="104"/>
      <c r="N12" s="104"/>
      <c r="O12" s="104"/>
      <c r="P12" s="104"/>
      <c r="Q12" s="104"/>
      <c r="R12" s="104"/>
      <c r="S12" s="104"/>
      <c r="T12" s="104"/>
      <c r="U12" s="104"/>
      <c r="V12" s="104"/>
      <c r="W12" s="104"/>
      <c r="X12" s="104"/>
      <c r="Y12" s="104"/>
      <c r="Z12" s="104"/>
      <c r="AA12" s="104"/>
      <c r="AB12" s="104"/>
    </row>
    <row r="13">
      <c r="A13" s="121">
        <f>SWITCH( $A$8, "Основной эфир", SUM('Выбор адресов'!$D$4:$D988), "Генеральный баннер", "")</f>
        <v>9792</v>
      </c>
      <c r="B13" s="122">
        <f>SWITCH( $A$8, "Основной эфир", SUM('Выбор адресов'!$E$4:$E988), "Генеральный баннер", "")</f>
        <v>607104</v>
      </c>
      <c r="C13" s="123">
        <f>SWITCH( $A$8, "Основной эфир", SUM('Выбор адресов'!$F$4:$F988), "Генеральный баннер", SUM('Выбор адресов'!$P$4:$P988))</f>
        <v>3487</v>
      </c>
      <c r="D13" s="121">
        <f>SWITCH( $A$8, "Основной эфир", SUM('Выбор адресов'!$H$4:$H988), "Генеральный баннер", "")</f>
        <v>40</v>
      </c>
      <c r="E13" s="124">
        <f>SWITCH(A8,"Основной эфир", sum('Выбор адресов'!$J:$J), "Генеральный баннер", sum('Выбор адресов'!$S:$S))</f>
        <v>136000</v>
      </c>
      <c r="F13" s="125">
        <f>SWITCH(A8,"Основной эфир", sum('Выбор адресов'!$O:$O), "Генеральный баннер", sum('Выбор адресов'!$X:$X))</f>
        <v>47000</v>
      </c>
      <c r="G13" s="125"/>
      <c r="H13" s="126">
        <f>IFERROR(__xludf.DUMMYFUNCTION(" E13  * (1 - IF(ISERROR(SEARCH(""%"", TO_TEXT(G13))), G13/100, G13))"),136000.0)</f>
        <v>136000</v>
      </c>
      <c r="I13" s="127"/>
      <c r="J13" s="128"/>
      <c r="K13" s="129"/>
      <c r="L13" s="129"/>
      <c r="M13" s="129"/>
      <c r="N13" s="129"/>
      <c r="O13" s="129"/>
      <c r="P13" s="129"/>
      <c r="Q13" s="129"/>
      <c r="R13" s="129"/>
      <c r="S13" s="129"/>
      <c r="T13" s="129"/>
      <c r="U13" s="129"/>
      <c r="V13" s="129"/>
      <c r="W13" s="129"/>
      <c r="X13" s="129"/>
      <c r="Y13" s="129"/>
      <c r="Z13" s="129"/>
      <c r="AA13" s="129"/>
      <c r="AB13" s="129"/>
    </row>
    <row r="14">
      <c r="A14" s="4"/>
      <c r="B14" s="4"/>
      <c r="C14" s="4"/>
      <c r="D14" s="4"/>
      <c r="E14" s="4"/>
      <c r="F14" s="4"/>
      <c r="G14" s="4"/>
      <c r="H14" s="4"/>
      <c r="I14" s="104"/>
      <c r="J14" s="99"/>
      <c r="K14" s="104"/>
      <c r="L14" s="104"/>
      <c r="M14" s="104"/>
      <c r="N14" s="104"/>
      <c r="O14" s="104"/>
      <c r="P14" s="104"/>
      <c r="Q14" s="104"/>
      <c r="R14" s="104"/>
      <c r="S14" s="104"/>
      <c r="T14" s="104"/>
      <c r="U14" s="104"/>
      <c r="V14" s="104"/>
      <c r="W14" s="104"/>
      <c r="X14" s="104"/>
      <c r="Y14" s="104"/>
      <c r="Z14" s="104"/>
      <c r="AA14" s="104"/>
      <c r="AB14" s="104"/>
    </row>
    <row r="15">
      <c r="A15" s="130" t="s">
        <v>2102</v>
      </c>
      <c r="B15" s="131" t="s">
        <v>2103</v>
      </c>
      <c r="C15" s="130" t="s">
        <v>2105</v>
      </c>
      <c r="D15" s="131" t="s">
        <v>2103</v>
      </c>
      <c r="E15" s="4"/>
      <c r="F15" s="4"/>
      <c r="G15" s="4"/>
      <c r="H15" s="4"/>
      <c r="I15" s="104"/>
      <c r="J15" s="99"/>
      <c r="K15" s="104"/>
      <c r="L15" s="104"/>
      <c r="M15" s="104"/>
      <c r="N15" s="104"/>
      <c r="O15" s="104"/>
      <c r="P15" s="104"/>
      <c r="Q15" s="104"/>
      <c r="R15" s="104"/>
      <c r="S15" s="104"/>
      <c r="T15" s="104"/>
      <c r="U15" s="104"/>
      <c r="V15" s="104"/>
      <c r="W15" s="104"/>
      <c r="X15" s="104"/>
      <c r="Y15" s="104"/>
      <c r="Z15" s="104"/>
      <c r="AA15" s="104"/>
      <c r="AB15" s="104"/>
    </row>
    <row r="16">
      <c r="A16" s="132" t="s">
        <v>2108</v>
      </c>
      <c r="B16" s="133" t="s">
        <v>2109</v>
      </c>
      <c r="C16" s="132" t="s">
        <v>2110</v>
      </c>
      <c r="D16" s="134" t="s">
        <v>2111</v>
      </c>
      <c r="E16" s="4"/>
      <c r="F16" s="4"/>
      <c r="G16" s="4"/>
      <c r="H16" s="4"/>
      <c r="I16" s="104"/>
      <c r="J16" s="99"/>
      <c r="K16" s="104"/>
      <c r="L16" s="104"/>
      <c r="M16" s="104"/>
      <c r="N16" s="104"/>
      <c r="O16" s="104"/>
      <c r="P16" s="104"/>
      <c r="Q16" s="104"/>
      <c r="R16" s="104"/>
      <c r="S16" s="104"/>
      <c r="T16" s="104"/>
      <c r="U16" s="104"/>
      <c r="V16" s="104"/>
      <c r="W16" s="104"/>
      <c r="X16" s="104"/>
      <c r="Y16" s="104"/>
      <c r="Z16" s="104"/>
      <c r="AA16" s="104"/>
      <c r="AB16" s="104"/>
    </row>
    <row r="17">
      <c r="A17" s="104"/>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row>
    <row r="18">
      <c r="A18" s="136" t="s">
        <v>2117</v>
      </c>
      <c r="B18" s="137" t="s">
        <v>2118</v>
      </c>
      <c r="C18" s="136" t="s">
        <v>2119</v>
      </c>
      <c r="D18" s="138" t="s">
        <v>2120</v>
      </c>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row>
    <row r="19">
      <c r="A19" s="139" t="s">
        <v>2122</v>
      </c>
      <c r="B19" s="140" t="s">
        <v>2124</v>
      </c>
      <c r="C19" s="139" t="s">
        <v>2128</v>
      </c>
      <c r="D19" s="141" t="s">
        <v>2129</v>
      </c>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row>
    <row r="20">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row>
    <row r="21">
      <c r="A21" s="144" t="s">
        <v>2131</v>
      </c>
      <c r="B21" s="114"/>
      <c r="C21" s="114"/>
      <c r="D21" s="114"/>
      <c r="E21" s="114"/>
      <c r="F21" s="114"/>
      <c r="G21" s="6"/>
      <c r="H21" s="104"/>
      <c r="I21" s="104"/>
      <c r="J21" s="104"/>
      <c r="K21" s="104"/>
      <c r="L21" s="104"/>
      <c r="M21" s="104"/>
      <c r="N21" s="104"/>
      <c r="O21" s="104"/>
      <c r="P21" s="104"/>
      <c r="Q21" s="104"/>
      <c r="R21" s="104"/>
      <c r="S21" s="104"/>
      <c r="T21" s="104"/>
      <c r="U21" s="104"/>
      <c r="V21" s="104"/>
      <c r="W21" s="104"/>
      <c r="X21" s="104"/>
      <c r="Y21" s="104"/>
      <c r="Z21" s="104"/>
      <c r="AA21" s="104"/>
      <c r="AB21" s="104"/>
    </row>
    <row r="22">
      <c r="A22" s="145" t="s">
        <v>3</v>
      </c>
      <c r="B22" s="145" t="s">
        <v>2</v>
      </c>
      <c r="C22" s="145" t="s">
        <v>2137</v>
      </c>
      <c r="D22" s="145" t="s">
        <v>2138</v>
      </c>
      <c r="E22" s="145" t="s">
        <v>2140</v>
      </c>
      <c r="F22" s="145" t="s">
        <v>2141</v>
      </c>
      <c r="G22" s="145" t="s">
        <v>2142</v>
      </c>
      <c r="H22" s="104"/>
      <c r="I22" s="104"/>
      <c r="J22" s="104"/>
      <c r="K22" s="104"/>
      <c r="L22" s="104"/>
      <c r="M22" s="104"/>
      <c r="N22" s="104"/>
      <c r="O22" s="104"/>
      <c r="P22" s="104"/>
      <c r="Q22" s="104"/>
      <c r="R22" s="104"/>
      <c r="S22" s="104"/>
      <c r="T22" s="104"/>
      <c r="U22" s="104"/>
      <c r="V22" s="104"/>
      <c r="W22" s="104"/>
      <c r="X22" s="104"/>
      <c r="Y22" s="104"/>
      <c r="Z22" s="104"/>
      <c r="AA22" s="104"/>
      <c r="AB22" s="104"/>
    </row>
    <row r="23">
      <c r="A23" s="146" t="s">
        <v>2145</v>
      </c>
      <c r="B23" s="146" t="s">
        <v>2146</v>
      </c>
      <c r="C23" s="146" t="s">
        <v>2147</v>
      </c>
      <c r="D23" s="146" t="s">
        <v>2148</v>
      </c>
      <c r="E23" s="146" t="s">
        <v>2149</v>
      </c>
      <c r="F23" s="120" t="s">
        <v>2150</v>
      </c>
      <c r="G23" s="146" t="s">
        <v>2151</v>
      </c>
      <c r="H23" s="116"/>
      <c r="I23" s="104"/>
      <c r="J23" s="104"/>
      <c r="K23" s="104"/>
      <c r="L23" s="104"/>
      <c r="M23" s="104"/>
      <c r="N23" s="104"/>
      <c r="O23" s="104"/>
      <c r="P23" s="104"/>
      <c r="Q23" s="104"/>
      <c r="R23" s="104"/>
      <c r="S23" s="104"/>
      <c r="T23" s="104"/>
      <c r="U23" s="104"/>
      <c r="V23" s="104"/>
      <c r="W23" s="104"/>
      <c r="X23" s="104"/>
      <c r="Y23" s="104"/>
      <c r="Z23" s="104"/>
      <c r="AA23" s="104"/>
      <c r="AB23" s="104"/>
    </row>
    <row r="24">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row>
    <row r="25">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row>
    <row r="26">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row>
    <row r="28">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row>
    <row r="29">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row>
    <row r="30">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row>
    <row r="31">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row>
    <row r="3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row>
    <row r="33">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row>
    <row r="34">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row>
    <row r="35">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row>
    <row r="36">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row>
    <row r="37">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row>
    <row r="38">
      <c r="A38" s="111" t="s">
        <v>2169</v>
      </c>
      <c r="B38" s="147" t="s">
        <v>2170</v>
      </c>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row>
    <row r="39">
      <c r="A39" s="111" t="s">
        <v>2173</v>
      </c>
      <c r="B39" s="147" t="s">
        <v>2174</v>
      </c>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c r="A40" s="111" t="s">
        <v>2175</v>
      </c>
      <c r="B40" s="147" t="s">
        <v>2176</v>
      </c>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row>
    <row r="41">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row>
    <row r="4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row>
    <row r="43">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row>
    <row r="44">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row>
    <row r="45">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row>
    <row r="46">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row>
    <row r="48">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row>
    <row r="49">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row>
    <row r="50">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row>
    <row r="51">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row>
    <row r="5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row>
    <row r="54">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row>
    <row r="55">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row>
    <row r="56">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row>
    <row r="57">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row>
    <row r="60">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row>
    <row r="61">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row>
    <row r="6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row>
    <row r="63">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row>
    <row r="64">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row>
    <row r="65">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row>
    <row r="66">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row>
    <row r="69">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row>
    <row r="70">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row>
    <row r="71">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row>
    <row r="7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row>
    <row r="74">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row>
    <row r="75">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row>
    <row r="77">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row>
    <row r="78">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row>
    <row r="79">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row>
    <row r="80">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c r="A221" s="104"/>
      <c r="B221" s="104"/>
      <c r="C221" s="104"/>
      <c r="D221" s="104"/>
      <c r="E221" s="104"/>
      <c r="F221" s="104"/>
      <c r="G221" s="104"/>
      <c r="H221" s="104"/>
      <c r="I221" s="104"/>
      <c r="J221" s="104"/>
      <c r="K221" s="104"/>
      <c r="L221" s="104"/>
      <c r="M221" s="104"/>
      <c r="N221" s="104"/>
      <c r="O221" s="104"/>
      <c r="P221" s="104"/>
      <c r="Q221" s="104"/>
      <c r="R221" s="104"/>
      <c r="S221" s="104"/>
      <c r="T221" s="104"/>
      <c r="U221" s="104"/>
      <c r="V221" s="104"/>
      <c r="W221" s="104"/>
      <c r="X221" s="104"/>
      <c r="Y221" s="104"/>
      <c r="Z221" s="104"/>
      <c r="AA221" s="104"/>
      <c r="AB221" s="104"/>
    </row>
    <row r="222">
      <c r="A222" s="104"/>
      <c r="B222" s="104"/>
      <c r="C222" s="104"/>
      <c r="D222" s="104"/>
      <c r="E222" s="104"/>
      <c r="F222" s="104"/>
      <c r="G222" s="104"/>
      <c r="H222" s="104"/>
      <c r="I222" s="104"/>
      <c r="J222" s="104"/>
      <c r="K222" s="104"/>
      <c r="L222" s="104"/>
      <c r="M222" s="104"/>
      <c r="N222" s="104"/>
      <c r="O222" s="104"/>
      <c r="P222" s="104"/>
      <c r="Q222" s="104"/>
      <c r="R222" s="104"/>
      <c r="S222" s="104"/>
      <c r="T222" s="104"/>
      <c r="U222" s="104"/>
      <c r="V222" s="104"/>
      <c r="W222" s="104"/>
      <c r="X222" s="104"/>
      <c r="Y222" s="104"/>
      <c r="Z222" s="104"/>
      <c r="AA222" s="104"/>
      <c r="AB222" s="104"/>
    </row>
    <row r="223">
      <c r="A223" s="104"/>
      <c r="B223" s="104"/>
      <c r="C223" s="104"/>
      <c r="D223" s="104"/>
      <c r="E223" s="104"/>
      <c r="F223" s="104"/>
      <c r="G223" s="104"/>
      <c r="H223" s="104"/>
      <c r="I223" s="104"/>
      <c r="J223" s="104"/>
      <c r="K223" s="104"/>
      <c r="L223" s="104"/>
      <c r="M223" s="104"/>
      <c r="N223" s="104"/>
      <c r="O223" s="104"/>
      <c r="P223" s="104"/>
      <c r="Q223" s="104"/>
      <c r="R223" s="104"/>
      <c r="S223" s="104"/>
      <c r="T223" s="104"/>
      <c r="U223" s="104"/>
      <c r="V223" s="104"/>
      <c r="W223" s="104"/>
      <c r="X223" s="104"/>
      <c r="Y223" s="104"/>
      <c r="Z223" s="104"/>
      <c r="AA223" s="104"/>
      <c r="AB223" s="104"/>
    </row>
    <row r="224">
      <c r="A224" s="104"/>
      <c r="B224" s="104"/>
      <c r="C224" s="104"/>
      <c r="D224" s="104"/>
      <c r="E224" s="104"/>
      <c r="F224" s="104"/>
      <c r="G224" s="104"/>
      <c r="H224" s="104"/>
      <c r="I224" s="104"/>
      <c r="J224" s="104"/>
      <c r="K224" s="104"/>
      <c r="L224" s="104"/>
      <c r="M224" s="104"/>
      <c r="N224" s="104"/>
      <c r="O224" s="104"/>
      <c r="P224" s="104"/>
      <c r="Q224" s="104"/>
      <c r="R224" s="104"/>
      <c r="S224" s="104"/>
      <c r="T224" s="104"/>
      <c r="U224" s="104"/>
      <c r="V224" s="104"/>
      <c r="W224" s="104"/>
      <c r="X224" s="104"/>
      <c r="Y224" s="104"/>
      <c r="Z224" s="104"/>
      <c r="AA224" s="104"/>
      <c r="AB224" s="104"/>
    </row>
    <row r="225">
      <c r="A225" s="104"/>
      <c r="B225" s="104"/>
      <c r="C225" s="104"/>
      <c r="D225" s="104"/>
      <c r="E225" s="104"/>
      <c r="F225" s="104"/>
      <c r="G225" s="104"/>
      <c r="H225" s="104"/>
      <c r="I225" s="104"/>
      <c r="J225" s="104"/>
      <c r="K225" s="104"/>
      <c r="L225" s="104"/>
      <c r="M225" s="104"/>
      <c r="N225" s="104"/>
      <c r="O225" s="104"/>
      <c r="P225" s="104"/>
      <c r="Q225" s="104"/>
      <c r="R225" s="104"/>
      <c r="S225" s="104"/>
      <c r="T225" s="104"/>
      <c r="U225" s="104"/>
      <c r="V225" s="104"/>
      <c r="W225" s="104"/>
      <c r="X225" s="104"/>
      <c r="Y225" s="104"/>
      <c r="Z225" s="104"/>
      <c r="AA225" s="104"/>
      <c r="AB225" s="104"/>
    </row>
    <row r="226">
      <c r="A226" s="104"/>
      <c r="B226" s="104"/>
      <c r="C226" s="104"/>
      <c r="D226" s="104"/>
      <c r="E226" s="104"/>
      <c r="F226" s="104"/>
      <c r="G226" s="104"/>
      <c r="H226" s="104"/>
      <c r="I226" s="104"/>
      <c r="J226" s="104"/>
      <c r="K226" s="104"/>
      <c r="L226" s="104"/>
      <c r="M226" s="104"/>
      <c r="N226" s="104"/>
      <c r="O226" s="104"/>
      <c r="P226" s="104"/>
      <c r="Q226" s="104"/>
      <c r="R226" s="104"/>
      <c r="S226" s="104"/>
      <c r="T226" s="104"/>
      <c r="U226" s="104"/>
      <c r="V226" s="104"/>
      <c r="W226" s="104"/>
      <c r="X226" s="104"/>
      <c r="Y226" s="104"/>
      <c r="Z226" s="104"/>
      <c r="AA226" s="104"/>
      <c r="AB226" s="104"/>
    </row>
    <row r="227">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row>
    <row r="228">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row>
    <row r="229">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row>
    <row r="230">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row>
    <row r="23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row>
    <row r="232">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row>
    <row r="233">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row>
    <row r="234">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row>
    <row r="235">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row>
    <row r="236">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row>
    <row r="237">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row>
    <row r="238">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row>
    <row r="239">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row>
    <row r="240">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row>
    <row r="24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row>
    <row r="242">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row>
    <row r="243">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row>
    <row r="244">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row>
    <row r="245">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row>
    <row r="246">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row>
    <row r="247">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row>
    <row r="248">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row>
    <row r="249">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row>
    <row r="250">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row>
    <row r="25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row>
    <row r="252">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row>
    <row r="253">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row>
    <row r="254">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row>
    <row r="255">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row>
    <row r="256">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row>
    <row r="257">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row>
    <row r="258">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row>
    <row r="259">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row>
    <row r="260">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row>
    <row r="26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row>
    <row r="262">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row>
    <row r="263">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row>
    <row r="264">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row>
    <row r="265">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row>
    <row r="266">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row>
    <row r="267">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row>
    <row r="268">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row>
    <row r="269">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row>
    <row r="270">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row>
    <row r="27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row>
    <row r="272">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row>
    <row r="273">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row>
    <row r="274">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row>
    <row r="275">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row>
    <row r="276">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row>
    <row r="277">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row>
    <row r="278">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row>
    <row r="279">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row>
    <row r="280">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row>
    <row r="28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row>
    <row r="282">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row>
    <row r="283">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row>
    <row r="284">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row>
    <row r="285">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row>
    <row r="286">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row>
    <row r="287">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row>
    <row r="288">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row>
    <row r="289">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row>
    <row r="290">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row>
    <row r="29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row>
    <row r="292">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row>
    <row r="293">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row>
    <row r="294">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row>
    <row r="295">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row>
    <row r="296">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row>
    <row r="297">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row>
    <row r="298">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row>
    <row r="299">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row>
    <row r="300">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row>
    <row r="30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row>
    <row r="302">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row>
    <row r="303">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row>
    <row r="304">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row>
    <row r="305">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row>
    <row r="306">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row>
    <row r="307">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row>
    <row r="308">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row>
    <row r="309">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row>
    <row r="310">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row>
    <row r="31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row>
    <row r="312">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row>
    <row r="313">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row>
    <row r="314">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row>
    <row r="315">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row>
    <row r="316">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row>
    <row r="317">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row>
    <row r="318">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row>
    <row r="319">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row>
    <row r="320">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row>
    <row r="32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row>
    <row r="322">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row>
    <row r="323">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row>
    <row r="324">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row>
    <row r="325">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row>
    <row r="326">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row>
    <row r="327">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row>
    <row r="328">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row>
    <row r="329">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row>
    <row r="330">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row>
    <row r="33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row>
    <row r="332">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row>
    <row r="333">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row>
    <row r="334">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row>
    <row r="335">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row>
    <row r="336">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row>
    <row r="337">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row>
    <row r="338">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row>
    <row r="339">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row>
    <row r="340">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row>
    <row r="34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row>
    <row r="342">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row>
    <row r="343">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row>
    <row r="344">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row>
    <row r="345">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row>
    <row r="346">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row>
    <row r="347">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row>
    <row r="348">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row>
    <row r="349">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row>
    <row r="350">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row>
    <row r="35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row>
    <row r="352">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row>
    <row r="353">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row>
    <row r="354">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row>
    <row r="355">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row>
    <row r="356">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row>
    <row r="357">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row>
    <row r="358">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row>
    <row r="359">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row>
    <row r="360">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row>
    <row r="36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row>
    <row r="362">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row>
    <row r="363">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row>
    <row r="364">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row>
    <row r="365">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row>
    <row r="366">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row>
    <row r="367">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row>
    <row r="368">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row>
    <row r="369">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row>
    <row r="370">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row>
    <row r="37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row>
    <row r="372">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row>
    <row r="373">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row>
    <row r="374">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row>
    <row r="375">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row>
    <row r="376">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row>
    <row r="377">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row>
    <row r="378">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row>
    <row r="379">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row>
    <row r="380">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row>
    <row r="38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row>
    <row r="382">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row>
    <row r="383">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row>
    <row r="384">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row>
    <row r="385">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row>
    <row r="386">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row>
    <row r="387">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row>
    <row r="388">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row>
    <row r="389">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row>
    <row r="390">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row>
    <row r="39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row>
    <row r="392">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row>
    <row r="393">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row>
    <row r="394">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row>
    <row r="395">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row>
    <row r="396">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row>
    <row r="397">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row>
    <row r="398">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row>
    <row r="399">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row>
    <row r="400">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row>
    <row r="40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row>
    <row r="402">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row>
    <row r="403">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row>
    <row r="404">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row>
    <row r="405">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row>
    <row r="406">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row>
    <row r="407">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row>
    <row r="408">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row>
    <row r="409">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row>
    <row r="410">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row>
    <row r="41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row>
    <row r="412">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row>
    <row r="413">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row>
    <row r="414">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row>
    <row r="415">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row>
    <row r="416">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row>
    <row r="417">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row>
    <row r="418">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row>
    <row r="419">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row>
    <row r="420">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row>
    <row r="42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row>
    <row r="422">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row>
    <row r="423">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row>
    <row r="424">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row>
    <row r="425">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row>
    <row r="426">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row>
    <row r="427">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row>
    <row r="428">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row>
    <row r="429">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row>
    <row r="430">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row>
    <row r="43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row>
    <row r="432">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row>
    <row r="433">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row>
    <row r="434">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row>
    <row r="435">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row>
    <row r="436">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row>
    <row r="437">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row>
    <row r="438">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row>
    <row r="439">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row>
    <row r="440">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row>
    <row r="44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row>
    <row r="442">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row>
    <row r="443">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row>
    <row r="444">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row>
    <row r="445">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row>
    <row r="446">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row>
    <row r="447">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row>
    <row r="448">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row>
    <row r="449">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row>
    <row r="450">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row>
    <row r="45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row>
    <row r="452">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row>
    <row r="453">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row>
    <row r="454">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row>
    <row r="455">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row>
    <row r="456">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row>
    <row r="457">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row>
    <row r="458">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row>
    <row r="459">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row>
    <row r="460">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row>
    <row r="46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row>
    <row r="462">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row>
    <row r="463">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row>
    <row r="464">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row>
    <row r="465">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row>
    <row r="466">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row>
    <row r="467">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row>
    <row r="468">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row>
    <row r="469">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row>
    <row r="470">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row>
    <row r="47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row>
    <row r="472">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row>
    <row r="473">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row>
    <row r="474">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row>
    <row r="475">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row>
    <row r="476">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row>
    <row r="477">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row>
    <row r="478">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row>
    <row r="479">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row>
    <row r="480">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row>
    <row r="48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row>
    <row r="482">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row>
    <row r="483">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row>
    <row r="484">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row>
    <row r="485">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row>
    <row r="486">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row>
    <row r="487">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row>
    <row r="488">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row>
    <row r="489">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row>
    <row r="490">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row>
    <row r="49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row>
    <row r="492">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row>
    <row r="493">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row>
    <row r="494">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row>
    <row r="495">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row>
    <row r="496">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row>
    <row r="497">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row>
    <row r="498">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row>
    <row r="499">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row>
    <row r="500">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row>
    <row r="50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row>
    <row r="502">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row>
    <row r="503">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row>
    <row r="504">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row>
    <row r="505">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row>
    <row r="506">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row>
    <row r="507">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row>
    <row r="508">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row>
    <row r="509">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row>
    <row r="510">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row>
    <row r="51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row>
    <row r="512">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row>
    <row r="513">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row>
    <row r="514">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row>
    <row r="515">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row>
    <row r="516">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row>
    <row r="517">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row>
    <row r="518">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row>
    <row r="519">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row>
    <row r="520">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row>
    <row r="52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row>
    <row r="522">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row>
    <row r="523">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row>
    <row r="524">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row>
    <row r="525">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row>
    <row r="526">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row>
    <row r="527">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row>
    <row r="528">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row>
    <row r="529">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row>
    <row r="530">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row>
    <row r="53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row>
    <row r="532">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row>
    <row r="533">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row>
    <row r="534">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row>
    <row r="535">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row>
    <row r="536">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row>
    <row r="537">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row>
    <row r="538">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row>
    <row r="539">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row>
    <row r="540">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row>
    <row r="54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row>
    <row r="542">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row>
    <row r="543">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row>
    <row r="544">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row>
    <row r="545">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row>
    <row r="546">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row>
    <row r="547">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row>
    <row r="548">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row>
    <row r="549">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row>
    <row r="550">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row>
    <row r="55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row>
    <row r="552">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row>
    <row r="553">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row>
    <row r="554">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row>
    <row r="555">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row>
    <row r="556">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row>
    <row r="557">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row>
    <row r="558">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row>
    <row r="559">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row>
    <row r="560">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row>
    <row r="56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row>
    <row r="562">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row>
    <row r="563">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row>
    <row r="564">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row>
    <row r="565">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row>
    <row r="566">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row>
    <row r="567">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row>
    <row r="568">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row>
    <row r="569">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row>
    <row r="570">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row>
    <row r="57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row>
    <row r="572">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row>
    <row r="573">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row>
    <row r="574">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row>
    <row r="575">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row>
    <row r="576">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row>
    <row r="577">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row>
    <row r="578">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row>
    <row r="579">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row>
    <row r="580">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row>
    <row r="58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row>
    <row r="582">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row>
    <row r="583">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row>
    <row r="584">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row>
    <row r="585">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row>
    <row r="586">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row>
    <row r="587">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row>
    <row r="588">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row>
    <row r="589">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row>
    <row r="590">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row>
    <row r="59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row>
    <row r="592">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row>
    <row r="593">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row>
    <row r="594">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row>
    <row r="595">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row>
    <row r="596">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row>
    <row r="597">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row>
    <row r="598">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row>
    <row r="599">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row>
    <row r="600">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row>
    <row r="60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row>
    <row r="602">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row>
    <row r="603">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row>
    <row r="604">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row>
    <row r="605">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row>
    <row r="606">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row>
    <row r="607">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row>
    <row r="608">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row>
    <row r="609">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row>
    <row r="610">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row>
    <row r="61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row>
    <row r="612">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row>
    <row r="613">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row>
    <row r="614">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row>
    <row r="615">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row>
    <row r="616">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row>
    <row r="617">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row>
    <row r="618">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row>
    <row r="619">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row>
    <row r="620">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row>
    <row r="62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row>
    <row r="622">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row>
    <row r="623">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row>
    <row r="624">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row>
    <row r="625">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row>
    <row r="626">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row>
    <row r="627">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row>
    <row r="628">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row>
    <row r="629">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row>
    <row r="630">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row>
    <row r="63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row>
    <row r="632">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row>
    <row r="633">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row>
    <row r="634">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row>
    <row r="635">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row>
    <row r="636">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row>
    <row r="637">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row>
    <row r="638">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row>
    <row r="639">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row>
    <row r="640">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row>
    <row r="64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row>
    <row r="642">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row>
    <row r="643">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row>
    <row r="644">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row>
    <row r="645">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row>
    <row r="646">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row>
    <row r="647">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row>
    <row r="648">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row>
    <row r="649">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row>
    <row r="650">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row>
    <row r="65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row>
    <row r="652">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row>
    <row r="653">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row>
    <row r="654">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row>
    <row r="655">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row>
    <row r="656">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row>
    <row r="657">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row>
    <row r="658">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row>
    <row r="659">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row>
    <row r="660">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row>
    <row r="66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row>
    <row r="662">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row>
    <row r="663">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row>
    <row r="664">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row>
    <row r="665">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row>
    <row r="666">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row>
    <row r="667">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row>
    <row r="668">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row>
    <row r="669">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row>
    <row r="670">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row>
    <row r="67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row>
    <row r="672">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row>
    <row r="673">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row>
    <row r="674">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row>
    <row r="675">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row>
    <row r="676">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row>
    <row r="677">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row>
    <row r="678">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row>
    <row r="679">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row>
    <row r="680">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row>
    <row r="68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row>
    <row r="682">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row>
    <row r="683">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row>
    <row r="684">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row>
    <row r="685">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row>
    <row r="686">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row>
    <row r="687">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row>
    <row r="688">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row>
    <row r="689">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row>
    <row r="690">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row>
    <row r="69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row>
    <row r="692">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row>
    <row r="693">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row>
    <row r="694">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row>
    <row r="695">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row>
    <row r="696">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row>
    <row r="697">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row>
    <row r="698">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row>
    <row r="699">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row>
    <row r="700">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row>
    <row r="70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row>
    <row r="702">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row>
    <row r="703">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row>
    <row r="704">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row>
    <row r="705">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row>
    <row r="706">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row>
    <row r="707">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row>
    <row r="708">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row>
    <row r="709">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row>
    <row r="710">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row>
    <row r="71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row>
    <row r="712">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row>
    <row r="713">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row>
    <row r="714">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row>
    <row r="715">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row>
    <row r="716">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row>
    <row r="717">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row>
    <row r="718">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row>
    <row r="719">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row>
    <row r="720">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row>
    <row r="72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row>
    <row r="722">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row>
    <row r="723">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row>
    <row r="724">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row>
    <row r="725">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row>
    <row r="726">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row>
    <row r="727">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row>
    <row r="728">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row>
    <row r="729">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row>
    <row r="730">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row>
    <row r="73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row>
    <row r="732">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row>
    <row r="733">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row>
    <row r="734">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row>
    <row r="735">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row>
    <row r="736">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row>
    <row r="737">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row>
    <row r="738">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row>
    <row r="739">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row>
    <row r="740">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row>
    <row r="74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row>
    <row r="742">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row>
    <row r="743">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row>
    <row r="744">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row>
    <row r="745">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row>
    <row r="746">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row>
    <row r="747">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row>
    <row r="748">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row>
    <row r="749">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row>
    <row r="750">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row>
    <row r="75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row>
    <row r="752">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row>
    <row r="753">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row>
    <row r="754">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row>
    <row r="755">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row>
    <row r="756">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row>
    <row r="757">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row>
    <row r="758">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row>
    <row r="759">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row>
    <row r="760">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row>
    <row r="76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row>
    <row r="762">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row>
    <row r="763">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row>
    <row r="764">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row>
    <row r="765">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row>
    <row r="766">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row>
    <row r="767">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row>
    <row r="768">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row>
    <row r="769">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row>
    <row r="770">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row>
    <row r="77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row>
    <row r="772">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row>
    <row r="773">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row>
    <row r="774">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row>
    <row r="775">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row>
    <row r="776">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row>
    <row r="777">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row>
    <row r="778">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row>
    <row r="779">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row>
    <row r="780">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row>
    <row r="78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row>
    <row r="782">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row>
    <row r="783">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row>
    <row r="784">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row>
    <row r="785">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row>
    <row r="786">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row>
    <row r="787">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row>
    <row r="788">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row>
    <row r="789">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row>
    <row r="790">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row>
    <row r="79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row>
    <row r="792">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row>
    <row r="793">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row>
    <row r="794">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row>
    <row r="795">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row>
    <row r="796">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row>
    <row r="797">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row>
    <row r="798">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row>
    <row r="799">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row>
    <row r="800">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row>
    <row r="80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row>
    <row r="802">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row>
    <row r="803">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row>
    <row r="804">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row>
    <row r="805">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row>
    <row r="806">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row>
    <row r="807">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row>
    <row r="808">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row>
    <row r="809">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row>
    <row r="810">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row>
    <row r="81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row>
    <row r="812">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row>
    <row r="813">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row>
    <row r="814">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row>
    <row r="815">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row>
    <row r="816">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row>
    <row r="817">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row>
    <row r="818">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row>
    <row r="819">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row>
    <row r="820">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row>
    <row r="82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row>
    <row r="822">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row>
    <row r="823">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row>
    <row r="824">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row>
    <row r="825">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row>
    <row r="826">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row>
    <row r="827">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row>
    <row r="828">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row>
    <row r="829">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row>
    <row r="830">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row>
    <row r="83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row>
    <row r="832">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row>
    <row r="833">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row>
    <row r="834">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row>
    <row r="835">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row>
    <row r="836">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row>
    <row r="837">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row>
    <row r="838">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row>
    <row r="839">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row>
    <row r="840">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row>
    <row r="84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row>
    <row r="842">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row>
    <row r="843">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row>
    <row r="844">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row>
    <row r="845">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row>
    <row r="846">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row>
    <row r="847">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row>
    <row r="848">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row>
    <row r="849">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row>
    <row r="850">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row>
    <row r="85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row>
    <row r="852">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row>
    <row r="853">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row>
    <row r="854">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row>
    <row r="855">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row>
    <row r="856">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row>
    <row r="857">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row>
    <row r="858">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row>
    <row r="859">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row>
    <row r="860">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row>
    <row r="86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row>
    <row r="862">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row>
    <row r="863">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row>
    <row r="864">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row>
    <row r="865">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row>
    <row r="866">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row>
    <row r="867">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row>
    <row r="868">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row>
    <row r="869">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row>
    <row r="870">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row>
    <row r="87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row>
    <row r="872">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row>
    <row r="873">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row>
    <row r="874">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row>
    <row r="875">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row>
    <row r="876">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row>
    <row r="877">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row>
    <row r="878">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row>
    <row r="879">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row>
    <row r="880">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row>
    <row r="88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row>
    <row r="882">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row>
    <row r="883">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row>
    <row r="884">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row>
    <row r="885">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row>
    <row r="886">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row>
    <row r="887">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row>
    <row r="888">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row>
    <row r="889">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row>
    <row r="890">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row>
    <row r="89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row>
    <row r="892">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row>
    <row r="893">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row>
    <row r="894">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row>
    <row r="895">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row>
    <row r="896">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row>
    <row r="897">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row>
    <row r="898">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row>
    <row r="899">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row>
    <row r="900">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row>
    <row r="90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row>
    <row r="902">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row>
    <row r="903">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row>
    <row r="904">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row>
    <row r="905">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row>
    <row r="906">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row>
    <row r="907">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row>
    <row r="908">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row>
    <row r="909">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row>
    <row r="910">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row>
    <row r="91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row>
    <row r="912">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row>
    <row r="913">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row>
    <row r="914">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row>
    <row r="915">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row>
    <row r="916">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row>
    <row r="917">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row>
    <row r="918">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row>
    <row r="919">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row>
    <row r="920">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row>
    <row r="92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row>
    <row r="922">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row>
    <row r="923">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row>
    <row r="924">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row>
    <row r="925">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row>
    <row r="926">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row>
    <row r="927">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row>
    <row r="928">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row>
    <row r="929">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row>
    <row r="930">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row>
    <row r="93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row>
    <row r="932">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row>
    <row r="933">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row>
    <row r="934">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row>
    <row r="935">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row>
    <row r="936">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row>
    <row r="937">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row>
    <row r="938">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row>
    <row r="939">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row>
    <row r="940">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row>
    <row r="94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row>
    <row r="942">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row>
    <row r="943">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row>
    <row r="944">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row>
    <row r="945">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row>
    <row r="946">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row>
    <row r="947">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row>
    <row r="948">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row>
    <row r="949">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row>
    <row r="950">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row>
    <row r="95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row>
    <row r="952">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row>
    <row r="953">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row>
    <row r="954">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row>
    <row r="955">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row>
    <row r="956">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row>
    <row r="957">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row>
    <row r="958">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row>
    <row r="959">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row>
    <row r="960">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row>
    <row r="96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row>
    <row r="962">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row>
    <row r="963">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row>
    <row r="964">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row>
    <row r="965">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row>
    <row r="966">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row>
    <row r="967">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row>
    <row r="968">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row>
    <row r="969">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row>
    <row r="970">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row>
    <row r="97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row>
    <row r="972">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row>
    <row r="973">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row>
    <row r="974">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row>
    <row r="975">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row>
    <row r="976">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row>
    <row r="977">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row>
    <row r="978">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row>
    <row r="979">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row>
    <row r="980">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row>
    <row r="98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row>
    <row r="982">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row>
    <row r="983">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row>
    <row r="984">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row>
    <row r="985">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row>
    <row r="986">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row>
    <row r="987">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row>
    <row r="988">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row>
  </sheetData>
  <mergeCells count="8">
    <mergeCell ref="A1:A2"/>
    <mergeCell ref="B1:H2"/>
    <mergeCell ref="B4:C4"/>
    <mergeCell ref="B5:C5"/>
    <mergeCell ref="B6:C6"/>
    <mergeCell ref="B7:C7"/>
    <mergeCell ref="A8:C8"/>
    <mergeCell ref="A21:G21"/>
  </mergeCells>
  <dataValidations>
    <dataValidation type="list" allowBlank="1" showErrorMessage="1" sqref="A8">
      <formula1>"Основной эфир,Генеральный баннер"</formula1>
    </dataValidation>
  </dataValidations>
  <hyperlinks>
    <hyperlink display="Основной эфир" location="'Основной эфир'!A1" ref="E4"/>
    <hyperlink display="Генеральный баннер" location="'Генеральный баннер'!A1" ref="E5"/>
    <hyperlink display="Выбор адресов" location="'Выбор адресов'!A1" ref="E6"/>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3" max="3" width="25.0"/>
    <col customWidth="1" min="6" max="6" width="19.63"/>
    <col customWidth="1" min="7" max="7" width="14.13"/>
    <col customWidth="1" min="8" max="8" width="22.88"/>
    <col customWidth="1" min="11" max="11" width="19.63"/>
  </cols>
  <sheetData>
    <row r="1">
      <c r="A1" s="13" t="s">
        <v>2931</v>
      </c>
      <c r="B1" s="161" t="s">
        <v>2932</v>
      </c>
      <c r="C1" s="13" t="s">
        <v>2933</v>
      </c>
      <c r="D1" s="4"/>
      <c r="E1" s="4"/>
      <c r="F1" s="162" t="s">
        <v>2934</v>
      </c>
      <c r="G1" s="163"/>
      <c r="H1" s="163"/>
      <c r="I1" s="164"/>
      <c r="J1" s="4"/>
      <c r="K1" s="4"/>
      <c r="L1" s="4"/>
      <c r="M1" s="4"/>
      <c r="N1" s="4"/>
      <c r="O1" s="4"/>
      <c r="P1" s="4"/>
      <c r="Q1" s="4"/>
      <c r="R1" s="4"/>
      <c r="S1" s="4"/>
      <c r="T1" s="4"/>
      <c r="U1" s="4"/>
      <c r="V1" s="4"/>
      <c r="W1" s="4"/>
      <c r="X1" s="4"/>
      <c r="Y1" s="4"/>
      <c r="Z1" s="4"/>
    </row>
    <row r="2">
      <c r="A2" s="165" t="s">
        <v>17</v>
      </c>
      <c r="B2" s="165" t="s">
        <v>19</v>
      </c>
      <c r="C2" s="13" t="s">
        <v>67</v>
      </c>
      <c r="D2" s="4"/>
      <c r="E2" s="4"/>
      <c r="F2" s="166" t="str">
        <f>IFERROR(__xludf.DUMMYFUNCTION("sort(unique({filter({'Основной эфир'!B:C,'Основной эфир'!I:I},'Основной эфир'!D:D&lt;&gt;""Район"",'Основной эфир'!D:D&lt;&gt;""Прайс на размещение рекламного ролика"",'Основной эфир'!D:D&lt;&gt;"""");filter({'Генеральный баннер'!B:C,'Генеральный баннер'!I:I},'Генеральный "&amp;"баннер'!D:D&lt;&gt;""Район"",'Генеральный баннер'!D:D&lt;&gt;""Прайс на размещение рекламного ролика"",'Генеральный баннер'!D:D&lt;&gt;"""")}),1,true,2,true,3,true)"),"Московская область")</f>
        <v>Московская область</v>
      </c>
      <c r="G2" s="4" t="str">
        <f>IFERROR(__xludf.DUMMYFUNCTION("""COMPUTED_VALUE"""),"Внуково")</f>
        <v>Внуково</v>
      </c>
      <c r="H2" s="4" t="str">
        <f>IFERROR(__xludf.DUMMYFUNCTION("""COMPUTED_VALUE"""),"ЖК Новое Внуково 1")</f>
        <v>ЖК Новое Внуково 1</v>
      </c>
      <c r="I2" s="4"/>
      <c r="J2" s="4"/>
      <c r="K2" s="4" t="str">
        <f t="array" ref="K2:L16">unique(F2:G1526)</f>
        <v>Московская область</v>
      </c>
      <c r="L2" s="4" t="s">
        <v>329</v>
      </c>
      <c r="M2" s="4"/>
      <c r="N2" s="4"/>
      <c r="O2" s="4"/>
      <c r="P2" s="4"/>
      <c r="Q2" s="4"/>
      <c r="R2" s="4"/>
      <c r="S2" s="4"/>
      <c r="T2" s="4"/>
      <c r="U2" s="4"/>
      <c r="V2" s="4"/>
      <c r="W2" s="4"/>
      <c r="X2" s="4"/>
      <c r="Y2" s="4"/>
      <c r="Z2" s="4"/>
    </row>
    <row r="3">
      <c r="A3" s="167"/>
      <c r="B3" s="167"/>
      <c r="C3" s="13" t="s">
        <v>105</v>
      </c>
      <c r="D3" s="4"/>
      <c r="E3" s="4"/>
      <c r="F3" s="4" t="str">
        <f>IFERROR(__xludf.DUMMYFUNCTION("""COMPUTED_VALUE"""),"Московская область")</f>
        <v>Московская область</v>
      </c>
      <c r="G3" s="4" t="str">
        <f>IFERROR(__xludf.DUMMYFUNCTION("""COMPUTED_VALUE"""),"Внуково")</f>
        <v>Внуково</v>
      </c>
      <c r="H3" s="4" t="str">
        <f>IFERROR(__xludf.DUMMYFUNCTION("""COMPUTED_VALUE"""),"ЖК Новое Внуково 2")</f>
        <v>ЖК Новое Внуково 2</v>
      </c>
      <c r="I3" s="4"/>
      <c r="J3" s="4"/>
      <c r="K3" s="4" t="s">
        <v>239</v>
      </c>
      <c r="L3" s="4" t="s">
        <v>290</v>
      </c>
      <c r="M3" s="4" t="str">
        <f>if(lower(trim(K3))="московская область","мск", if(lower(trim(K3))))</f>
        <v>мск</v>
      </c>
      <c r="N3" s="4"/>
      <c r="O3" s="4"/>
      <c r="P3" s="4"/>
      <c r="Q3" s="4"/>
      <c r="R3" s="4"/>
      <c r="S3" s="4"/>
      <c r="T3" s="4"/>
      <c r="U3" s="4"/>
      <c r="V3" s="4"/>
      <c r="W3" s="4"/>
      <c r="X3" s="4"/>
      <c r="Y3" s="4"/>
      <c r="Z3" s="4"/>
    </row>
    <row r="4">
      <c r="A4" s="167"/>
      <c r="B4" s="167"/>
      <c r="C4" s="13" t="s">
        <v>111</v>
      </c>
      <c r="D4" s="4"/>
      <c r="E4" s="4"/>
      <c r="F4" s="4" t="str">
        <f>IFERROR(__xludf.DUMMYFUNCTION("""COMPUTED_VALUE"""),"Московская область")</f>
        <v>Московская область</v>
      </c>
      <c r="G4" s="4" t="str">
        <f>IFERROR(__xludf.DUMMYFUNCTION("""COMPUTED_VALUE"""),"Внуково")</f>
        <v>Внуково</v>
      </c>
      <c r="H4" s="4" t="str">
        <f>IFERROR(__xludf.DUMMYFUNCTION("""COMPUTED_VALUE"""),"ЖК Новое Внуково 3")</f>
        <v>ЖК Новое Внуково 3</v>
      </c>
      <c r="I4" s="4"/>
      <c r="J4" s="4"/>
      <c r="K4" s="4" t="s">
        <v>239</v>
      </c>
      <c r="L4" s="4" t="s">
        <v>314</v>
      </c>
      <c r="M4" s="4"/>
      <c r="N4" s="4"/>
      <c r="O4" s="4"/>
      <c r="P4" s="4"/>
      <c r="Q4" s="4"/>
      <c r="R4" s="4"/>
      <c r="S4" s="4"/>
      <c r="T4" s="4"/>
      <c r="U4" s="4"/>
      <c r="V4" s="4"/>
      <c r="W4" s="4"/>
      <c r="X4" s="4"/>
      <c r="Y4" s="4"/>
      <c r="Z4" s="4"/>
    </row>
    <row r="5">
      <c r="A5" s="167"/>
      <c r="B5" s="167"/>
      <c r="C5" s="13" t="s">
        <v>119</v>
      </c>
      <c r="D5" s="4"/>
      <c r="E5" s="4"/>
      <c r="F5" s="4" t="str">
        <f>IFERROR(__xludf.DUMMYFUNCTION("""COMPUTED_VALUE"""),"Московская область")</f>
        <v>Московская область</v>
      </c>
      <c r="G5" s="4" t="str">
        <f>IFERROR(__xludf.DUMMYFUNCTION("""COMPUTED_VALUE"""),"Внуково")</f>
        <v>Внуково</v>
      </c>
      <c r="H5" s="4" t="str">
        <f>IFERROR(__xludf.DUMMYFUNCTION("""COMPUTED_VALUE"""),"ЖК Новое Внуково 4")</f>
        <v>ЖК Новое Внуково 4</v>
      </c>
      <c r="I5" s="4"/>
      <c r="J5" s="4"/>
      <c r="K5" s="4" t="s">
        <v>239</v>
      </c>
      <c r="L5" s="4" t="s">
        <v>267</v>
      </c>
      <c r="M5" s="4"/>
      <c r="N5" s="4"/>
      <c r="O5" s="4"/>
      <c r="P5" s="4"/>
      <c r="Q5" s="4"/>
      <c r="R5" s="4"/>
      <c r="S5" s="4"/>
      <c r="T5" s="4"/>
      <c r="U5" s="4"/>
      <c r="V5" s="4"/>
      <c r="W5" s="4"/>
      <c r="X5" s="4"/>
      <c r="Y5" s="4"/>
      <c r="Z5" s="4"/>
    </row>
    <row r="6">
      <c r="A6" s="167"/>
      <c r="B6" s="167"/>
      <c r="C6" s="13" t="s">
        <v>132</v>
      </c>
      <c r="D6" s="4"/>
      <c r="E6" s="4"/>
      <c r="F6" s="4" t="str">
        <f>IFERROR(__xludf.DUMMYFUNCTION("""COMPUTED_VALUE"""),"Московская область")</f>
        <v>Московская область</v>
      </c>
      <c r="G6" s="4" t="str">
        <f>IFERROR(__xludf.DUMMYFUNCTION("""COMPUTED_VALUE"""),"Красногорск")</f>
        <v>Красногорск</v>
      </c>
      <c r="H6" s="4" t="str">
        <f>IFERROR(__xludf.DUMMYFUNCTION("""COMPUTED_VALUE"""),"ЖК Красногорск 1")</f>
        <v>ЖК Красногорск 1</v>
      </c>
      <c r="I6" s="4"/>
      <c r="J6" s="4"/>
      <c r="K6" s="4" t="s">
        <v>239</v>
      </c>
      <c r="L6" s="4" t="s">
        <v>240</v>
      </c>
      <c r="M6" s="4"/>
      <c r="N6" s="4"/>
      <c r="O6" s="4"/>
      <c r="P6" s="4"/>
      <c r="Q6" s="4"/>
      <c r="R6" s="4"/>
      <c r="S6" s="4"/>
      <c r="T6" s="4"/>
      <c r="U6" s="4"/>
      <c r="V6" s="4"/>
      <c r="W6" s="4"/>
      <c r="X6" s="4"/>
      <c r="Y6" s="4"/>
      <c r="Z6" s="4"/>
    </row>
    <row r="7">
      <c r="A7" s="167"/>
      <c r="B7" s="167"/>
      <c r="C7" s="168" t="s">
        <v>151</v>
      </c>
      <c r="D7" s="4"/>
      <c r="E7" s="4"/>
      <c r="F7" s="4" t="str">
        <f>IFERROR(__xludf.DUMMYFUNCTION("""COMPUTED_VALUE"""),"Московская область")</f>
        <v>Московская область</v>
      </c>
      <c r="G7" s="4" t="str">
        <f>IFERROR(__xludf.DUMMYFUNCTION("""COMPUTED_VALUE"""),"Красногорск")</f>
        <v>Красногорск</v>
      </c>
      <c r="H7" s="169" t="str">
        <f>IFERROR(__xludf.DUMMYFUNCTION("""COMPUTED_VALUE"""),"ЖК Красногорск 2")</f>
        <v>ЖК Красногорск 2</v>
      </c>
      <c r="I7" s="4"/>
      <c r="J7" s="4"/>
      <c r="K7" s="4" t="s">
        <v>239</v>
      </c>
      <c r="L7" s="4" t="s">
        <v>349</v>
      </c>
      <c r="M7" s="4"/>
      <c r="N7" s="4"/>
      <c r="O7" s="4"/>
      <c r="P7" s="4"/>
      <c r="Q7" s="4"/>
      <c r="R7" s="4"/>
      <c r="S7" s="4"/>
      <c r="T7" s="4"/>
      <c r="U7" s="4"/>
      <c r="V7" s="4"/>
      <c r="W7" s="4"/>
      <c r="X7" s="4"/>
      <c r="Y7" s="4"/>
      <c r="Z7" s="4"/>
    </row>
    <row r="8">
      <c r="A8" s="167"/>
      <c r="B8" s="167"/>
      <c r="C8" s="13" t="s">
        <v>164</v>
      </c>
      <c r="D8" s="4"/>
      <c r="E8" s="4"/>
      <c r="F8" s="4" t="str">
        <f>IFERROR(__xludf.DUMMYFUNCTION("""COMPUTED_VALUE"""),"Московская область")</f>
        <v>Московская область</v>
      </c>
      <c r="G8" s="4" t="str">
        <f>IFERROR(__xludf.DUMMYFUNCTION("""COMPUTED_VALUE"""),"Красногорск")</f>
        <v>Красногорск</v>
      </c>
      <c r="H8" s="169" t="str">
        <f>IFERROR(__xludf.DUMMYFUNCTION("""COMPUTED_VALUE"""),"ЖК Красногорск 3")</f>
        <v>ЖК Красногорск 3</v>
      </c>
      <c r="I8" s="4"/>
      <c r="J8" s="4"/>
      <c r="K8" s="4" t="s">
        <v>165</v>
      </c>
      <c r="L8" s="4" t="s">
        <v>169</v>
      </c>
      <c r="M8" s="4"/>
      <c r="N8" s="4"/>
      <c r="O8" s="4"/>
      <c r="P8" s="4"/>
      <c r="Q8" s="4"/>
      <c r="R8" s="4"/>
      <c r="S8" s="4"/>
      <c r="T8" s="4"/>
      <c r="U8" s="4"/>
      <c r="V8" s="4"/>
      <c r="W8" s="4"/>
      <c r="X8" s="4"/>
      <c r="Y8" s="4"/>
      <c r="Z8" s="4"/>
    </row>
    <row r="9">
      <c r="A9" s="167"/>
      <c r="B9" s="167"/>
      <c r="C9" s="8" t="s">
        <v>171</v>
      </c>
      <c r="D9" s="4"/>
      <c r="E9" s="4"/>
      <c r="F9" s="4" t="str">
        <f>IFERROR(__xludf.DUMMYFUNCTION("""COMPUTED_VALUE"""),"Московская область")</f>
        <v>Московская область</v>
      </c>
      <c r="G9" s="4" t="str">
        <f>IFERROR(__xludf.DUMMYFUNCTION("""COMPUTED_VALUE"""),"Мисайлово")</f>
        <v>Мисайлово</v>
      </c>
      <c r="H9" s="4" t="str">
        <f>IFERROR(__xludf.DUMMYFUNCTION("""COMPUTED_VALUE"""),"ЖК Пригород Лесное 1")</f>
        <v>ЖК Пригород Лесное 1</v>
      </c>
      <c r="I9" s="4"/>
      <c r="J9" s="4"/>
      <c r="K9" s="4" t="s">
        <v>142</v>
      </c>
      <c r="L9" s="4" t="s">
        <v>143</v>
      </c>
      <c r="M9" s="4"/>
      <c r="N9" s="4"/>
      <c r="O9" s="4"/>
      <c r="P9" s="4"/>
      <c r="Q9" s="4"/>
      <c r="R9" s="4"/>
      <c r="S9" s="4"/>
      <c r="T9" s="4"/>
      <c r="U9" s="4"/>
      <c r="V9" s="4"/>
      <c r="W9" s="4"/>
      <c r="X9" s="4"/>
      <c r="Y9" s="4"/>
      <c r="Z9" s="4"/>
    </row>
    <row r="10">
      <c r="A10" s="167"/>
      <c r="B10" s="167"/>
      <c r="C10" s="8" t="s">
        <v>178</v>
      </c>
      <c r="D10" s="4"/>
      <c r="E10" s="4"/>
      <c r="F10" s="4" t="str">
        <f>IFERROR(__xludf.DUMMYFUNCTION("""COMPUTED_VALUE"""),"Московская область")</f>
        <v>Московская область</v>
      </c>
      <c r="G10" s="4" t="str">
        <f>IFERROR(__xludf.DUMMYFUNCTION("""COMPUTED_VALUE"""),"Мисайлово")</f>
        <v>Мисайлово</v>
      </c>
      <c r="H10" s="4" t="str">
        <f>IFERROR(__xludf.DUMMYFUNCTION("""COMPUTED_VALUE"""),"ЖК Пригород Лесное 2")</f>
        <v>ЖК Пригород Лесное 2</v>
      </c>
      <c r="I10" s="4"/>
      <c r="J10" s="4"/>
      <c r="K10" s="4" t="s">
        <v>17</v>
      </c>
      <c r="L10" s="4" t="s">
        <v>93</v>
      </c>
      <c r="M10" s="4"/>
      <c r="N10" s="4"/>
      <c r="O10" s="4"/>
      <c r="P10" s="4"/>
      <c r="Q10" s="4"/>
      <c r="R10" s="4"/>
      <c r="S10" s="4"/>
      <c r="T10" s="4"/>
      <c r="U10" s="4"/>
      <c r="V10" s="4"/>
      <c r="W10" s="4"/>
      <c r="X10" s="4"/>
      <c r="Y10" s="4"/>
      <c r="Z10" s="4"/>
    </row>
    <row r="11">
      <c r="A11" s="167"/>
      <c r="B11" s="167"/>
      <c r="C11" s="13" t="s">
        <v>184</v>
      </c>
      <c r="D11" s="4"/>
      <c r="E11" s="4"/>
      <c r="F11" s="4" t="str">
        <f>IFERROR(__xludf.DUMMYFUNCTION("""COMPUTED_VALUE"""),"Московская область")</f>
        <v>Московская область</v>
      </c>
      <c r="G11" s="4" t="str">
        <f>IFERROR(__xludf.DUMMYFUNCTION("""COMPUTED_VALUE"""),"Мисайлово")</f>
        <v>Мисайлово</v>
      </c>
      <c r="H11" s="4" t="str">
        <f>IFERROR(__xludf.DUMMYFUNCTION("""COMPUTED_VALUE"""),"ЖК Пригород Лесное 3")</f>
        <v>ЖК Пригород Лесное 3</v>
      </c>
      <c r="I11" s="4"/>
      <c r="J11" s="9"/>
      <c r="K11" s="4" t="s">
        <v>17</v>
      </c>
      <c r="L11" s="4" t="s">
        <v>123</v>
      </c>
      <c r="M11" s="4"/>
      <c r="N11" s="4"/>
      <c r="O11" s="4"/>
      <c r="P11" s="4"/>
      <c r="Q11" s="4"/>
      <c r="R11" s="4"/>
      <c r="S11" s="4"/>
      <c r="T11" s="4"/>
      <c r="U11" s="4"/>
      <c r="V11" s="4"/>
      <c r="W11" s="4"/>
      <c r="X11" s="4"/>
      <c r="Y11" s="4"/>
      <c r="Z11" s="4"/>
    </row>
    <row r="12">
      <c r="A12" s="167"/>
      <c r="B12" s="167"/>
      <c r="C12" s="13" t="s">
        <v>189</v>
      </c>
      <c r="D12" s="4"/>
      <c r="E12" s="4"/>
      <c r="F12" s="4" t="str">
        <f>IFERROR(__xludf.DUMMYFUNCTION("""COMPUTED_VALUE"""),"Московская область")</f>
        <v>Московская область</v>
      </c>
      <c r="G12" s="4" t="str">
        <f>IFERROR(__xludf.DUMMYFUNCTION("""COMPUTED_VALUE"""),"Мисайлово")</f>
        <v>Мисайлово</v>
      </c>
      <c r="H12" s="4" t="str">
        <f>IFERROR(__xludf.DUMMYFUNCTION("""COMPUTED_VALUE"""),"ЖК Пригород Лесное 4")</f>
        <v>ЖК Пригород Лесное 4</v>
      </c>
      <c r="I12" s="4"/>
      <c r="J12" s="4"/>
      <c r="K12" s="4" t="s">
        <v>17</v>
      </c>
      <c r="L12" s="4" t="s">
        <v>82</v>
      </c>
      <c r="M12" s="4"/>
      <c r="N12" s="4"/>
      <c r="O12" s="4"/>
      <c r="P12" s="4"/>
      <c r="Q12" s="4"/>
      <c r="R12" s="4"/>
      <c r="S12" s="4"/>
      <c r="T12" s="4"/>
      <c r="U12" s="4"/>
      <c r="V12" s="4"/>
      <c r="W12" s="4"/>
      <c r="X12" s="4"/>
      <c r="Y12" s="4"/>
      <c r="Z12" s="4"/>
    </row>
    <row r="13">
      <c r="A13" s="167"/>
      <c r="B13" s="167"/>
      <c r="C13" s="13" t="s">
        <v>199</v>
      </c>
      <c r="D13" s="4"/>
      <c r="E13" s="4"/>
      <c r="F13" s="4" t="str">
        <f>IFERROR(__xludf.DUMMYFUNCTION("""COMPUTED_VALUE"""),"Московская область")</f>
        <v>Московская область</v>
      </c>
      <c r="G13" s="4" t="str">
        <f>IFERROR(__xludf.DUMMYFUNCTION("""COMPUTED_VALUE"""),"Мисайлово")</f>
        <v>Мисайлово</v>
      </c>
      <c r="H13" s="4" t="str">
        <f>IFERROR(__xludf.DUMMYFUNCTION("""COMPUTED_VALUE"""),"ЖК Пригород Лесное 5")</f>
        <v>ЖК Пригород Лесное 5</v>
      </c>
      <c r="I13" s="4"/>
      <c r="J13" s="4"/>
      <c r="K13" s="4" t="s">
        <v>17</v>
      </c>
      <c r="L13" s="4" t="s">
        <v>19</v>
      </c>
      <c r="M13" s="4"/>
      <c r="N13" s="4"/>
      <c r="O13" s="4"/>
      <c r="P13" s="4"/>
      <c r="Q13" s="4"/>
      <c r="R13" s="4"/>
      <c r="S13" s="4"/>
      <c r="T13" s="4"/>
      <c r="U13" s="4"/>
      <c r="V13" s="4"/>
      <c r="W13" s="4"/>
      <c r="X13" s="4"/>
      <c r="Y13" s="4"/>
      <c r="Z13" s="4"/>
    </row>
    <row r="14">
      <c r="A14" s="167"/>
      <c r="B14" s="167"/>
      <c r="C14" s="13" t="s">
        <v>206</v>
      </c>
      <c r="D14" s="4"/>
      <c r="E14" s="4"/>
      <c r="F14" s="4" t="str">
        <f>IFERROR(__xludf.DUMMYFUNCTION("""COMPUTED_VALUE"""),"Московская область")</f>
        <v>Московская область</v>
      </c>
      <c r="G14" s="4" t="str">
        <f>IFERROR(__xludf.DUMMYFUNCTION("""COMPUTED_VALUE"""),"Мисайлово")</f>
        <v>Мисайлово</v>
      </c>
      <c r="H14" s="4" t="str">
        <f>IFERROR(__xludf.DUMMYFUNCTION("""COMPUTED_VALUE"""),"ЖК Пригород Лесное 6")</f>
        <v>ЖК Пригород Лесное 6</v>
      </c>
      <c r="I14" s="4"/>
      <c r="J14" s="4"/>
      <c r="K14" s="4" t="s">
        <v>193</v>
      </c>
      <c r="L14" s="4" t="s">
        <v>194</v>
      </c>
      <c r="M14" s="4"/>
      <c r="N14" s="4"/>
      <c r="O14" s="4"/>
      <c r="P14" s="4"/>
      <c r="Q14" s="4"/>
      <c r="R14" s="4"/>
      <c r="S14" s="4"/>
      <c r="T14" s="4"/>
      <c r="U14" s="4"/>
      <c r="V14" s="4"/>
      <c r="W14" s="4"/>
      <c r="X14" s="4"/>
      <c r="Y14" s="4"/>
      <c r="Z14" s="4"/>
    </row>
    <row r="15">
      <c r="A15" s="167"/>
      <c r="B15" s="167"/>
      <c r="C15" s="13" t="s">
        <v>211</v>
      </c>
      <c r="D15" s="4"/>
      <c r="E15" s="4"/>
      <c r="F15" s="4" t="str">
        <f>IFERROR(__xludf.DUMMYFUNCTION("""COMPUTED_VALUE"""),"Московская область")</f>
        <v>Московская область</v>
      </c>
      <c r="G15" s="4" t="str">
        <f>IFERROR(__xludf.DUMMYFUNCTION("""COMPUTED_VALUE"""),"Мисайлово")</f>
        <v>Мисайлово</v>
      </c>
      <c r="H15" s="4" t="str">
        <f>IFERROR(__xludf.DUMMYFUNCTION("""COMPUTED_VALUE"""),"ЖК Пригород Лесное 7")</f>
        <v>ЖК Пригород Лесное 7</v>
      </c>
      <c r="I15" s="4"/>
      <c r="J15" s="4"/>
      <c r="K15" s="4" t="s">
        <v>193</v>
      </c>
      <c r="L15" s="4" t="s">
        <v>216</v>
      </c>
      <c r="M15" s="4"/>
      <c r="N15" s="4"/>
      <c r="O15" s="4"/>
      <c r="P15" s="4"/>
      <c r="Q15" s="4"/>
      <c r="R15" s="4"/>
      <c r="S15" s="4"/>
      <c r="T15" s="4"/>
      <c r="U15" s="4"/>
      <c r="V15" s="4"/>
      <c r="W15" s="4"/>
      <c r="X15" s="4"/>
      <c r="Y15" s="4"/>
      <c r="Z15" s="4"/>
    </row>
    <row r="16">
      <c r="A16" s="167"/>
      <c r="B16" s="167"/>
      <c r="C16" s="13" t="s">
        <v>225</v>
      </c>
      <c r="D16" s="4"/>
      <c r="E16" s="4"/>
      <c r="F16" s="4" t="str">
        <f>IFERROR(__xludf.DUMMYFUNCTION("""COMPUTED_VALUE"""),"Московская область")</f>
        <v>Московская область</v>
      </c>
      <c r="G16" s="4" t="str">
        <f>IFERROR(__xludf.DUMMYFUNCTION("""COMPUTED_VALUE"""),"Мисайлово")</f>
        <v>Мисайлово</v>
      </c>
      <c r="H16" s="4" t="str">
        <f>IFERROR(__xludf.DUMMYFUNCTION("""COMPUTED_VALUE"""),"ЖК Пригород Лесное 8")</f>
        <v>ЖК Пригород Лесное 8</v>
      </c>
      <c r="I16" s="4"/>
      <c r="J16" s="4"/>
      <c r="K16" s="4"/>
      <c r="L16" s="4"/>
      <c r="M16" s="4"/>
      <c r="N16" s="4"/>
      <c r="O16" s="4"/>
      <c r="P16" s="4"/>
      <c r="Q16" s="4"/>
      <c r="R16" s="4"/>
      <c r="S16" s="4"/>
      <c r="T16" s="4"/>
      <c r="U16" s="4"/>
      <c r="V16" s="4"/>
      <c r="W16" s="4"/>
      <c r="X16" s="4"/>
      <c r="Y16" s="4"/>
      <c r="Z16" s="4"/>
    </row>
    <row r="17">
      <c r="A17" s="167"/>
      <c r="B17" s="167"/>
      <c r="C17" s="13" t="s">
        <v>230</v>
      </c>
      <c r="D17" s="4"/>
      <c r="E17" s="4"/>
      <c r="F17" s="4" t="str">
        <f>IFERROR(__xludf.DUMMYFUNCTION("""COMPUTED_VALUE"""),"Московская область")</f>
        <v>Московская область</v>
      </c>
      <c r="G17" s="4" t="str">
        <f>IFERROR(__xludf.DUMMYFUNCTION("""COMPUTED_VALUE"""),"Мисайлово")</f>
        <v>Мисайлово</v>
      </c>
      <c r="H17" s="4" t="str">
        <f>IFERROR(__xludf.DUMMYFUNCTION("""COMPUTED_VALUE"""),"ЖК Пригород Лесное 9")</f>
        <v>ЖК Пригород Лесное 9</v>
      </c>
      <c r="I17" s="4"/>
      <c r="J17" s="4"/>
      <c r="K17" s="4"/>
      <c r="L17" s="4"/>
      <c r="M17" s="4"/>
      <c r="N17" s="4"/>
      <c r="O17" s="4"/>
      <c r="P17" s="4"/>
      <c r="Q17" s="4"/>
      <c r="R17" s="4"/>
      <c r="S17" s="4"/>
      <c r="T17" s="4"/>
      <c r="U17" s="4"/>
      <c r="V17" s="4"/>
      <c r="W17" s="4"/>
      <c r="X17" s="4"/>
      <c r="Y17" s="4"/>
      <c r="Z17" s="4"/>
    </row>
    <row r="18">
      <c r="A18" s="167"/>
      <c r="B18" s="167"/>
      <c r="C18" s="13" t="s">
        <v>235</v>
      </c>
      <c r="D18" s="4"/>
      <c r="E18" s="4"/>
      <c r="F18" s="4" t="str">
        <f>IFERROR(__xludf.DUMMYFUNCTION("""COMPUTED_VALUE"""),"Московская область")</f>
        <v>Московская область</v>
      </c>
      <c r="G18" s="4" t="str">
        <f>IFERROR(__xludf.DUMMYFUNCTION("""COMPUTED_VALUE"""),"Одинцово")</f>
        <v>Одинцово</v>
      </c>
      <c r="H18" s="4" t="str">
        <f>IFERROR(__xludf.DUMMYFUNCTION("""COMPUTED_VALUE"""),"ЖК ​Одинцовский парк ")</f>
        <v>ЖК ​Одинцовский парк </v>
      </c>
      <c r="I18" s="4"/>
      <c r="J18" s="4"/>
      <c r="K18" s="4"/>
      <c r="L18" s="4"/>
      <c r="M18" s="4"/>
      <c r="N18" s="4"/>
      <c r="O18" s="4"/>
      <c r="P18" s="4"/>
      <c r="Q18" s="4"/>
      <c r="R18" s="4"/>
      <c r="S18" s="4"/>
      <c r="T18" s="4"/>
      <c r="U18" s="4"/>
      <c r="V18" s="4"/>
      <c r="W18" s="4"/>
      <c r="X18" s="4"/>
      <c r="Y18" s="4"/>
      <c r="Z18" s="4"/>
    </row>
    <row r="19">
      <c r="A19" s="167"/>
      <c r="B19" s="167"/>
      <c r="C19" s="13" t="s">
        <v>242</v>
      </c>
      <c r="D19" s="4"/>
      <c r="E19" s="4"/>
      <c r="F19" s="4" t="str">
        <f>IFERROR(__xludf.DUMMYFUNCTION("""COMPUTED_VALUE"""),"Московская область")</f>
        <v>Московская область</v>
      </c>
      <c r="G19" s="4" t="str">
        <f>IFERROR(__xludf.DUMMYFUNCTION("""COMPUTED_VALUE"""),"Одинцово")</f>
        <v>Одинцово</v>
      </c>
      <c r="H19" s="4" t="str">
        <f>IFERROR(__xludf.DUMMYFUNCTION("""COMPUTED_VALUE"""),"ЖК Рублевский квартал")</f>
        <v>ЖК Рублевский квартал</v>
      </c>
      <c r="I19" s="4"/>
      <c r="J19" s="4"/>
      <c r="K19" s="4"/>
      <c r="L19" s="4"/>
      <c r="M19" s="4"/>
      <c r="N19" s="4"/>
      <c r="O19" s="4"/>
      <c r="P19" s="4"/>
      <c r="Q19" s="4"/>
      <c r="R19" s="4"/>
      <c r="S19" s="4"/>
      <c r="T19" s="4"/>
      <c r="U19" s="4"/>
      <c r="V19" s="4"/>
      <c r="W19" s="4"/>
      <c r="X19" s="4"/>
      <c r="Y19" s="4"/>
      <c r="Z19" s="4"/>
    </row>
    <row r="20">
      <c r="A20" s="167"/>
      <c r="B20" s="167"/>
      <c r="C20" s="13" t="s">
        <v>248</v>
      </c>
      <c r="D20" s="4"/>
      <c r="E20" s="4"/>
      <c r="F20" s="4" t="str">
        <f>IFERROR(__xludf.DUMMYFUNCTION("""COMPUTED_VALUE"""),"Московская область")</f>
        <v>Московская область</v>
      </c>
      <c r="G20" s="4" t="str">
        <f>IFERROR(__xludf.DUMMYFUNCTION("""COMPUTED_VALUE"""),"Одинцово")</f>
        <v>Одинцово</v>
      </c>
      <c r="H20" s="4" t="str">
        <f>IFERROR(__xludf.DUMMYFUNCTION("""COMPUTED_VALUE"""),"ЖК Рублевский квартал 2")</f>
        <v>ЖК Рублевский квартал 2</v>
      </c>
      <c r="I20" s="4"/>
      <c r="J20" s="4"/>
      <c r="K20" s="4"/>
      <c r="L20" s="4"/>
      <c r="M20" s="4"/>
      <c r="N20" s="4"/>
      <c r="O20" s="4"/>
      <c r="P20" s="4"/>
      <c r="Q20" s="4"/>
      <c r="R20" s="4"/>
      <c r="S20" s="4"/>
      <c r="T20" s="4"/>
      <c r="U20" s="4"/>
      <c r="V20" s="4"/>
      <c r="W20" s="4"/>
      <c r="X20" s="4"/>
      <c r="Y20" s="4"/>
      <c r="Z20" s="4"/>
    </row>
    <row r="21">
      <c r="A21" s="167"/>
      <c r="B21" s="167"/>
      <c r="C21" s="13" t="s">
        <v>253</v>
      </c>
      <c r="D21" s="4"/>
      <c r="E21" s="4"/>
      <c r="F21" s="4" t="str">
        <f>IFERROR(__xludf.DUMMYFUNCTION("""COMPUTED_VALUE"""),"Московская область")</f>
        <v>Московская область</v>
      </c>
      <c r="G21" s="4" t="str">
        <f>IFERROR(__xludf.DUMMYFUNCTION("""COMPUTED_VALUE"""),"Одинцово")</f>
        <v>Одинцово</v>
      </c>
      <c r="H21" s="4" t="str">
        <f>IFERROR(__xludf.DUMMYFUNCTION("""COMPUTED_VALUE"""),"ЖК Чистяковой")</f>
        <v>ЖК Чистяковой</v>
      </c>
      <c r="I21" s="4"/>
      <c r="J21" s="4"/>
      <c r="K21" s="4"/>
      <c r="L21" s="4"/>
      <c r="M21" s="4"/>
      <c r="N21" s="4"/>
      <c r="O21" s="4"/>
      <c r="P21" s="4"/>
      <c r="Q21" s="4"/>
      <c r="R21" s="4"/>
      <c r="S21" s="4"/>
      <c r="T21" s="4"/>
      <c r="U21" s="4"/>
      <c r="V21" s="4"/>
      <c r="W21" s="4"/>
      <c r="X21" s="4"/>
      <c r="Y21" s="4"/>
      <c r="Z21" s="4"/>
    </row>
    <row r="22">
      <c r="A22" s="167"/>
      <c r="B22" s="167"/>
      <c r="C22" s="13" t="s">
        <v>258</v>
      </c>
      <c r="D22" s="4"/>
      <c r="E22" s="4"/>
      <c r="F22" s="4" t="str">
        <f>IFERROR(__xludf.DUMMYFUNCTION("""COMPUTED_VALUE"""),"Московская область")</f>
        <v>Московская область</v>
      </c>
      <c r="G22" s="4" t="str">
        <f>IFERROR(__xludf.DUMMYFUNCTION("""COMPUTED_VALUE"""),"Одинцово")</f>
        <v>Одинцово</v>
      </c>
      <c r="H22" s="4" t="str">
        <f>IFERROR(__xludf.DUMMYFUNCTION("""COMPUTED_VALUE"""),"ЖК Чистяковой 1")</f>
        <v>ЖК Чистяковой 1</v>
      </c>
      <c r="I22" s="4"/>
      <c r="J22" s="4"/>
      <c r="K22" s="4"/>
      <c r="L22" s="4"/>
      <c r="M22" s="4"/>
      <c r="N22" s="4"/>
      <c r="O22" s="4"/>
      <c r="P22" s="4"/>
      <c r="Q22" s="4"/>
      <c r="R22" s="4"/>
      <c r="S22" s="4"/>
      <c r="T22" s="4"/>
      <c r="U22" s="4"/>
      <c r="V22" s="4"/>
      <c r="W22" s="4"/>
      <c r="X22" s="4"/>
      <c r="Y22" s="4"/>
      <c r="Z22" s="4"/>
    </row>
    <row r="23">
      <c r="A23" s="167"/>
      <c r="B23" s="167"/>
      <c r="C23" s="13" t="s">
        <v>277</v>
      </c>
      <c r="D23" s="4"/>
      <c r="E23" s="4"/>
      <c r="F23" s="4" t="str">
        <f>IFERROR(__xludf.DUMMYFUNCTION("""COMPUTED_VALUE"""),"Московская область")</f>
        <v>Московская область</v>
      </c>
      <c r="G23" s="4" t="str">
        <f>IFERROR(__xludf.DUMMYFUNCTION("""COMPUTED_VALUE"""),"Одинцово")</f>
        <v>Одинцово</v>
      </c>
      <c r="H23" s="4" t="str">
        <f>IFERROR(__xludf.DUMMYFUNCTION("""COMPUTED_VALUE"""),"ЖК Чистяковой 2")</f>
        <v>ЖК Чистяковой 2</v>
      </c>
      <c r="I23" s="4"/>
      <c r="J23" s="4"/>
      <c r="K23" s="4"/>
      <c r="L23" s="4"/>
      <c r="M23" s="4"/>
      <c r="N23" s="4"/>
      <c r="O23" s="4"/>
      <c r="P23" s="4"/>
      <c r="Q23" s="4"/>
      <c r="R23" s="4"/>
      <c r="S23" s="4"/>
      <c r="T23" s="4"/>
      <c r="U23" s="4"/>
      <c r="V23" s="4"/>
      <c r="W23" s="4"/>
      <c r="X23" s="4"/>
      <c r="Y23" s="4"/>
      <c r="Z23" s="4"/>
    </row>
    <row r="24">
      <c r="A24" s="167"/>
      <c r="B24" s="167"/>
      <c r="C24" s="13" t="s">
        <v>282</v>
      </c>
      <c r="D24" s="4"/>
      <c r="E24" s="4"/>
      <c r="F24" s="4" t="str">
        <f>IFERROR(__xludf.DUMMYFUNCTION("""COMPUTED_VALUE"""),"Московская область")</f>
        <v>Московская область</v>
      </c>
      <c r="G24" s="4" t="str">
        <f>IFERROR(__xludf.DUMMYFUNCTION("""COMPUTED_VALUE"""),"Одинцово")</f>
        <v>Одинцово</v>
      </c>
      <c r="H24" s="4" t="str">
        <f>IFERROR(__xludf.DUMMYFUNCTION("""COMPUTED_VALUE"""),"ЖК Чистяковой 3")</f>
        <v>ЖК Чистяковой 3</v>
      </c>
      <c r="I24" s="4"/>
      <c r="J24" s="4"/>
      <c r="K24" s="4"/>
      <c r="L24" s="4"/>
      <c r="M24" s="4"/>
      <c r="N24" s="4"/>
      <c r="O24" s="4"/>
      <c r="P24" s="4"/>
      <c r="Q24" s="4"/>
      <c r="R24" s="4"/>
      <c r="S24" s="4"/>
      <c r="T24" s="4"/>
      <c r="U24" s="4"/>
      <c r="V24" s="4"/>
      <c r="W24" s="4"/>
      <c r="X24" s="4"/>
      <c r="Y24" s="4"/>
      <c r="Z24" s="4"/>
    </row>
    <row r="25">
      <c r="A25" s="167"/>
      <c r="B25" s="167"/>
      <c r="C25" s="13" t="s">
        <v>284</v>
      </c>
      <c r="D25" s="4"/>
      <c r="E25" s="4"/>
      <c r="F25" s="4" t="str">
        <f>IFERROR(__xludf.DUMMYFUNCTION("""COMPUTED_VALUE"""),"Московская область")</f>
        <v>Московская область</v>
      </c>
      <c r="G25" s="4" t="str">
        <f>IFERROR(__xludf.DUMMYFUNCTION("""COMPUTED_VALUE"""),"Одинцово")</f>
        <v>Одинцово</v>
      </c>
      <c r="H25" s="4" t="str">
        <f>IFERROR(__xludf.DUMMYFUNCTION("""COMPUTED_VALUE"""),"ЖК Чистяковой 4")</f>
        <v>ЖК Чистяковой 4</v>
      </c>
      <c r="I25" s="4"/>
      <c r="J25" s="4"/>
      <c r="K25" s="4"/>
      <c r="L25" s="4"/>
      <c r="M25" s="4"/>
      <c r="N25" s="4"/>
      <c r="O25" s="4"/>
      <c r="P25" s="4"/>
      <c r="Q25" s="4"/>
      <c r="R25" s="4"/>
      <c r="S25" s="4"/>
      <c r="T25" s="4"/>
      <c r="U25" s="4"/>
      <c r="V25" s="4"/>
      <c r="W25" s="4"/>
      <c r="X25" s="4"/>
      <c r="Y25" s="4"/>
      <c r="Z25" s="4"/>
    </row>
    <row r="26">
      <c r="A26" s="167"/>
      <c r="B26" s="167"/>
      <c r="C26" s="13" t="s">
        <v>289</v>
      </c>
      <c r="D26" s="4"/>
      <c r="E26" s="4"/>
      <c r="F26" s="4" t="str">
        <f>IFERROR(__xludf.DUMMYFUNCTION("""COMPUTED_VALUE"""),"Московская область")</f>
        <v>Московская область</v>
      </c>
      <c r="G26" s="4" t="str">
        <f>IFERROR(__xludf.DUMMYFUNCTION("""COMPUTED_VALUE"""),"Одинцово")</f>
        <v>Одинцово</v>
      </c>
      <c r="H26" s="4" t="str">
        <f>IFERROR(__xludf.DUMMYFUNCTION("""COMPUTED_VALUE"""),"ТСН Садовая")</f>
        <v>ТСН Садовая</v>
      </c>
      <c r="I26" s="4"/>
      <c r="J26" s="4"/>
      <c r="K26" s="4"/>
      <c r="L26" s="4"/>
      <c r="M26" s="4"/>
      <c r="N26" s="4"/>
      <c r="O26" s="4"/>
      <c r="P26" s="4"/>
      <c r="Q26" s="4"/>
      <c r="R26" s="4"/>
      <c r="S26" s="4"/>
      <c r="T26" s="4"/>
      <c r="U26" s="4"/>
      <c r="V26" s="4"/>
      <c r="W26" s="4"/>
      <c r="X26" s="4"/>
      <c r="Y26" s="4"/>
      <c r="Z26" s="4"/>
    </row>
    <row r="27">
      <c r="A27" s="167"/>
      <c r="B27" s="167"/>
      <c r="C27" s="13" t="s">
        <v>292</v>
      </c>
      <c r="D27" s="4"/>
      <c r="E27" s="4"/>
      <c r="F27" s="4" t="str">
        <f>IFERROR(__xludf.DUMMYFUNCTION("""COMPUTED_VALUE"""),"Московская область")</f>
        <v>Московская область</v>
      </c>
      <c r="G27" s="4" t="str">
        <f>IFERROR(__xludf.DUMMYFUNCTION("""COMPUTED_VALUE"""),"Путилково")</f>
        <v>Путилково</v>
      </c>
      <c r="H27" s="4" t="str">
        <f>IFERROR(__xludf.DUMMYFUNCTION("""COMPUTED_VALUE"""),"ЖК Путилково 1")</f>
        <v>ЖК Путилково 1</v>
      </c>
      <c r="I27" s="4"/>
      <c r="J27" s="4"/>
      <c r="K27" s="4"/>
      <c r="L27" s="4"/>
      <c r="M27" s="4"/>
      <c r="N27" s="4"/>
      <c r="O27" s="4"/>
      <c r="P27" s="4"/>
      <c r="Q27" s="4"/>
      <c r="R27" s="4"/>
      <c r="S27" s="4"/>
      <c r="T27" s="4"/>
      <c r="U27" s="4"/>
      <c r="V27" s="4"/>
      <c r="W27" s="4"/>
      <c r="X27" s="4"/>
      <c r="Y27" s="4"/>
      <c r="Z27" s="4"/>
    </row>
    <row r="28">
      <c r="A28" s="167"/>
      <c r="B28" s="167"/>
      <c r="C28" s="13" t="s">
        <v>297</v>
      </c>
      <c r="D28" s="4"/>
      <c r="E28" s="4"/>
      <c r="F28" s="4" t="str">
        <f>IFERROR(__xludf.DUMMYFUNCTION("""COMPUTED_VALUE"""),"Московская область")</f>
        <v>Московская область</v>
      </c>
      <c r="G28" s="4" t="str">
        <f>IFERROR(__xludf.DUMMYFUNCTION("""COMPUTED_VALUE"""),"Путилково")</f>
        <v>Путилково</v>
      </c>
      <c r="H28" s="4" t="str">
        <f>IFERROR(__xludf.DUMMYFUNCTION("""COMPUTED_VALUE"""),"ЖК Путилково 2")</f>
        <v>ЖК Путилково 2</v>
      </c>
      <c r="I28" s="4"/>
      <c r="J28" s="4"/>
      <c r="K28" s="4"/>
      <c r="L28" s="4"/>
      <c r="M28" s="4"/>
      <c r="N28" s="4"/>
      <c r="O28" s="4"/>
      <c r="P28" s="4"/>
      <c r="Q28" s="4"/>
      <c r="R28" s="4"/>
      <c r="S28" s="4"/>
      <c r="T28" s="4"/>
      <c r="U28" s="4"/>
      <c r="V28" s="4"/>
      <c r="W28" s="4"/>
      <c r="X28" s="4"/>
      <c r="Y28" s="4"/>
      <c r="Z28" s="4"/>
    </row>
    <row r="29">
      <c r="A29" s="167"/>
      <c r="B29" s="167"/>
      <c r="C29" s="13" t="s">
        <v>305</v>
      </c>
      <c r="D29" s="4"/>
      <c r="E29" s="4"/>
      <c r="F29" s="4" t="str">
        <f>IFERROR(__xludf.DUMMYFUNCTION("""COMPUTED_VALUE"""),"Московская область")</f>
        <v>Московская область</v>
      </c>
      <c r="G29" s="4" t="str">
        <f>IFERROR(__xludf.DUMMYFUNCTION("""COMPUTED_VALUE"""),"Путилково")</f>
        <v>Путилково</v>
      </c>
      <c r="H29" s="4" t="str">
        <f>IFERROR(__xludf.DUMMYFUNCTION("""COMPUTED_VALUE"""),"ЖК Путилково 3")</f>
        <v>ЖК Путилково 3</v>
      </c>
      <c r="I29" s="4"/>
      <c r="J29" s="4"/>
      <c r="K29" s="4"/>
      <c r="L29" s="4"/>
      <c r="M29" s="4"/>
      <c r="N29" s="4"/>
      <c r="O29" s="4"/>
      <c r="P29" s="4"/>
      <c r="Q29" s="4"/>
      <c r="R29" s="4"/>
      <c r="S29" s="4"/>
      <c r="T29" s="4"/>
      <c r="U29" s="4"/>
      <c r="V29" s="4"/>
      <c r="W29" s="4"/>
      <c r="X29" s="4"/>
      <c r="Y29" s="4"/>
      <c r="Z29" s="4"/>
    </row>
    <row r="30">
      <c r="A30" s="167"/>
      <c r="B30" s="167"/>
      <c r="C30" s="13" t="s">
        <v>310</v>
      </c>
      <c r="D30" s="4"/>
      <c r="E30" s="4"/>
      <c r="F30" s="4" t="str">
        <f>IFERROR(__xludf.DUMMYFUNCTION("""COMPUTED_VALUE"""),"Московская область")</f>
        <v>Московская область</v>
      </c>
      <c r="G30" s="4" t="str">
        <f>IFERROR(__xludf.DUMMYFUNCTION("""COMPUTED_VALUE"""),"Путилково")</f>
        <v>Путилково</v>
      </c>
      <c r="H30" s="4" t="str">
        <f>IFERROR(__xludf.DUMMYFUNCTION("""COMPUTED_VALUE"""),"ЖК Путилково 4")</f>
        <v>ЖК Путилково 4</v>
      </c>
      <c r="I30" s="4"/>
      <c r="J30" s="4"/>
      <c r="K30" s="4"/>
      <c r="L30" s="4"/>
      <c r="M30" s="4"/>
      <c r="N30" s="4"/>
      <c r="O30" s="4"/>
      <c r="P30" s="4"/>
      <c r="Q30" s="4"/>
      <c r="R30" s="4"/>
      <c r="S30" s="4"/>
      <c r="T30" s="4"/>
      <c r="U30" s="4"/>
      <c r="V30" s="4"/>
      <c r="W30" s="4"/>
      <c r="X30" s="4"/>
      <c r="Y30" s="4"/>
      <c r="Z30" s="4"/>
    </row>
    <row r="31">
      <c r="A31" s="167"/>
      <c r="B31" s="167"/>
      <c r="C31" s="13" t="s">
        <v>317</v>
      </c>
      <c r="D31" s="4"/>
      <c r="E31" s="4"/>
      <c r="F31" s="4" t="str">
        <f>IFERROR(__xludf.DUMMYFUNCTION("""COMPUTED_VALUE"""),"Московская область")</f>
        <v>Московская область</v>
      </c>
      <c r="G31" s="4" t="str">
        <f>IFERROR(__xludf.DUMMYFUNCTION("""COMPUTED_VALUE"""),"Щербинка")</f>
        <v>Щербинка</v>
      </c>
      <c r="H31" s="4" t="str">
        <f>IFERROR(__xludf.DUMMYFUNCTION("""COMPUTED_VALUE"""),"ЖК Алхимово №1")</f>
        <v>ЖК Алхимово №1</v>
      </c>
      <c r="I31" s="4"/>
      <c r="J31" s="4"/>
      <c r="K31" s="4"/>
      <c r="L31" s="4"/>
      <c r="M31" s="4"/>
      <c r="N31" s="4"/>
      <c r="O31" s="4"/>
      <c r="P31" s="4"/>
      <c r="Q31" s="4"/>
      <c r="R31" s="4"/>
      <c r="S31" s="4"/>
      <c r="T31" s="4"/>
      <c r="U31" s="4"/>
      <c r="V31" s="4"/>
      <c r="W31" s="4"/>
      <c r="X31" s="4"/>
      <c r="Y31" s="4"/>
      <c r="Z31" s="4"/>
    </row>
    <row r="32">
      <c r="A32" s="167"/>
      <c r="B32" s="167"/>
      <c r="C32" s="8" t="s">
        <v>331</v>
      </c>
      <c r="D32" s="4"/>
      <c r="E32" s="4"/>
      <c r="F32" s="4" t="str">
        <f>IFERROR(__xludf.DUMMYFUNCTION("""COMPUTED_VALUE"""),"Московская область")</f>
        <v>Московская область</v>
      </c>
      <c r="G32" s="4" t="str">
        <f>IFERROR(__xludf.DUMMYFUNCTION("""COMPUTED_VALUE"""),"Щербинка")</f>
        <v>Щербинка</v>
      </c>
      <c r="H32" s="4" t="str">
        <f>IFERROR(__xludf.DUMMYFUNCTION("""COMPUTED_VALUE"""),"ЖК Алхимово №2")</f>
        <v>ЖК Алхимово №2</v>
      </c>
      <c r="I32" s="4"/>
      <c r="J32" s="4"/>
      <c r="K32" s="4"/>
      <c r="L32" s="4"/>
      <c r="M32" s="4"/>
      <c r="N32" s="4"/>
      <c r="O32" s="4"/>
      <c r="P32" s="4"/>
      <c r="Q32" s="4"/>
      <c r="R32" s="4"/>
      <c r="S32" s="4"/>
      <c r="T32" s="4"/>
      <c r="U32" s="4"/>
      <c r="V32" s="4"/>
      <c r="W32" s="4"/>
      <c r="X32" s="4"/>
      <c r="Y32" s="4"/>
      <c r="Z32" s="4"/>
    </row>
    <row r="33">
      <c r="A33" s="167"/>
      <c r="B33" s="167"/>
      <c r="C33" s="8" t="s">
        <v>342</v>
      </c>
      <c r="D33" s="4"/>
      <c r="E33" s="4"/>
      <c r="F33" s="4" t="str">
        <f>IFERROR(__xludf.DUMMYFUNCTION("""COMPUTED_VALUE"""),"Московская область")</f>
        <v>Московская область</v>
      </c>
      <c r="G33" s="4" t="str">
        <f>IFERROR(__xludf.DUMMYFUNCTION("""COMPUTED_VALUE"""),"Щербинка")</f>
        <v>Щербинка</v>
      </c>
      <c r="H33" s="4" t="str">
        <f>IFERROR(__xludf.DUMMYFUNCTION("""COMPUTED_VALUE"""),"ЖК Алхимово №3")</f>
        <v>ЖК Алхимово №3</v>
      </c>
      <c r="I33" s="4"/>
      <c r="J33" s="4"/>
      <c r="K33" s="4"/>
      <c r="L33" s="4"/>
      <c r="M33" s="4"/>
      <c r="N33" s="4"/>
      <c r="O33" s="4"/>
      <c r="P33" s="4"/>
      <c r="Q33" s="4"/>
      <c r="R33" s="4"/>
      <c r="S33" s="4"/>
      <c r="T33" s="4"/>
      <c r="U33" s="4"/>
      <c r="V33" s="4"/>
      <c r="W33" s="4"/>
      <c r="X33" s="4"/>
      <c r="Y33" s="4"/>
      <c r="Z33" s="4"/>
    </row>
    <row r="34">
      <c r="A34" s="167"/>
      <c r="B34" s="167"/>
      <c r="C34" s="13" t="s">
        <v>362</v>
      </c>
      <c r="D34" s="4"/>
      <c r="E34" s="4"/>
      <c r="F34" s="4" t="str">
        <f>IFERROR(__xludf.DUMMYFUNCTION("""COMPUTED_VALUE"""),"Московская область")</f>
        <v>Московская область</v>
      </c>
      <c r="G34" s="4" t="str">
        <f>IFERROR(__xludf.DUMMYFUNCTION("""COMPUTED_VALUE"""),"Щербинка")</f>
        <v>Щербинка</v>
      </c>
      <c r="H34" s="4" t="str">
        <f>IFERROR(__xludf.DUMMYFUNCTION("""COMPUTED_VALUE"""),"ЖК Алхимово №4")</f>
        <v>ЖК Алхимово №4</v>
      </c>
      <c r="I34" s="4"/>
      <c r="J34" s="4"/>
      <c r="K34" s="4"/>
      <c r="L34" s="4"/>
      <c r="M34" s="4"/>
      <c r="N34" s="4"/>
      <c r="O34" s="4"/>
      <c r="P34" s="4"/>
      <c r="Q34" s="4"/>
      <c r="R34" s="4"/>
      <c r="S34" s="4"/>
      <c r="T34" s="4"/>
      <c r="U34" s="4"/>
      <c r="V34" s="4"/>
      <c r="W34" s="4"/>
      <c r="X34" s="4"/>
      <c r="Y34" s="4"/>
      <c r="Z34" s="4"/>
    </row>
    <row r="35">
      <c r="A35" s="167"/>
      <c r="B35" s="167"/>
      <c r="C35" s="13" t="s">
        <v>368</v>
      </c>
      <c r="D35" s="4"/>
      <c r="E35" s="4"/>
      <c r="F35" s="4" t="str">
        <f>IFERROR(__xludf.DUMMYFUNCTION("""COMPUTED_VALUE"""),"Московская область")</f>
        <v>Московская область</v>
      </c>
      <c r="G35" s="4" t="str">
        <f>IFERROR(__xludf.DUMMYFUNCTION("""COMPUTED_VALUE"""),"Щербинка")</f>
        <v>Щербинка</v>
      </c>
      <c r="H35" s="4" t="str">
        <f>IFERROR(__xludf.DUMMYFUNCTION("""COMPUTED_VALUE"""),"ЖК Алхимово №5")</f>
        <v>ЖК Алхимово №5</v>
      </c>
      <c r="I35" s="4"/>
      <c r="J35" s="4"/>
      <c r="K35" s="4"/>
      <c r="L35" s="4"/>
      <c r="M35" s="4"/>
      <c r="N35" s="4"/>
      <c r="O35" s="4"/>
      <c r="P35" s="4"/>
      <c r="Q35" s="4"/>
      <c r="R35" s="4"/>
      <c r="S35" s="4"/>
      <c r="T35" s="4"/>
      <c r="U35" s="4"/>
      <c r="V35" s="4"/>
      <c r="W35" s="4"/>
      <c r="X35" s="4"/>
      <c r="Y35" s="4"/>
      <c r="Z35" s="4"/>
    </row>
    <row r="36">
      <c r="A36" s="167"/>
      <c r="B36" s="167"/>
      <c r="C36" s="13" t="s">
        <v>373</v>
      </c>
      <c r="D36" s="4"/>
      <c r="E36" s="4"/>
      <c r="F36" s="4" t="str">
        <f>IFERROR(__xludf.DUMMYFUNCTION("""COMPUTED_VALUE"""),"Московская область")</f>
        <v>Московская область</v>
      </c>
      <c r="G36" s="4" t="str">
        <f>IFERROR(__xludf.DUMMYFUNCTION("""COMPUTED_VALUE"""),"Щербинка")</f>
        <v>Щербинка</v>
      </c>
      <c r="H36" s="4" t="str">
        <f>IFERROR(__xludf.DUMMYFUNCTION("""COMPUTED_VALUE"""),"ЖК Остафьево- 1")</f>
        <v>ЖК Остафьево- 1</v>
      </c>
      <c r="I36" s="4"/>
      <c r="J36" s="4"/>
      <c r="K36" s="4"/>
      <c r="L36" s="4"/>
      <c r="M36" s="4"/>
      <c r="N36" s="4"/>
      <c r="O36" s="4"/>
      <c r="P36" s="4"/>
      <c r="Q36" s="4"/>
      <c r="R36" s="4"/>
      <c r="S36" s="4"/>
      <c r="T36" s="4"/>
      <c r="U36" s="4"/>
      <c r="V36" s="4"/>
      <c r="W36" s="4"/>
      <c r="X36" s="4"/>
      <c r="Y36" s="4"/>
      <c r="Z36" s="4"/>
    </row>
    <row r="37">
      <c r="A37" s="167"/>
      <c r="B37" s="167"/>
      <c r="C37" s="13" t="s">
        <v>378</v>
      </c>
      <c r="D37" s="4"/>
      <c r="E37" s="4"/>
      <c r="F37" s="4" t="str">
        <f>IFERROR(__xludf.DUMMYFUNCTION("""COMPUTED_VALUE"""),"Московская область")</f>
        <v>Московская область</v>
      </c>
      <c r="G37" s="4" t="str">
        <f>IFERROR(__xludf.DUMMYFUNCTION("""COMPUTED_VALUE"""),"Щербинка")</f>
        <v>Щербинка</v>
      </c>
      <c r="H37" s="4" t="str">
        <f>IFERROR(__xludf.DUMMYFUNCTION("""COMPUTED_VALUE"""),"ЖК Остафьево- 2")</f>
        <v>ЖК Остафьево- 2</v>
      </c>
      <c r="I37" s="4"/>
      <c r="J37" s="4"/>
      <c r="K37" s="4"/>
      <c r="L37" s="4"/>
      <c r="M37" s="4"/>
      <c r="N37" s="4"/>
      <c r="O37" s="4"/>
      <c r="P37" s="4"/>
      <c r="Q37" s="4"/>
      <c r="R37" s="4"/>
      <c r="S37" s="4"/>
      <c r="T37" s="4"/>
      <c r="U37" s="4"/>
      <c r="V37" s="4"/>
      <c r="W37" s="4"/>
      <c r="X37" s="4"/>
      <c r="Y37" s="4"/>
      <c r="Z37" s="4"/>
    </row>
    <row r="38">
      <c r="A38" s="167"/>
      <c r="B38" s="167"/>
      <c r="C38" s="13" t="s">
        <v>386</v>
      </c>
      <c r="D38" s="4"/>
      <c r="E38" s="4"/>
      <c r="F38" s="4" t="str">
        <f>IFERROR(__xludf.DUMMYFUNCTION("""COMPUTED_VALUE"""),"Московская область")</f>
        <v>Московская область</v>
      </c>
      <c r="G38" s="4" t="str">
        <f>IFERROR(__xludf.DUMMYFUNCTION("""COMPUTED_VALUE"""),"Щербинка")</f>
        <v>Щербинка</v>
      </c>
      <c r="H38" s="4" t="str">
        <f>IFERROR(__xludf.DUMMYFUNCTION("""COMPUTED_VALUE"""),"ЖК Остафьево- 3")</f>
        <v>ЖК Остафьево- 3</v>
      </c>
      <c r="I38" s="4"/>
      <c r="J38" s="4"/>
      <c r="K38" s="4"/>
      <c r="L38" s="4"/>
      <c r="M38" s="4"/>
      <c r="N38" s="4"/>
      <c r="O38" s="4"/>
      <c r="P38" s="4"/>
      <c r="Q38" s="4"/>
      <c r="R38" s="4"/>
      <c r="S38" s="4"/>
      <c r="T38" s="4"/>
      <c r="U38" s="4"/>
      <c r="V38" s="4"/>
      <c r="W38" s="4"/>
      <c r="X38" s="4"/>
      <c r="Y38" s="4"/>
      <c r="Z38" s="4"/>
    </row>
    <row r="39">
      <c r="A39" s="167"/>
      <c r="B39" s="167"/>
      <c r="C39" s="13" t="s">
        <v>391</v>
      </c>
      <c r="D39" s="4"/>
      <c r="E39" s="4"/>
      <c r="F39" s="4" t="str">
        <f>IFERROR(__xludf.DUMMYFUNCTION("""COMPUTED_VALUE"""),"Московская область")</f>
        <v>Московская область</v>
      </c>
      <c r="G39" s="4" t="str">
        <f>IFERROR(__xludf.DUMMYFUNCTION("""COMPUTED_VALUE"""),"Щербинка")</f>
        <v>Щербинка</v>
      </c>
      <c r="H39" s="4" t="str">
        <f>IFERROR(__xludf.DUMMYFUNCTION("""COMPUTED_VALUE"""),"ЖК Остафьево- 4")</f>
        <v>ЖК Остафьево- 4</v>
      </c>
      <c r="I39" s="4"/>
      <c r="J39" s="4"/>
      <c r="K39" s="4"/>
      <c r="L39" s="4"/>
      <c r="M39" s="4"/>
      <c r="N39" s="4"/>
      <c r="O39" s="4"/>
      <c r="P39" s="4"/>
      <c r="Q39" s="4"/>
      <c r="R39" s="4"/>
      <c r="S39" s="4"/>
      <c r="T39" s="4"/>
      <c r="U39" s="4"/>
      <c r="V39" s="4"/>
      <c r="W39" s="4"/>
      <c r="X39" s="4"/>
      <c r="Y39" s="4"/>
      <c r="Z39" s="4"/>
    </row>
    <row r="40">
      <c r="A40" s="167"/>
      <c r="B40" s="167"/>
      <c r="C40" s="13" t="s">
        <v>397</v>
      </c>
      <c r="D40" s="4"/>
      <c r="E40" s="4"/>
      <c r="F40" s="4" t="str">
        <f>IFERROR(__xludf.DUMMYFUNCTION("""COMPUTED_VALUE"""),"Московская область")</f>
        <v>Московская область</v>
      </c>
      <c r="G40" s="4" t="str">
        <f>IFERROR(__xludf.DUMMYFUNCTION("""COMPUTED_VALUE"""),"Щербинка")</f>
        <v>Щербинка</v>
      </c>
      <c r="H40" s="4" t="str">
        <f>IFERROR(__xludf.DUMMYFUNCTION("""COMPUTED_VALUE"""),"ЖК Остафьево- 5")</f>
        <v>ЖК Остафьево- 5</v>
      </c>
      <c r="I40" s="4"/>
      <c r="J40" s="4"/>
      <c r="K40" s="4"/>
      <c r="L40" s="4"/>
      <c r="M40" s="4"/>
      <c r="N40" s="4"/>
      <c r="O40" s="4"/>
      <c r="P40" s="4"/>
      <c r="Q40" s="4"/>
      <c r="R40" s="4"/>
      <c r="S40" s="4"/>
      <c r="T40" s="4"/>
      <c r="U40" s="4"/>
      <c r="V40" s="4"/>
      <c r="W40" s="4"/>
      <c r="X40" s="4"/>
      <c r="Y40" s="4"/>
      <c r="Z40" s="4"/>
    </row>
    <row r="41">
      <c r="A41" s="167"/>
      <c r="B41" s="167"/>
      <c r="C41" s="13" t="s">
        <v>402</v>
      </c>
      <c r="D41" s="4"/>
      <c r="E41" s="4"/>
      <c r="F41" s="4" t="str">
        <f>IFERROR(__xludf.DUMMYFUNCTION("""COMPUTED_VALUE"""),"Московская область")</f>
        <v>Московская область</v>
      </c>
      <c r="G41" s="4" t="str">
        <f>IFERROR(__xludf.DUMMYFUNCTION("""COMPUTED_VALUE"""),"Щербинка")</f>
        <v>Щербинка</v>
      </c>
      <c r="H41" s="4" t="str">
        <f>IFERROR(__xludf.DUMMYFUNCTION("""COMPUTED_VALUE"""),"ЖК Остафьево- 6")</f>
        <v>ЖК Остафьево- 6</v>
      </c>
      <c r="I41" s="4"/>
      <c r="J41" s="4"/>
      <c r="K41" s="4"/>
      <c r="L41" s="4"/>
      <c r="M41" s="4"/>
      <c r="N41" s="4"/>
      <c r="O41" s="4"/>
      <c r="P41" s="4"/>
      <c r="Q41" s="4"/>
      <c r="R41" s="4"/>
      <c r="S41" s="4"/>
      <c r="T41" s="4"/>
      <c r="U41" s="4"/>
      <c r="V41" s="4"/>
      <c r="W41" s="4"/>
      <c r="X41" s="4"/>
      <c r="Y41" s="4"/>
      <c r="Z41" s="4"/>
    </row>
    <row r="42">
      <c r="A42" s="167"/>
      <c r="B42" s="167"/>
      <c r="C42" s="8" t="s">
        <v>410</v>
      </c>
      <c r="D42" s="4"/>
      <c r="E42" s="4"/>
      <c r="F42" s="4" t="str">
        <f>IFERROR(__xludf.DUMMYFUNCTION("""COMPUTED_VALUE"""),"Московская область")</f>
        <v>Московская область</v>
      </c>
      <c r="G42" s="4" t="str">
        <f>IFERROR(__xludf.DUMMYFUNCTION("""COMPUTED_VALUE"""),"Щербинка")</f>
        <v>Щербинка</v>
      </c>
      <c r="H42" s="4" t="str">
        <f>IFERROR(__xludf.DUMMYFUNCTION("""COMPUTED_VALUE"""),"ЖК Остафьево- 7")</f>
        <v>ЖК Остафьево- 7</v>
      </c>
      <c r="I42" s="4"/>
      <c r="J42" s="4"/>
      <c r="K42" s="4"/>
      <c r="L42" s="4"/>
      <c r="M42" s="4"/>
      <c r="N42" s="4"/>
      <c r="O42" s="4"/>
      <c r="P42" s="4"/>
      <c r="Q42" s="4"/>
      <c r="R42" s="4"/>
      <c r="S42" s="4"/>
      <c r="T42" s="4"/>
      <c r="U42" s="4"/>
      <c r="V42" s="4"/>
      <c r="W42" s="4"/>
      <c r="X42" s="4"/>
      <c r="Y42" s="4"/>
      <c r="Z42" s="4"/>
    </row>
    <row r="43">
      <c r="A43" s="167"/>
      <c r="B43" s="167"/>
      <c r="C43" s="8" t="s">
        <v>421</v>
      </c>
      <c r="D43" s="4"/>
      <c r="E43" s="4"/>
      <c r="F43" s="4" t="str">
        <f>IFERROR(__xludf.DUMMYFUNCTION("""COMPUTED_VALUE"""),"Московская область")</f>
        <v>Московская область</v>
      </c>
      <c r="G43" s="4" t="str">
        <f>IFERROR(__xludf.DUMMYFUNCTION("""COMPUTED_VALUE"""),"Щербинка")</f>
        <v>Щербинка</v>
      </c>
      <c r="H43" s="4" t="str">
        <f>IFERROR(__xludf.DUMMYFUNCTION("""COMPUTED_VALUE"""),"ЖК Остафьево- 8")</f>
        <v>ЖК Остафьево- 8</v>
      </c>
      <c r="I43" s="4"/>
      <c r="J43" s="4"/>
      <c r="K43" s="4"/>
      <c r="L43" s="4"/>
      <c r="M43" s="4"/>
      <c r="N43" s="4"/>
      <c r="O43" s="4"/>
      <c r="P43" s="4"/>
      <c r="Q43" s="4"/>
      <c r="R43" s="4"/>
      <c r="S43" s="4"/>
      <c r="T43" s="4"/>
      <c r="U43" s="4"/>
      <c r="V43" s="4"/>
      <c r="W43" s="4"/>
      <c r="X43" s="4"/>
      <c r="Y43" s="4"/>
      <c r="Z43" s="4"/>
    </row>
    <row r="44">
      <c r="A44" s="167"/>
      <c r="B44" s="167"/>
      <c r="C44" s="13" t="s">
        <v>432</v>
      </c>
      <c r="D44" s="4"/>
      <c r="E44" s="4"/>
      <c r="F44" s="4" t="str">
        <f>IFERROR(__xludf.DUMMYFUNCTION("""COMPUTED_VALUE"""),"Нижегородская область")</f>
        <v>Нижегородская область</v>
      </c>
      <c r="G44" s="4" t="str">
        <f>IFERROR(__xludf.DUMMYFUNCTION("""COMPUTED_VALUE"""),"Нижний Новгород")</f>
        <v>Нижний Новгород</v>
      </c>
      <c r="H44" s="4" t="str">
        <f>IFERROR(__xludf.DUMMYFUNCTION("""COMPUTED_VALUE"""),"ЖК Академический")</f>
        <v>ЖК Академический</v>
      </c>
      <c r="I44" s="4"/>
      <c r="J44" s="4"/>
      <c r="K44" s="4"/>
      <c r="L44" s="4"/>
      <c r="M44" s="4"/>
      <c r="N44" s="4"/>
      <c r="O44" s="4"/>
      <c r="P44" s="4"/>
      <c r="Q44" s="4"/>
      <c r="R44" s="4"/>
      <c r="S44" s="4"/>
      <c r="T44" s="4"/>
      <c r="U44" s="4"/>
      <c r="V44" s="4"/>
      <c r="W44" s="4"/>
      <c r="X44" s="4"/>
      <c r="Y44" s="4"/>
      <c r="Z44" s="4"/>
    </row>
    <row r="45">
      <c r="A45" s="167"/>
      <c r="B45" s="167"/>
      <c r="C45" s="13" t="s">
        <v>437</v>
      </c>
      <c r="D45" s="4"/>
      <c r="E45" s="4"/>
      <c r="F45" s="4" t="str">
        <f>IFERROR(__xludf.DUMMYFUNCTION("""COMPUTED_VALUE"""),"Нижегородская область")</f>
        <v>Нижегородская область</v>
      </c>
      <c r="G45" s="4" t="str">
        <f>IFERROR(__xludf.DUMMYFUNCTION("""COMPUTED_VALUE"""),"Нижний Новгород")</f>
        <v>Нижний Новгород</v>
      </c>
      <c r="H45" s="4" t="str">
        <f>IFERROR(__xludf.DUMMYFUNCTION("""COMPUTED_VALUE"""),"ЖК Актюбинская")</f>
        <v>ЖК Актюбинская</v>
      </c>
      <c r="I45" s="4"/>
      <c r="J45" s="4"/>
      <c r="K45" s="4"/>
      <c r="L45" s="4"/>
      <c r="M45" s="4"/>
      <c r="N45" s="4"/>
      <c r="O45" s="4"/>
      <c r="P45" s="4"/>
      <c r="Q45" s="4"/>
      <c r="R45" s="4"/>
      <c r="S45" s="4"/>
      <c r="T45" s="4"/>
      <c r="U45" s="4"/>
      <c r="V45" s="4"/>
      <c r="W45" s="4"/>
      <c r="X45" s="4"/>
      <c r="Y45" s="4"/>
      <c r="Z45" s="4"/>
    </row>
    <row r="46">
      <c r="A46" s="167"/>
      <c r="B46" s="167"/>
      <c r="C46" s="13" t="s">
        <v>442</v>
      </c>
      <c r="D46" s="4"/>
      <c r="E46" s="4"/>
      <c r="F46" s="4" t="str">
        <f>IFERROR(__xludf.DUMMYFUNCTION("""COMPUTED_VALUE"""),"Нижегородская область")</f>
        <v>Нижегородская область</v>
      </c>
      <c r="G46" s="4" t="str">
        <f>IFERROR(__xludf.DUMMYFUNCTION("""COMPUTED_VALUE"""),"Нижний Новгород")</f>
        <v>Нижний Новгород</v>
      </c>
      <c r="H46" s="4" t="str">
        <f>IFERROR(__xludf.DUMMYFUNCTION("""COMPUTED_VALUE"""),"ЖК Белый город 1")</f>
        <v>ЖК Белый город 1</v>
      </c>
      <c r="I46" s="4"/>
      <c r="J46" s="4"/>
      <c r="K46" s="4"/>
      <c r="L46" s="4"/>
      <c r="M46" s="4"/>
      <c r="N46" s="4"/>
      <c r="O46" s="4"/>
      <c r="P46" s="4"/>
      <c r="Q46" s="4"/>
      <c r="R46" s="4"/>
      <c r="S46" s="4"/>
      <c r="T46" s="4"/>
      <c r="U46" s="4"/>
      <c r="V46" s="4"/>
      <c r="W46" s="4"/>
      <c r="X46" s="4"/>
      <c r="Y46" s="4"/>
      <c r="Z46" s="4"/>
    </row>
    <row r="47">
      <c r="A47" s="167"/>
      <c r="B47" s="167"/>
      <c r="C47" s="13" t="s">
        <v>447</v>
      </c>
      <c r="D47" s="4"/>
      <c r="E47" s="4"/>
      <c r="F47" s="4" t="str">
        <f>IFERROR(__xludf.DUMMYFUNCTION("""COMPUTED_VALUE"""),"Нижегородская область")</f>
        <v>Нижегородская область</v>
      </c>
      <c r="G47" s="4" t="str">
        <f>IFERROR(__xludf.DUMMYFUNCTION("""COMPUTED_VALUE"""),"Нижний Новгород")</f>
        <v>Нижний Новгород</v>
      </c>
      <c r="H47" s="4" t="str">
        <f>IFERROR(__xludf.DUMMYFUNCTION("""COMPUTED_VALUE"""),"ЖК Белый город 2")</f>
        <v>ЖК Белый город 2</v>
      </c>
      <c r="I47" s="4"/>
      <c r="J47" s="4"/>
      <c r="K47" s="4"/>
      <c r="L47" s="4"/>
      <c r="M47" s="4"/>
      <c r="N47" s="4"/>
      <c r="O47" s="4"/>
      <c r="P47" s="4"/>
      <c r="Q47" s="4"/>
      <c r="R47" s="4"/>
      <c r="S47" s="4"/>
      <c r="T47" s="4"/>
      <c r="U47" s="4"/>
      <c r="V47" s="4"/>
      <c r="W47" s="4"/>
      <c r="X47" s="4"/>
      <c r="Y47" s="4"/>
      <c r="Z47" s="4"/>
    </row>
    <row r="48">
      <c r="A48" s="167"/>
      <c r="B48" s="167"/>
      <c r="C48" s="13" t="s">
        <v>453</v>
      </c>
      <c r="D48" s="4"/>
      <c r="E48" s="4"/>
      <c r="F48" s="4" t="str">
        <f>IFERROR(__xludf.DUMMYFUNCTION("""COMPUTED_VALUE"""),"Нижегородская область")</f>
        <v>Нижегородская область</v>
      </c>
      <c r="G48" s="4" t="str">
        <f>IFERROR(__xludf.DUMMYFUNCTION("""COMPUTED_VALUE"""),"Нижний Новгород")</f>
        <v>Нижний Новгород</v>
      </c>
      <c r="H48" s="4" t="str">
        <f>IFERROR(__xludf.DUMMYFUNCTION("""COMPUTED_VALUE"""),"ЖК Белый город 3")</f>
        <v>ЖК Белый город 3</v>
      </c>
      <c r="I48" s="4"/>
      <c r="J48" s="4"/>
      <c r="K48" s="4"/>
      <c r="L48" s="4"/>
      <c r="M48" s="4"/>
      <c r="N48" s="4"/>
      <c r="O48" s="4"/>
      <c r="P48" s="4"/>
      <c r="Q48" s="4"/>
      <c r="R48" s="4"/>
      <c r="S48" s="4"/>
      <c r="T48" s="4"/>
      <c r="U48" s="4"/>
      <c r="V48" s="4"/>
      <c r="W48" s="4"/>
      <c r="X48" s="4"/>
      <c r="Y48" s="4"/>
      <c r="Z48" s="4"/>
    </row>
    <row r="49">
      <c r="A49" s="167"/>
      <c r="B49" s="167"/>
      <c r="C49" s="13" t="s">
        <v>461</v>
      </c>
      <c r="D49" s="4"/>
      <c r="E49" s="4"/>
      <c r="F49" s="4" t="str">
        <f>IFERROR(__xludf.DUMMYFUNCTION("""COMPUTED_VALUE"""),"Нижегородская область")</f>
        <v>Нижегородская область</v>
      </c>
      <c r="G49" s="4" t="str">
        <f>IFERROR(__xludf.DUMMYFUNCTION("""COMPUTED_VALUE"""),"Нижний Новгород")</f>
        <v>Нижний Новгород</v>
      </c>
      <c r="H49" s="4" t="str">
        <f>IFERROR(__xludf.DUMMYFUNCTION("""COMPUTED_VALUE"""),"ЖК Белый город 4")</f>
        <v>ЖК Белый город 4</v>
      </c>
      <c r="I49" s="4"/>
      <c r="J49" s="4"/>
      <c r="K49" s="4"/>
      <c r="L49" s="4"/>
      <c r="M49" s="4"/>
      <c r="N49" s="4"/>
      <c r="O49" s="4"/>
      <c r="P49" s="4"/>
      <c r="Q49" s="4"/>
      <c r="R49" s="4"/>
      <c r="S49" s="4"/>
      <c r="T49" s="4"/>
      <c r="U49" s="4"/>
      <c r="V49" s="4"/>
      <c r="W49" s="4"/>
      <c r="X49" s="4"/>
      <c r="Y49" s="4"/>
      <c r="Z49" s="4"/>
    </row>
    <row r="50">
      <c r="A50" s="167"/>
      <c r="B50" s="167"/>
      <c r="C50" s="13" t="s">
        <v>466</v>
      </c>
      <c r="D50" s="4"/>
      <c r="E50" s="4"/>
      <c r="F50" s="4" t="str">
        <f>IFERROR(__xludf.DUMMYFUNCTION("""COMPUTED_VALUE"""),"Нижегородская область")</f>
        <v>Нижегородская область</v>
      </c>
      <c r="G50" s="4" t="str">
        <f>IFERROR(__xludf.DUMMYFUNCTION("""COMPUTED_VALUE"""),"Нижний Новгород")</f>
        <v>Нижний Новгород</v>
      </c>
      <c r="H50" s="4" t="str">
        <f>IFERROR(__xludf.DUMMYFUNCTION("""COMPUTED_VALUE"""),"ЖК Водный мир 1")</f>
        <v>ЖК Водный мир 1</v>
      </c>
      <c r="I50" s="4"/>
      <c r="J50" s="4"/>
      <c r="K50" s="4"/>
      <c r="L50" s="4"/>
      <c r="M50" s="4"/>
      <c r="N50" s="4"/>
      <c r="O50" s="4"/>
      <c r="P50" s="4"/>
      <c r="Q50" s="4"/>
      <c r="R50" s="4"/>
      <c r="S50" s="4"/>
      <c r="T50" s="4"/>
      <c r="U50" s="4"/>
      <c r="V50" s="4"/>
      <c r="W50" s="4"/>
      <c r="X50" s="4"/>
      <c r="Y50" s="4"/>
      <c r="Z50" s="4"/>
    </row>
    <row r="51">
      <c r="A51" s="167"/>
      <c r="B51" s="167"/>
      <c r="C51" s="13" t="s">
        <v>477</v>
      </c>
      <c r="D51" s="4"/>
      <c r="E51" s="4"/>
      <c r="F51" s="4" t="str">
        <f>IFERROR(__xludf.DUMMYFUNCTION("""COMPUTED_VALUE"""),"Нижегородская область")</f>
        <v>Нижегородская область</v>
      </c>
      <c r="G51" s="4" t="str">
        <f>IFERROR(__xludf.DUMMYFUNCTION("""COMPUTED_VALUE"""),"Нижний Новгород")</f>
        <v>Нижний Новгород</v>
      </c>
      <c r="H51" s="4" t="str">
        <f>IFERROR(__xludf.DUMMYFUNCTION("""COMPUTED_VALUE"""),"ЖК Водный мир 2")</f>
        <v>ЖК Водный мир 2</v>
      </c>
      <c r="I51" s="4"/>
      <c r="J51" s="4"/>
      <c r="K51" s="4"/>
      <c r="L51" s="4"/>
      <c r="M51" s="4"/>
      <c r="N51" s="4"/>
      <c r="O51" s="4"/>
      <c r="P51" s="4"/>
      <c r="Q51" s="4"/>
      <c r="R51" s="4"/>
      <c r="S51" s="4"/>
      <c r="T51" s="4"/>
      <c r="U51" s="4"/>
      <c r="V51" s="4"/>
      <c r="W51" s="4"/>
      <c r="X51" s="4"/>
      <c r="Y51" s="4"/>
      <c r="Z51" s="4"/>
    </row>
    <row r="52">
      <c r="A52" s="167"/>
      <c r="B52" s="167"/>
      <c r="C52" s="13" t="s">
        <v>482</v>
      </c>
      <c r="D52" s="4"/>
      <c r="E52" s="4"/>
      <c r="F52" s="4" t="str">
        <f>IFERROR(__xludf.DUMMYFUNCTION("""COMPUTED_VALUE"""),"Нижегородская область")</f>
        <v>Нижегородская область</v>
      </c>
      <c r="G52" s="4" t="str">
        <f>IFERROR(__xludf.DUMMYFUNCTION("""COMPUTED_VALUE"""),"Нижний Новгород")</f>
        <v>Нижний Новгород</v>
      </c>
      <c r="H52" s="4" t="str">
        <f>IFERROR(__xludf.DUMMYFUNCTION("""COMPUTED_VALUE"""),"ЖК Водный мир 3")</f>
        <v>ЖК Водный мир 3</v>
      </c>
      <c r="I52" s="4"/>
      <c r="J52" s="4"/>
      <c r="K52" s="4"/>
      <c r="L52" s="4"/>
      <c r="M52" s="4"/>
      <c r="N52" s="4"/>
      <c r="O52" s="4"/>
      <c r="P52" s="4"/>
      <c r="Q52" s="4"/>
      <c r="R52" s="4"/>
      <c r="S52" s="4"/>
      <c r="T52" s="4"/>
      <c r="U52" s="4"/>
      <c r="V52" s="4"/>
      <c r="W52" s="4"/>
      <c r="X52" s="4"/>
      <c r="Y52" s="4"/>
      <c r="Z52" s="4"/>
    </row>
    <row r="53">
      <c r="A53" s="167"/>
      <c r="B53" s="167"/>
      <c r="C53" s="13" t="s">
        <v>493</v>
      </c>
      <c r="D53" s="4"/>
      <c r="E53" s="4"/>
      <c r="F53" s="4" t="str">
        <f>IFERROR(__xludf.DUMMYFUNCTION("""COMPUTED_VALUE"""),"Нижегородская область")</f>
        <v>Нижегородская область</v>
      </c>
      <c r="G53" s="4" t="str">
        <f>IFERROR(__xludf.DUMMYFUNCTION("""COMPUTED_VALUE"""),"Нижний Новгород")</f>
        <v>Нижний Новгород</v>
      </c>
      <c r="H53" s="4" t="str">
        <f>IFERROR(__xludf.DUMMYFUNCTION("""COMPUTED_VALUE"""),"ЖК Водный Мир 4")</f>
        <v>ЖК Водный Мир 4</v>
      </c>
      <c r="I53" s="4"/>
      <c r="J53" s="4"/>
      <c r="K53" s="4"/>
      <c r="L53" s="4"/>
      <c r="M53" s="4"/>
      <c r="N53" s="4"/>
      <c r="O53" s="4"/>
      <c r="P53" s="4"/>
      <c r="Q53" s="4"/>
      <c r="R53" s="4"/>
      <c r="S53" s="4"/>
      <c r="T53" s="4"/>
      <c r="U53" s="4"/>
      <c r="V53" s="4"/>
      <c r="W53" s="4"/>
      <c r="X53" s="4"/>
      <c r="Y53" s="4"/>
      <c r="Z53" s="4"/>
    </row>
    <row r="54">
      <c r="A54" s="167"/>
      <c r="B54" s="167"/>
      <c r="C54" s="13" t="s">
        <v>512</v>
      </c>
      <c r="D54" s="4"/>
      <c r="E54" s="4"/>
      <c r="F54" s="4" t="str">
        <f>IFERROR(__xludf.DUMMYFUNCTION("""COMPUTED_VALUE"""),"Нижегородская область")</f>
        <v>Нижегородская область</v>
      </c>
      <c r="G54" s="4" t="str">
        <f>IFERROR(__xludf.DUMMYFUNCTION("""COMPUTED_VALUE"""),"Нижний Новгород")</f>
        <v>Нижний Новгород</v>
      </c>
      <c r="H54" s="4" t="str">
        <f>IFERROR(__xludf.DUMMYFUNCTION("""COMPUTED_VALUE"""),"ЖК Волжские огни 1")</f>
        <v>ЖК Волжские огни 1</v>
      </c>
      <c r="I54" s="4"/>
      <c r="J54" s="4"/>
      <c r="K54" s="4"/>
      <c r="L54" s="4"/>
      <c r="M54" s="4"/>
      <c r="N54" s="4"/>
      <c r="O54" s="4"/>
      <c r="P54" s="4"/>
      <c r="Q54" s="4"/>
      <c r="R54" s="4"/>
      <c r="S54" s="4"/>
      <c r="T54" s="4"/>
      <c r="U54" s="4"/>
      <c r="V54" s="4"/>
      <c r="W54" s="4"/>
      <c r="X54" s="4"/>
      <c r="Y54" s="4"/>
      <c r="Z54" s="4"/>
    </row>
    <row r="55">
      <c r="A55" s="167"/>
      <c r="B55" s="167"/>
      <c r="C55" s="13" t="s">
        <v>517</v>
      </c>
      <c r="D55" s="4"/>
      <c r="E55" s="4"/>
      <c r="F55" s="4" t="str">
        <f>IFERROR(__xludf.DUMMYFUNCTION("""COMPUTED_VALUE"""),"Нижегородская область")</f>
        <v>Нижегородская область</v>
      </c>
      <c r="G55" s="4" t="str">
        <f>IFERROR(__xludf.DUMMYFUNCTION("""COMPUTED_VALUE"""),"Нижний Новгород")</f>
        <v>Нижний Новгород</v>
      </c>
      <c r="H55" s="4" t="str">
        <f>IFERROR(__xludf.DUMMYFUNCTION("""COMPUTED_VALUE"""),"ЖК Волжские огни 2")</f>
        <v>ЖК Волжские огни 2</v>
      </c>
      <c r="I55" s="4"/>
      <c r="J55" s="4"/>
      <c r="K55" s="4"/>
      <c r="L55" s="4"/>
      <c r="M55" s="4"/>
      <c r="N55" s="4"/>
      <c r="O55" s="4"/>
      <c r="P55" s="4"/>
      <c r="Q55" s="4"/>
      <c r="R55" s="4"/>
      <c r="S55" s="4"/>
      <c r="T55" s="4"/>
      <c r="U55" s="4"/>
      <c r="V55" s="4"/>
      <c r="W55" s="4"/>
      <c r="X55" s="4"/>
      <c r="Y55" s="4"/>
      <c r="Z55" s="4"/>
    </row>
    <row r="56">
      <c r="A56" s="167"/>
      <c r="B56" s="167"/>
      <c r="C56" s="13" t="s">
        <v>522</v>
      </c>
      <c r="D56" s="4"/>
      <c r="E56" s="4"/>
      <c r="F56" s="4" t="str">
        <f>IFERROR(__xludf.DUMMYFUNCTION("""COMPUTED_VALUE"""),"Нижегородская область")</f>
        <v>Нижегородская область</v>
      </c>
      <c r="G56" s="4" t="str">
        <f>IFERROR(__xludf.DUMMYFUNCTION("""COMPUTED_VALUE"""),"Нижний Новгород")</f>
        <v>Нижний Новгород</v>
      </c>
      <c r="H56" s="4" t="str">
        <f>IFERROR(__xludf.DUMMYFUNCTION("""COMPUTED_VALUE"""),"ЖК Волжские огни 3")</f>
        <v>ЖК Волжские огни 3</v>
      </c>
      <c r="I56" s="4"/>
      <c r="J56" s="4"/>
      <c r="K56" s="4"/>
      <c r="L56" s="4"/>
      <c r="M56" s="4"/>
      <c r="N56" s="4"/>
      <c r="O56" s="4"/>
      <c r="P56" s="4"/>
      <c r="Q56" s="4"/>
      <c r="R56" s="4"/>
      <c r="S56" s="4"/>
      <c r="T56" s="4"/>
      <c r="U56" s="4"/>
      <c r="V56" s="4"/>
      <c r="W56" s="4"/>
      <c r="X56" s="4"/>
      <c r="Y56" s="4"/>
      <c r="Z56" s="4"/>
    </row>
    <row r="57">
      <c r="A57" s="167"/>
      <c r="B57" s="167"/>
      <c r="C57" s="13" t="s">
        <v>527</v>
      </c>
      <c r="D57" s="4"/>
      <c r="E57" s="4"/>
      <c r="F57" s="4" t="str">
        <f>IFERROR(__xludf.DUMMYFUNCTION("""COMPUTED_VALUE"""),"Нижегородская область")</f>
        <v>Нижегородская область</v>
      </c>
      <c r="G57" s="4" t="str">
        <f>IFERROR(__xludf.DUMMYFUNCTION("""COMPUTED_VALUE"""),"Нижний Новгород")</f>
        <v>Нижний Новгород</v>
      </c>
      <c r="H57" s="4" t="str">
        <f>IFERROR(__xludf.DUMMYFUNCTION("""COMPUTED_VALUE"""),"ЖК Долина")</f>
        <v>ЖК Долина</v>
      </c>
      <c r="I57" s="4"/>
      <c r="J57" s="4"/>
      <c r="K57" s="4"/>
      <c r="L57" s="4"/>
      <c r="M57" s="4"/>
      <c r="N57" s="4"/>
      <c r="O57" s="4"/>
      <c r="P57" s="4"/>
      <c r="Q57" s="4"/>
      <c r="R57" s="4"/>
      <c r="S57" s="4"/>
      <c r="T57" s="4"/>
      <c r="U57" s="4"/>
      <c r="V57" s="4"/>
      <c r="W57" s="4"/>
      <c r="X57" s="4"/>
      <c r="Y57" s="4"/>
      <c r="Z57" s="4"/>
    </row>
    <row r="58">
      <c r="A58" s="167"/>
      <c r="B58" s="167"/>
      <c r="C58" s="13" t="s">
        <v>532</v>
      </c>
      <c r="D58" s="4"/>
      <c r="E58" s="4"/>
      <c r="F58" s="4" t="str">
        <f>IFERROR(__xludf.DUMMYFUNCTION("""COMPUTED_VALUE"""),"Нижегородская область")</f>
        <v>Нижегородская область</v>
      </c>
      <c r="G58" s="4" t="str">
        <f>IFERROR(__xludf.DUMMYFUNCTION("""COMPUTED_VALUE"""),"Нижний Новгород")</f>
        <v>Нижний Новгород</v>
      </c>
      <c r="H58" s="4" t="str">
        <f>IFERROR(__xludf.DUMMYFUNCTION("""COMPUTED_VALUE"""),"ЖК Достаевского")</f>
        <v>ЖК Достаевского</v>
      </c>
      <c r="I58" s="4"/>
      <c r="J58" s="4"/>
      <c r="K58" s="4"/>
      <c r="L58" s="4"/>
      <c r="M58" s="4"/>
      <c r="N58" s="4"/>
      <c r="O58" s="4"/>
      <c r="P58" s="4"/>
      <c r="Q58" s="4"/>
      <c r="R58" s="4"/>
      <c r="S58" s="4"/>
      <c r="T58" s="4"/>
      <c r="U58" s="4"/>
      <c r="V58" s="4"/>
      <c r="W58" s="4"/>
      <c r="X58" s="4"/>
      <c r="Y58" s="4"/>
      <c r="Z58" s="4"/>
    </row>
    <row r="59">
      <c r="A59" s="167"/>
      <c r="B59" s="167"/>
      <c r="C59" s="13" t="s">
        <v>537</v>
      </c>
      <c r="D59" s="4"/>
      <c r="E59" s="4"/>
      <c r="F59" s="4" t="str">
        <f>IFERROR(__xludf.DUMMYFUNCTION("""COMPUTED_VALUE"""),"Нижегородская область")</f>
        <v>Нижегородская область</v>
      </c>
      <c r="G59" s="4" t="str">
        <f>IFERROR(__xludf.DUMMYFUNCTION("""COMPUTED_VALUE"""),"Нижний Новгород")</f>
        <v>Нижний Новгород</v>
      </c>
      <c r="H59" s="4" t="str">
        <f>IFERROR(__xludf.DUMMYFUNCTION("""COMPUTED_VALUE"""),"ЖК Европейский квартал")</f>
        <v>ЖК Европейский квартал</v>
      </c>
      <c r="I59" s="4"/>
      <c r="J59" s="4"/>
      <c r="K59" s="4"/>
      <c r="L59" s="4"/>
      <c r="M59" s="4"/>
      <c r="N59" s="4"/>
      <c r="O59" s="4"/>
      <c r="P59" s="4"/>
      <c r="Q59" s="4"/>
      <c r="R59" s="4"/>
      <c r="S59" s="4"/>
      <c r="T59" s="4"/>
      <c r="U59" s="4"/>
      <c r="V59" s="4"/>
      <c r="W59" s="4"/>
      <c r="X59" s="4"/>
      <c r="Y59" s="4"/>
      <c r="Z59" s="4"/>
    </row>
    <row r="60">
      <c r="A60" s="167"/>
      <c r="B60" s="167"/>
      <c r="C60" s="13" t="s">
        <v>545</v>
      </c>
      <c r="D60" s="4"/>
      <c r="E60" s="4"/>
      <c r="F60" s="4" t="str">
        <f>IFERROR(__xludf.DUMMYFUNCTION("""COMPUTED_VALUE"""),"Нижегородская область")</f>
        <v>Нижегородская область</v>
      </c>
      <c r="G60" s="4" t="str">
        <f>IFERROR(__xludf.DUMMYFUNCTION("""COMPUTED_VALUE"""),"Нижний Новгород")</f>
        <v>Нижний Новгород</v>
      </c>
      <c r="H60" s="4" t="str">
        <f>IFERROR(__xludf.DUMMYFUNCTION("""COMPUTED_VALUE"""),"ЖК Есенина")</f>
        <v>ЖК Есенина</v>
      </c>
      <c r="I60" s="4"/>
      <c r="J60" s="4"/>
      <c r="K60" s="4"/>
      <c r="L60" s="4"/>
      <c r="M60" s="4"/>
      <c r="N60" s="4"/>
      <c r="O60" s="4"/>
      <c r="P60" s="4"/>
      <c r="Q60" s="4"/>
      <c r="R60" s="4"/>
      <c r="S60" s="4"/>
      <c r="T60" s="4"/>
      <c r="U60" s="4"/>
      <c r="V60" s="4"/>
      <c r="W60" s="4"/>
      <c r="X60" s="4"/>
      <c r="Y60" s="4"/>
      <c r="Z60" s="4"/>
    </row>
    <row r="61">
      <c r="A61" s="167"/>
      <c r="B61" s="167"/>
      <c r="C61" s="13" t="s">
        <v>2935</v>
      </c>
      <c r="D61" s="4"/>
      <c r="E61" s="4"/>
      <c r="F61" s="4" t="str">
        <f>IFERROR(__xludf.DUMMYFUNCTION("""COMPUTED_VALUE"""),"Нижегородская область")</f>
        <v>Нижегородская область</v>
      </c>
      <c r="G61" s="4" t="str">
        <f>IFERROR(__xludf.DUMMYFUNCTION("""COMPUTED_VALUE"""),"Нижний Новгород")</f>
        <v>Нижний Новгород</v>
      </c>
      <c r="H61" s="4" t="str">
        <f>IFERROR(__xludf.DUMMYFUNCTION("""COMPUTED_VALUE"""),"ЖК Караваиха")</f>
        <v>ЖК Караваиха</v>
      </c>
      <c r="I61" s="4"/>
      <c r="J61" s="4"/>
      <c r="K61" s="4"/>
      <c r="L61" s="4"/>
      <c r="M61" s="4"/>
      <c r="N61" s="4"/>
      <c r="O61" s="4"/>
      <c r="P61" s="4"/>
      <c r="Q61" s="4"/>
      <c r="R61" s="4"/>
      <c r="S61" s="4"/>
      <c r="T61" s="4"/>
      <c r="U61" s="4"/>
      <c r="V61" s="4"/>
      <c r="W61" s="4"/>
      <c r="X61" s="4"/>
      <c r="Y61" s="4"/>
      <c r="Z61" s="4"/>
    </row>
    <row r="62">
      <c r="A62" s="167"/>
      <c r="B62" s="167"/>
      <c r="C62" s="13" t="s">
        <v>566</v>
      </c>
      <c r="D62" s="4"/>
      <c r="E62" s="4"/>
      <c r="F62" s="4" t="str">
        <f>IFERROR(__xludf.DUMMYFUNCTION("""COMPUTED_VALUE"""),"Нижегородская область")</f>
        <v>Нижегородская область</v>
      </c>
      <c r="G62" s="4" t="str">
        <f>IFERROR(__xludf.DUMMYFUNCTION("""COMPUTED_VALUE"""),"Нижний Новгород")</f>
        <v>Нижний Новгород</v>
      </c>
      <c r="H62" s="4" t="str">
        <f>IFERROR(__xludf.DUMMYFUNCTION("""COMPUTED_VALUE"""),"ЖК Комунны 1")</f>
        <v>ЖК Комунны 1</v>
      </c>
      <c r="I62" s="4"/>
      <c r="J62" s="4"/>
      <c r="K62" s="4"/>
      <c r="L62" s="4"/>
      <c r="M62" s="4"/>
      <c r="N62" s="4"/>
      <c r="O62" s="4"/>
      <c r="P62" s="4"/>
      <c r="Q62" s="4"/>
      <c r="R62" s="4"/>
      <c r="S62" s="4"/>
      <c r="T62" s="4"/>
      <c r="U62" s="4"/>
      <c r="V62" s="4"/>
      <c r="W62" s="4"/>
      <c r="X62" s="4"/>
      <c r="Y62" s="4"/>
      <c r="Z62" s="4"/>
    </row>
    <row r="63">
      <c r="A63" s="167"/>
      <c r="B63" s="167"/>
      <c r="C63" s="13" t="s">
        <v>571</v>
      </c>
      <c r="D63" s="4"/>
      <c r="E63" s="4"/>
      <c r="F63" s="4" t="str">
        <f>IFERROR(__xludf.DUMMYFUNCTION("""COMPUTED_VALUE"""),"Нижегородская область")</f>
        <v>Нижегородская область</v>
      </c>
      <c r="G63" s="4" t="str">
        <f>IFERROR(__xludf.DUMMYFUNCTION("""COMPUTED_VALUE"""),"Нижний Новгород")</f>
        <v>Нижний Новгород</v>
      </c>
      <c r="H63" s="4" t="str">
        <f>IFERROR(__xludf.DUMMYFUNCTION("""COMPUTED_VALUE"""),"ЖК Комунны 2")</f>
        <v>ЖК Комунны 2</v>
      </c>
      <c r="I63" s="4"/>
      <c r="J63" s="4"/>
      <c r="K63" s="4"/>
      <c r="L63" s="4"/>
      <c r="M63" s="4"/>
      <c r="N63" s="4"/>
      <c r="O63" s="4"/>
      <c r="P63" s="4"/>
      <c r="Q63" s="4"/>
      <c r="R63" s="4"/>
      <c r="S63" s="4"/>
      <c r="T63" s="4"/>
      <c r="U63" s="4"/>
      <c r="V63" s="4"/>
      <c r="W63" s="4"/>
      <c r="X63" s="4"/>
      <c r="Y63" s="4"/>
      <c r="Z63" s="4"/>
    </row>
    <row r="64">
      <c r="A64" s="167"/>
      <c r="B64" s="167"/>
      <c r="C64" s="13" t="s">
        <v>576</v>
      </c>
      <c r="D64" s="4"/>
      <c r="E64" s="4"/>
      <c r="F64" s="4" t="str">
        <f>IFERROR(__xludf.DUMMYFUNCTION("""COMPUTED_VALUE"""),"Нижегородская область")</f>
        <v>Нижегородская область</v>
      </c>
      <c r="G64" s="4" t="str">
        <f>IFERROR(__xludf.DUMMYFUNCTION("""COMPUTED_VALUE"""),"Нижний Новгород")</f>
        <v>Нижний Новгород</v>
      </c>
      <c r="H64" s="4" t="str">
        <f>IFERROR(__xludf.DUMMYFUNCTION("""COMPUTED_VALUE"""),"ЖК Корица 1")</f>
        <v>ЖК Корица 1</v>
      </c>
      <c r="I64" s="4"/>
      <c r="J64" s="4"/>
      <c r="K64" s="4"/>
      <c r="L64" s="4"/>
      <c r="M64" s="4"/>
      <c r="N64" s="4"/>
      <c r="O64" s="4"/>
      <c r="P64" s="4"/>
      <c r="Q64" s="4"/>
      <c r="R64" s="4"/>
      <c r="S64" s="4"/>
      <c r="T64" s="4"/>
      <c r="U64" s="4"/>
      <c r="V64" s="4"/>
      <c r="W64" s="4"/>
      <c r="X64" s="4"/>
      <c r="Y64" s="4"/>
      <c r="Z64" s="4"/>
    </row>
    <row r="65">
      <c r="A65" s="167"/>
      <c r="B65" s="167"/>
      <c r="C65" s="13" t="s">
        <v>584</v>
      </c>
      <c r="D65" s="4"/>
      <c r="E65" s="4"/>
      <c r="F65" s="4" t="str">
        <f>IFERROR(__xludf.DUMMYFUNCTION("""COMPUTED_VALUE"""),"Нижегородская область")</f>
        <v>Нижегородская область</v>
      </c>
      <c r="G65" s="4" t="str">
        <f>IFERROR(__xludf.DUMMYFUNCTION("""COMPUTED_VALUE"""),"Нижний Новгород")</f>
        <v>Нижний Новгород</v>
      </c>
      <c r="H65" s="4" t="str">
        <f>IFERROR(__xludf.DUMMYFUNCTION("""COMPUTED_VALUE"""),"ЖК Корица 2")</f>
        <v>ЖК Корица 2</v>
      </c>
      <c r="I65" s="4"/>
      <c r="J65" s="4"/>
      <c r="K65" s="4"/>
      <c r="L65" s="4"/>
      <c r="M65" s="4"/>
      <c r="N65" s="4"/>
      <c r="O65" s="4"/>
      <c r="P65" s="4"/>
      <c r="Q65" s="4"/>
      <c r="R65" s="4"/>
      <c r="S65" s="4"/>
      <c r="T65" s="4"/>
      <c r="U65" s="4"/>
      <c r="V65" s="4"/>
      <c r="W65" s="4"/>
      <c r="X65" s="4"/>
      <c r="Y65" s="4"/>
      <c r="Z65" s="4"/>
    </row>
    <row r="66">
      <c r="A66" s="167"/>
      <c r="B66" s="167"/>
      <c r="C66" s="8" t="s">
        <v>589</v>
      </c>
      <c r="D66" s="4"/>
      <c r="E66" s="4"/>
      <c r="F66" s="4" t="str">
        <f>IFERROR(__xludf.DUMMYFUNCTION("""COMPUTED_VALUE"""),"Нижегородская область")</f>
        <v>Нижегородская область</v>
      </c>
      <c r="G66" s="4" t="str">
        <f>IFERROR(__xludf.DUMMYFUNCTION("""COMPUTED_VALUE"""),"Нижний Новгород")</f>
        <v>Нижний Новгород</v>
      </c>
      <c r="H66" s="4" t="str">
        <f>IFERROR(__xludf.DUMMYFUNCTION("""COMPUTED_VALUE"""),"ЖК Корица 3")</f>
        <v>ЖК Корица 3</v>
      </c>
      <c r="I66" s="4"/>
      <c r="J66" s="4"/>
      <c r="K66" s="4"/>
      <c r="L66" s="4"/>
      <c r="M66" s="4"/>
      <c r="N66" s="4"/>
      <c r="O66" s="4"/>
      <c r="P66" s="4"/>
      <c r="Q66" s="4"/>
      <c r="R66" s="4"/>
      <c r="S66" s="4"/>
      <c r="T66" s="4"/>
      <c r="U66" s="4"/>
      <c r="V66" s="4"/>
      <c r="W66" s="4"/>
      <c r="X66" s="4"/>
      <c r="Y66" s="4"/>
      <c r="Z66" s="4"/>
    </row>
    <row r="67">
      <c r="A67" s="167"/>
      <c r="B67" s="167"/>
      <c r="C67" s="13" t="s">
        <v>597</v>
      </c>
      <c r="D67" s="4"/>
      <c r="E67" s="4"/>
      <c r="F67" s="4" t="str">
        <f>IFERROR(__xludf.DUMMYFUNCTION("""COMPUTED_VALUE"""),"Нижегородская область")</f>
        <v>Нижегородская область</v>
      </c>
      <c r="G67" s="4" t="str">
        <f>IFERROR(__xludf.DUMMYFUNCTION("""COMPUTED_VALUE"""),"Нижний Новгород")</f>
        <v>Нижний Новгород</v>
      </c>
      <c r="H67" s="4" t="str">
        <f>IFERROR(__xludf.DUMMYFUNCTION("""COMPUTED_VALUE"""),"ЖК Корица 4")</f>
        <v>ЖК Корица 4</v>
      </c>
      <c r="I67" s="4"/>
      <c r="J67" s="4"/>
      <c r="K67" s="4"/>
      <c r="L67" s="4"/>
      <c r="M67" s="4"/>
      <c r="N67" s="4"/>
      <c r="O67" s="4"/>
      <c r="P67" s="4"/>
      <c r="Q67" s="4"/>
      <c r="R67" s="4"/>
      <c r="S67" s="4"/>
      <c r="T67" s="4"/>
      <c r="U67" s="4"/>
      <c r="V67" s="4"/>
      <c r="W67" s="4"/>
      <c r="X67" s="4"/>
      <c r="Y67" s="4"/>
      <c r="Z67" s="4"/>
    </row>
    <row r="68">
      <c r="A68" s="167"/>
      <c r="B68" s="167"/>
      <c r="C68" s="13" t="s">
        <v>602</v>
      </c>
      <c r="D68" s="4"/>
      <c r="E68" s="4"/>
      <c r="F68" s="4" t="str">
        <f>IFERROR(__xludf.DUMMYFUNCTION("""COMPUTED_VALUE"""),"Нижегородская область")</f>
        <v>Нижегородская область</v>
      </c>
      <c r="G68" s="4" t="str">
        <f>IFERROR(__xludf.DUMMYFUNCTION("""COMPUTED_VALUE"""),"Нижний Новгород")</f>
        <v>Нижний Новгород</v>
      </c>
      <c r="H68" s="4" t="str">
        <f>IFERROR(__xludf.DUMMYFUNCTION("""COMPUTED_VALUE"""),"ЖК Королева")</f>
        <v>ЖК Королева</v>
      </c>
      <c r="I68" s="4"/>
      <c r="J68" s="4"/>
      <c r="K68" s="4"/>
      <c r="L68" s="4"/>
      <c r="M68" s="4"/>
      <c r="N68" s="4"/>
      <c r="O68" s="4"/>
      <c r="P68" s="4"/>
      <c r="Q68" s="4"/>
      <c r="R68" s="4"/>
      <c r="S68" s="4"/>
      <c r="T68" s="4"/>
      <c r="U68" s="4"/>
      <c r="V68" s="4"/>
      <c r="W68" s="4"/>
      <c r="X68" s="4"/>
      <c r="Y68" s="4"/>
      <c r="Z68" s="4"/>
    </row>
    <row r="69">
      <c r="A69" s="167"/>
      <c r="B69" s="167"/>
      <c r="C69" s="13" t="s">
        <v>607</v>
      </c>
      <c r="D69" s="4"/>
      <c r="E69" s="4"/>
      <c r="F69" s="4" t="str">
        <f>IFERROR(__xludf.DUMMYFUNCTION("""COMPUTED_VALUE"""),"Нижегородская область")</f>
        <v>Нижегородская область</v>
      </c>
      <c r="G69" s="4" t="str">
        <f>IFERROR(__xludf.DUMMYFUNCTION("""COMPUTED_VALUE"""),"Нижний Новгород")</f>
        <v>Нижний Новгород</v>
      </c>
      <c r="H69" s="4" t="str">
        <f>IFERROR(__xludf.DUMMYFUNCTION("""COMPUTED_VALUE"""),"ЖК Культурный")</f>
        <v>ЖК Культурный</v>
      </c>
      <c r="I69" s="4"/>
      <c r="J69" s="4"/>
      <c r="K69" s="4"/>
      <c r="L69" s="4"/>
      <c r="M69" s="4"/>
      <c r="N69" s="4"/>
      <c r="O69" s="4"/>
      <c r="P69" s="4"/>
      <c r="Q69" s="4"/>
      <c r="R69" s="4"/>
      <c r="S69" s="4"/>
      <c r="T69" s="4"/>
      <c r="U69" s="4"/>
      <c r="V69" s="4"/>
      <c r="W69" s="4"/>
      <c r="X69" s="4"/>
      <c r="Y69" s="4"/>
      <c r="Z69" s="4"/>
    </row>
    <row r="70">
      <c r="A70" s="167"/>
      <c r="B70" s="167"/>
      <c r="C70" s="13" t="s">
        <v>615</v>
      </c>
      <c r="D70" s="4"/>
      <c r="E70" s="4"/>
      <c r="F70" s="4" t="str">
        <f>IFERROR(__xludf.DUMMYFUNCTION("""COMPUTED_VALUE"""),"Нижегородская область")</f>
        <v>Нижегородская область</v>
      </c>
      <c r="G70" s="4" t="str">
        <f>IFERROR(__xludf.DUMMYFUNCTION("""COMPUTED_VALUE"""),"Нижний Новгород")</f>
        <v>Нижний Новгород</v>
      </c>
      <c r="H70" s="4" t="str">
        <f>IFERROR(__xludf.DUMMYFUNCTION("""COMPUTED_VALUE"""),"ЖК Лопатина")</f>
        <v>ЖК Лопатина</v>
      </c>
      <c r="I70" s="4"/>
      <c r="J70" s="4"/>
      <c r="K70" s="4"/>
      <c r="L70" s="4"/>
      <c r="M70" s="4"/>
      <c r="N70" s="4"/>
      <c r="O70" s="4"/>
      <c r="P70" s="4"/>
      <c r="Q70" s="4"/>
      <c r="R70" s="4"/>
      <c r="S70" s="4"/>
      <c r="T70" s="4"/>
      <c r="U70" s="4"/>
      <c r="V70" s="4"/>
      <c r="W70" s="4"/>
      <c r="X70" s="4"/>
      <c r="Y70" s="4"/>
      <c r="Z70" s="4"/>
    </row>
    <row r="71">
      <c r="A71" s="167"/>
      <c r="B71" s="167"/>
      <c r="C71" s="13" t="s">
        <v>620</v>
      </c>
      <c r="D71" s="4"/>
      <c r="E71" s="4"/>
      <c r="F71" s="4" t="str">
        <f>IFERROR(__xludf.DUMMYFUNCTION("""COMPUTED_VALUE"""),"Нижегородская область")</f>
        <v>Нижегородская область</v>
      </c>
      <c r="G71" s="4" t="str">
        <f>IFERROR(__xludf.DUMMYFUNCTION("""COMPUTED_VALUE"""),"Нижний Новгород")</f>
        <v>Нижний Новгород</v>
      </c>
      <c r="H71" s="4" t="str">
        <f>IFERROR(__xludf.DUMMYFUNCTION("""COMPUTED_VALUE"""),"ЖК Мёд 1")</f>
        <v>ЖК Мёд 1</v>
      </c>
      <c r="I71" s="4"/>
      <c r="J71" s="4"/>
      <c r="K71" s="4"/>
      <c r="L71" s="4"/>
      <c r="M71" s="4"/>
      <c r="N71" s="4"/>
      <c r="O71" s="4"/>
      <c r="P71" s="4"/>
      <c r="Q71" s="4"/>
      <c r="R71" s="4"/>
      <c r="S71" s="4"/>
      <c r="T71" s="4"/>
      <c r="U71" s="4"/>
      <c r="V71" s="4"/>
      <c r="W71" s="4"/>
      <c r="X71" s="4"/>
      <c r="Y71" s="4"/>
      <c r="Z71" s="4"/>
    </row>
    <row r="72">
      <c r="A72" s="167"/>
      <c r="B72" s="167"/>
      <c r="C72" s="13" t="s">
        <v>625</v>
      </c>
      <c r="D72" s="4"/>
      <c r="E72" s="4"/>
      <c r="F72" s="4" t="str">
        <f>IFERROR(__xludf.DUMMYFUNCTION("""COMPUTED_VALUE"""),"Нижегородская область")</f>
        <v>Нижегородская область</v>
      </c>
      <c r="G72" s="4" t="str">
        <f>IFERROR(__xludf.DUMMYFUNCTION("""COMPUTED_VALUE"""),"Нижний Новгород")</f>
        <v>Нижний Новгород</v>
      </c>
      <c r="H72" s="4" t="str">
        <f>IFERROR(__xludf.DUMMYFUNCTION("""COMPUTED_VALUE"""),"ЖК Мёд 2")</f>
        <v>ЖК Мёд 2</v>
      </c>
      <c r="I72" s="4"/>
      <c r="J72" s="4"/>
      <c r="K72" s="4"/>
      <c r="L72" s="4"/>
      <c r="M72" s="4"/>
      <c r="N72" s="4"/>
      <c r="O72" s="4"/>
      <c r="P72" s="4"/>
      <c r="Q72" s="4"/>
      <c r="R72" s="4"/>
      <c r="S72" s="4"/>
      <c r="T72" s="4"/>
      <c r="U72" s="4"/>
      <c r="V72" s="4"/>
      <c r="W72" s="4"/>
      <c r="X72" s="4"/>
      <c r="Y72" s="4"/>
      <c r="Z72" s="4"/>
    </row>
    <row r="73">
      <c r="A73" s="167"/>
      <c r="B73" s="167"/>
      <c r="C73" s="13" t="s">
        <v>630</v>
      </c>
      <c r="D73" s="4"/>
      <c r="E73" s="4"/>
      <c r="F73" s="4" t="str">
        <f>IFERROR(__xludf.DUMMYFUNCTION("""COMPUTED_VALUE"""),"Нижегородская область")</f>
        <v>Нижегородская область</v>
      </c>
      <c r="G73" s="4" t="str">
        <f>IFERROR(__xludf.DUMMYFUNCTION("""COMPUTED_VALUE"""),"Нижний Новгород")</f>
        <v>Нижний Новгород</v>
      </c>
      <c r="H73" s="4" t="str">
        <f>IFERROR(__xludf.DUMMYFUNCTION("""COMPUTED_VALUE"""),"ЖК Медвежья Долина")</f>
        <v>ЖК Медвежья Долина</v>
      </c>
      <c r="I73" s="4"/>
      <c r="J73" s="4"/>
      <c r="K73" s="4"/>
      <c r="L73" s="4"/>
      <c r="M73" s="4"/>
      <c r="N73" s="4"/>
      <c r="O73" s="4"/>
      <c r="P73" s="4"/>
      <c r="Q73" s="4"/>
      <c r="R73" s="4"/>
      <c r="S73" s="4"/>
      <c r="T73" s="4"/>
      <c r="U73" s="4"/>
      <c r="V73" s="4"/>
      <c r="W73" s="4"/>
      <c r="X73" s="4"/>
      <c r="Y73" s="4"/>
      <c r="Z73" s="4"/>
    </row>
    <row r="74">
      <c r="A74" s="167"/>
      <c r="B74" s="167"/>
      <c r="C74" s="13" t="s">
        <v>641</v>
      </c>
      <c r="D74" s="4"/>
      <c r="E74" s="4"/>
      <c r="F74" s="4" t="str">
        <f>IFERROR(__xludf.DUMMYFUNCTION("""COMPUTED_VALUE"""),"Нижегородская область")</f>
        <v>Нижегородская область</v>
      </c>
      <c r="G74" s="4" t="str">
        <f>IFERROR(__xludf.DUMMYFUNCTION("""COMPUTED_VALUE"""),"Нижний Новгород")</f>
        <v>Нижний Новгород</v>
      </c>
      <c r="H74" s="4" t="str">
        <f>IFERROR(__xludf.DUMMYFUNCTION("""COMPUTED_VALUE"""),"ЖК Мещерский бульвар 2")</f>
        <v>ЖК Мещерский бульвар 2</v>
      </c>
      <c r="I74" s="4"/>
      <c r="J74" s="4"/>
      <c r="K74" s="4"/>
      <c r="L74" s="4"/>
      <c r="M74" s="4"/>
      <c r="N74" s="4"/>
      <c r="O74" s="4"/>
      <c r="P74" s="4"/>
      <c r="Q74" s="4"/>
      <c r="R74" s="4"/>
      <c r="S74" s="4"/>
      <c r="T74" s="4"/>
      <c r="U74" s="4"/>
      <c r="V74" s="4"/>
      <c r="W74" s="4"/>
      <c r="X74" s="4"/>
      <c r="Y74" s="4"/>
      <c r="Z74" s="4"/>
    </row>
    <row r="75">
      <c r="A75" s="167"/>
      <c r="B75" s="167"/>
      <c r="C75" s="13" t="s">
        <v>646</v>
      </c>
      <c r="D75" s="4"/>
      <c r="E75" s="4"/>
      <c r="F75" s="4" t="str">
        <f>IFERROR(__xludf.DUMMYFUNCTION("""COMPUTED_VALUE"""),"Нижегородская область")</f>
        <v>Нижегородская область</v>
      </c>
      <c r="G75" s="4" t="str">
        <f>IFERROR(__xludf.DUMMYFUNCTION("""COMPUTED_VALUE"""),"Нижний Новгород")</f>
        <v>Нижний Новгород</v>
      </c>
      <c r="H75" s="4" t="str">
        <f>IFERROR(__xludf.DUMMYFUNCTION("""COMPUTED_VALUE"""),"ЖК Мещерское озеро")</f>
        <v>ЖК Мещерское озеро</v>
      </c>
      <c r="I75" s="4"/>
      <c r="J75" s="4"/>
      <c r="K75" s="4"/>
      <c r="L75" s="4"/>
      <c r="M75" s="4"/>
      <c r="N75" s="4"/>
      <c r="O75" s="4"/>
      <c r="P75" s="4"/>
      <c r="Q75" s="4"/>
      <c r="R75" s="4"/>
      <c r="S75" s="4"/>
      <c r="T75" s="4"/>
      <c r="U75" s="4"/>
      <c r="V75" s="4"/>
      <c r="W75" s="4"/>
      <c r="X75" s="4"/>
      <c r="Y75" s="4"/>
      <c r="Z75" s="4"/>
    </row>
    <row r="76">
      <c r="A76" s="167"/>
      <c r="B76" s="167"/>
      <c r="C76" s="13" t="s">
        <v>651</v>
      </c>
      <c r="D76" s="4"/>
      <c r="E76" s="4"/>
      <c r="F76" s="4" t="str">
        <f>IFERROR(__xludf.DUMMYFUNCTION("""COMPUTED_VALUE"""),"Нижегородская область")</f>
        <v>Нижегородская область</v>
      </c>
      <c r="G76" s="4" t="str">
        <f>IFERROR(__xludf.DUMMYFUNCTION("""COMPUTED_VALUE"""),"Нижний Новгород")</f>
        <v>Нижний Новгород</v>
      </c>
      <c r="H76" s="4" t="str">
        <f>IFERROR(__xludf.DUMMYFUNCTION("""COMPUTED_VALUE"""),"ЖК на Фруктовой")</f>
        <v>ЖК на Фруктовой</v>
      </c>
      <c r="I76" s="4"/>
      <c r="J76" s="4"/>
      <c r="K76" s="4"/>
      <c r="L76" s="4"/>
      <c r="M76" s="4"/>
      <c r="N76" s="4"/>
      <c r="O76" s="4"/>
      <c r="P76" s="4"/>
      <c r="Q76" s="4"/>
      <c r="R76" s="4"/>
      <c r="S76" s="4"/>
      <c r="T76" s="4"/>
      <c r="U76" s="4"/>
      <c r="V76" s="4"/>
      <c r="W76" s="4"/>
      <c r="X76" s="4"/>
      <c r="Y76" s="4"/>
      <c r="Z76" s="4"/>
    </row>
    <row r="77">
      <c r="A77" s="167"/>
      <c r="B77" s="167"/>
      <c r="C77" s="13" t="s">
        <v>658</v>
      </c>
      <c r="D77" s="4"/>
      <c r="E77" s="4"/>
      <c r="F77" s="4" t="str">
        <f>IFERROR(__xludf.DUMMYFUNCTION("""COMPUTED_VALUE"""),"Нижегородская область")</f>
        <v>Нижегородская область</v>
      </c>
      <c r="G77" s="4" t="str">
        <f>IFERROR(__xludf.DUMMYFUNCTION("""COMPUTED_VALUE"""),"Нижний Новгород")</f>
        <v>Нижний Новгород</v>
      </c>
      <c r="H77" s="4" t="str">
        <f>IFERROR(__xludf.DUMMYFUNCTION("""COMPUTED_VALUE"""),"ЖК Нижнепечерская")</f>
        <v>ЖК Нижнепечерская</v>
      </c>
      <c r="I77" s="4"/>
      <c r="J77" s="4"/>
      <c r="K77" s="4"/>
      <c r="L77" s="4"/>
      <c r="M77" s="4"/>
      <c r="N77" s="4"/>
      <c r="O77" s="4"/>
      <c r="P77" s="4"/>
      <c r="Q77" s="4"/>
      <c r="R77" s="4"/>
      <c r="S77" s="4"/>
      <c r="T77" s="4"/>
      <c r="U77" s="4"/>
      <c r="V77" s="4"/>
      <c r="W77" s="4"/>
      <c r="X77" s="4"/>
      <c r="Y77" s="4"/>
      <c r="Z77" s="4"/>
    </row>
    <row r="78">
      <c r="A78" s="167"/>
      <c r="B78" s="167"/>
      <c r="C78" s="13" t="s">
        <v>666</v>
      </c>
      <c r="D78" s="4"/>
      <c r="E78" s="4"/>
      <c r="F78" s="4" t="str">
        <f>IFERROR(__xludf.DUMMYFUNCTION("""COMPUTED_VALUE"""),"Нижегородская область")</f>
        <v>Нижегородская область</v>
      </c>
      <c r="G78" s="4" t="str">
        <f>IFERROR(__xludf.DUMMYFUNCTION("""COMPUTED_VALUE"""),"Нижний Новгород")</f>
        <v>Нижний Новгород</v>
      </c>
      <c r="H78" s="4" t="str">
        <f>IFERROR(__xludf.DUMMYFUNCTION("""COMPUTED_VALUE"""),"ЖК Нижнепечерская 3")</f>
        <v>ЖК Нижнепечерская 3</v>
      </c>
      <c r="I78" s="4"/>
      <c r="J78" s="4"/>
      <c r="K78" s="4"/>
      <c r="L78" s="4"/>
      <c r="M78" s="4"/>
      <c r="N78" s="4"/>
      <c r="O78" s="4"/>
      <c r="P78" s="4"/>
      <c r="Q78" s="4"/>
      <c r="R78" s="4"/>
      <c r="S78" s="4"/>
      <c r="T78" s="4"/>
      <c r="U78" s="4"/>
      <c r="V78" s="4"/>
      <c r="W78" s="4"/>
      <c r="X78" s="4"/>
      <c r="Y78" s="4"/>
      <c r="Z78" s="4"/>
    </row>
    <row r="79">
      <c r="A79" s="167"/>
      <c r="B79" s="167"/>
      <c r="C79" s="13" t="s">
        <v>671</v>
      </c>
      <c r="D79" s="4"/>
      <c r="E79" s="4"/>
      <c r="F79" s="4" t="str">
        <f>IFERROR(__xludf.DUMMYFUNCTION("""COMPUTED_VALUE"""),"Нижегородская область")</f>
        <v>Нижегородская область</v>
      </c>
      <c r="G79" s="4" t="str">
        <f>IFERROR(__xludf.DUMMYFUNCTION("""COMPUTED_VALUE"""),"Нижний Новгород")</f>
        <v>Нижний Новгород</v>
      </c>
      <c r="H79" s="4" t="str">
        <f>IFERROR(__xludf.DUMMYFUNCTION("""COMPUTED_VALUE"""),"ЖК Новая Кузнечиха 1")</f>
        <v>ЖК Новая Кузнечиха 1</v>
      </c>
      <c r="I79" s="4"/>
      <c r="J79" s="4"/>
      <c r="K79" s="4"/>
      <c r="L79" s="4"/>
      <c r="M79" s="4"/>
      <c r="N79" s="4"/>
      <c r="O79" s="4"/>
      <c r="P79" s="4"/>
      <c r="Q79" s="4"/>
      <c r="R79" s="4"/>
      <c r="S79" s="4"/>
      <c r="T79" s="4"/>
      <c r="U79" s="4"/>
      <c r="V79" s="4"/>
      <c r="W79" s="4"/>
      <c r="X79" s="4"/>
      <c r="Y79" s="4"/>
      <c r="Z79" s="4"/>
    </row>
    <row r="80">
      <c r="A80" s="167"/>
      <c r="B80" s="167"/>
      <c r="C80" s="13" t="s">
        <v>681</v>
      </c>
      <c r="D80" s="4"/>
      <c r="E80" s="4"/>
      <c r="F80" s="4" t="str">
        <f>IFERROR(__xludf.DUMMYFUNCTION("""COMPUTED_VALUE"""),"Нижегородская область")</f>
        <v>Нижегородская область</v>
      </c>
      <c r="G80" s="4" t="str">
        <f>IFERROR(__xludf.DUMMYFUNCTION("""COMPUTED_VALUE"""),"Нижний Новгород")</f>
        <v>Нижний Новгород</v>
      </c>
      <c r="H80" s="4" t="str">
        <f>IFERROR(__xludf.DUMMYFUNCTION("""COMPUTED_VALUE"""),"ЖК Новая Кузнечиха 2")</f>
        <v>ЖК Новая Кузнечиха 2</v>
      </c>
      <c r="I80" s="4"/>
      <c r="J80" s="4"/>
      <c r="K80" s="4"/>
      <c r="L80" s="4"/>
      <c r="M80" s="4"/>
      <c r="N80" s="4"/>
      <c r="O80" s="4"/>
      <c r="P80" s="4"/>
      <c r="Q80" s="4"/>
      <c r="R80" s="4"/>
      <c r="S80" s="4"/>
      <c r="T80" s="4"/>
      <c r="U80" s="4"/>
      <c r="V80" s="4"/>
      <c r="W80" s="4"/>
      <c r="X80" s="4"/>
      <c r="Y80" s="4"/>
      <c r="Z80" s="4"/>
    </row>
    <row r="81">
      <c r="A81" s="167"/>
      <c r="B81" s="167"/>
      <c r="C81" s="13" t="s">
        <v>686</v>
      </c>
      <c r="D81" s="4"/>
      <c r="E81" s="4"/>
      <c r="F81" s="4" t="str">
        <f>IFERROR(__xludf.DUMMYFUNCTION("""COMPUTED_VALUE"""),"Нижегородская область")</f>
        <v>Нижегородская область</v>
      </c>
      <c r="G81" s="4" t="str">
        <f>IFERROR(__xludf.DUMMYFUNCTION("""COMPUTED_VALUE"""),"Нижний Новгород")</f>
        <v>Нижний Новгород</v>
      </c>
      <c r="H81" s="4" t="str">
        <f>IFERROR(__xludf.DUMMYFUNCTION("""COMPUTED_VALUE"""),"ЖК Новая Кузнечиха 3")</f>
        <v>ЖК Новая Кузнечиха 3</v>
      </c>
      <c r="I81" s="4"/>
      <c r="J81" s="4"/>
      <c r="K81" s="4"/>
      <c r="L81" s="4"/>
      <c r="M81" s="4"/>
      <c r="N81" s="4"/>
      <c r="O81" s="4"/>
      <c r="P81" s="4"/>
      <c r="Q81" s="4"/>
      <c r="R81" s="4"/>
      <c r="S81" s="4"/>
      <c r="T81" s="4"/>
      <c r="U81" s="4"/>
      <c r="V81" s="4"/>
      <c r="W81" s="4"/>
      <c r="X81" s="4"/>
      <c r="Y81" s="4"/>
      <c r="Z81" s="4"/>
    </row>
    <row r="82">
      <c r="A82" s="167"/>
      <c r="B82" s="167"/>
      <c r="C82" s="13" t="s">
        <v>2936</v>
      </c>
      <c r="D82" s="4"/>
      <c r="E82" s="4"/>
      <c r="F82" s="4" t="str">
        <f>IFERROR(__xludf.DUMMYFUNCTION("""COMPUTED_VALUE"""),"Нижегородская область")</f>
        <v>Нижегородская область</v>
      </c>
      <c r="G82" s="4" t="str">
        <f>IFERROR(__xludf.DUMMYFUNCTION("""COMPUTED_VALUE"""),"Нижний Новгород")</f>
        <v>Нижний Новгород</v>
      </c>
      <c r="H82" s="4" t="str">
        <f>IFERROR(__xludf.DUMMYFUNCTION("""COMPUTED_VALUE"""),"ЖК Новая Кузнечиха 4")</f>
        <v>ЖК Новая Кузнечиха 4</v>
      </c>
      <c r="I82" s="4"/>
      <c r="J82" s="4"/>
      <c r="K82" s="4"/>
      <c r="L82" s="4"/>
      <c r="M82" s="4"/>
      <c r="N82" s="4"/>
      <c r="O82" s="4"/>
      <c r="P82" s="4"/>
      <c r="Q82" s="4"/>
      <c r="R82" s="4"/>
      <c r="S82" s="4"/>
      <c r="T82" s="4"/>
      <c r="U82" s="4"/>
      <c r="V82" s="4"/>
      <c r="W82" s="4"/>
      <c r="X82" s="4"/>
      <c r="Y82" s="4"/>
      <c r="Z82" s="4"/>
    </row>
    <row r="83">
      <c r="A83" s="167"/>
      <c r="B83" s="167"/>
      <c r="C83" s="13" t="s">
        <v>709</v>
      </c>
      <c r="D83" s="4"/>
      <c r="E83" s="4"/>
      <c r="F83" s="4" t="str">
        <f>IFERROR(__xludf.DUMMYFUNCTION("""COMPUTED_VALUE"""),"Нижегородская область")</f>
        <v>Нижегородская область</v>
      </c>
      <c r="G83" s="4" t="str">
        <f>IFERROR(__xludf.DUMMYFUNCTION("""COMPUTED_VALUE"""),"Нижний Новгород")</f>
        <v>Нижний Новгород</v>
      </c>
      <c r="H83" s="4" t="str">
        <f>IFERROR(__xludf.DUMMYFUNCTION("""COMPUTED_VALUE"""),"ЖК Новая Кузнечиха 5")</f>
        <v>ЖК Новая Кузнечиха 5</v>
      </c>
      <c r="I83" s="4"/>
      <c r="J83" s="4"/>
      <c r="K83" s="4"/>
      <c r="L83" s="4"/>
      <c r="M83" s="4"/>
      <c r="N83" s="4"/>
      <c r="O83" s="4"/>
      <c r="P83" s="4"/>
      <c r="Q83" s="4"/>
      <c r="R83" s="4"/>
      <c r="S83" s="4"/>
      <c r="T83" s="4"/>
      <c r="U83" s="4"/>
      <c r="V83" s="4"/>
      <c r="W83" s="4"/>
      <c r="X83" s="4"/>
      <c r="Y83" s="4"/>
      <c r="Z83" s="4"/>
    </row>
    <row r="84">
      <c r="A84" s="167"/>
      <c r="B84" s="167"/>
      <c r="C84" s="13" t="s">
        <v>714</v>
      </c>
      <c r="D84" s="4"/>
      <c r="E84" s="4"/>
      <c r="F84" s="4" t="str">
        <f>IFERROR(__xludf.DUMMYFUNCTION("""COMPUTED_VALUE"""),"Нижегородская область")</f>
        <v>Нижегородская область</v>
      </c>
      <c r="G84" s="4" t="str">
        <f>IFERROR(__xludf.DUMMYFUNCTION("""COMPUTED_VALUE"""),"Нижний Новгород")</f>
        <v>Нижний Новгород</v>
      </c>
      <c r="H84" s="4" t="str">
        <f>IFERROR(__xludf.DUMMYFUNCTION("""COMPUTED_VALUE"""),"ЖК Новая Кузнечиха 6")</f>
        <v>ЖК Новая Кузнечиха 6</v>
      </c>
      <c r="I84" s="4"/>
      <c r="J84" s="4"/>
      <c r="K84" s="4"/>
      <c r="L84" s="4"/>
      <c r="M84" s="4"/>
      <c r="N84" s="4"/>
      <c r="O84" s="4"/>
      <c r="P84" s="4"/>
      <c r="Q84" s="4"/>
      <c r="R84" s="4"/>
      <c r="S84" s="4"/>
      <c r="T84" s="4"/>
      <c r="U84" s="4"/>
      <c r="V84" s="4"/>
      <c r="W84" s="4"/>
      <c r="X84" s="4"/>
      <c r="Y84" s="4"/>
      <c r="Z84" s="4"/>
    </row>
    <row r="85">
      <c r="A85" s="167"/>
      <c r="B85" s="167"/>
      <c r="C85" s="13" t="s">
        <v>725</v>
      </c>
      <c r="D85" s="4"/>
      <c r="E85" s="4"/>
      <c r="F85" s="4" t="str">
        <f>IFERROR(__xludf.DUMMYFUNCTION("""COMPUTED_VALUE"""),"Нижегородская область")</f>
        <v>Нижегородская область</v>
      </c>
      <c r="G85" s="4" t="str">
        <f>IFERROR(__xludf.DUMMYFUNCTION("""COMPUTED_VALUE"""),"Нижний Новгород")</f>
        <v>Нижний Новгород</v>
      </c>
      <c r="H85" s="4" t="str">
        <f>IFERROR(__xludf.DUMMYFUNCTION("""COMPUTED_VALUE"""),"ЖК Новая Кузнечиха 7")</f>
        <v>ЖК Новая Кузнечиха 7</v>
      </c>
      <c r="I85" s="4"/>
      <c r="J85" s="4"/>
      <c r="K85" s="4"/>
      <c r="L85" s="4"/>
      <c r="M85" s="4"/>
      <c r="N85" s="4"/>
      <c r="O85" s="4"/>
      <c r="P85" s="4"/>
      <c r="Q85" s="4"/>
      <c r="R85" s="4"/>
      <c r="S85" s="4"/>
      <c r="T85" s="4"/>
      <c r="U85" s="4"/>
      <c r="V85" s="4"/>
      <c r="W85" s="4"/>
      <c r="X85" s="4"/>
      <c r="Y85" s="4"/>
      <c r="Z85" s="4"/>
    </row>
    <row r="86">
      <c r="A86" s="167"/>
      <c r="B86" s="167"/>
      <c r="C86" s="13" t="s">
        <v>733</v>
      </c>
      <c r="D86" s="4"/>
      <c r="E86" s="4"/>
      <c r="F86" s="4" t="str">
        <f>IFERROR(__xludf.DUMMYFUNCTION("""COMPUTED_VALUE"""),"Нижегородская область")</f>
        <v>Нижегородская область</v>
      </c>
      <c r="G86" s="4" t="str">
        <f>IFERROR(__xludf.DUMMYFUNCTION("""COMPUTED_VALUE"""),"Нижний Новгород")</f>
        <v>Нижний Новгород</v>
      </c>
      <c r="H86" s="4" t="str">
        <f>IFERROR(__xludf.DUMMYFUNCTION("""COMPUTED_VALUE"""),"ЖК Облака
")</f>
        <v>ЖК Облака
</v>
      </c>
      <c r="I86" s="4"/>
      <c r="J86" s="4"/>
      <c r="K86" s="4"/>
      <c r="L86" s="4"/>
      <c r="M86" s="4"/>
      <c r="N86" s="4"/>
      <c r="O86" s="4"/>
      <c r="P86" s="4"/>
      <c r="Q86" s="4"/>
      <c r="R86" s="4"/>
      <c r="S86" s="4"/>
      <c r="T86" s="4"/>
      <c r="U86" s="4"/>
      <c r="V86" s="4"/>
      <c r="W86" s="4"/>
      <c r="X86" s="4"/>
      <c r="Y86" s="4"/>
      <c r="Z86" s="4"/>
    </row>
    <row r="87">
      <c r="A87" s="167"/>
      <c r="B87" s="167"/>
      <c r="C87" s="13" t="s">
        <v>738</v>
      </c>
      <c r="D87" s="4"/>
      <c r="E87" s="4"/>
      <c r="F87" s="4" t="str">
        <f>IFERROR(__xludf.DUMMYFUNCTION("""COMPUTED_VALUE"""),"Нижегородская область")</f>
        <v>Нижегородская область</v>
      </c>
      <c r="G87" s="4" t="str">
        <f>IFERROR(__xludf.DUMMYFUNCTION("""COMPUTED_VALUE"""),"Нижний Новгород")</f>
        <v>Нижний Новгород</v>
      </c>
      <c r="H87" s="4" t="str">
        <f>IFERROR(__xludf.DUMMYFUNCTION("""COMPUTED_VALUE"""),"ЖК Облака 2")</f>
        <v>ЖК Облака 2</v>
      </c>
      <c r="I87" s="4"/>
      <c r="J87" s="4"/>
      <c r="K87" s="4"/>
      <c r="L87" s="4"/>
      <c r="M87" s="4"/>
      <c r="N87" s="4"/>
      <c r="O87" s="4"/>
      <c r="P87" s="4"/>
      <c r="Q87" s="4"/>
      <c r="R87" s="4"/>
      <c r="S87" s="4"/>
      <c r="T87" s="4"/>
      <c r="U87" s="4"/>
      <c r="V87" s="4"/>
      <c r="W87" s="4"/>
      <c r="X87" s="4"/>
      <c r="Y87" s="4"/>
      <c r="Z87" s="4"/>
    </row>
    <row r="88">
      <c r="A88" s="167"/>
      <c r="B88" s="167"/>
      <c r="C88" s="13" t="s">
        <v>743</v>
      </c>
      <c r="D88" s="4"/>
      <c r="E88" s="4"/>
      <c r="F88" s="4" t="str">
        <f>IFERROR(__xludf.DUMMYFUNCTION("""COMPUTED_VALUE"""),"Нижегородская область")</f>
        <v>Нижегородская область</v>
      </c>
      <c r="G88" s="4" t="str">
        <f>IFERROR(__xludf.DUMMYFUNCTION("""COMPUTED_VALUE"""),"Нижний Новгород")</f>
        <v>Нижний Новгород</v>
      </c>
      <c r="H88" s="4" t="str">
        <f>IFERROR(__xludf.DUMMYFUNCTION("""COMPUTED_VALUE"""),"ЖК Оранжерейная")</f>
        <v>ЖК Оранжерейная</v>
      </c>
      <c r="I88" s="4"/>
      <c r="J88" s="4"/>
      <c r="K88" s="4"/>
      <c r="L88" s="4"/>
      <c r="M88" s="4"/>
      <c r="N88" s="4"/>
      <c r="O88" s="4"/>
      <c r="P88" s="4"/>
      <c r="Q88" s="4"/>
      <c r="R88" s="4"/>
      <c r="S88" s="4"/>
      <c r="T88" s="4"/>
      <c r="U88" s="4"/>
      <c r="V88" s="4"/>
      <c r="W88" s="4"/>
      <c r="X88" s="4"/>
      <c r="Y88" s="4"/>
      <c r="Z88" s="4"/>
    </row>
    <row r="89">
      <c r="A89" s="167"/>
      <c r="B89" s="167"/>
      <c r="C89" s="13" t="s">
        <v>748</v>
      </c>
      <c r="D89" s="4"/>
      <c r="E89" s="4"/>
      <c r="F89" s="4" t="str">
        <f>IFERROR(__xludf.DUMMYFUNCTION("""COMPUTED_VALUE"""),"Нижегородская область")</f>
        <v>Нижегородская область</v>
      </c>
      <c r="G89" s="4" t="str">
        <f>IFERROR(__xludf.DUMMYFUNCTION("""COMPUTED_VALUE"""),"Нижний Новгород")</f>
        <v>Нижний Новгород</v>
      </c>
      <c r="H89" s="4" t="str">
        <f>IFERROR(__xludf.DUMMYFUNCTION("""COMPUTED_VALUE"""),"ЖК Печерская гряда 1")</f>
        <v>ЖК Печерская гряда 1</v>
      </c>
      <c r="I89" s="4"/>
      <c r="J89" s="4"/>
      <c r="K89" s="4"/>
      <c r="L89" s="4"/>
      <c r="M89" s="4"/>
      <c r="N89" s="4"/>
      <c r="O89" s="4"/>
      <c r="P89" s="4"/>
      <c r="Q89" s="4"/>
      <c r="R89" s="4"/>
      <c r="S89" s="4"/>
      <c r="T89" s="4"/>
      <c r="U89" s="4"/>
      <c r="V89" s="4"/>
      <c r="W89" s="4"/>
      <c r="X89" s="4"/>
      <c r="Y89" s="4"/>
      <c r="Z89" s="4"/>
    </row>
    <row r="90">
      <c r="A90" s="167"/>
      <c r="B90" s="106"/>
      <c r="C90" s="13" t="s">
        <v>753</v>
      </c>
      <c r="D90" s="4"/>
      <c r="E90" s="4"/>
      <c r="F90" s="4" t="str">
        <f>IFERROR(__xludf.DUMMYFUNCTION("""COMPUTED_VALUE"""),"Нижегородская область")</f>
        <v>Нижегородская область</v>
      </c>
      <c r="G90" s="4" t="str">
        <f>IFERROR(__xludf.DUMMYFUNCTION("""COMPUTED_VALUE"""),"Нижний Новгород")</f>
        <v>Нижний Новгород</v>
      </c>
      <c r="H90" s="4" t="str">
        <f>IFERROR(__xludf.DUMMYFUNCTION("""COMPUTED_VALUE"""),"ЖК Печерская гряда 2")</f>
        <v>ЖК Печерская гряда 2</v>
      </c>
      <c r="I90" s="4"/>
      <c r="J90" s="4"/>
      <c r="K90" s="4"/>
      <c r="L90" s="4"/>
      <c r="M90" s="4"/>
      <c r="N90" s="4"/>
      <c r="O90" s="4"/>
      <c r="P90" s="4"/>
      <c r="Q90" s="4"/>
      <c r="R90" s="4"/>
      <c r="S90" s="4"/>
      <c r="T90" s="4"/>
      <c r="U90" s="4"/>
      <c r="V90" s="4"/>
      <c r="W90" s="4"/>
      <c r="X90" s="4"/>
      <c r="Y90" s="4"/>
      <c r="Z90" s="4"/>
    </row>
    <row r="91">
      <c r="A91" s="167"/>
      <c r="B91" s="165" t="s">
        <v>82</v>
      </c>
      <c r="C91" s="13" t="s">
        <v>898</v>
      </c>
      <c r="D91" s="4"/>
      <c r="E91" s="4"/>
      <c r="F91" s="4" t="str">
        <f>IFERROR(__xludf.DUMMYFUNCTION("""COMPUTED_VALUE"""),"Нижегородская область")</f>
        <v>Нижегородская область</v>
      </c>
      <c r="G91" s="4" t="str">
        <f>IFERROR(__xludf.DUMMYFUNCTION("""COMPUTED_VALUE"""),"Нижний Новгород")</f>
        <v>Нижний Новгород</v>
      </c>
      <c r="H91" s="4" t="str">
        <f>IFERROR(__xludf.DUMMYFUNCTION("""COMPUTED_VALUE"""),"ЖК Печерская гряда 3")</f>
        <v>ЖК Печерская гряда 3</v>
      </c>
      <c r="I91" s="4"/>
      <c r="J91" s="4"/>
      <c r="K91" s="4"/>
      <c r="L91" s="4"/>
      <c r="M91" s="4"/>
      <c r="N91" s="4"/>
      <c r="O91" s="4"/>
      <c r="P91" s="4"/>
      <c r="Q91" s="4"/>
      <c r="R91" s="4"/>
      <c r="S91" s="4"/>
      <c r="T91" s="4"/>
      <c r="U91" s="4"/>
      <c r="V91" s="4"/>
      <c r="W91" s="4"/>
      <c r="X91" s="4"/>
      <c r="Y91" s="4"/>
      <c r="Z91" s="4"/>
    </row>
    <row r="92">
      <c r="A92" s="167"/>
      <c r="B92" s="167"/>
      <c r="C92" s="13" t="s">
        <v>909</v>
      </c>
      <c r="D92" s="4"/>
      <c r="E92" s="4"/>
      <c r="F92" s="4" t="str">
        <f>IFERROR(__xludf.DUMMYFUNCTION("""COMPUTED_VALUE"""),"Нижегородская область")</f>
        <v>Нижегородская область</v>
      </c>
      <c r="G92" s="4" t="str">
        <f>IFERROR(__xludf.DUMMYFUNCTION("""COMPUTED_VALUE"""),"Нижний Новгород")</f>
        <v>Нижний Новгород</v>
      </c>
      <c r="H92" s="4" t="str">
        <f>IFERROR(__xludf.DUMMYFUNCTION("""COMPUTED_VALUE"""),"ЖК Победа 1")</f>
        <v>ЖК Победа 1</v>
      </c>
      <c r="I92" s="4"/>
      <c r="J92" s="4"/>
      <c r="K92" s="4"/>
      <c r="L92" s="4"/>
      <c r="M92" s="4"/>
      <c r="N92" s="4"/>
      <c r="O92" s="4"/>
      <c r="P92" s="4"/>
      <c r="Q92" s="4"/>
      <c r="R92" s="4"/>
      <c r="S92" s="4"/>
      <c r="T92" s="4"/>
      <c r="U92" s="4"/>
      <c r="V92" s="4"/>
      <c r="W92" s="4"/>
      <c r="X92" s="4"/>
      <c r="Y92" s="4"/>
      <c r="Z92" s="4"/>
    </row>
    <row r="93">
      <c r="A93" s="167"/>
      <c r="B93" s="167"/>
      <c r="C93" s="13" t="s">
        <v>915</v>
      </c>
      <c r="D93" s="4"/>
      <c r="E93" s="4"/>
      <c r="F93" s="4" t="str">
        <f>IFERROR(__xludf.DUMMYFUNCTION("""COMPUTED_VALUE"""),"Нижегородская область")</f>
        <v>Нижегородская область</v>
      </c>
      <c r="G93" s="4" t="str">
        <f>IFERROR(__xludf.DUMMYFUNCTION("""COMPUTED_VALUE"""),"Нижний Новгород")</f>
        <v>Нижний Новгород</v>
      </c>
      <c r="H93" s="4" t="str">
        <f>IFERROR(__xludf.DUMMYFUNCTION("""COMPUTED_VALUE"""),"ЖК Победа 2")</f>
        <v>ЖК Победа 2</v>
      </c>
      <c r="I93" s="4"/>
      <c r="J93" s="4"/>
      <c r="K93" s="4"/>
      <c r="L93" s="4"/>
      <c r="M93" s="4"/>
      <c r="N93" s="4"/>
      <c r="O93" s="4"/>
      <c r="P93" s="4"/>
      <c r="Q93" s="4"/>
      <c r="R93" s="4"/>
      <c r="S93" s="4"/>
      <c r="T93" s="4"/>
      <c r="U93" s="4"/>
      <c r="V93" s="4"/>
      <c r="W93" s="4"/>
      <c r="X93" s="4"/>
      <c r="Y93" s="4"/>
      <c r="Z93" s="4"/>
    </row>
    <row r="94">
      <c r="A94" s="106"/>
      <c r="B94" s="106"/>
      <c r="C94" s="13" t="s">
        <v>920</v>
      </c>
      <c r="D94" s="4"/>
      <c r="E94" s="4"/>
      <c r="F94" s="4" t="str">
        <f>IFERROR(__xludf.DUMMYFUNCTION("""COMPUTED_VALUE"""),"Нижегородская область")</f>
        <v>Нижегородская область</v>
      </c>
      <c r="G94" s="4" t="str">
        <f>IFERROR(__xludf.DUMMYFUNCTION("""COMPUTED_VALUE"""),"Нижний Новгород")</f>
        <v>Нижний Новгород</v>
      </c>
      <c r="H94" s="4" t="str">
        <f>IFERROR(__xludf.DUMMYFUNCTION("""COMPUTED_VALUE"""),"ЖК Победная 1")</f>
        <v>ЖК Победная 1</v>
      </c>
      <c r="I94" s="4"/>
      <c r="J94" s="4"/>
      <c r="K94" s="4"/>
      <c r="L94" s="4"/>
      <c r="M94" s="4"/>
      <c r="N94" s="4"/>
      <c r="O94" s="4"/>
      <c r="P94" s="4"/>
      <c r="Q94" s="4"/>
      <c r="R94" s="4"/>
      <c r="S94" s="4"/>
      <c r="T94" s="4"/>
      <c r="U94" s="4"/>
      <c r="V94" s="4"/>
      <c r="W94" s="4"/>
      <c r="X94" s="4"/>
      <c r="Y94" s="4"/>
      <c r="Z94" s="4"/>
    </row>
    <row r="95">
      <c r="A95" s="165" t="s">
        <v>142</v>
      </c>
      <c r="B95" s="165" t="s">
        <v>143</v>
      </c>
      <c r="C95" s="60" t="s">
        <v>948</v>
      </c>
      <c r="D95" s="4"/>
      <c r="E95" s="4"/>
      <c r="F95" s="4" t="str">
        <f>IFERROR(__xludf.DUMMYFUNCTION("""COMPUTED_VALUE"""),"Нижегородская область")</f>
        <v>Нижегородская область</v>
      </c>
      <c r="G95" s="4" t="str">
        <f>IFERROR(__xludf.DUMMYFUNCTION("""COMPUTED_VALUE"""),"Нижний Новгород")</f>
        <v>Нижний Новгород</v>
      </c>
      <c r="H95" s="4" t="str">
        <f>IFERROR(__xludf.DUMMYFUNCTION("""COMPUTED_VALUE"""),"ЖК Победная 2")</f>
        <v>ЖК Победная 2</v>
      </c>
      <c r="I95" s="4"/>
      <c r="J95" s="4"/>
      <c r="K95" s="4"/>
      <c r="L95" s="4"/>
      <c r="M95" s="4"/>
      <c r="N95" s="4"/>
      <c r="O95" s="4"/>
      <c r="P95" s="4"/>
      <c r="Q95" s="4"/>
      <c r="R95" s="4"/>
      <c r="S95" s="4"/>
      <c r="T95" s="4"/>
      <c r="U95" s="4"/>
      <c r="V95" s="4"/>
      <c r="W95" s="4"/>
      <c r="X95" s="4"/>
      <c r="Y95" s="4"/>
      <c r="Z95" s="4"/>
    </row>
    <row r="96">
      <c r="A96" s="167"/>
      <c r="B96" s="167"/>
      <c r="C96" s="60" t="s">
        <v>958</v>
      </c>
      <c r="D96" s="4"/>
      <c r="E96" s="4"/>
      <c r="F96" s="4" t="str">
        <f>IFERROR(__xludf.DUMMYFUNCTION("""COMPUTED_VALUE"""),"Нижегородская область")</f>
        <v>Нижегородская область</v>
      </c>
      <c r="G96" s="4" t="str">
        <f>IFERROR(__xludf.DUMMYFUNCTION("""COMPUTED_VALUE"""),"Нижний Новгород")</f>
        <v>Нижний Новгород</v>
      </c>
      <c r="H96" s="4" t="str">
        <f>IFERROR(__xludf.DUMMYFUNCTION("""COMPUTED_VALUE"""),"ЖК Победная 3")</f>
        <v>ЖК Победная 3</v>
      </c>
      <c r="I96" s="4"/>
      <c r="J96" s="4"/>
      <c r="K96" s="4"/>
      <c r="L96" s="4"/>
      <c r="M96" s="4"/>
      <c r="N96" s="4"/>
      <c r="O96" s="4"/>
      <c r="P96" s="4"/>
      <c r="Q96" s="4"/>
      <c r="R96" s="4"/>
      <c r="S96" s="4"/>
      <c r="T96" s="4"/>
      <c r="U96" s="4"/>
      <c r="V96" s="4"/>
      <c r="W96" s="4"/>
      <c r="X96" s="4"/>
      <c r="Y96" s="4"/>
      <c r="Z96" s="4"/>
    </row>
    <row r="97">
      <c r="A97" s="167"/>
      <c r="B97" s="167"/>
      <c r="C97" s="60" t="s">
        <v>972</v>
      </c>
      <c r="D97" s="4"/>
      <c r="E97" s="4"/>
      <c r="F97" s="4" t="str">
        <f>IFERROR(__xludf.DUMMYFUNCTION("""COMPUTED_VALUE"""),"Нижегородская область")</f>
        <v>Нижегородская область</v>
      </c>
      <c r="G97" s="4" t="str">
        <f>IFERROR(__xludf.DUMMYFUNCTION("""COMPUTED_VALUE"""),"Нижний Новгород")</f>
        <v>Нижний Новгород</v>
      </c>
      <c r="H97" s="4" t="str">
        <f>IFERROR(__xludf.DUMMYFUNCTION("""COMPUTED_VALUE"""),"ЖК Победная 4")</f>
        <v>ЖК Победная 4</v>
      </c>
      <c r="I97" s="4"/>
      <c r="J97" s="4"/>
      <c r="K97" s="4"/>
      <c r="L97" s="4"/>
      <c r="M97" s="4"/>
      <c r="N97" s="4"/>
      <c r="O97" s="4"/>
      <c r="P97" s="4"/>
      <c r="Q97" s="4"/>
      <c r="R97" s="4"/>
      <c r="S97" s="4"/>
      <c r="T97" s="4"/>
      <c r="U97" s="4"/>
      <c r="V97" s="4"/>
      <c r="W97" s="4"/>
      <c r="X97" s="4"/>
      <c r="Y97" s="4"/>
      <c r="Z97" s="4"/>
    </row>
    <row r="98">
      <c r="A98" s="167"/>
      <c r="B98" s="167"/>
      <c r="C98" s="60" t="s">
        <v>119</v>
      </c>
      <c r="D98" s="4"/>
      <c r="E98" s="4"/>
      <c r="F98" s="4" t="str">
        <f>IFERROR(__xludf.DUMMYFUNCTION("""COMPUTED_VALUE"""),"Нижегородская область")</f>
        <v>Нижегородская область</v>
      </c>
      <c r="G98" s="4" t="str">
        <f>IFERROR(__xludf.DUMMYFUNCTION("""COMPUTED_VALUE"""),"Нижний Новгород")</f>
        <v>Нижний Новгород</v>
      </c>
      <c r="H98" s="4" t="str">
        <f>IFERROR(__xludf.DUMMYFUNCTION("""COMPUTED_VALUE"""),"ЖК Победная 5")</f>
        <v>ЖК Победная 5</v>
      </c>
      <c r="I98" s="4"/>
      <c r="J98" s="4"/>
      <c r="K98" s="4"/>
      <c r="L98" s="4"/>
      <c r="M98" s="4"/>
      <c r="N98" s="4"/>
      <c r="O98" s="4"/>
      <c r="P98" s="4"/>
      <c r="Q98" s="4"/>
      <c r="R98" s="4"/>
      <c r="S98" s="4"/>
      <c r="T98" s="4"/>
      <c r="U98" s="4"/>
      <c r="V98" s="4"/>
      <c r="W98" s="4"/>
      <c r="X98" s="4"/>
      <c r="Y98" s="4"/>
      <c r="Z98" s="4"/>
    </row>
    <row r="99">
      <c r="A99" s="167"/>
      <c r="B99" s="167"/>
      <c r="C99" s="60" t="s">
        <v>990</v>
      </c>
      <c r="D99" s="4"/>
      <c r="E99" s="4"/>
      <c r="F99" s="4" t="str">
        <f>IFERROR(__xludf.DUMMYFUNCTION("""COMPUTED_VALUE"""),"Нижегородская область")</f>
        <v>Нижегородская область</v>
      </c>
      <c r="G99" s="4" t="str">
        <f>IFERROR(__xludf.DUMMYFUNCTION("""COMPUTED_VALUE"""),"Нижний Новгород")</f>
        <v>Нижний Новгород</v>
      </c>
      <c r="H99" s="4" t="str">
        <f>IFERROR(__xludf.DUMMYFUNCTION("""COMPUTED_VALUE"""),"ЖК Приокский")</f>
        <v>ЖК Приокский</v>
      </c>
      <c r="I99" s="4"/>
      <c r="J99" s="4"/>
      <c r="K99" s="4"/>
      <c r="L99" s="4"/>
      <c r="M99" s="4"/>
      <c r="N99" s="4"/>
      <c r="O99" s="4"/>
      <c r="P99" s="4"/>
      <c r="Q99" s="4"/>
      <c r="R99" s="4"/>
      <c r="S99" s="4"/>
      <c r="T99" s="4"/>
      <c r="U99" s="4"/>
      <c r="V99" s="4"/>
      <c r="W99" s="4"/>
      <c r="X99" s="4"/>
      <c r="Y99" s="4"/>
      <c r="Z99" s="4"/>
    </row>
    <row r="100">
      <c r="A100" s="167"/>
      <c r="B100" s="167"/>
      <c r="C100" s="60" t="s">
        <v>1005</v>
      </c>
      <c r="D100" s="4"/>
      <c r="E100" s="4"/>
      <c r="F100" s="4" t="str">
        <f>IFERROR(__xludf.DUMMYFUNCTION("""COMPUTED_VALUE"""),"Нижегородская область")</f>
        <v>Нижегородская область</v>
      </c>
      <c r="G100" s="4" t="str">
        <f>IFERROR(__xludf.DUMMYFUNCTION("""COMPUTED_VALUE"""),"Нижний Новгород")</f>
        <v>Нижний Новгород</v>
      </c>
      <c r="H100" s="4" t="str">
        <f>IFERROR(__xludf.DUMMYFUNCTION("""COMPUTED_VALUE"""),"ЖК Рубин")</f>
        <v>ЖК Рубин</v>
      </c>
      <c r="I100" s="4"/>
      <c r="J100" s="4"/>
      <c r="K100" s="4"/>
      <c r="L100" s="4"/>
      <c r="M100" s="4"/>
      <c r="N100" s="4"/>
      <c r="O100" s="4"/>
      <c r="P100" s="4"/>
      <c r="Q100" s="4"/>
      <c r="R100" s="4"/>
      <c r="S100" s="4"/>
      <c r="T100" s="4"/>
      <c r="U100" s="4"/>
      <c r="V100" s="4"/>
      <c r="W100" s="4"/>
      <c r="X100" s="4"/>
      <c r="Y100" s="4"/>
      <c r="Z100" s="4"/>
    </row>
    <row r="101">
      <c r="A101" s="167"/>
      <c r="B101" s="167"/>
      <c r="C101" s="60" t="s">
        <v>1017</v>
      </c>
      <c r="D101" s="4"/>
      <c r="E101" s="4"/>
      <c r="F101" s="4" t="str">
        <f>IFERROR(__xludf.DUMMYFUNCTION("""COMPUTED_VALUE"""),"Нижегородская область")</f>
        <v>Нижегородская область</v>
      </c>
      <c r="G101" s="4" t="str">
        <f>IFERROR(__xludf.DUMMYFUNCTION("""COMPUTED_VALUE"""),"Нижний Новгород")</f>
        <v>Нижний Новгород</v>
      </c>
      <c r="H101" s="4" t="str">
        <f>IFERROR(__xludf.DUMMYFUNCTION("""COMPUTED_VALUE"""),"ЖК Тонкинская")</f>
        <v>ЖК Тонкинская</v>
      </c>
      <c r="I101" s="4"/>
      <c r="J101" s="4"/>
      <c r="K101" s="4"/>
      <c r="L101" s="4"/>
      <c r="M101" s="4"/>
      <c r="N101" s="4"/>
      <c r="O101" s="4"/>
      <c r="P101" s="4"/>
      <c r="Q101" s="4"/>
      <c r="R101" s="4"/>
      <c r="S101" s="4"/>
      <c r="T101" s="4"/>
      <c r="U101" s="4"/>
      <c r="V101" s="4"/>
      <c r="W101" s="4"/>
      <c r="X101" s="4"/>
      <c r="Y101" s="4"/>
      <c r="Z101" s="4"/>
    </row>
    <row r="102">
      <c r="A102" s="167"/>
      <c r="B102" s="167"/>
      <c r="C102" s="60" t="s">
        <v>1026</v>
      </c>
      <c r="D102" s="4"/>
      <c r="E102" s="4"/>
      <c r="F102" s="4" t="str">
        <f>IFERROR(__xludf.DUMMYFUNCTION("""COMPUTED_VALUE"""),"Нижегородская область")</f>
        <v>Нижегородская область</v>
      </c>
      <c r="G102" s="4" t="str">
        <f>IFERROR(__xludf.DUMMYFUNCTION("""COMPUTED_VALUE"""),"Нижний Новгород")</f>
        <v>Нижний Новгород</v>
      </c>
      <c r="H102" s="4" t="str">
        <f>IFERROR(__xludf.DUMMYFUNCTION("""COMPUTED_VALUE"""),"ЖК Тропинина")</f>
        <v>ЖК Тропинина</v>
      </c>
      <c r="I102" s="4"/>
      <c r="J102" s="4"/>
      <c r="K102" s="4"/>
      <c r="L102" s="4"/>
      <c r="M102" s="4"/>
      <c r="N102" s="4"/>
      <c r="O102" s="4"/>
      <c r="P102" s="4"/>
      <c r="Q102" s="4"/>
      <c r="R102" s="4"/>
      <c r="S102" s="4"/>
      <c r="T102" s="4"/>
      <c r="U102" s="4"/>
      <c r="V102" s="4"/>
      <c r="W102" s="4"/>
      <c r="X102" s="4"/>
      <c r="Y102" s="4"/>
      <c r="Z102" s="4"/>
    </row>
    <row r="103">
      <c r="A103" s="167"/>
      <c r="B103" s="167"/>
      <c r="C103" s="60" t="s">
        <v>1038</v>
      </c>
      <c r="D103" s="4"/>
      <c r="E103" s="4"/>
      <c r="F103" s="4" t="str">
        <f>IFERROR(__xludf.DUMMYFUNCTION("""COMPUTED_VALUE"""),"Нижегородская область")</f>
        <v>Нижегородская область</v>
      </c>
      <c r="G103" s="4" t="str">
        <f>IFERROR(__xludf.DUMMYFUNCTION("""COMPUTED_VALUE"""),"Нижний Новгород")</f>
        <v>Нижний Новгород</v>
      </c>
      <c r="H103" s="4" t="str">
        <f>IFERROR(__xludf.DUMMYFUNCTION("""COMPUTED_VALUE"""),"ЖК Удачный 2")</f>
        <v>ЖК Удачный 2</v>
      </c>
      <c r="I103" s="4"/>
      <c r="J103" s="4"/>
      <c r="K103" s="4"/>
      <c r="L103" s="4"/>
      <c r="M103" s="4"/>
      <c r="N103" s="4"/>
      <c r="O103" s="4"/>
      <c r="P103" s="4"/>
      <c r="Q103" s="4"/>
      <c r="R103" s="4"/>
      <c r="S103" s="4"/>
      <c r="T103" s="4"/>
      <c r="U103" s="4"/>
      <c r="V103" s="4"/>
      <c r="W103" s="4"/>
      <c r="X103" s="4"/>
      <c r="Y103" s="4"/>
      <c r="Z103" s="4"/>
    </row>
    <row r="104">
      <c r="A104" s="167"/>
      <c r="B104" s="167"/>
      <c r="C104" s="60" t="s">
        <v>1047</v>
      </c>
      <c r="D104" s="4"/>
      <c r="E104" s="4"/>
      <c r="F104" s="4" t="str">
        <f>IFERROR(__xludf.DUMMYFUNCTION("""COMPUTED_VALUE"""),"Нижегородская область")</f>
        <v>Нижегородская область</v>
      </c>
      <c r="G104" s="4" t="str">
        <f>IFERROR(__xludf.DUMMYFUNCTION("""COMPUTED_VALUE"""),"Нижний Новгород")</f>
        <v>Нижний Новгород</v>
      </c>
      <c r="H104" s="4" t="str">
        <f>IFERROR(__xludf.DUMMYFUNCTION("""COMPUTED_VALUE"""),"ЖК Удачный 3")</f>
        <v>ЖК Удачный 3</v>
      </c>
      <c r="I104" s="4"/>
      <c r="J104" s="4"/>
      <c r="K104" s="4"/>
      <c r="L104" s="4"/>
      <c r="M104" s="4"/>
      <c r="N104" s="4"/>
      <c r="O104" s="4"/>
      <c r="P104" s="4"/>
      <c r="Q104" s="4"/>
      <c r="R104" s="4"/>
      <c r="S104" s="4"/>
      <c r="T104" s="4"/>
      <c r="U104" s="4"/>
      <c r="V104" s="4"/>
      <c r="W104" s="4"/>
      <c r="X104" s="4"/>
      <c r="Y104" s="4"/>
      <c r="Z104" s="4"/>
    </row>
    <row r="105">
      <c r="A105" s="167"/>
      <c r="B105" s="167"/>
      <c r="C105" s="60" t="s">
        <v>1058</v>
      </c>
      <c r="D105" s="4"/>
      <c r="E105" s="4"/>
      <c r="F105" s="4" t="str">
        <f>IFERROR(__xludf.DUMMYFUNCTION("""COMPUTED_VALUE"""),"Нижегородская область")</f>
        <v>Нижегородская область</v>
      </c>
      <c r="G105" s="4" t="str">
        <f>IFERROR(__xludf.DUMMYFUNCTION("""COMPUTED_VALUE"""),"Нижний Новгород")</f>
        <v>Нижний Новгород</v>
      </c>
      <c r="H105" s="4" t="str">
        <f>IFERROR(__xludf.DUMMYFUNCTION("""COMPUTED_VALUE"""),"ЖК Цветы 1")</f>
        <v>ЖК Цветы 1</v>
      </c>
      <c r="I105" s="4"/>
      <c r="J105" s="4"/>
      <c r="K105" s="4"/>
      <c r="L105" s="4"/>
      <c r="M105" s="4"/>
      <c r="N105" s="4"/>
      <c r="O105" s="4"/>
      <c r="P105" s="4"/>
      <c r="Q105" s="4"/>
      <c r="R105" s="4"/>
      <c r="S105" s="4"/>
      <c r="T105" s="4"/>
      <c r="U105" s="4"/>
      <c r="V105" s="4"/>
      <c r="W105" s="4"/>
      <c r="X105" s="4"/>
      <c r="Y105" s="4"/>
      <c r="Z105" s="4"/>
    </row>
    <row r="106">
      <c r="A106" s="167"/>
      <c r="B106" s="167"/>
      <c r="C106" s="60" t="s">
        <v>1068</v>
      </c>
      <c r="D106" s="4"/>
      <c r="E106" s="4"/>
      <c r="F106" s="4" t="str">
        <f>IFERROR(__xludf.DUMMYFUNCTION("""COMPUTED_VALUE"""),"Нижегородская область")</f>
        <v>Нижегородская область</v>
      </c>
      <c r="G106" s="4" t="str">
        <f>IFERROR(__xludf.DUMMYFUNCTION("""COMPUTED_VALUE"""),"Нижний Новгород")</f>
        <v>Нижний Новгород</v>
      </c>
      <c r="H106" s="4" t="str">
        <f>IFERROR(__xludf.DUMMYFUNCTION("""COMPUTED_VALUE"""),"ЖК Цветы 2")</f>
        <v>ЖК Цветы 2</v>
      </c>
      <c r="I106" s="4"/>
      <c r="J106" s="4"/>
      <c r="K106" s="4"/>
      <c r="L106" s="4"/>
      <c r="M106" s="4"/>
      <c r="N106" s="4"/>
      <c r="O106" s="4"/>
      <c r="P106" s="4"/>
      <c r="Q106" s="4"/>
      <c r="R106" s="4"/>
      <c r="S106" s="4"/>
      <c r="T106" s="4"/>
      <c r="U106" s="4"/>
      <c r="V106" s="4"/>
      <c r="W106" s="4"/>
      <c r="X106" s="4"/>
      <c r="Y106" s="4"/>
      <c r="Z106" s="4"/>
    </row>
    <row r="107">
      <c r="A107" s="167"/>
      <c r="B107" s="167"/>
      <c r="C107" s="60" t="s">
        <v>1096</v>
      </c>
      <c r="D107" s="4"/>
      <c r="E107" s="4"/>
      <c r="F107" s="4" t="str">
        <f>IFERROR(__xludf.DUMMYFUNCTION("""COMPUTED_VALUE"""),"Нижегородская область")</f>
        <v>Нижегородская область</v>
      </c>
      <c r="G107" s="4" t="str">
        <f>IFERROR(__xludf.DUMMYFUNCTION("""COMPUTED_VALUE"""),"Нижний Новгород")</f>
        <v>Нижний Новгород</v>
      </c>
      <c r="H107" s="4" t="str">
        <f>IFERROR(__xludf.DUMMYFUNCTION("""COMPUTED_VALUE"""),"ЖК Цветы 3")</f>
        <v>ЖК Цветы 3</v>
      </c>
      <c r="I107" s="4"/>
      <c r="J107" s="4"/>
      <c r="K107" s="4"/>
      <c r="L107" s="4"/>
      <c r="M107" s="4"/>
      <c r="N107" s="4"/>
      <c r="O107" s="4"/>
      <c r="P107" s="4"/>
      <c r="Q107" s="4"/>
      <c r="R107" s="4"/>
      <c r="S107" s="4"/>
      <c r="T107" s="4"/>
      <c r="U107" s="4"/>
      <c r="V107" s="4"/>
      <c r="W107" s="4"/>
      <c r="X107" s="4"/>
      <c r="Y107" s="4"/>
      <c r="Z107" s="4"/>
    </row>
    <row r="108">
      <c r="A108" s="167"/>
      <c r="B108" s="167"/>
      <c r="C108" s="60" t="s">
        <v>1105</v>
      </c>
      <c r="D108" s="4"/>
      <c r="E108" s="4"/>
      <c r="F108" s="4" t="str">
        <f>IFERROR(__xludf.DUMMYFUNCTION("""COMPUTED_VALUE"""),"Нижегородская область")</f>
        <v>Нижегородская область</v>
      </c>
      <c r="G108" s="4" t="str">
        <f>IFERROR(__xludf.DUMMYFUNCTION("""COMPUTED_VALUE"""),"Нижний Новгород")</f>
        <v>Нижний Новгород</v>
      </c>
      <c r="H108" s="4" t="str">
        <f>IFERROR(__xludf.DUMMYFUNCTION("""COMPUTED_VALUE"""),"ЖК Цветы 4")</f>
        <v>ЖК Цветы 4</v>
      </c>
      <c r="I108" s="4"/>
      <c r="J108" s="4"/>
      <c r="K108" s="4"/>
      <c r="L108" s="4"/>
      <c r="M108" s="4"/>
      <c r="N108" s="4"/>
      <c r="O108" s="4"/>
      <c r="P108" s="4"/>
      <c r="Q108" s="4"/>
      <c r="R108" s="4"/>
      <c r="S108" s="4"/>
      <c r="T108" s="4"/>
      <c r="U108" s="4"/>
      <c r="V108" s="4"/>
      <c r="W108" s="4"/>
      <c r="X108" s="4"/>
      <c r="Y108" s="4"/>
      <c r="Z108" s="4"/>
    </row>
    <row r="109">
      <c r="A109" s="167"/>
      <c r="B109" s="167"/>
      <c r="C109" s="60" t="s">
        <v>1119</v>
      </c>
      <c r="D109" s="4"/>
      <c r="E109" s="4"/>
      <c r="F109" s="4" t="str">
        <f>IFERROR(__xludf.DUMMYFUNCTION("""COMPUTED_VALUE"""),"Нижегородская область")</f>
        <v>Нижегородская область</v>
      </c>
      <c r="G109" s="4" t="str">
        <f>IFERROR(__xludf.DUMMYFUNCTION("""COMPUTED_VALUE"""),"Нижний Новгород")</f>
        <v>Нижний Новгород</v>
      </c>
      <c r="H109" s="4" t="str">
        <f>IFERROR(__xludf.DUMMYFUNCTION("""COMPUTED_VALUE"""),"ЖК Цветы 5")</f>
        <v>ЖК Цветы 5</v>
      </c>
      <c r="I109" s="4"/>
      <c r="J109" s="4"/>
      <c r="K109" s="4"/>
      <c r="L109" s="4"/>
      <c r="M109" s="4"/>
      <c r="N109" s="4"/>
      <c r="O109" s="4"/>
      <c r="P109" s="4"/>
      <c r="Q109" s="4"/>
      <c r="R109" s="4"/>
      <c r="S109" s="4"/>
      <c r="T109" s="4"/>
      <c r="U109" s="4"/>
      <c r="V109" s="4"/>
      <c r="W109" s="4"/>
      <c r="X109" s="4"/>
      <c r="Y109" s="4"/>
      <c r="Z109" s="4"/>
    </row>
    <row r="110">
      <c r="A110" s="167"/>
      <c r="B110" s="167"/>
      <c r="C110" s="60" t="s">
        <v>1127</v>
      </c>
      <c r="D110" s="4"/>
      <c r="E110" s="4"/>
      <c r="F110" s="4" t="str">
        <f>IFERROR(__xludf.DUMMYFUNCTION("""COMPUTED_VALUE"""),"Нижегородская область")</f>
        <v>Нижегородская область</v>
      </c>
      <c r="G110" s="4" t="str">
        <f>IFERROR(__xludf.DUMMYFUNCTION("""COMPUTED_VALUE"""),"Нижний Новгород")</f>
        <v>Нижний Новгород</v>
      </c>
      <c r="H110" s="4" t="str">
        <f>IFERROR(__xludf.DUMMYFUNCTION("""COMPUTED_VALUE"""),"ЖК Центр 1")</f>
        <v>ЖК Центр 1</v>
      </c>
      <c r="I110" s="4"/>
      <c r="J110" s="4"/>
      <c r="K110" s="4"/>
      <c r="L110" s="4"/>
      <c r="M110" s="4"/>
      <c r="N110" s="4"/>
      <c r="O110" s="4"/>
      <c r="P110" s="4"/>
      <c r="Q110" s="4"/>
      <c r="R110" s="4"/>
      <c r="S110" s="4"/>
      <c r="T110" s="4"/>
      <c r="U110" s="4"/>
      <c r="V110" s="4"/>
      <c r="W110" s="4"/>
      <c r="X110" s="4"/>
      <c r="Y110" s="4"/>
      <c r="Z110" s="4"/>
    </row>
    <row r="111">
      <c r="A111" s="167"/>
      <c r="B111" s="167"/>
      <c r="C111" s="60" t="s">
        <v>1138</v>
      </c>
      <c r="D111" s="4"/>
      <c r="E111" s="4"/>
      <c r="F111" s="4" t="str">
        <f>IFERROR(__xludf.DUMMYFUNCTION("""COMPUTED_VALUE"""),"Нижегородская область")</f>
        <v>Нижегородская область</v>
      </c>
      <c r="G111" s="4" t="str">
        <f>IFERROR(__xludf.DUMMYFUNCTION("""COMPUTED_VALUE"""),"Нижний Новгород")</f>
        <v>Нижний Новгород</v>
      </c>
      <c r="H111" s="4" t="str">
        <f>IFERROR(__xludf.DUMMYFUNCTION("""COMPUTED_VALUE"""),"ЖК Центр 2")</f>
        <v>ЖК Центр 2</v>
      </c>
      <c r="I111" s="4"/>
      <c r="J111" s="4"/>
      <c r="K111" s="4"/>
      <c r="L111" s="4"/>
      <c r="M111" s="4"/>
      <c r="N111" s="4"/>
      <c r="O111" s="4"/>
      <c r="P111" s="4"/>
      <c r="Q111" s="4"/>
      <c r="R111" s="4"/>
      <c r="S111" s="4"/>
      <c r="T111" s="4"/>
      <c r="U111" s="4"/>
      <c r="V111" s="4"/>
      <c r="W111" s="4"/>
      <c r="X111" s="4"/>
      <c r="Y111" s="4"/>
      <c r="Z111" s="4"/>
    </row>
    <row r="112">
      <c r="A112" s="167"/>
      <c r="B112" s="167"/>
      <c r="C112" s="60" t="s">
        <v>1146</v>
      </c>
      <c r="D112" s="4"/>
      <c r="E112" s="4"/>
      <c r="F112" s="4" t="str">
        <f>IFERROR(__xludf.DUMMYFUNCTION("""COMPUTED_VALUE"""),"Нижегородская область")</f>
        <v>Нижегородская область</v>
      </c>
      <c r="G112" s="4" t="str">
        <f>IFERROR(__xludf.DUMMYFUNCTION("""COMPUTED_VALUE"""),"Нижний Новгород")</f>
        <v>Нижний Новгород</v>
      </c>
      <c r="H112" s="4" t="str">
        <f>IFERROR(__xludf.DUMMYFUNCTION("""COMPUTED_VALUE"""),"ЖК Центр 3")</f>
        <v>ЖК Центр 3</v>
      </c>
      <c r="I112" s="4"/>
      <c r="J112" s="4"/>
      <c r="K112" s="4"/>
      <c r="L112" s="4"/>
      <c r="M112" s="4"/>
      <c r="N112" s="4"/>
      <c r="O112" s="4"/>
      <c r="P112" s="4"/>
      <c r="Q112" s="4"/>
      <c r="R112" s="4"/>
      <c r="S112" s="4"/>
      <c r="T112" s="4"/>
      <c r="U112" s="4"/>
      <c r="V112" s="4"/>
      <c r="W112" s="4"/>
      <c r="X112" s="4"/>
      <c r="Y112" s="4"/>
      <c r="Z112" s="4"/>
    </row>
    <row r="113">
      <c r="A113" s="167"/>
      <c r="B113" s="167"/>
      <c r="C113" s="60" t="s">
        <v>1154</v>
      </c>
      <c r="D113" s="4"/>
      <c r="E113" s="4"/>
      <c r="F113" s="4" t="str">
        <f>IFERROR(__xludf.DUMMYFUNCTION("""COMPUTED_VALUE"""),"Нижегородская область")</f>
        <v>Нижегородская область</v>
      </c>
      <c r="G113" s="4" t="str">
        <f>IFERROR(__xludf.DUMMYFUNCTION("""COMPUTED_VALUE"""),"Нижний Новгород")</f>
        <v>Нижний Новгород</v>
      </c>
      <c r="H113" s="4" t="str">
        <f>IFERROR(__xludf.DUMMYFUNCTION("""COMPUTED_VALUE"""),"ЖК Центр 4")</f>
        <v>ЖК Центр 4</v>
      </c>
      <c r="I113" s="4"/>
      <c r="J113" s="4"/>
      <c r="K113" s="4"/>
      <c r="L113" s="4"/>
      <c r="M113" s="4"/>
      <c r="N113" s="4"/>
      <c r="O113" s="4"/>
      <c r="P113" s="4"/>
      <c r="Q113" s="4"/>
      <c r="R113" s="4"/>
      <c r="S113" s="4"/>
      <c r="T113" s="4"/>
      <c r="U113" s="4"/>
      <c r="V113" s="4"/>
      <c r="W113" s="4"/>
      <c r="X113" s="4"/>
      <c r="Y113" s="4"/>
      <c r="Z113" s="4"/>
    </row>
    <row r="114">
      <c r="A114" s="167"/>
      <c r="B114" s="167"/>
      <c r="C114" s="60" t="s">
        <v>1162</v>
      </c>
      <c r="D114" s="4"/>
      <c r="E114" s="4"/>
      <c r="F114" s="4" t="str">
        <f>IFERROR(__xludf.DUMMYFUNCTION("""COMPUTED_VALUE"""),"Нижегородская область")</f>
        <v>Нижегородская область</v>
      </c>
      <c r="G114" s="4" t="str">
        <f>IFERROR(__xludf.DUMMYFUNCTION("""COMPUTED_VALUE"""),"Нижний Новгород")</f>
        <v>Нижний Новгород</v>
      </c>
      <c r="H114" s="4" t="str">
        <f>IFERROR(__xludf.DUMMYFUNCTION("""COMPUTED_VALUE"""),"ЖК Центр 6")</f>
        <v>ЖК Центр 6</v>
      </c>
      <c r="I114" s="4"/>
      <c r="J114" s="4"/>
      <c r="K114" s="4"/>
      <c r="L114" s="4"/>
      <c r="M114" s="4"/>
      <c r="N114" s="4"/>
      <c r="O114" s="4"/>
      <c r="P114" s="4"/>
      <c r="Q114" s="4"/>
      <c r="R114" s="4"/>
      <c r="S114" s="4"/>
      <c r="T114" s="4"/>
      <c r="U114" s="4"/>
      <c r="V114" s="4"/>
      <c r="W114" s="4"/>
      <c r="X114" s="4"/>
      <c r="Y114" s="4"/>
      <c r="Z114" s="4"/>
    </row>
    <row r="115">
      <c r="A115" s="167"/>
      <c r="B115" s="167"/>
      <c r="C115" s="60" t="s">
        <v>1176</v>
      </c>
      <c r="D115" s="4"/>
      <c r="E115" s="4"/>
      <c r="F115" s="4" t="str">
        <f>IFERROR(__xludf.DUMMYFUNCTION("""COMPUTED_VALUE"""),"Оренбургская область")</f>
        <v>Оренбургская область</v>
      </c>
      <c r="G115" s="4" t="str">
        <f>IFERROR(__xludf.DUMMYFUNCTION("""COMPUTED_VALUE"""),"Оренбург")</f>
        <v>Оренбург</v>
      </c>
      <c r="H115" s="4" t="str">
        <f>IFERROR(__xludf.DUMMYFUNCTION("""COMPUTED_VALUE"""),"ЖК 15 Микрорайон")</f>
        <v>ЖК 15 Микрорайон</v>
      </c>
      <c r="I115" s="4"/>
      <c r="J115" s="4"/>
      <c r="K115" s="4"/>
      <c r="L115" s="4"/>
      <c r="M115" s="4"/>
      <c r="N115" s="4"/>
      <c r="O115" s="4"/>
      <c r="P115" s="4"/>
      <c r="Q115" s="4"/>
      <c r="R115" s="4"/>
      <c r="S115" s="4"/>
      <c r="T115" s="4"/>
      <c r="U115" s="4"/>
      <c r="V115" s="4"/>
      <c r="W115" s="4"/>
      <c r="X115" s="4"/>
      <c r="Y115" s="4"/>
      <c r="Z115" s="4"/>
    </row>
    <row r="116">
      <c r="A116" s="167"/>
      <c r="B116" s="167"/>
      <c r="C116" s="60" t="s">
        <v>1188</v>
      </c>
      <c r="D116" s="4"/>
      <c r="E116" s="4"/>
      <c r="F116" s="4" t="str">
        <f>IFERROR(__xludf.DUMMYFUNCTION("""COMPUTED_VALUE"""),"Оренбургская область")</f>
        <v>Оренбургская область</v>
      </c>
      <c r="G116" s="4" t="str">
        <f>IFERROR(__xludf.DUMMYFUNCTION("""COMPUTED_VALUE"""),"Оренбург")</f>
        <v>Оренбург</v>
      </c>
      <c r="H116" s="4" t="str">
        <f>IFERROR(__xludf.DUMMYFUNCTION("""COMPUTED_VALUE"""),"ЖК 15Б Микрорайон")</f>
        <v>ЖК 15Б Микрорайон</v>
      </c>
      <c r="I116" s="4"/>
      <c r="J116" s="4"/>
      <c r="K116" s="4"/>
      <c r="L116" s="4"/>
      <c r="M116" s="4"/>
      <c r="N116" s="4"/>
      <c r="O116" s="4"/>
      <c r="P116" s="4"/>
      <c r="Q116" s="4"/>
      <c r="R116" s="4"/>
      <c r="S116" s="4"/>
      <c r="T116" s="4"/>
      <c r="U116" s="4"/>
      <c r="V116" s="4"/>
      <c r="W116" s="4"/>
      <c r="X116" s="4"/>
      <c r="Y116" s="4"/>
      <c r="Z116" s="4"/>
    </row>
    <row r="117">
      <c r="A117" s="167"/>
      <c r="B117" s="167"/>
      <c r="C117" s="60" t="s">
        <v>258</v>
      </c>
      <c r="D117" s="4"/>
      <c r="E117" s="4"/>
      <c r="F117" s="4" t="str">
        <f>IFERROR(__xludf.DUMMYFUNCTION("""COMPUTED_VALUE"""),"Оренбургская область")</f>
        <v>Оренбургская область</v>
      </c>
      <c r="G117" s="4" t="str">
        <f>IFERROR(__xludf.DUMMYFUNCTION("""COMPUTED_VALUE"""),"Оренбург")</f>
        <v>Оренбург</v>
      </c>
      <c r="H117" s="4" t="str">
        <f>IFERROR(__xludf.DUMMYFUNCTION("""COMPUTED_VALUE"""),"ЖК 17 Микрорайон")</f>
        <v>ЖК 17 Микрорайон</v>
      </c>
      <c r="I117" s="4"/>
      <c r="J117" s="4"/>
      <c r="K117" s="4"/>
      <c r="L117" s="4"/>
      <c r="M117" s="4"/>
      <c r="N117" s="4"/>
      <c r="O117" s="4"/>
      <c r="P117" s="4"/>
      <c r="Q117" s="4"/>
      <c r="R117" s="4"/>
      <c r="S117" s="4"/>
      <c r="T117" s="4"/>
      <c r="U117" s="4"/>
      <c r="V117" s="4"/>
      <c r="W117" s="4"/>
      <c r="X117" s="4"/>
      <c r="Y117" s="4"/>
      <c r="Z117" s="4"/>
    </row>
    <row r="118">
      <c r="A118" s="167"/>
      <c r="B118" s="167"/>
      <c r="C118" s="60" t="s">
        <v>1214</v>
      </c>
      <c r="D118" s="4"/>
      <c r="E118" s="4"/>
      <c r="F118" s="4" t="str">
        <f>IFERROR(__xludf.DUMMYFUNCTION("""COMPUTED_VALUE"""),"Оренбургская область")</f>
        <v>Оренбургская область</v>
      </c>
      <c r="G118" s="4" t="str">
        <f>IFERROR(__xludf.DUMMYFUNCTION("""COMPUTED_VALUE"""),"Оренбург")</f>
        <v>Оренбург</v>
      </c>
      <c r="H118" s="4" t="str">
        <f>IFERROR(__xludf.DUMMYFUNCTION("""COMPUTED_VALUE"""),"ЖК 18 микрорайон")</f>
        <v>ЖК 18 микрорайон</v>
      </c>
      <c r="I118" s="4"/>
      <c r="J118" s="4"/>
      <c r="K118" s="4"/>
      <c r="L118" s="4"/>
      <c r="M118" s="4"/>
      <c r="N118" s="4"/>
      <c r="O118" s="4"/>
      <c r="P118" s="4"/>
      <c r="Q118" s="4"/>
      <c r="R118" s="4"/>
      <c r="S118" s="4"/>
      <c r="T118" s="4"/>
      <c r="U118" s="4"/>
      <c r="V118" s="4"/>
      <c r="W118" s="4"/>
      <c r="X118" s="4"/>
      <c r="Y118" s="4"/>
      <c r="Z118" s="4"/>
    </row>
    <row r="119">
      <c r="A119" s="167"/>
      <c r="B119" s="167"/>
      <c r="C119" s="60" t="s">
        <v>1219</v>
      </c>
      <c r="D119" s="4"/>
      <c r="E119" s="4"/>
      <c r="F119" s="4" t="str">
        <f>IFERROR(__xludf.DUMMYFUNCTION("""COMPUTED_VALUE"""),"Оренбургская область")</f>
        <v>Оренбургская область</v>
      </c>
      <c r="G119" s="4" t="str">
        <f>IFERROR(__xludf.DUMMYFUNCTION("""COMPUTED_VALUE"""),"Оренбург")</f>
        <v>Оренбург</v>
      </c>
      <c r="H119" s="4" t="str">
        <f>IFERROR(__xludf.DUMMYFUNCTION("""COMPUTED_VALUE"""),"ЖК 19 Микрорайон ")</f>
        <v>ЖК 19 Микрорайон </v>
      </c>
      <c r="I119" s="4"/>
      <c r="J119" s="4"/>
      <c r="K119" s="4"/>
      <c r="L119" s="4"/>
      <c r="M119" s="4"/>
      <c r="N119" s="4"/>
      <c r="O119" s="4"/>
      <c r="P119" s="4"/>
      <c r="Q119" s="4"/>
      <c r="R119" s="4"/>
      <c r="S119" s="4"/>
      <c r="T119" s="4"/>
      <c r="U119" s="4"/>
      <c r="V119" s="4"/>
      <c r="W119" s="4"/>
      <c r="X119" s="4"/>
      <c r="Y119" s="4"/>
      <c r="Z119" s="4"/>
    </row>
    <row r="120">
      <c r="A120" s="167"/>
      <c r="B120" s="167"/>
      <c r="C120" s="60" t="s">
        <v>1225</v>
      </c>
      <c r="D120" s="4"/>
      <c r="E120" s="4"/>
      <c r="F120" s="4" t="str">
        <f>IFERROR(__xludf.DUMMYFUNCTION("""COMPUTED_VALUE"""),"Оренбургская область")</f>
        <v>Оренбургская область</v>
      </c>
      <c r="G120" s="4" t="str">
        <f>IFERROR(__xludf.DUMMYFUNCTION("""COMPUTED_VALUE"""),"Оренбург")</f>
        <v>Оренбург</v>
      </c>
      <c r="H120" s="4" t="str">
        <f>IFERROR(__xludf.DUMMYFUNCTION("""COMPUTED_VALUE"""),"ЖК Аквамарин")</f>
        <v>ЖК Аквамарин</v>
      </c>
      <c r="I120" s="4"/>
      <c r="J120" s="4"/>
      <c r="K120" s="4"/>
      <c r="L120" s="4"/>
      <c r="M120" s="4"/>
      <c r="N120" s="4"/>
      <c r="O120" s="4"/>
      <c r="P120" s="4"/>
      <c r="Q120" s="4"/>
      <c r="R120" s="4"/>
      <c r="S120" s="4"/>
      <c r="T120" s="4"/>
      <c r="U120" s="4"/>
      <c r="V120" s="4"/>
      <c r="W120" s="4"/>
      <c r="X120" s="4"/>
      <c r="Y120" s="4"/>
      <c r="Z120" s="4"/>
    </row>
    <row r="121">
      <c r="A121" s="167"/>
      <c r="B121" s="167"/>
      <c r="C121" s="60" t="s">
        <v>1236</v>
      </c>
      <c r="D121" s="4"/>
      <c r="E121" s="4"/>
      <c r="F121" s="4" t="str">
        <f>IFERROR(__xludf.DUMMYFUNCTION("""COMPUTED_VALUE"""),"Оренбургская область")</f>
        <v>Оренбургская область</v>
      </c>
      <c r="G121" s="4" t="str">
        <f>IFERROR(__xludf.DUMMYFUNCTION("""COMPUTED_VALUE"""),"Оренбург")</f>
        <v>Оренбург</v>
      </c>
      <c r="H121" s="4" t="str">
        <f>IFERROR(__xludf.DUMMYFUNCTION("""COMPUTED_VALUE"""),"ЖК Акварель")</f>
        <v>ЖК Акварель</v>
      </c>
      <c r="I121" s="4"/>
      <c r="J121" s="4"/>
      <c r="K121" s="4"/>
      <c r="L121" s="4"/>
      <c r="M121" s="4"/>
      <c r="N121" s="4"/>
      <c r="O121" s="4"/>
      <c r="P121" s="4"/>
      <c r="Q121" s="4"/>
      <c r="R121" s="4"/>
      <c r="S121" s="4"/>
      <c r="T121" s="4"/>
      <c r="U121" s="4"/>
      <c r="V121" s="4"/>
      <c r="W121" s="4"/>
      <c r="X121" s="4"/>
      <c r="Y121" s="4"/>
      <c r="Z121" s="4"/>
    </row>
    <row r="122">
      <c r="A122" s="167"/>
      <c r="B122" s="167"/>
      <c r="C122" s="60" t="s">
        <v>1244</v>
      </c>
      <c r="D122" s="4"/>
      <c r="E122" s="4"/>
      <c r="F122" s="4" t="str">
        <f>IFERROR(__xludf.DUMMYFUNCTION("""COMPUTED_VALUE"""),"Оренбургская область")</f>
        <v>Оренбургская область</v>
      </c>
      <c r="G122" s="4" t="str">
        <f>IFERROR(__xludf.DUMMYFUNCTION("""COMPUTED_VALUE"""),"Оренбург")</f>
        <v>Оренбург</v>
      </c>
      <c r="H122" s="4" t="str">
        <f>IFERROR(__xludf.DUMMYFUNCTION("""COMPUTED_VALUE"""),"ЖК Акварель 2")</f>
        <v>ЖК Акварель 2</v>
      </c>
      <c r="I122" s="4"/>
      <c r="J122" s="4"/>
      <c r="K122" s="4"/>
      <c r="L122" s="4"/>
      <c r="M122" s="4"/>
      <c r="N122" s="4"/>
      <c r="O122" s="4"/>
      <c r="P122" s="4"/>
      <c r="Q122" s="4"/>
      <c r="R122" s="4"/>
      <c r="S122" s="4"/>
      <c r="T122" s="4"/>
      <c r="U122" s="4"/>
      <c r="V122" s="4"/>
      <c r="W122" s="4"/>
      <c r="X122" s="4"/>
      <c r="Y122" s="4"/>
      <c r="Z122" s="4"/>
    </row>
    <row r="123">
      <c r="A123" s="167"/>
      <c r="B123" s="167"/>
      <c r="C123" s="60" t="s">
        <v>1249</v>
      </c>
      <c r="D123" s="4"/>
      <c r="E123" s="4"/>
      <c r="F123" s="4" t="str">
        <f>IFERROR(__xludf.DUMMYFUNCTION("""COMPUTED_VALUE"""),"Оренбургская область")</f>
        <v>Оренбургская область</v>
      </c>
      <c r="G123" s="4" t="str">
        <f>IFERROR(__xludf.DUMMYFUNCTION("""COMPUTED_VALUE"""),"Оренбург")</f>
        <v>Оренбург</v>
      </c>
      <c r="H123" s="4" t="str">
        <f>IFERROR(__xludf.DUMMYFUNCTION("""COMPUTED_VALUE"""),"ЖК Высотная")</f>
        <v>ЖК Высотная</v>
      </c>
      <c r="I123" s="4"/>
      <c r="J123" s="4"/>
      <c r="K123" s="4"/>
      <c r="L123" s="4"/>
      <c r="M123" s="4"/>
      <c r="N123" s="4"/>
      <c r="O123" s="4"/>
      <c r="P123" s="4"/>
      <c r="Q123" s="4"/>
      <c r="R123" s="4"/>
      <c r="S123" s="4"/>
      <c r="T123" s="4"/>
      <c r="U123" s="4"/>
      <c r="V123" s="4"/>
      <c r="W123" s="4"/>
      <c r="X123" s="4"/>
      <c r="Y123" s="4"/>
      <c r="Z123" s="4"/>
    </row>
    <row r="124">
      <c r="A124" s="167"/>
      <c r="B124" s="167"/>
      <c r="C124" s="60" t="s">
        <v>1258</v>
      </c>
      <c r="D124" s="4"/>
      <c r="E124" s="4"/>
      <c r="F124" s="4" t="str">
        <f>IFERROR(__xludf.DUMMYFUNCTION("""COMPUTED_VALUE"""),"Оренбургская область")</f>
        <v>Оренбургская область</v>
      </c>
      <c r="G124" s="4" t="str">
        <f>IFERROR(__xludf.DUMMYFUNCTION("""COMPUTED_VALUE"""),"Оренбург")</f>
        <v>Оренбург</v>
      </c>
      <c r="H124" s="4" t="str">
        <f>IFERROR(__xludf.DUMMYFUNCTION("""COMPUTED_VALUE"""),"ЖК Грандпарк")</f>
        <v>ЖК Грандпарк</v>
      </c>
      <c r="I124" s="4"/>
      <c r="J124" s="4"/>
      <c r="K124" s="4"/>
      <c r="L124" s="4"/>
      <c r="M124" s="4"/>
      <c r="N124" s="4"/>
      <c r="O124" s="4"/>
      <c r="P124" s="4"/>
      <c r="Q124" s="4"/>
      <c r="R124" s="4"/>
      <c r="S124" s="4"/>
      <c r="T124" s="4"/>
      <c r="U124" s="4"/>
      <c r="V124" s="4"/>
      <c r="W124" s="4"/>
      <c r="X124" s="4"/>
      <c r="Y124" s="4"/>
      <c r="Z124" s="4"/>
    </row>
    <row r="125">
      <c r="A125" s="167"/>
      <c r="B125" s="167"/>
      <c r="C125" s="60" t="s">
        <v>1265</v>
      </c>
      <c r="D125" s="4"/>
      <c r="E125" s="4"/>
      <c r="F125" s="4" t="str">
        <f>IFERROR(__xludf.DUMMYFUNCTION("""COMPUTED_VALUE"""),"Оренбургская область")</f>
        <v>Оренбургская область</v>
      </c>
      <c r="G125" s="4" t="str">
        <f>IFERROR(__xludf.DUMMYFUNCTION("""COMPUTED_VALUE"""),"Оренбург")</f>
        <v>Оренбург</v>
      </c>
      <c r="H125" s="4" t="str">
        <f>IFERROR(__xludf.DUMMYFUNCTION("""COMPUTED_VALUE"""),"ЖК Грин Хаус 2")</f>
        <v>ЖК Грин Хаус 2</v>
      </c>
      <c r="I125" s="4"/>
      <c r="J125" s="4"/>
      <c r="K125" s="4"/>
      <c r="L125" s="4"/>
      <c r="M125" s="4"/>
      <c r="N125" s="4"/>
      <c r="O125" s="4"/>
      <c r="P125" s="4"/>
      <c r="Q125" s="4"/>
      <c r="R125" s="4"/>
      <c r="S125" s="4"/>
      <c r="T125" s="4"/>
      <c r="U125" s="4"/>
      <c r="V125" s="4"/>
      <c r="W125" s="4"/>
      <c r="X125" s="4"/>
      <c r="Y125" s="4"/>
      <c r="Z125" s="4"/>
    </row>
    <row r="126">
      <c r="A126" s="167"/>
      <c r="B126" s="167"/>
      <c r="C126" s="60" t="s">
        <v>1274</v>
      </c>
      <c r="D126" s="4"/>
      <c r="E126" s="4"/>
      <c r="F126" s="4" t="str">
        <f>IFERROR(__xludf.DUMMYFUNCTION("""COMPUTED_VALUE"""),"Оренбургская область")</f>
        <v>Оренбургская область</v>
      </c>
      <c r="G126" s="4" t="str">
        <f>IFERROR(__xludf.DUMMYFUNCTION("""COMPUTED_VALUE"""),"Оренбург")</f>
        <v>Оренбург</v>
      </c>
      <c r="H126" s="4" t="str">
        <f>IFERROR(__xludf.DUMMYFUNCTION("""COMPUTED_VALUE"""),"ЖК Движение")</f>
        <v>ЖК Движение</v>
      </c>
      <c r="I126" s="4"/>
      <c r="J126" s="4"/>
      <c r="K126" s="4"/>
      <c r="L126" s="4"/>
      <c r="M126" s="4"/>
      <c r="N126" s="4"/>
      <c r="O126" s="4"/>
      <c r="P126" s="4"/>
      <c r="Q126" s="4"/>
      <c r="R126" s="4"/>
      <c r="S126" s="4"/>
      <c r="T126" s="4"/>
      <c r="U126" s="4"/>
      <c r="V126" s="4"/>
      <c r="W126" s="4"/>
      <c r="X126" s="4"/>
      <c r="Y126" s="4"/>
      <c r="Z126" s="4"/>
    </row>
    <row r="127">
      <c r="A127" s="167"/>
      <c r="B127" s="167"/>
      <c r="C127" s="60" t="s">
        <v>1282</v>
      </c>
      <c r="D127" s="4"/>
      <c r="E127" s="4"/>
      <c r="F127" s="4" t="str">
        <f>IFERROR(__xludf.DUMMYFUNCTION("""COMPUTED_VALUE"""),"Оренбургская область")</f>
        <v>Оренбургская область</v>
      </c>
      <c r="G127" s="4" t="str">
        <f>IFERROR(__xludf.DUMMYFUNCTION("""COMPUTED_VALUE"""),"Оренбург")</f>
        <v>Оренбург</v>
      </c>
      <c r="H127" s="4" t="str">
        <f>IFERROR(__xludf.DUMMYFUNCTION("""COMPUTED_VALUE"""),"ЖК Диагностики")</f>
        <v>ЖК Диагностики</v>
      </c>
      <c r="I127" s="4"/>
      <c r="J127" s="4"/>
      <c r="K127" s="4"/>
      <c r="L127" s="4"/>
      <c r="M127" s="4"/>
      <c r="N127" s="4"/>
      <c r="O127" s="4"/>
      <c r="P127" s="4"/>
      <c r="Q127" s="4"/>
      <c r="R127" s="4"/>
      <c r="S127" s="4"/>
      <c r="T127" s="4"/>
      <c r="U127" s="4"/>
      <c r="V127" s="4"/>
      <c r="W127" s="4"/>
      <c r="X127" s="4"/>
      <c r="Y127" s="4"/>
      <c r="Z127" s="4"/>
    </row>
    <row r="128">
      <c r="A128" s="106"/>
      <c r="B128" s="106"/>
      <c r="C128" s="60" t="s">
        <v>1293</v>
      </c>
      <c r="D128" s="4"/>
      <c r="E128" s="4"/>
      <c r="F128" s="4" t="str">
        <f>IFERROR(__xludf.DUMMYFUNCTION("""COMPUTED_VALUE"""),"Оренбургская область")</f>
        <v>Оренбургская область</v>
      </c>
      <c r="G128" s="4" t="str">
        <f>IFERROR(__xludf.DUMMYFUNCTION("""COMPUTED_VALUE"""),"Оренбург")</f>
        <v>Оренбург</v>
      </c>
      <c r="H128" s="4" t="str">
        <f>IFERROR(__xludf.DUMMYFUNCTION("""COMPUTED_VALUE"""),"ЖК Долгие горы")</f>
        <v>ЖК Долгие горы</v>
      </c>
      <c r="I128" s="4"/>
      <c r="J128" s="4"/>
      <c r="K128" s="4"/>
      <c r="L128" s="4"/>
      <c r="M128" s="4"/>
      <c r="N128" s="4"/>
      <c r="O128" s="4"/>
      <c r="P128" s="4"/>
      <c r="Q128" s="4"/>
      <c r="R128" s="4"/>
      <c r="S128" s="4"/>
      <c r="T128" s="4"/>
      <c r="U128" s="4"/>
      <c r="V128" s="4"/>
      <c r="W128" s="4"/>
      <c r="X128" s="4"/>
      <c r="Y128" s="4"/>
      <c r="Z128" s="4"/>
    </row>
    <row r="129">
      <c r="A129" s="165" t="s">
        <v>165</v>
      </c>
      <c r="B129" s="165" t="s">
        <v>169</v>
      </c>
      <c r="C129" s="60" t="s">
        <v>1376</v>
      </c>
      <c r="D129" s="4"/>
      <c r="E129" s="4"/>
      <c r="F129" s="4" t="str">
        <f>IFERROR(__xludf.DUMMYFUNCTION("""COMPUTED_VALUE"""),"Оренбургская область")</f>
        <v>Оренбургская область</v>
      </c>
      <c r="G129" s="4" t="str">
        <f>IFERROR(__xludf.DUMMYFUNCTION("""COMPUTED_VALUE"""),"Оренбург")</f>
        <v>Оренбург</v>
      </c>
      <c r="H129" s="4" t="str">
        <f>IFERROR(__xludf.DUMMYFUNCTION("""COMPUTED_VALUE"""),"ЖК Донковцева 1")</f>
        <v>ЖК Донковцева 1</v>
      </c>
      <c r="I129" s="4"/>
      <c r="J129" s="4"/>
      <c r="K129" s="4"/>
      <c r="L129" s="4"/>
      <c r="M129" s="4"/>
      <c r="N129" s="4"/>
      <c r="O129" s="4"/>
      <c r="P129" s="4"/>
      <c r="Q129" s="4"/>
      <c r="R129" s="4"/>
      <c r="S129" s="4"/>
      <c r="T129" s="4"/>
      <c r="U129" s="4"/>
      <c r="V129" s="4"/>
      <c r="W129" s="4"/>
      <c r="X129" s="4"/>
      <c r="Y129" s="4"/>
      <c r="Z129" s="4"/>
    </row>
    <row r="130">
      <c r="A130" s="167"/>
      <c r="B130" s="167"/>
      <c r="C130" s="60" t="s">
        <v>1394</v>
      </c>
      <c r="D130" s="4"/>
      <c r="E130" s="4"/>
      <c r="F130" s="4" t="str">
        <f>IFERROR(__xludf.DUMMYFUNCTION("""COMPUTED_VALUE"""),"Оренбургская область")</f>
        <v>Оренбургская область</v>
      </c>
      <c r="G130" s="4" t="str">
        <f>IFERROR(__xludf.DUMMYFUNCTION("""COMPUTED_VALUE"""),"Оренбург")</f>
        <v>Оренбург</v>
      </c>
      <c r="H130" s="4" t="str">
        <f>IFERROR(__xludf.DUMMYFUNCTION("""COMPUTED_VALUE"""),"ЖК Дрезден")</f>
        <v>ЖК Дрезден</v>
      </c>
      <c r="I130" s="4"/>
      <c r="J130" s="4"/>
      <c r="K130" s="4"/>
      <c r="L130" s="4"/>
      <c r="M130" s="4"/>
      <c r="N130" s="4"/>
      <c r="O130" s="4"/>
      <c r="P130" s="4"/>
      <c r="Q130" s="4"/>
      <c r="R130" s="4"/>
      <c r="S130" s="4"/>
      <c r="T130" s="4"/>
      <c r="U130" s="4"/>
      <c r="V130" s="4"/>
      <c r="W130" s="4"/>
      <c r="X130" s="4"/>
      <c r="Y130" s="4"/>
      <c r="Z130" s="4"/>
    </row>
    <row r="131">
      <c r="A131" s="167"/>
      <c r="B131" s="167"/>
      <c r="C131" s="60" t="s">
        <v>1399</v>
      </c>
      <c r="D131" s="4"/>
      <c r="E131" s="4"/>
      <c r="F131" s="4" t="str">
        <f>IFERROR(__xludf.DUMMYFUNCTION("""COMPUTED_VALUE"""),"Оренбургская область")</f>
        <v>Оренбургская область</v>
      </c>
      <c r="G131" s="4" t="str">
        <f>IFERROR(__xludf.DUMMYFUNCTION("""COMPUTED_VALUE"""),"Оренбург")</f>
        <v>Оренбург</v>
      </c>
      <c r="H131" s="4" t="str">
        <f>IFERROR(__xludf.DUMMYFUNCTION("""COMPUTED_VALUE"""),"ЖК Дубки 1")</f>
        <v>ЖК Дубки 1</v>
      </c>
      <c r="I131" s="4"/>
      <c r="J131" s="4"/>
      <c r="K131" s="4"/>
      <c r="L131" s="4"/>
      <c r="M131" s="4"/>
      <c r="N131" s="4"/>
      <c r="O131" s="4"/>
      <c r="P131" s="4"/>
      <c r="Q131" s="4"/>
      <c r="R131" s="4"/>
      <c r="S131" s="4"/>
      <c r="T131" s="4"/>
      <c r="U131" s="4"/>
      <c r="V131" s="4"/>
      <c r="W131" s="4"/>
      <c r="X131" s="4"/>
      <c r="Y131" s="4"/>
      <c r="Z131" s="4"/>
    </row>
    <row r="132">
      <c r="A132" s="167"/>
      <c r="B132" s="167"/>
      <c r="C132" s="60" t="s">
        <v>1410</v>
      </c>
      <c r="D132" s="4"/>
      <c r="E132" s="4"/>
      <c r="F132" s="4" t="str">
        <f>IFERROR(__xludf.DUMMYFUNCTION("""COMPUTED_VALUE"""),"Оренбургская область")</f>
        <v>Оренбургская область</v>
      </c>
      <c r="G132" s="4" t="str">
        <f>IFERROR(__xludf.DUMMYFUNCTION("""COMPUTED_VALUE"""),"Оренбург")</f>
        <v>Оренбург</v>
      </c>
      <c r="H132" s="4" t="str">
        <f>IFERROR(__xludf.DUMMYFUNCTION("""COMPUTED_VALUE"""),"ЖК Дубки 2")</f>
        <v>ЖК Дубки 2</v>
      </c>
      <c r="I132" s="4"/>
      <c r="J132" s="4"/>
      <c r="K132" s="4"/>
      <c r="L132" s="4"/>
      <c r="M132" s="4"/>
      <c r="N132" s="4"/>
      <c r="O132" s="4"/>
      <c r="P132" s="4"/>
      <c r="Q132" s="4"/>
      <c r="R132" s="4"/>
      <c r="S132" s="4"/>
      <c r="T132" s="4"/>
      <c r="U132" s="4"/>
      <c r="V132" s="4"/>
      <c r="W132" s="4"/>
      <c r="X132" s="4"/>
      <c r="Y132" s="4"/>
      <c r="Z132" s="4"/>
    </row>
    <row r="133">
      <c r="A133" s="167"/>
      <c r="B133" s="167"/>
      <c r="C133" s="60" t="s">
        <v>1415</v>
      </c>
      <c r="D133" s="4"/>
      <c r="E133" s="4"/>
      <c r="F133" s="4" t="str">
        <f>IFERROR(__xludf.DUMMYFUNCTION("""COMPUTED_VALUE"""),"Оренбургская область")</f>
        <v>Оренбургская область</v>
      </c>
      <c r="G133" s="4" t="str">
        <f>IFERROR(__xludf.DUMMYFUNCTION("""COMPUTED_VALUE"""),"Оренбург")</f>
        <v>Оренбург</v>
      </c>
      <c r="H133" s="4" t="str">
        <f>IFERROR(__xludf.DUMMYFUNCTION("""COMPUTED_VALUE"""),"ЖК Дубки 3")</f>
        <v>ЖК Дубки 3</v>
      </c>
      <c r="I133" s="4"/>
      <c r="J133" s="4"/>
      <c r="K133" s="4"/>
      <c r="L133" s="4"/>
      <c r="M133" s="4"/>
      <c r="N133" s="4"/>
      <c r="O133" s="4"/>
      <c r="P133" s="4"/>
      <c r="Q133" s="4"/>
      <c r="R133" s="4"/>
      <c r="S133" s="4"/>
      <c r="T133" s="4"/>
      <c r="U133" s="4"/>
      <c r="V133" s="4"/>
      <c r="W133" s="4"/>
      <c r="X133" s="4"/>
      <c r="Y133" s="4"/>
      <c r="Z133" s="4"/>
    </row>
    <row r="134">
      <c r="A134" s="167"/>
      <c r="B134" s="167"/>
      <c r="C134" s="60" t="s">
        <v>1421</v>
      </c>
      <c r="D134" s="4"/>
      <c r="E134" s="4"/>
      <c r="F134" s="4" t="str">
        <f>IFERROR(__xludf.DUMMYFUNCTION("""COMPUTED_VALUE"""),"Оренбургская область")</f>
        <v>Оренбургская область</v>
      </c>
      <c r="G134" s="4" t="str">
        <f>IFERROR(__xludf.DUMMYFUNCTION("""COMPUTED_VALUE"""),"Оренбург")</f>
        <v>Оренбург</v>
      </c>
      <c r="H134" s="4" t="str">
        <f>IFERROR(__xludf.DUMMYFUNCTION("""COMPUTED_VALUE"""),"ЖК Дубки 4")</f>
        <v>ЖК Дубки 4</v>
      </c>
      <c r="I134" s="4"/>
      <c r="J134" s="4"/>
      <c r="K134" s="4"/>
      <c r="L134" s="4"/>
      <c r="M134" s="4"/>
      <c r="N134" s="4"/>
      <c r="O134" s="4"/>
      <c r="P134" s="4"/>
      <c r="Q134" s="4"/>
      <c r="R134" s="4"/>
      <c r="S134" s="4"/>
      <c r="T134" s="4"/>
      <c r="U134" s="4"/>
      <c r="V134" s="4"/>
      <c r="W134" s="4"/>
      <c r="X134" s="4"/>
      <c r="Y134" s="4"/>
      <c r="Z134" s="4"/>
    </row>
    <row r="135">
      <c r="A135" s="167"/>
      <c r="B135" s="167"/>
      <c r="C135" s="60" t="s">
        <v>1429</v>
      </c>
      <c r="D135" s="4"/>
      <c r="E135" s="4"/>
      <c r="F135" s="4" t="str">
        <f>IFERROR(__xludf.DUMMYFUNCTION("""COMPUTED_VALUE"""),"Оренбургская область")</f>
        <v>Оренбургская область</v>
      </c>
      <c r="G135" s="4" t="str">
        <f>IFERROR(__xludf.DUMMYFUNCTION("""COMPUTED_VALUE"""),"Оренбург")</f>
        <v>Оренбург</v>
      </c>
      <c r="H135" s="4" t="str">
        <f>IFERROR(__xludf.DUMMYFUNCTION("""COMPUTED_VALUE"""),"ЖК Дубки 5")</f>
        <v>ЖК Дубки 5</v>
      </c>
      <c r="I135" s="4"/>
      <c r="J135" s="4"/>
      <c r="K135" s="4"/>
      <c r="L135" s="4"/>
      <c r="M135" s="4"/>
      <c r="N135" s="4"/>
      <c r="O135" s="4"/>
      <c r="P135" s="4"/>
      <c r="Q135" s="4"/>
      <c r="R135" s="4"/>
      <c r="S135" s="4"/>
      <c r="T135" s="4"/>
      <c r="U135" s="4"/>
      <c r="V135" s="4"/>
      <c r="W135" s="4"/>
      <c r="X135" s="4"/>
      <c r="Y135" s="4"/>
      <c r="Z135" s="4"/>
    </row>
    <row r="136">
      <c r="A136" s="167"/>
      <c r="B136" s="167"/>
      <c r="C136" s="60" t="s">
        <v>1437</v>
      </c>
      <c r="D136" s="4"/>
      <c r="E136" s="4"/>
      <c r="F136" s="4" t="str">
        <f>IFERROR(__xludf.DUMMYFUNCTION("""COMPUTED_VALUE"""),"Оренбургская область")</f>
        <v>Оренбургская область</v>
      </c>
      <c r="G136" s="4" t="str">
        <f>IFERROR(__xludf.DUMMYFUNCTION("""COMPUTED_VALUE"""),"Оренбург")</f>
        <v>Оренбург</v>
      </c>
      <c r="H136" s="4" t="str">
        <f>IFERROR(__xludf.DUMMYFUNCTION("""COMPUTED_VALUE"""),"ЖК Дубки 6")</f>
        <v>ЖК Дубки 6</v>
      </c>
      <c r="I136" s="4"/>
      <c r="J136" s="4"/>
      <c r="K136" s="4"/>
      <c r="L136" s="4"/>
      <c r="M136" s="4"/>
      <c r="N136" s="4"/>
      <c r="O136" s="4"/>
      <c r="P136" s="4"/>
      <c r="Q136" s="4"/>
      <c r="R136" s="4"/>
      <c r="S136" s="4"/>
      <c r="T136" s="4"/>
      <c r="U136" s="4"/>
      <c r="V136" s="4"/>
      <c r="W136" s="4"/>
      <c r="X136" s="4"/>
      <c r="Y136" s="4"/>
      <c r="Z136" s="4"/>
    </row>
    <row r="137">
      <c r="A137" s="167"/>
      <c r="B137" s="167"/>
      <c r="C137" s="60" t="s">
        <v>1442</v>
      </c>
      <c r="D137" s="4"/>
      <c r="E137" s="4"/>
      <c r="F137" s="4" t="str">
        <f>IFERROR(__xludf.DUMMYFUNCTION("""COMPUTED_VALUE"""),"Оренбургская область")</f>
        <v>Оренбургская область</v>
      </c>
      <c r="G137" s="4" t="str">
        <f>IFERROR(__xludf.DUMMYFUNCTION("""COMPUTED_VALUE"""),"Оренбург")</f>
        <v>Оренбург</v>
      </c>
      <c r="H137" s="4" t="str">
        <f>IFERROR(__xludf.DUMMYFUNCTION("""COMPUTED_VALUE"""),"ЖК Загородное шоссе")</f>
        <v>ЖК Загородное шоссе</v>
      </c>
      <c r="I137" s="4"/>
      <c r="J137" s="4"/>
      <c r="K137" s="4"/>
      <c r="L137" s="4"/>
      <c r="M137" s="4"/>
      <c r="N137" s="4"/>
      <c r="O137" s="4"/>
      <c r="P137" s="4"/>
      <c r="Q137" s="4"/>
      <c r="R137" s="4"/>
      <c r="S137" s="4"/>
      <c r="T137" s="4"/>
      <c r="U137" s="4"/>
      <c r="V137" s="4"/>
      <c r="W137" s="4"/>
      <c r="X137" s="4"/>
      <c r="Y137" s="4"/>
      <c r="Z137" s="4"/>
    </row>
    <row r="138">
      <c r="A138" s="167"/>
      <c r="B138" s="167"/>
      <c r="C138" s="60" t="s">
        <v>1450</v>
      </c>
      <c r="D138" s="4"/>
      <c r="E138" s="4"/>
      <c r="F138" s="4" t="str">
        <f>IFERROR(__xludf.DUMMYFUNCTION("""COMPUTED_VALUE"""),"Оренбургская область")</f>
        <v>Оренбургская область</v>
      </c>
      <c r="G138" s="4" t="str">
        <f>IFERROR(__xludf.DUMMYFUNCTION("""COMPUTED_VALUE"""),"Оренбург")</f>
        <v>Оренбург</v>
      </c>
      <c r="H138" s="4" t="str">
        <f>IFERROR(__xludf.DUMMYFUNCTION("""COMPUTED_VALUE"""),"ЖК Звездный")</f>
        <v>ЖК Звездный</v>
      </c>
      <c r="I138" s="4"/>
      <c r="J138" s="4"/>
      <c r="K138" s="4"/>
      <c r="L138" s="4"/>
      <c r="M138" s="4"/>
      <c r="N138" s="4"/>
      <c r="O138" s="4"/>
      <c r="P138" s="4"/>
      <c r="Q138" s="4"/>
      <c r="R138" s="4"/>
      <c r="S138" s="4"/>
      <c r="T138" s="4"/>
      <c r="U138" s="4"/>
      <c r="V138" s="4"/>
      <c r="W138" s="4"/>
      <c r="X138" s="4"/>
      <c r="Y138" s="4"/>
      <c r="Z138" s="4"/>
    </row>
    <row r="139">
      <c r="A139" s="167"/>
      <c r="B139" s="167"/>
      <c r="C139" s="60" t="s">
        <v>1455</v>
      </c>
      <c r="D139" s="4"/>
      <c r="E139" s="4"/>
      <c r="F139" s="4" t="str">
        <f>IFERROR(__xludf.DUMMYFUNCTION("""COMPUTED_VALUE"""),"Оренбургская область")</f>
        <v>Оренбургская область</v>
      </c>
      <c r="G139" s="4" t="str">
        <f>IFERROR(__xludf.DUMMYFUNCTION("""COMPUTED_VALUE"""),"Оренбург")</f>
        <v>Оренбург</v>
      </c>
      <c r="H139" s="4" t="str">
        <f>IFERROR(__xludf.DUMMYFUNCTION("""COMPUTED_VALUE"""),"ЖК Малая земля 1")</f>
        <v>ЖК Малая земля 1</v>
      </c>
      <c r="I139" s="4"/>
      <c r="J139" s="4"/>
      <c r="K139" s="4"/>
      <c r="L139" s="4"/>
      <c r="M139" s="4"/>
      <c r="N139" s="4"/>
      <c r="O139" s="4"/>
      <c r="P139" s="4"/>
      <c r="Q139" s="4"/>
      <c r="R139" s="4"/>
      <c r="S139" s="4"/>
      <c r="T139" s="4"/>
      <c r="U139" s="4"/>
      <c r="V139" s="4"/>
      <c r="W139" s="4"/>
      <c r="X139" s="4"/>
      <c r="Y139" s="4"/>
      <c r="Z139" s="4"/>
    </row>
    <row r="140">
      <c r="A140" s="167"/>
      <c r="B140" s="167"/>
      <c r="C140" s="60" t="s">
        <v>1463</v>
      </c>
      <c r="D140" s="4"/>
      <c r="E140" s="4"/>
      <c r="F140" s="4" t="str">
        <f>IFERROR(__xludf.DUMMYFUNCTION("""COMPUTED_VALUE"""),"Оренбургская область")</f>
        <v>Оренбургская область</v>
      </c>
      <c r="G140" s="4" t="str">
        <f>IFERROR(__xludf.DUMMYFUNCTION("""COMPUTED_VALUE"""),"Оренбург")</f>
        <v>Оренбург</v>
      </c>
      <c r="H140" s="4" t="str">
        <f>IFERROR(__xludf.DUMMYFUNCTION("""COMPUTED_VALUE"""),"ЖК Малая земля 2")</f>
        <v>ЖК Малая земля 2</v>
      </c>
      <c r="I140" s="4"/>
      <c r="J140" s="4"/>
      <c r="K140" s="4"/>
      <c r="L140" s="4"/>
      <c r="M140" s="4"/>
      <c r="N140" s="4"/>
      <c r="O140" s="4"/>
      <c r="P140" s="4"/>
      <c r="Q140" s="4"/>
      <c r="R140" s="4"/>
      <c r="S140" s="4"/>
      <c r="T140" s="4"/>
      <c r="U140" s="4"/>
      <c r="V140" s="4"/>
      <c r="W140" s="4"/>
      <c r="X140" s="4"/>
      <c r="Y140" s="4"/>
      <c r="Z140" s="4"/>
    </row>
    <row r="141">
      <c r="A141" s="167"/>
      <c r="B141" s="167"/>
      <c r="C141" s="60" t="s">
        <v>1474</v>
      </c>
      <c r="D141" s="4"/>
      <c r="E141" s="4"/>
      <c r="F141" s="4" t="str">
        <f>IFERROR(__xludf.DUMMYFUNCTION("""COMPUTED_VALUE"""),"Оренбургская область")</f>
        <v>Оренбургская область</v>
      </c>
      <c r="G141" s="4" t="str">
        <f>IFERROR(__xludf.DUMMYFUNCTION("""COMPUTED_VALUE"""),"Оренбург")</f>
        <v>Оренбург</v>
      </c>
      <c r="H141" s="4" t="str">
        <f>IFERROR(__xludf.DUMMYFUNCTION("""COMPUTED_VALUE"""),"ЖК Малая земля 3")</f>
        <v>ЖК Малая земля 3</v>
      </c>
      <c r="I141" s="4"/>
      <c r="J141" s="4"/>
      <c r="K141" s="4"/>
      <c r="L141" s="4"/>
      <c r="M141" s="4"/>
      <c r="N141" s="4"/>
      <c r="O141" s="4"/>
      <c r="P141" s="4"/>
      <c r="Q141" s="4"/>
      <c r="R141" s="4"/>
      <c r="S141" s="4"/>
      <c r="T141" s="4"/>
      <c r="U141" s="4"/>
      <c r="V141" s="4"/>
      <c r="W141" s="4"/>
      <c r="X141" s="4"/>
      <c r="Y141" s="4"/>
      <c r="Z141" s="4"/>
    </row>
    <row r="142">
      <c r="A142" s="167"/>
      <c r="B142" s="167"/>
      <c r="C142" s="60" t="s">
        <v>1515</v>
      </c>
      <c r="D142" s="4"/>
      <c r="E142" s="4"/>
      <c r="F142" s="4" t="str">
        <f>IFERROR(__xludf.DUMMYFUNCTION("""COMPUTED_VALUE"""),"Оренбургская область")</f>
        <v>Оренбургская область</v>
      </c>
      <c r="G142" s="4" t="str">
        <f>IFERROR(__xludf.DUMMYFUNCTION("""COMPUTED_VALUE"""),"Оренбург")</f>
        <v>Оренбург</v>
      </c>
      <c r="H142" s="4" t="str">
        <f>IFERROR(__xludf.DUMMYFUNCTION("""COMPUTED_VALUE"""),"ЖК Молодежный 1")</f>
        <v>ЖК Молодежный 1</v>
      </c>
      <c r="I142" s="4"/>
      <c r="J142" s="4"/>
      <c r="K142" s="4"/>
      <c r="L142" s="4"/>
      <c r="M142" s="4"/>
      <c r="N142" s="4"/>
      <c r="O142" s="4"/>
      <c r="P142" s="4"/>
      <c r="Q142" s="4"/>
      <c r="R142" s="4"/>
      <c r="S142" s="4"/>
      <c r="T142" s="4"/>
      <c r="U142" s="4"/>
      <c r="V142" s="4"/>
      <c r="W142" s="4"/>
      <c r="X142" s="4"/>
      <c r="Y142" s="4"/>
      <c r="Z142" s="4"/>
    </row>
    <row r="143">
      <c r="A143" s="167"/>
      <c r="B143" s="167"/>
      <c r="C143" s="60" t="s">
        <v>1529</v>
      </c>
      <c r="D143" s="4"/>
      <c r="E143" s="4"/>
      <c r="F143" s="4" t="str">
        <f>IFERROR(__xludf.DUMMYFUNCTION("""COMPUTED_VALUE"""),"Оренбургская область")</f>
        <v>Оренбургская область</v>
      </c>
      <c r="G143" s="4" t="str">
        <f>IFERROR(__xludf.DUMMYFUNCTION("""COMPUTED_VALUE"""),"Оренбург")</f>
        <v>Оренбург</v>
      </c>
      <c r="H143" s="4" t="str">
        <f>IFERROR(__xludf.DUMMYFUNCTION("""COMPUTED_VALUE"""),"ЖК Молодежный 2")</f>
        <v>ЖК Молодежный 2</v>
      </c>
      <c r="I143" s="4"/>
      <c r="J143" s="4"/>
      <c r="K143" s="4"/>
      <c r="L143" s="4"/>
      <c r="M143" s="4"/>
      <c r="N143" s="4"/>
      <c r="O143" s="4"/>
      <c r="P143" s="4"/>
      <c r="Q143" s="4"/>
      <c r="R143" s="4"/>
      <c r="S143" s="4"/>
      <c r="T143" s="4"/>
      <c r="U143" s="4"/>
      <c r="V143" s="4"/>
      <c r="W143" s="4"/>
      <c r="X143" s="4"/>
      <c r="Y143" s="4"/>
      <c r="Z143" s="4"/>
    </row>
    <row r="144">
      <c r="A144" s="167"/>
      <c r="B144" s="167"/>
      <c r="C144" s="60" t="s">
        <v>1540</v>
      </c>
      <c r="D144" s="4"/>
      <c r="E144" s="4"/>
      <c r="F144" s="4" t="str">
        <f>IFERROR(__xludf.DUMMYFUNCTION("""COMPUTED_VALUE"""),"Оренбургская область")</f>
        <v>Оренбургская область</v>
      </c>
      <c r="G144" s="4" t="str">
        <f>IFERROR(__xludf.DUMMYFUNCTION("""COMPUTED_VALUE"""),"Оренбург")</f>
        <v>Оренбург</v>
      </c>
      <c r="H144" s="4" t="str">
        <f>IFERROR(__xludf.DUMMYFUNCTION("""COMPUTED_VALUE"""),"ЖК Новая слободка")</f>
        <v>ЖК Новая слободка</v>
      </c>
      <c r="I144" s="4"/>
      <c r="J144" s="4"/>
      <c r="K144" s="4"/>
      <c r="L144" s="4"/>
      <c r="M144" s="4"/>
      <c r="N144" s="4"/>
      <c r="O144" s="4"/>
      <c r="P144" s="4"/>
      <c r="Q144" s="4"/>
      <c r="R144" s="4"/>
      <c r="S144" s="4"/>
      <c r="T144" s="4"/>
      <c r="U144" s="4"/>
      <c r="V144" s="4"/>
      <c r="W144" s="4"/>
      <c r="X144" s="4"/>
      <c r="Y144" s="4"/>
      <c r="Z144" s="4"/>
    </row>
    <row r="145">
      <c r="A145" s="167"/>
      <c r="B145" s="167"/>
      <c r="C145" s="60" t="s">
        <v>1545</v>
      </c>
      <c r="D145" s="4"/>
      <c r="E145" s="4"/>
      <c r="F145" s="4" t="str">
        <f>IFERROR(__xludf.DUMMYFUNCTION("""COMPUTED_VALUE"""),"Оренбургская область")</f>
        <v>Оренбургская область</v>
      </c>
      <c r="G145" s="4" t="str">
        <f>IFERROR(__xludf.DUMMYFUNCTION("""COMPUTED_VALUE"""),"Оренбург")</f>
        <v>Оренбург</v>
      </c>
      <c r="H145" s="4" t="str">
        <f>IFERROR(__xludf.DUMMYFUNCTION("""COMPUTED_VALUE"""),"ЖК Новизна")</f>
        <v>ЖК Новизна</v>
      </c>
      <c r="I145" s="4"/>
      <c r="J145" s="4"/>
      <c r="K145" s="4"/>
      <c r="L145" s="4"/>
      <c r="M145" s="4"/>
      <c r="N145" s="4"/>
      <c r="O145" s="4"/>
      <c r="P145" s="4"/>
      <c r="Q145" s="4"/>
      <c r="R145" s="4"/>
      <c r="S145" s="4"/>
      <c r="T145" s="4"/>
      <c r="U145" s="4"/>
      <c r="V145" s="4"/>
      <c r="W145" s="4"/>
      <c r="X145" s="4"/>
      <c r="Y145" s="4"/>
      <c r="Z145" s="4"/>
    </row>
    <row r="146">
      <c r="A146" s="167"/>
      <c r="B146" s="167"/>
      <c r="C146" s="60" t="s">
        <v>1555</v>
      </c>
      <c r="D146" s="4"/>
      <c r="E146" s="4"/>
      <c r="F146" s="4" t="str">
        <f>IFERROR(__xludf.DUMMYFUNCTION("""COMPUTED_VALUE"""),"Оренбургская область")</f>
        <v>Оренбургская область</v>
      </c>
      <c r="G146" s="4" t="str">
        <f>IFERROR(__xludf.DUMMYFUNCTION("""COMPUTED_VALUE"""),"Оренбург")</f>
        <v>Оренбург</v>
      </c>
      <c r="H146" s="4" t="str">
        <f>IFERROR(__xludf.DUMMYFUNCTION("""COMPUTED_VALUE"""),"ЖК Новостройки")</f>
        <v>ЖК Новостройки</v>
      </c>
      <c r="I146" s="4"/>
      <c r="J146" s="4"/>
      <c r="K146" s="4"/>
      <c r="L146" s="4"/>
      <c r="M146" s="4"/>
      <c r="N146" s="4"/>
      <c r="O146" s="4"/>
      <c r="P146" s="4"/>
      <c r="Q146" s="4"/>
      <c r="R146" s="4"/>
      <c r="S146" s="4"/>
      <c r="T146" s="4"/>
      <c r="U146" s="4"/>
      <c r="V146" s="4"/>
      <c r="W146" s="4"/>
      <c r="X146" s="4"/>
      <c r="Y146" s="4"/>
      <c r="Z146" s="4"/>
    </row>
    <row r="147">
      <c r="A147" s="167"/>
      <c r="B147" s="167"/>
      <c r="C147" s="60" t="s">
        <v>1563</v>
      </c>
      <c r="D147" s="4"/>
      <c r="E147" s="4"/>
      <c r="F147" s="4" t="str">
        <f>IFERROR(__xludf.DUMMYFUNCTION("""COMPUTED_VALUE"""),"Оренбургская область")</f>
        <v>Оренбургская область</v>
      </c>
      <c r="G147" s="4" t="str">
        <f>IFERROR(__xludf.DUMMYFUNCTION("""COMPUTED_VALUE"""),"Оренбург")</f>
        <v>Оренбург</v>
      </c>
      <c r="H147" s="4" t="str">
        <f>IFERROR(__xludf.DUMMYFUNCTION("""COMPUTED_VALUE"""),"ЖК Победа")</f>
        <v>ЖК Победа</v>
      </c>
      <c r="I147" s="4"/>
      <c r="J147" s="4"/>
      <c r="K147" s="4"/>
      <c r="L147" s="4"/>
      <c r="M147" s="4"/>
      <c r="N147" s="4"/>
      <c r="O147" s="4"/>
      <c r="P147" s="4"/>
      <c r="Q147" s="4"/>
      <c r="R147" s="4"/>
      <c r="S147" s="4"/>
      <c r="T147" s="4"/>
      <c r="U147" s="4"/>
      <c r="V147" s="4"/>
      <c r="W147" s="4"/>
      <c r="X147" s="4"/>
      <c r="Y147" s="4"/>
      <c r="Z147" s="4"/>
    </row>
    <row r="148">
      <c r="A148" s="167"/>
      <c r="B148" s="167"/>
      <c r="C148" s="60" t="s">
        <v>1571</v>
      </c>
      <c r="D148" s="4"/>
      <c r="E148" s="4"/>
      <c r="F148" s="4" t="str">
        <f>IFERROR(__xludf.DUMMYFUNCTION("""COMPUTED_VALUE"""),"Оренбургская область")</f>
        <v>Оренбургская область</v>
      </c>
      <c r="G148" s="4" t="str">
        <f>IFERROR(__xludf.DUMMYFUNCTION("""COMPUTED_VALUE"""),"Оренбург")</f>
        <v>Оренбург</v>
      </c>
      <c r="H148" s="4" t="str">
        <f>IFERROR(__xludf.DUMMYFUNCTION("""COMPUTED_VALUE"""),"ЖК Поляничко")</f>
        <v>ЖК Поляничко</v>
      </c>
      <c r="I148" s="4"/>
      <c r="J148" s="4"/>
      <c r="K148" s="4"/>
      <c r="L148" s="4"/>
      <c r="M148" s="4"/>
      <c r="N148" s="4"/>
      <c r="O148" s="4"/>
      <c r="P148" s="4"/>
      <c r="Q148" s="4"/>
      <c r="R148" s="4"/>
      <c r="S148" s="4"/>
      <c r="T148" s="4"/>
      <c r="U148" s="4"/>
      <c r="V148" s="4"/>
      <c r="W148" s="4"/>
      <c r="X148" s="4"/>
      <c r="Y148" s="4"/>
      <c r="Z148" s="4"/>
    </row>
    <row r="149">
      <c r="A149" s="167"/>
      <c r="B149" s="167"/>
      <c r="C149" s="60" t="s">
        <v>1576</v>
      </c>
      <c r="D149" s="4"/>
      <c r="E149" s="4"/>
      <c r="F149" s="4" t="str">
        <f>IFERROR(__xludf.DUMMYFUNCTION("""COMPUTED_VALUE"""),"Оренбургская область")</f>
        <v>Оренбургская область</v>
      </c>
      <c r="G149" s="4" t="str">
        <f>IFERROR(__xludf.DUMMYFUNCTION("""COMPUTED_VALUE"""),"Оренбург")</f>
        <v>Оренбург</v>
      </c>
      <c r="H149" s="4" t="str">
        <f>IFERROR(__xludf.DUMMYFUNCTION("""COMPUTED_VALUE"""),"ЖК Поляничко-1")</f>
        <v>ЖК Поляничко-1</v>
      </c>
      <c r="I149" s="4"/>
      <c r="J149" s="4"/>
      <c r="K149" s="4"/>
      <c r="L149" s="4"/>
      <c r="M149" s="4"/>
      <c r="N149" s="4"/>
      <c r="O149" s="4"/>
      <c r="P149" s="4"/>
      <c r="Q149" s="4"/>
      <c r="R149" s="4"/>
      <c r="S149" s="4"/>
      <c r="T149" s="4"/>
      <c r="U149" s="4"/>
      <c r="V149" s="4"/>
      <c r="W149" s="4"/>
      <c r="X149" s="4"/>
      <c r="Y149" s="4"/>
      <c r="Z149" s="4"/>
    </row>
    <row r="150">
      <c r="A150" s="167"/>
      <c r="B150" s="167"/>
      <c r="C150" s="60" t="s">
        <v>1588</v>
      </c>
      <c r="D150" s="4"/>
      <c r="E150" s="4"/>
      <c r="F150" s="4" t="str">
        <f>IFERROR(__xludf.DUMMYFUNCTION("""COMPUTED_VALUE"""),"Оренбургская область")</f>
        <v>Оренбургская область</v>
      </c>
      <c r="G150" s="4" t="str">
        <f>IFERROR(__xludf.DUMMYFUNCTION("""COMPUTED_VALUE"""),"Оренбург")</f>
        <v>Оренбург</v>
      </c>
      <c r="H150" s="4" t="str">
        <f>IFERROR(__xludf.DUMMYFUNCTION("""COMPUTED_VALUE"""),"ЖК Поляничко-2")</f>
        <v>ЖК Поляничко-2</v>
      </c>
      <c r="I150" s="4"/>
      <c r="J150" s="4"/>
      <c r="K150" s="4"/>
      <c r="L150" s="4"/>
      <c r="M150" s="4"/>
      <c r="N150" s="4"/>
      <c r="O150" s="4"/>
      <c r="P150" s="4"/>
      <c r="Q150" s="4"/>
      <c r="R150" s="4"/>
      <c r="S150" s="4"/>
      <c r="T150" s="4"/>
      <c r="U150" s="4"/>
      <c r="V150" s="4"/>
      <c r="W150" s="4"/>
      <c r="X150" s="4"/>
      <c r="Y150" s="4"/>
      <c r="Z150" s="4"/>
    </row>
    <row r="151">
      <c r="A151" s="167"/>
      <c r="B151" s="167"/>
      <c r="C151" s="60" t="s">
        <v>1596</v>
      </c>
      <c r="D151" s="4"/>
      <c r="E151" s="4"/>
      <c r="F151" s="4" t="str">
        <f>IFERROR(__xludf.DUMMYFUNCTION("""COMPUTED_VALUE"""),"Оренбургская область")</f>
        <v>Оренбургская область</v>
      </c>
      <c r="G151" s="4" t="str">
        <f>IFERROR(__xludf.DUMMYFUNCTION("""COMPUTED_VALUE"""),"Оренбург")</f>
        <v>Оренбург</v>
      </c>
      <c r="H151" s="4" t="str">
        <f>IFERROR(__xludf.DUMMYFUNCTION("""COMPUTED_VALUE"""),"ЖК Премьер")</f>
        <v>ЖК Премьер</v>
      </c>
      <c r="I151" s="4"/>
      <c r="J151" s="4"/>
      <c r="K151" s="4"/>
      <c r="L151" s="4"/>
      <c r="M151" s="4"/>
      <c r="N151" s="4"/>
      <c r="O151" s="4"/>
      <c r="P151" s="4"/>
      <c r="Q151" s="4"/>
      <c r="R151" s="4"/>
      <c r="S151" s="4"/>
      <c r="T151" s="4"/>
      <c r="U151" s="4"/>
      <c r="V151" s="4"/>
      <c r="W151" s="4"/>
      <c r="X151" s="4"/>
      <c r="Y151" s="4"/>
      <c r="Z151" s="4"/>
    </row>
    <row r="152">
      <c r="A152" s="167"/>
      <c r="B152" s="167"/>
      <c r="C152" s="60" t="s">
        <v>2937</v>
      </c>
      <c r="D152" s="4"/>
      <c r="E152" s="4"/>
      <c r="F152" s="4" t="str">
        <f>IFERROR(__xludf.DUMMYFUNCTION("""COMPUTED_VALUE"""),"Оренбургская область")</f>
        <v>Оренбургская область</v>
      </c>
      <c r="G152" s="4" t="str">
        <f>IFERROR(__xludf.DUMMYFUNCTION("""COMPUTED_VALUE"""),"Оренбург")</f>
        <v>Оренбург</v>
      </c>
      <c r="H152" s="4" t="str">
        <f>IFERROR(__xludf.DUMMYFUNCTION("""COMPUTED_VALUE"""),"ЖК Премьер 2")</f>
        <v>ЖК Премьер 2</v>
      </c>
      <c r="I152" s="4"/>
      <c r="J152" s="4"/>
      <c r="K152" s="4"/>
      <c r="L152" s="4"/>
      <c r="M152" s="4"/>
      <c r="N152" s="4"/>
      <c r="O152" s="4"/>
      <c r="P152" s="4"/>
      <c r="Q152" s="4"/>
      <c r="R152" s="4"/>
      <c r="S152" s="4"/>
      <c r="T152" s="4"/>
      <c r="U152" s="4"/>
      <c r="V152" s="4"/>
      <c r="W152" s="4"/>
      <c r="X152" s="4"/>
      <c r="Y152" s="4"/>
      <c r="Z152" s="4"/>
    </row>
    <row r="153">
      <c r="A153" s="167"/>
      <c r="B153" s="167"/>
      <c r="C153" s="60" t="s">
        <v>1606</v>
      </c>
      <c r="D153" s="4"/>
      <c r="E153" s="4"/>
      <c r="F153" s="4" t="str">
        <f>IFERROR(__xludf.DUMMYFUNCTION("""COMPUTED_VALUE"""),"Оренбургская область")</f>
        <v>Оренбургская область</v>
      </c>
      <c r="G153" s="4" t="str">
        <f>IFERROR(__xludf.DUMMYFUNCTION("""COMPUTED_VALUE"""),"Оренбург")</f>
        <v>Оренбург</v>
      </c>
      <c r="H153" s="4" t="str">
        <f>IFERROR(__xludf.DUMMYFUNCTION("""COMPUTED_VALUE"""),"ЖК Просторная")</f>
        <v>ЖК Просторная</v>
      </c>
      <c r="I153" s="4"/>
      <c r="J153" s="4"/>
      <c r="K153" s="4"/>
      <c r="L153" s="4"/>
      <c r="M153" s="4"/>
      <c r="N153" s="4"/>
      <c r="O153" s="4"/>
      <c r="P153" s="4"/>
      <c r="Q153" s="4"/>
      <c r="R153" s="4"/>
      <c r="S153" s="4"/>
      <c r="T153" s="4"/>
      <c r="U153" s="4"/>
      <c r="V153" s="4"/>
      <c r="W153" s="4"/>
      <c r="X153" s="4"/>
      <c r="Y153" s="4"/>
      <c r="Z153" s="4"/>
    </row>
    <row r="154">
      <c r="A154" s="167"/>
      <c r="B154" s="167"/>
      <c r="C154" s="60" t="s">
        <v>1611</v>
      </c>
      <c r="D154" s="4"/>
      <c r="E154" s="4"/>
      <c r="F154" s="4" t="str">
        <f>IFERROR(__xludf.DUMMYFUNCTION("""COMPUTED_VALUE"""),"Оренбургская область")</f>
        <v>Оренбургская область</v>
      </c>
      <c r="G154" s="4" t="str">
        <f>IFERROR(__xludf.DUMMYFUNCTION("""COMPUTED_VALUE"""),"Оренбург")</f>
        <v>Оренбург</v>
      </c>
      <c r="H154" s="4" t="str">
        <f>IFERROR(__xludf.DUMMYFUNCTION("""COMPUTED_VALUE"""),"ЖК Риверсайд")</f>
        <v>ЖК Риверсайд</v>
      </c>
      <c r="I154" s="4"/>
      <c r="J154" s="4"/>
      <c r="K154" s="4"/>
      <c r="L154" s="4"/>
      <c r="M154" s="4"/>
      <c r="N154" s="4"/>
      <c r="O154" s="4"/>
      <c r="P154" s="4"/>
      <c r="Q154" s="4"/>
      <c r="R154" s="4"/>
      <c r="S154" s="4"/>
      <c r="T154" s="4"/>
      <c r="U154" s="4"/>
      <c r="V154" s="4"/>
      <c r="W154" s="4"/>
      <c r="X154" s="4"/>
      <c r="Y154" s="4"/>
      <c r="Z154" s="4"/>
    </row>
    <row r="155">
      <c r="A155" s="167"/>
      <c r="B155" s="167"/>
      <c r="C155" s="60" t="s">
        <v>1617</v>
      </c>
      <c r="D155" s="4"/>
      <c r="E155" s="4"/>
      <c r="F155" s="4" t="str">
        <f>IFERROR(__xludf.DUMMYFUNCTION("""COMPUTED_VALUE"""),"Оренбургская область")</f>
        <v>Оренбургская область</v>
      </c>
      <c r="G155" s="4" t="str">
        <f>IFERROR(__xludf.DUMMYFUNCTION("""COMPUTED_VALUE"""),"Оренбург")</f>
        <v>Оренбург</v>
      </c>
      <c r="H155" s="4" t="str">
        <f>IFERROR(__xludf.DUMMYFUNCTION("""COMPUTED_VALUE"""),"ЖК Риверсайд 2")</f>
        <v>ЖК Риверсайд 2</v>
      </c>
      <c r="I155" s="4"/>
      <c r="J155" s="4"/>
      <c r="K155" s="4"/>
      <c r="L155" s="4"/>
      <c r="M155" s="4"/>
      <c r="N155" s="4"/>
      <c r="O155" s="4"/>
      <c r="P155" s="4"/>
      <c r="Q155" s="4"/>
      <c r="R155" s="4"/>
      <c r="S155" s="4"/>
      <c r="T155" s="4"/>
      <c r="U155" s="4"/>
      <c r="V155" s="4"/>
      <c r="W155" s="4"/>
      <c r="X155" s="4"/>
      <c r="Y155" s="4"/>
      <c r="Z155" s="4"/>
    </row>
    <row r="156">
      <c r="A156" s="167"/>
      <c r="B156" s="167"/>
      <c r="C156" s="60" t="s">
        <v>1622</v>
      </c>
      <c r="D156" s="4"/>
      <c r="E156" s="4"/>
      <c r="F156" s="4" t="str">
        <f>IFERROR(__xludf.DUMMYFUNCTION("""COMPUTED_VALUE"""),"Оренбургская область")</f>
        <v>Оренбургская область</v>
      </c>
      <c r="G156" s="4" t="str">
        <f>IFERROR(__xludf.DUMMYFUNCTION("""COMPUTED_VALUE"""),"Оренбург")</f>
        <v>Оренбург</v>
      </c>
      <c r="H156" s="4" t="str">
        <f>IFERROR(__xludf.DUMMYFUNCTION("""COMPUTED_VALUE"""),"ЖК Северный проезд")</f>
        <v>ЖК Северный проезд</v>
      </c>
      <c r="I156" s="4"/>
      <c r="J156" s="4"/>
      <c r="K156" s="4"/>
      <c r="L156" s="4"/>
      <c r="M156" s="4"/>
      <c r="N156" s="4"/>
      <c r="O156" s="4"/>
      <c r="P156" s="4"/>
      <c r="Q156" s="4"/>
      <c r="R156" s="4"/>
      <c r="S156" s="4"/>
      <c r="T156" s="4"/>
      <c r="U156" s="4"/>
      <c r="V156" s="4"/>
      <c r="W156" s="4"/>
      <c r="X156" s="4"/>
      <c r="Y156" s="4"/>
      <c r="Z156" s="4"/>
    </row>
    <row r="157">
      <c r="A157" s="167"/>
      <c r="B157" s="167"/>
      <c r="C157" s="60" t="s">
        <v>1627</v>
      </c>
      <c r="D157" s="4"/>
      <c r="E157" s="4"/>
      <c r="F157" s="4" t="str">
        <f>IFERROR(__xludf.DUMMYFUNCTION("""COMPUTED_VALUE"""),"Оренбургская область")</f>
        <v>Оренбургская область</v>
      </c>
      <c r="G157" s="4" t="str">
        <f>IFERROR(__xludf.DUMMYFUNCTION("""COMPUTED_VALUE"""),"Оренбург")</f>
        <v>Оренбург</v>
      </c>
      <c r="H157" s="4" t="str">
        <f>IFERROR(__xludf.DUMMYFUNCTION("""COMPUTED_VALUE"""),"ЖК Фермер")</f>
        <v>ЖК Фермер</v>
      </c>
      <c r="I157" s="4"/>
      <c r="J157" s="4"/>
      <c r="K157" s="4"/>
      <c r="L157" s="4"/>
      <c r="M157" s="4"/>
      <c r="N157" s="4"/>
      <c r="O157" s="4"/>
      <c r="P157" s="4"/>
      <c r="Q157" s="4"/>
      <c r="R157" s="4"/>
      <c r="S157" s="4"/>
      <c r="T157" s="4"/>
      <c r="U157" s="4"/>
      <c r="V157" s="4"/>
      <c r="W157" s="4"/>
      <c r="X157" s="4"/>
      <c r="Y157" s="4"/>
      <c r="Z157" s="4"/>
    </row>
    <row r="158">
      <c r="A158" s="167"/>
      <c r="B158" s="167"/>
      <c r="C158" s="60" t="s">
        <v>1635</v>
      </c>
      <c r="D158" s="4"/>
      <c r="E158" s="4"/>
      <c r="F158" s="4" t="str">
        <f>IFERROR(__xludf.DUMMYFUNCTION("""COMPUTED_VALUE"""),"Оренбургская область")</f>
        <v>Оренбургская область</v>
      </c>
      <c r="G158" s="4" t="str">
        <f>IFERROR(__xludf.DUMMYFUNCTION("""COMPUTED_VALUE"""),"Оренбург")</f>
        <v>Оренбург</v>
      </c>
      <c r="H158" s="4" t="str">
        <f>IFERROR(__xludf.DUMMYFUNCTION("""COMPUTED_VALUE"""),"ЖК Фермер 2")</f>
        <v>ЖК Фермер 2</v>
      </c>
      <c r="I158" s="4"/>
      <c r="J158" s="4"/>
      <c r="K158" s="4"/>
      <c r="L158" s="4"/>
      <c r="M158" s="4"/>
      <c r="N158" s="4"/>
      <c r="O158" s="4"/>
      <c r="P158" s="4"/>
      <c r="Q158" s="4"/>
      <c r="R158" s="4"/>
      <c r="S158" s="4"/>
      <c r="T158" s="4"/>
      <c r="U158" s="4"/>
      <c r="V158" s="4"/>
      <c r="W158" s="4"/>
      <c r="X158" s="4"/>
      <c r="Y158" s="4"/>
      <c r="Z158" s="4"/>
    </row>
    <row r="159">
      <c r="A159" s="167"/>
      <c r="B159" s="167"/>
      <c r="C159" s="60" t="s">
        <v>1648</v>
      </c>
      <c r="D159" s="4"/>
      <c r="E159" s="4"/>
      <c r="F159" s="4" t="str">
        <f>IFERROR(__xludf.DUMMYFUNCTION("""COMPUTED_VALUE"""),"Оренбургская область")</f>
        <v>Оренбургская область</v>
      </c>
      <c r="G159" s="4" t="str">
        <f>IFERROR(__xludf.DUMMYFUNCTION("""COMPUTED_VALUE"""),"Оренбург")</f>
        <v>Оренбург</v>
      </c>
      <c r="H159" s="4" t="str">
        <f>IFERROR(__xludf.DUMMYFUNCTION("""COMPUTED_VALUE"""),"ЖК Хусаиновых")</f>
        <v>ЖК Хусаиновых</v>
      </c>
      <c r="I159" s="4"/>
      <c r="J159" s="4"/>
      <c r="K159" s="4"/>
      <c r="L159" s="4"/>
      <c r="M159" s="4"/>
      <c r="N159" s="4"/>
      <c r="O159" s="4"/>
      <c r="P159" s="4"/>
      <c r="Q159" s="4"/>
      <c r="R159" s="4"/>
      <c r="S159" s="4"/>
      <c r="T159" s="4"/>
      <c r="U159" s="4"/>
      <c r="V159" s="4"/>
      <c r="W159" s="4"/>
      <c r="X159" s="4"/>
      <c r="Y159" s="4"/>
      <c r="Z159" s="4"/>
    </row>
    <row r="160">
      <c r="A160" s="167"/>
      <c r="B160" s="167"/>
      <c r="C160" s="60" t="s">
        <v>1653</v>
      </c>
      <c r="D160" s="4"/>
      <c r="E160" s="4"/>
      <c r="F160" s="4" t="str">
        <f>IFERROR(__xludf.DUMMYFUNCTION("""COMPUTED_VALUE"""),"Оренбургская область")</f>
        <v>Оренбургская область</v>
      </c>
      <c r="G160" s="4" t="str">
        <f>IFERROR(__xludf.DUMMYFUNCTION("""COMPUTED_VALUE"""),"Оренбург")</f>
        <v>Оренбург</v>
      </c>
      <c r="H160" s="4" t="str">
        <f>IFERROR(__xludf.DUMMYFUNCTION("""COMPUTED_VALUE"""),"ЖК Чкалова")</f>
        <v>ЖК Чкалова</v>
      </c>
      <c r="I160" s="4"/>
      <c r="J160" s="4"/>
      <c r="K160" s="4"/>
      <c r="L160" s="4"/>
      <c r="M160" s="4"/>
      <c r="N160" s="4"/>
      <c r="O160" s="4"/>
      <c r="P160" s="4"/>
      <c r="Q160" s="4"/>
      <c r="R160" s="4"/>
      <c r="S160" s="4"/>
      <c r="T160" s="4"/>
      <c r="U160" s="4"/>
      <c r="V160" s="4"/>
      <c r="W160" s="4"/>
      <c r="X160" s="4"/>
      <c r="Y160" s="4"/>
      <c r="Z160" s="4"/>
    </row>
    <row r="161">
      <c r="A161" s="167"/>
      <c r="B161" s="167"/>
      <c r="C161" s="60" t="s">
        <v>1658</v>
      </c>
      <c r="D161" s="4"/>
      <c r="E161" s="4"/>
      <c r="F161" s="4" t="str">
        <f>IFERROR(__xludf.DUMMYFUNCTION("""COMPUTED_VALUE"""),"Оренбургская область")</f>
        <v>Оренбургская область</v>
      </c>
      <c r="G161" s="4" t="str">
        <f>IFERROR(__xludf.DUMMYFUNCTION("""COMPUTED_VALUE"""),"Оренбург")</f>
        <v>Оренбург</v>
      </c>
      <c r="H161" s="4" t="str">
        <f>IFERROR(__xludf.DUMMYFUNCTION("""COMPUTED_VALUE"""),"ЖК Южный")</f>
        <v>ЖК Южный</v>
      </c>
      <c r="I161" s="4"/>
      <c r="J161" s="4"/>
      <c r="K161" s="4"/>
      <c r="L161" s="4"/>
      <c r="M161" s="4"/>
      <c r="N161" s="4"/>
      <c r="O161" s="4"/>
      <c r="P161" s="4"/>
      <c r="Q161" s="4"/>
      <c r="R161" s="4"/>
      <c r="S161" s="4"/>
      <c r="T161" s="4"/>
      <c r="U161" s="4"/>
      <c r="V161" s="4"/>
      <c r="W161" s="4"/>
      <c r="X161" s="4"/>
      <c r="Y161" s="4"/>
      <c r="Z161" s="4"/>
    </row>
    <row r="162">
      <c r="A162" s="167"/>
      <c r="B162" s="167"/>
      <c r="C162" s="60" t="s">
        <v>1663</v>
      </c>
      <c r="D162" s="4"/>
      <c r="E162" s="4"/>
      <c r="F162" s="4" t="str">
        <f>IFERROR(__xludf.DUMMYFUNCTION("""COMPUTED_VALUE"""),"Оренбургская область")</f>
        <v>Оренбургская область</v>
      </c>
      <c r="G162" s="4" t="str">
        <f>IFERROR(__xludf.DUMMYFUNCTION("""COMPUTED_VALUE"""),"Оренбург")</f>
        <v>Оренбург</v>
      </c>
      <c r="H162" s="4" t="str">
        <f>IFERROR(__xludf.DUMMYFUNCTION("""COMPUTED_VALUE"""),"ЖК Юркина")</f>
        <v>ЖК Юркина</v>
      </c>
      <c r="I162" s="4"/>
      <c r="J162" s="4"/>
      <c r="K162" s="4"/>
      <c r="L162" s="4"/>
      <c r="M162" s="4"/>
      <c r="N162" s="4"/>
      <c r="O162" s="4"/>
      <c r="P162" s="4"/>
      <c r="Q162" s="4"/>
      <c r="R162" s="4"/>
      <c r="S162" s="4"/>
      <c r="T162" s="4"/>
      <c r="U162" s="4"/>
      <c r="V162" s="4"/>
      <c r="W162" s="4"/>
      <c r="X162" s="4"/>
      <c r="Y162" s="4"/>
      <c r="Z162" s="4"/>
    </row>
    <row r="163">
      <c r="A163" s="167"/>
      <c r="B163" s="167"/>
      <c r="C163" s="60" t="s">
        <v>1668</v>
      </c>
      <c r="D163" s="4"/>
      <c r="E163" s="4"/>
      <c r="F163" s="4" t="str">
        <f>IFERROR(__xludf.DUMMYFUNCTION("""COMPUTED_VALUE"""),"Оренбургская область")</f>
        <v>Оренбургская область</v>
      </c>
      <c r="G163" s="4" t="str">
        <f>IFERROR(__xludf.DUMMYFUNCTION("""COMPUTED_VALUE"""),"Оренбург")</f>
        <v>Оренбург</v>
      </c>
      <c r="H163" s="4" t="str">
        <f>IFERROR(__xludf.DUMMYFUNCTION("""COMPUTED_VALUE"""),"ЖК Юркина 2")</f>
        <v>ЖК Юркина 2</v>
      </c>
      <c r="I163" s="4"/>
      <c r="J163" s="4"/>
      <c r="K163" s="4"/>
      <c r="L163" s="4"/>
      <c r="M163" s="4"/>
      <c r="N163" s="4"/>
      <c r="O163" s="4"/>
      <c r="P163" s="4"/>
      <c r="Q163" s="4"/>
      <c r="R163" s="4"/>
      <c r="S163" s="4"/>
      <c r="T163" s="4"/>
      <c r="U163" s="4"/>
      <c r="V163" s="4"/>
      <c r="W163" s="4"/>
      <c r="X163" s="4"/>
      <c r="Y163" s="4"/>
      <c r="Z163" s="4"/>
    </row>
    <row r="164">
      <c r="A164" s="167"/>
      <c r="B164" s="167"/>
      <c r="C164" s="60" t="s">
        <v>1673</v>
      </c>
      <c r="D164" s="4"/>
      <c r="E164" s="4"/>
      <c r="F164" s="4" t="str">
        <f>IFERROR(__xludf.DUMMYFUNCTION("""COMPUTED_VALUE"""),"Республика Башкортостан")</f>
        <v>Республика Башкортостан</v>
      </c>
      <c r="G164" s="4" t="str">
        <f>IFERROR(__xludf.DUMMYFUNCTION("""COMPUTED_VALUE"""),"Нефтекамск")</f>
        <v>Нефтекамск</v>
      </c>
      <c r="H164" s="4" t="str">
        <f>IFERROR(__xludf.DUMMYFUNCTION("""COMPUTED_VALUE"""),"ЖК Городской")</f>
        <v>ЖК Городской</v>
      </c>
      <c r="I164" s="4"/>
      <c r="J164" s="4"/>
      <c r="K164" s="4"/>
      <c r="L164" s="4"/>
      <c r="M164" s="4"/>
      <c r="N164" s="4"/>
      <c r="O164" s="4"/>
      <c r="P164" s="4"/>
      <c r="Q164" s="4"/>
      <c r="R164" s="4"/>
      <c r="S164" s="4"/>
      <c r="T164" s="4"/>
      <c r="U164" s="4"/>
      <c r="V164" s="4"/>
      <c r="W164" s="4"/>
      <c r="X164" s="4"/>
      <c r="Y164" s="4"/>
      <c r="Z164" s="4"/>
    </row>
    <row r="165">
      <c r="A165" s="167"/>
      <c r="B165" s="167"/>
      <c r="C165" s="60" t="s">
        <v>1675</v>
      </c>
      <c r="D165" s="4"/>
      <c r="E165" s="4"/>
      <c r="F165" s="4" t="str">
        <f>IFERROR(__xludf.DUMMYFUNCTION("""COMPUTED_VALUE"""),"Республика Башкортостан")</f>
        <v>Республика Башкортостан</v>
      </c>
      <c r="G165" s="4" t="str">
        <f>IFERROR(__xludf.DUMMYFUNCTION("""COMPUTED_VALUE"""),"Нефтекамск")</f>
        <v>Нефтекамск</v>
      </c>
      <c r="H165" s="4" t="str">
        <f>IFERROR(__xludf.DUMMYFUNCTION("""COMPUTED_VALUE"""),"ЖК Лайф")</f>
        <v>ЖК Лайф</v>
      </c>
      <c r="I165" s="4"/>
      <c r="J165" s="4"/>
      <c r="K165" s="4"/>
      <c r="L165" s="4"/>
      <c r="M165" s="4"/>
      <c r="N165" s="4"/>
      <c r="O165" s="4"/>
      <c r="P165" s="4"/>
      <c r="Q165" s="4"/>
      <c r="R165" s="4"/>
      <c r="S165" s="4"/>
      <c r="T165" s="4"/>
      <c r="U165" s="4"/>
      <c r="V165" s="4"/>
      <c r="W165" s="4"/>
      <c r="X165" s="4"/>
      <c r="Y165" s="4"/>
      <c r="Z165" s="4"/>
    </row>
    <row r="166">
      <c r="A166" s="167"/>
      <c r="B166" s="167"/>
      <c r="C166" s="60" t="s">
        <v>1680</v>
      </c>
      <c r="D166" s="4"/>
      <c r="E166" s="4"/>
      <c r="F166" s="4" t="str">
        <f>IFERROR(__xludf.DUMMYFUNCTION("""COMPUTED_VALUE"""),"Республика Башкортостан")</f>
        <v>Республика Башкортостан</v>
      </c>
      <c r="G166" s="4" t="str">
        <f>IFERROR(__xludf.DUMMYFUNCTION("""COMPUTED_VALUE"""),"Октябрьский")</f>
        <v>Октябрьский</v>
      </c>
      <c r="H166" s="4" t="str">
        <f>IFERROR(__xludf.DUMMYFUNCTION("""COMPUTED_VALUE"""),"ЖК Парковая")</f>
        <v>ЖК Парковая</v>
      </c>
      <c r="I166" s="4"/>
      <c r="J166" s="4"/>
      <c r="K166" s="4"/>
      <c r="L166" s="4"/>
      <c r="M166" s="4"/>
      <c r="N166" s="4"/>
      <c r="O166" s="4"/>
      <c r="P166" s="4"/>
      <c r="Q166" s="4"/>
      <c r="R166" s="4"/>
      <c r="S166" s="4"/>
      <c r="T166" s="4"/>
      <c r="U166" s="4"/>
      <c r="V166" s="4"/>
      <c r="W166" s="4"/>
      <c r="X166" s="4"/>
      <c r="Y166" s="4"/>
      <c r="Z166" s="4"/>
    </row>
    <row r="167">
      <c r="A167" s="167"/>
      <c r="B167" s="167"/>
      <c r="C167" s="60" t="s">
        <v>1688</v>
      </c>
      <c r="D167" s="4"/>
      <c r="E167" s="4"/>
      <c r="F167" s="4" t="str">
        <f>IFERROR(__xludf.DUMMYFUNCTION("""COMPUTED_VALUE"""),"Республика Башкортостан")</f>
        <v>Республика Башкортостан</v>
      </c>
      <c r="G167" s="4" t="str">
        <f>IFERROR(__xludf.DUMMYFUNCTION("""COMPUTED_VALUE"""),"Стерлитамак")</f>
        <v>Стерлитамак</v>
      </c>
      <c r="H167" s="4" t="str">
        <f>IFERROR(__xludf.DUMMYFUNCTION("""COMPUTED_VALUE""")," ЖК Браво     ")</f>
        <v> ЖК Браво     </v>
      </c>
      <c r="I167" s="4"/>
      <c r="J167" s="4"/>
      <c r="K167" s="4"/>
      <c r="L167" s="4"/>
      <c r="M167" s="4"/>
      <c r="N167" s="4"/>
      <c r="O167" s="4"/>
      <c r="P167" s="4"/>
      <c r="Q167" s="4"/>
      <c r="R167" s="4"/>
      <c r="S167" s="4"/>
      <c r="T167" s="4"/>
      <c r="U167" s="4"/>
      <c r="V167" s="4"/>
      <c r="W167" s="4"/>
      <c r="X167" s="4"/>
      <c r="Y167" s="4"/>
      <c r="Z167" s="4"/>
    </row>
    <row r="168">
      <c r="A168" s="167"/>
      <c r="B168" s="167"/>
      <c r="C168" s="60" t="s">
        <v>1694</v>
      </c>
      <c r="D168" s="4"/>
      <c r="E168" s="4"/>
      <c r="F168" s="4" t="str">
        <f>IFERROR(__xludf.DUMMYFUNCTION("""COMPUTED_VALUE"""),"Республика Башкортостан")</f>
        <v>Республика Башкортостан</v>
      </c>
      <c r="G168" s="4" t="str">
        <f>IFERROR(__xludf.DUMMYFUNCTION("""COMPUTED_VALUE"""),"Стерлитамак")</f>
        <v>Стерлитамак</v>
      </c>
      <c r="H168" s="4" t="str">
        <f>IFERROR(__xludf.DUMMYFUNCTION("""COMPUTED_VALUE""")," ЖК Браво 2")</f>
        <v> ЖК Браво 2</v>
      </c>
      <c r="I168" s="4"/>
      <c r="J168" s="4"/>
      <c r="K168" s="4"/>
      <c r="L168" s="4"/>
      <c r="M168" s="4"/>
      <c r="N168" s="4"/>
      <c r="O168" s="4"/>
      <c r="P168" s="4"/>
      <c r="Q168" s="4"/>
      <c r="R168" s="4"/>
      <c r="S168" s="4"/>
      <c r="T168" s="4"/>
      <c r="U168" s="4"/>
      <c r="V168" s="4"/>
      <c r="W168" s="4"/>
      <c r="X168" s="4"/>
      <c r="Y168" s="4"/>
      <c r="Z168" s="4"/>
    </row>
    <row r="169">
      <c r="A169" s="167"/>
      <c r="B169" s="167"/>
      <c r="C169" s="60" t="s">
        <v>1699</v>
      </c>
      <c r="D169" s="4"/>
      <c r="E169" s="4"/>
      <c r="F169" s="4" t="str">
        <f>IFERROR(__xludf.DUMMYFUNCTION("""COMPUTED_VALUE"""),"Республика Башкортостан")</f>
        <v>Республика Башкортостан</v>
      </c>
      <c r="G169" s="4" t="str">
        <f>IFERROR(__xludf.DUMMYFUNCTION("""COMPUTED_VALUE"""),"Стерлитамак")</f>
        <v>Стерлитамак</v>
      </c>
      <c r="H169" s="4" t="str">
        <f>IFERROR(__xludf.DUMMYFUNCTION("""COMPUTED_VALUE"""),"ЖК на Проспекте Октября 85")</f>
        <v>ЖК на Проспекте Октября 85</v>
      </c>
      <c r="I169" s="4"/>
      <c r="J169" s="4"/>
      <c r="K169" s="4"/>
      <c r="L169" s="4"/>
      <c r="M169" s="4"/>
      <c r="N169" s="4"/>
      <c r="O169" s="4"/>
      <c r="P169" s="4"/>
      <c r="Q169" s="4"/>
      <c r="R169" s="4"/>
      <c r="S169" s="4"/>
      <c r="T169" s="4"/>
      <c r="U169" s="4"/>
      <c r="V169" s="4"/>
      <c r="W169" s="4"/>
      <c r="X169" s="4"/>
      <c r="Y169" s="4"/>
      <c r="Z169" s="4"/>
    </row>
    <row r="170">
      <c r="A170" s="167"/>
      <c r="B170" s="167"/>
      <c r="C170" s="60" t="s">
        <v>1707</v>
      </c>
      <c r="D170" s="4"/>
      <c r="E170" s="4"/>
      <c r="F170" s="4" t="str">
        <f>IFERROR(__xludf.DUMMYFUNCTION("""COMPUTED_VALUE"""),"Республика Башкортостан")</f>
        <v>Республика Башкортостан</v>
      </c>
      <c r="G170" s="4" t="str">
        <f>IFERROR(__xludf.DUMMYFUNCTION("""COMPUTED_VALUE"""),"Стерлитамак")</f>
        <v>Стерлитамак</v>
      </c>
      <c r="H170" s="4" t="str">
        <f>IFERROR(__xludf.DUMMYFUNCTION("""COMPUTED_VALUE"""),"ЖК Шиханы")</f>
        <v>ЖК Шиханы</v>
      </c>
      <c r="I170" s="4"/>
      <c r="J170" s="4"/>
      <c r="K170" s="4"/>
      <c r="L170" s="4"/>
      <c r="M170" s="4"/>
      <c r="N170" s="4"/>
      <c r="O170" s="4"/>
      <c r="P170" s="4"/>
      <c r="Q170" s="4"/>
      <c r="R170" s="4"/>
      <c r="S170" s="4"/>
      <c r="T170" s="4"/>
      <c r="U170" s="4"/>
      <c r="V170" s="4"/>
      <c r="W170" s="4"/>
      <c r="X170" s="4"/>
      <c r="Y170" s="4"/>
      <c r="Z170" s="4"/>
    </row>
    <row r="171">
      <c r="A171" s="167"/>
      <c r="B171" s="167"/>
      <c r="C171" s="60" t="s">
        <v>1716</v>
      </c>
      <c r="D171" s="4"/>
      <c r="E171" s="4"/>
      <c r="F171" s="4" t="str">
        <f>IFERROR(__xludf.DUMMYFUNCTION("""COMPUTED_VALUE"""),"Республика Башкортостан")</f>
        <v>Республика Башкортостан</v>
      </c>
      <c r="G171" s="4" t="str">
        <f>IFERROR(__xludf.DUMMYFUNCTION("""COMPUTED_VALUE"""),"Стерлитамак")</f>
        <v>Стерлитамак</v>
      </c>
      <c r="H171" s="4" t="str">
        <f>IFERROR(__xludf.DUMMYFUNCTION("""COMPUTED_VALUE"""),"ЖК Шиханы 2")</f>
        <v>ЖК Шиханы 2</v>
      </c>
      <c r="I171" s="4"/>
      <c r="J171" s="4"/>
      <c r="K171" s="4"/>
      <c r="L171" s="4"/>
      <c r="M171" s="4"/>
      <c r="N171" s="4"/>
      <c r="O171" s="4"/>
      <c r="P171" s="4"/>
      <c r="Q171" s="4"/>
      <c r="R171" s="4"/>
      <c r="S171" s="4"/>
      <c r="T171" s="4"/>
      <c r="U171" s="4"/>
      <c r="V171" s="4"/>
      <c r="W171" s="4"/>
      <c r="X171" s="4"/>
      <c r="Y171" s="4"/>
      <c r="Z171" s="4"/>
    </row>
    <row r="172">
      <c r="A172" s="167"/>
      <c r="B172" s="167"/>
      <c r="C172" s="60" t="s">
        <v>1725</v>
      </c>
      <c r="D172" s="4"/>
      <c r="E172" s="4"/>
      <c r="F172" s="4" t="str">
        <f>IFERROR(__xludf.DUMMYFUNCTION("""COMPUTED_VALUE"""),"Республика Башкортостан")</f>
        <v>Республика Башкортостан</v>
      </c>
      <c r="G172" s="4" t="str">
        <f>IFERROR(__xludf.DUMMYFUNCTION("""COMPUTED_VALUE"""),"Уфа")</f>
        <v>Уфа</v>
      </c>
      <c r="H172" s="4" t="str">
        <f>IFERROR(__xludf.DUMMYFUNCTION("""COMPUTED_VALUE"""),"ЖК  Южный")</f>
        <v>ЖК  Южный</v>
      </c>
      <c r="I172" s="4"/>
      <c r="J172" s="4"/>
      <c r="K172" s="4"/>
      <c r="L172" s="4"/>
      <c r="M172" s="4"/>
      <c r="N172" s="4"/>
      <c r="O172" s="4"/>
      <c r="P172" s="4"/>
      <c r="Q172" s="4"/>
      <c r="R172" s="4"/>
      <c r="S172" s="4"/>
      <c r="T172" s="4"/>
      <c r="U172" s="4"/>
      <c r="V172" s="4"/>
      <c r="W172" s="4"/>
      <c r="X172" s="4"/>
      <c r="Y172" s="4"/>
      <c r="Z172" s="4"/>
    </row>
    <row r="173">
      <c r="A173" s="167"/>
      <c r="B173" s="167"/>
      <c r="C173" s="60" t="s">
        <v>1733</v>
      </c>
      <c r="D173" s="4"/>
      <c r="E173" s="4"/>
      <c r="F173" s="4" t="str">
        <f>IFERROR(__xludf.DUMMYFUNCTION("""COMPUTED_VALUE"""),"Республика Башкортостан")</f>
        <v>Республика Башкортостан</v>
      </c>
      <c r="G173" s="4" t="str">
        <f>IFERROR(__xludf.DUMMYFUNCTION("""COMPUTED_VALUE"""),"Уфа")</f>
        <v>Уфа</v>
      </c>
      <c r="H173" s="4" t="str">
        <f>IFERROR(__xludf.DUMMYFUNCTION("""COMPUTED_VALUE"""),"ЖК 8 Марта 1")</f>
        <v>ЖК 8 Марта 1</v>
      </c>
      <c r="I173" s="4"/>
      <c r="J173" s="4"/>
      <c r="K173" s="4"/>
      <c r="L173" s="4"/>
      <c r="M173" s="4"/>
      <c r="N173" s="4"/>
      <c r="O173" s="4"/>
      <c r="P173" s="4"/>
      <c r="Q173" s="4"/>
      <c r="R173" s="4"/>
      <c r="S173" s="4"/>
      <c r="T173" s="4"/>
      <c r="U173" s="4"/>
      <c r="V173" s="4"/>
      <c r="W173" s="4"/>
      <c r="X173" s="4"/>
      <c r="Y173" s="4"/>
      <c r="Z173" s="4"/>
    </row>
    <row r="174">
      <c r="A174" s="167"/>
      <c r="B174" s="167"/>
      <c r="C174" s="60" t="s">
        <v>1741</v>
      </c>
      <c r="D174" s="4"/>
      <c r="E174" s="4"/>
      <c r="F174" s="4" t="str">
        <f>IFERROR(__xludf.DUMMYFUNCTION("""COMPUTED_VALUE"""),"Республика Башкортостан")</f>
        <v>Республика Башкортостан</v>
      </c>
      <c r="G174" s="4" t="str">
        <f>IFERROR(__xludf.DUMMYFUNCTION("""COMPUTED_VALUE"""),"Уфа")</f>
        <v>Уфа</v>
      </c>
      <c r="H174" s="4" t="str">
        <f>IFERROR(__xludf.DUMMYFUNCTION("""COMPUTED_VALUE"""),"ЖК 8 Марта 2")</f>
        <v>ЖК 8 Марта 2</v>
      </c>
      <c r="I174" s="4"/>
      <c r="J174" s="4"/>
      <c r="K174" s="4"/>
      <c r="L174" s="4"/>
      <c r="M174" s="4"/>
      <c r="N174" s="4"/>
      <c r="O174" s="4"/>
      <c r="P174" s="4"/>
      <c r="Q174" s="4"/>
      <c r="R174" s="4"/>
      <c r="S174" s="4"/>
      <c r="T174" s="4"/>
      <c r="U174" s="4"/>
      <c r="V174" s="4"/>
      <c r="W174" s="4"/>
      <c r="X174" s="4"/>
      <c r="Y174" s="4"/>
      <c r="Z174" s="4"/>
    </row>
    <row r="175">
      <c r="A175" s="167"/>
      <c r="B175" s="167"/>
      <c r="C175" s="60" t="s">
        <v>1749</v>
      </c>
      <c r="D175" s="4"/>
      <c r="E175" s="4"/>
      <c r="F175" s="4" t="str">
        <f>IFERROR(__xludf.DUMMYFUNCTION("""COMPUTED_VALUE"""),"Республика Башкортостан")</f>
        <v>Республика Башкортостан</v>
      </c>
      <c r="G175" s="4" t="str">
        <f>IFERROR(__xludf.DUMMYFUNCTION("""COMPUTED_VALUE"""),"Уфа")</f>
        <v>Уфа</v>
      </c>
      <c r="H175" s="4" t="str">
        <f>IFERROR(__xludf.DUMMYFUNCTION("""COMPUTED_VALUE"""),"ЖК Акварель")</f>
        <v>ЖК Акварель</v>
      </c>
      <c r="I175" s="4"/>
      <c r="J175" s="4"/>
      <c r="K175" s="4"/>
      <c r="L175" s="4"/>
      <c r="M175" s="4"/>
      <c r="N175" s="4"/>
      <c r="O175" s="4"/>
      <c r="P175" s="4"/>
      <c r="Q175" s="4"/>
      <c r="R175" s="4"/>
      <c r="S175" s="4"/>
      <c r="T175" s="4"/>
      <c r="U175" s="4"/>
      <c r="V175" s="4"/>
      <c r="W175" s="4"/>
      <c r="X175" s="4"/>
      <c r="Y175" s="4"/>
      <c r="Z175" s="4"/>
    </row>
    <row r="176">
      <c r="A176" s="167"/>
      <c r="B176" s="167"/>
      <c r="C176" s="60" t="s">
        <v>1757</v>
      </c>
      <c r="D176" s="4"/>
      <c r="E176" s="4"/>
      <c r="F176" s="4" t="str">
        <f>IFERROR(__xludf.DUMMYFUNCTION("""COMPUTED_VALUE"""),"Республика Башкортостан")</f>
        <v>Республика Башкортостан</v>
      </c>
      <c r="G176" s="4" t="str">
        <f>IFERROR(__xludf.DUMMYFUNCTION("""COMPUTED_VALUE"""),"Уфа")</f>
        <v>Уфа</v>
      </c>
      <c r="H176" s="4" t="str">
        <f>IFERROR(__xludf.DUMMYFUNCTION("""COMPUTED_VALUE"""),"ЖК Аксаковский ")</f>
        <v>ЖК Аксаковский </v>
      </c>
      <c r="I176" s="4"/>
      <c r="J176" s="4"/>
      <c r="K176" s="4"/>
      <c r="L176" s="4"/>
      <c r="M176" s="4"/>
      <c r="N176" s="4"/>
      <c r="O176" s="4"/>
      <c r="P176" s="4"/>
      <c r="Q176" s="4"/>
      <c r="R176" s="4"/>
      <c r="S176" s="4"/>
      <c r="T176" s="4"/>
      <c r="U176" s="4"/>
      <c r="V176" s="4"/>
      <c r="W176" s="4"/>
      <c r="X176" s="4"/>
      <c r="Y176" s="4"/>
      <c r="Z176" s="4"/>
    </row>
    <row r="177">
      <c r="A177" s="167"/>
      <c r="B177" s="167"/>
      <c r="C177" s="60" t="s">
        <v>1765</v>
      </c>
      <c r="D177" s="4"/>
      <c r="E177" s="4"/>
      <c r="F177" s="4" t="str">
        <f>IFERROR(__xludf.DUMMYFUNCTION("""COMPUTED_VALUE"""),"Республика Башкортостан")</f>
        <v>Республика Башкортостан</v>
      </c>
      <c r="G177" s="4" t="str">
        <f>IFERROR(__xludf.DUMMYFUNCTION("""COMPUTED_VALUE"""),"Уфа")</f>
        <v>Уфа</v>
      </c>
      <c r="H177" s="4" t="str">
        <f>IFERROR(__xludf.DUMMYFUNCTION("""COMPUTED_VALUE"""),"ЖК Аксаковский Сад")</f>
        <v>ЖК Аксаковский Сад</v>
      </c>
      <c r="I177" s="4"/>
      <c r="J177" s="4"/>
      <c r="K177" s="4"/>
      <c r="L177" s="4"/>
      <c r="M177" s="4"/>
      <c r="N177" s="4"/>
      <c r="O177" s="4"/>
      <c r="P177" s="4"/>
      <c r="Q177" s="4"/>
      <c r="R177" s="4"/>
      <c r="S177" s="4"/>
      <c r="T177" s="4"/>
      <c r="U177" s="4"/>
      <c r="V177" s="4"/>
      <c r="W177" s="4"/>
      <c r="X177" s="4"/>
      <c r="Y177" s="4"/>
      <c r="Z177" s="4"/>
    </row>
    <row r="178">
      <c r="A178" s="167"/>
      <c r="B178" s="167"/>
      <c r="C178" s="60" t="s">
        <v>1773</v>
      </c>
      <c r="D178" s="4"/>
      <c r="E178" s="4"/>
      <c r="F178" s="4" t="str">
        <f>IFERROR(__xludf.DUMMYFUNCTION("""COMPUTED_VALUE"""),"Республика Башкортостан")</f>
        <v>Республика Башкортостан</v>
      </c>
      <c r="G178" s="4" t="str">
        <f>IFERROR(__xludf.DUMMYFUNCTION("""COMPUTED_VALUE"""),"Уфа")</f>
        <v>Уфа</v>
      </c>
      <c r="H178" s="4" t="str">
        <f>IFERROR(__xludf.DUMMYFUNCTION("""COMPUTED_VALUE"""),"ЖК Арбат")</f>
        <v>ЖК Арбат</v>
      </c>
      <c r="I178" s="4"/>
      <c r="J178" s="4"/>
      <c r="K178" s="4"/>
      <c r="L178" s="4"/>
      <c r="M178" s="4"/>
      <c r="N178" s="4"/>
      <c r="O178" s="4"/>
      <c r="P178" s="4"/>
      <c r="Q178" s="4"/>
      <c r="R178" s="4"/>
      <c r="S178" s="4"/>
      <c r="T178" s="4"/>
      <c r="U178" s="4"/>
      <c r="V178" s="4"/>
      <c r="W178" s="4"/>
      <c r="X178" s="4"/>
      <c r="Y178" s="4"/>
      <c r="Z178" s="4"/>
    </row>
    <row r="179">
      <c r="A179" s="167"/>
      <c r="B179" s="167"/>
      <c r="C179" s="60" t="s">
        <v>1781</v>
      </c>
      <c r="D179" s="4"/>
      <c r="E179" s="4"/>
      <c r="F179" s="4" t="str">
        <f>IFERROR(__xludf.DUMMYFUNCTION("""COMPUTED_VALUE"""),"Республика Башкортостан")</f>
        <v>Республика Башкортостан</v>
      </c>
      <c r="G179" s="4" t="str">
        <f>IFERROR(__xludf.DUMMYFUNCTION("""COMPUTED_VALUE"""),"Уфа")</f>
        <v>Уфа</v>
      </c>
      <c r="H179" s="4" t="str">
        <f>IFERROR(__xludf.DUMMYFUNCTION("""COMPUTED_VALUE"""),"ЖК Арена")</f>
        <v>ЖК Арена</v>
      </c>
      <c r="I179" s="4"/>
      <c r="J179" s="4"/>
      <c r="K179" s="4"/>
      <c r="L179" s="4"/>
      <c r="M179" s="4"/>
      <c r="N179" s="4"/>
      <c r="O179" s="4"/>
      <c r="P179" s="4"/>
      <c r="Q179" s="4"/>
      <c r="R179" s="4"/>
      <c r="S179" s="4"/>
      <c r="T179" s="4"/>
      <c r="U179" s="4"/>
      <c r="V179" s="4"/>
      <c r="W179" s="4"/>
      <c r="X179" s="4"/>
      <c r="Y179" s="4"/>
      <c r="Z179" s="4"/>
    </row>
    <row r="180">
      <c r="A180" s="167"/>
      <c r="B180" s="167"/>
      <c r="C180" s="60" t="s">
        <v>1786</v>
      </c>
      <c r="D180" s="4"/>
      <c r="E180" s="4"/>
      <c r="F180" s="4" t="str">
        <f>IFERROR(__xludf.DUMMYFUNCTION("""COMPUTED_VALUE"""),"Республика Башкортостан")</f>
        <v>Республика Башкортостан</v>
      </c>
      <c r="G180" s="4" t="str">
        <f>IFERROR(__xludf.DUMMYFUNCTION("""COMPUTED_VALUE"""),"Уфа")</f>
        <v>Уфа</v>
      </c>
      <c r="H180" s="4" t="str">
        <f>IFERROR(__xludf.DUMMYFUNCTION("""COMPUTED_VALUE"""),"ЖК Бакалинская")</f>
        <v>ЖК Бакалинская</v>
      </c>
      <c r="I180" s="4"/>
      <c r="J180" s="4"/>
      <c r="K180" s="4"/>
      <c r="L180" s="4"/>
      <c r="M180" s="4"/>
      <c r="N180" s="4"/>
      <c r="O180" s="4"/>
      <c r="P180" s="4"/>
      <c r="Q180" s="4"/>
      <c r="R180" s="4"/>
      <c r="S180" s="4"/>
      <c r="T180" s="4"/>
      <c r="U180" s="4"/>
      <c r="V180" s="4"/>
      <c r="W180" s="4"/>
      <c r="X180" s="4"/>
      <c r="Y180" s="4"/>
      <c r="Z180" s="4"/>
    </row>
    <row r="181">
      <c r="A181" s="167"/>
      <c r="B181" s="167"/>
      <c r="C181" s="173" t="s">
        <v>1793</v>
      </c>
      <c r="D181" s="4"/>
      <c r="E181" s="4"/>
      <c r="F181" s="4" t="str">
        <f>IFERROR(__xludf.DUMMYFUNCTION("""COMPUTED_VALUE"""),"Республика Башкортостан")</f>
        <v>Республика Башкортостан</v>
      </c>
      <c r="G181" s="4" t="str">
        <f>IFERROR(__xludf.DUMMYFUNCTION("""COMPUTED_VALUE"""),"Уфа")</f>
        <v>Уфа</v>
      </c>
      <c r="H181" s="4" t="str">
        <f>IFERROR(__xludf.DUMMYFUNCTION("""COMPUTED_VALUE"""),"ЖК Белая река")</f>
        <v>ЖК Белая река</v>
      </c>
      <c r="I181" s="4"/>
      <c r="J181" s="4"/>
      <c r="K181" s="4"/>
      <c r="L181" s="4"/>
      <c r="M181" s="4"/>
      <c r="N181" s="4"/>
      <c r="O181" s="4"/>
      <c r="P181" s="4"/>
      <c r="Q181" s="4"/>
      <c r="R181" s="4"/>
      <c r="S181" s="4"/>
      <c r="T181" s="4"/>
      <c r="U181" s="4"/>
      <c r="V181" s="4"/>
      <c r="W181" s="4"/>
      <c r="X181" s="4"/>
      <c r="Y181" s="4"/>
      <c r="Z181" s="4"/>
    </row>
    <row r="182">
      <c r="A182" s="167"/>
      <c r="B182" s="167"/>
      <c r="C182" s="173" t="s">
        <v>2938</v>
      </c>
      <c r="D182" s="4"/>
      <c r="E182" s="4"/>
      <c r="F182" s="4" t="str">
        <f>IFERROR(__xludf.DUMMYFUNCTION("""COMPUTED_VALUE"""),"Республика Башкортостан")</f>
        <v>Республика Башкортостан</v>
      </c>
      <c r="G182" s="4" t="str">
        <f>IFERROR(__xludf.DUMMYFUNCTION("""COMPUTED_VALUE"""),"Уфа")</f>
        <v>Уфа</v>
      </c>
      <c r="H182" s="4" t="str">
        <f>IFERROR(__xludf.DUMMYFUNCTION("""COMPUTED_VALUE"""),"ЖК Ботанический сад")</f>
        <v>ЖК Ботанический сад</v>
      </c>
      <c r="I182" s="4"/>
      <c r="J182" s="4"/>
      <c r="K182" s="4"/>
      <c r="L182" s="4"/>
      <c r="M182" s="4"/>
      <c r="N182" s="4"/>
      <c r="O182" s="4"/>
      <c r="P182" s="4"/>
      <c r="Q182" s="4"/>
      <c r="R182" s="4"/>
      <c r="S182" s="4"/>
      <c r="T182" s="4"/>
      <c r="U182" s="4"/>
      <c r="V182" s="4"/>
      <c r="W182" s="4"/>
      <c r="X182" s="4"/>
      <c r="Y182" s="4"/>
      <c r="Z182" s="4"/>
    </row>
    <row r="183">
      <c r="A183" s="167"/>
      <c r="B183" s="167"/>
      <c r="C183" s="173" t="s">
        <v>1801</v>
      </c>
      <c r="D183" s="4"/>
      <c r="E183" s="4"/>
      <c r="F183" s="4" t="str">
        <f>IFERROR(__xludf.DUMMYFUNCTION("""COMPUTED_VALUE"""),"Республика Башкортостан")</f>
        <v>Республика Башкортостан</v>
      </c>
      <c r="G183" s="4" t="str">
        <f>IFERROR(__xludf.DUMMYFUNCTION("""COMPUTED_VALUE"""),"Уфа")</f>
        <v>Уфа</v>
      </c>
      <c r="H183" s="4" t="str">
        <f>IFERROR(__xludf.DUMMYFUNCTION("""COMPUTED_VALUE"""),"ЖК Ветер")</f>
        <v>ЖК Ветер</v>
      </c>
      <c r="I183" s="4"/>
      <c r="J183" s="4"/>
      <c r="K183" s="4"/>
      <c r="L183" s="4"/>
      <c r="M183" s="4"/>
      <c r="N183" s="4"/>
      <c r="O183" s="4"/>
      <c r="P183" s="4"/>
      <c r="Q183" s="4"/>
      <c r="R183" s="4"/>
      <c r="S183" s="4"/>
      <c r="T183" s="4"/>
      <c r="U183" s="4"/>
      <c r="V183" s="4"/>
      <c r="W183" s="4"/>
      <c r="X183" s="4"/>
      <c r="Y183" s="4"/>
      <c r="Z183" s="4"/>
    </row>
    <row r="184">
      <c r="A184" s="167"/>
      <c r="B184" s="167"/>
      <c r="C184" s="173" t="s">
        <v>2939</v>
      </c>
      <c r="D184" s="4"/>
      <c r="E184" s="4"/>
      <c r="F184" s="4" t="str">
        <f>IFERROR(__xludf.DUMMYFUNCTION("""COMPUTED_VALUE"""),"Республика Башкортостан")</f>
        <v>Республика Башкортостан</v>
      </c>
      <c r="G184" s="4" t="str">
        <f>IFERROR(__xludf.DUMMYFUNCTION("""COMPUTED_VALUE"""),"Уфа")</f>
        <v>Уфа</v>
      </c>
      <c r="H184" s="4" t="str">
        <f>IFERROR(__xludf.DUMMYFUNCTION("""COMPUTED_VALUE"""),"ЖК Видинеевский")</f>
        <v>ЖК Видинеевский</v>
      </c>
      <c r="I184" s="4"/>
      <c r="J184" s="4"/>
      <c r="K184" s="4"/>
      <c r="L184" s="4"/>
      <c r="M184" s="4"/>
      <c r="N184" s="4"/>
      <c r="O184" s="4"/>
      <c r="P184" s="4"/>
      <c r="Q184" s="4"/>
      <c r="R184" s="4"/>
      <c r="S184" s="4"/>
      <c r="T184" s="4"/>
      <c r="U184" s="4"/>
      <c r="V184" s="4"/>
      <c r="W184" s="4"/>
      <c r="X184" s="4"/>
      <c r="Y184" s="4"/>
      <c r="Z184" s="4"/>
    </row>
    <row r="185">
      <c r="A185" s="167"/>
      <c r="B185" s="167"/>
      <c r="C185" s="173" t="s">
        <v>1816</v>
      </c>
      <c r="D185" s="4"/>
      <c r="E185" s="4"/>
      <c r="F185" s="4" t="str">
        <f>IFERROR(__xludf.DUMMYFUNCTION("""COMPUTED_VALUE"""),"Республика Башкортостан")</f>
        <v>Республика Башкортостан</v>
      </c>
      <c r="G185" s="4" t="str">
        <f>IFERROR(__xludf.DUMMYFUNCTION("""COMPUTED_VALUE"""),"Уфа")</f>
        <v>Уфа</v>
      </c>
      <c r="H185" s="4" t="str">
        <f>IFERROR(__xludf.DUMMYFUNCTION("""COMPUTED_VALUE"""),"ЖК Видный 1")</f>
        <v>ЖК Видный 1</v>
      </c>
      <c r="I185" s="4"/>
      <c r="J185" s="4"/>
      <c r="K185" s="4"/>
      <c r="L185" s="4"/>
      <c r="M185" s="4"/>
      <c r="N185" s="4"/>
      <c r="O185" s="4"/>
      <c r="P185" s="4"/>
      <c r="Q185" s="4"/>
      <c r="R185" s="4"/>
      <c r="S185" s="4"/>
      <c r="T185" s="4"/>
      <c r="U185" s="4"/>
      <c r="V185" s="4"/>
      <c r="W185" s="4"/>
      <c r="X185" s="4"/>
      <c r="Y185" s="4"/>
      <c r="Z185" s="4"/>
    </row>
    <row r="186">
      <c r="A186" s="167"/>
      <c r="B186" s="167"/>
      <c r="C186" s="173" t="s">
        <v>1821</v>
      </c>
      <c r="D186" s="4"/>
      <c r="E186" s="4"/>
      <c r="F186" s="4" t="str">
        <f>IFERROR(__xludf.DUMMYFUNCTION("""COMPUTED_VALUE"""),"Республика Башкортостан")</f>
        <v>Республика Башкортостан</v>
      </c>
      <c r="G186" s="4" t="str">
        <f>IFERROR(__xludf.DUMMYFUNCTION("""COMPUTED_VALUE"""),"Уфа")</f>
        <v>Уфа</v>
      </c>
      <c r="H186" s="4" t="str">
        <f>IFERROR(__xludf.DUMMYFUNCTION("""COMPUTED_VALUE"""),"ЖК Видный 2")</f>
        <v>ЖК Видный 2</v>
      </c>
      <c r="I186" s="4"/>
      <c r="J186" s="4"/>
      <c r="K186" s="4"/>
      <c r="L186" s="4"/>
      <c r="M186" s="4"/>
      <c r="N186" s="4"/>
      <c r="O186" s="4"/>
      <c r="P186" s="4"/>
      <c r="Q186" s="4"/>
      <c r="R186" s="4"/>
      <c r="S186" s="4"/>
      <c r="T186" s="4"/>
      <c r="U186" s="4"/>
      <c r="V186" s="4"/>
      <c r="W186" s="4"/>
      <c r="X186" s="4"/>
      <c r="Y186" s="4"/>
      <c r="Z186" s="4"/>
    </row>
    <row r="187">
      <c r="A187" s="167"/>
      <c r="B187" s="167"/>
      <c r="C187" s="173" t="s">
        <v>1829</v>
      </c>
      <c r="D187" s="4"/>
      <c r="E187" s="4"/>
      <c r="F187" s="4" t="str">
        <f>IFERROR(__xludf.DUMMYFUNCTION("""COMPUTED_VALUE"""),"Республика Башкортостан")</f>
        <v>Республика Башкортостан</v>
      </c>
      <c r="G187" s="4" t="str">
        <f>IFERROR(__xludf.DUMMYFUNCTION("""COMPUTED_VALUE"""),"Уфа")</f>
        <v>Уфа</v>
      </c>
      <c r="H187" s="4" t="str">
        <f>IFERROR(__xludf.DUMMYFUNCTION("""COMPUTED_VALUE"""),"ЖК Выбор первых")</f>
        <v>ЖК Выбор первых</v>
      </c>
      <c r="I187" s="4"/>
      <c r="J187" s="4"/>
      <c r="K187" s="4"/>
      <c r="L187" s="4"/>
      <c r="M187" s="4"/>
      <c r="N187" s="4"/>
      <c r="O187" s="4"/>
      <c r="P187" s="4"/>
      <c r="Q187" s="4"/>
      <c r="R187" s="4"/>
      <c r="S187" s="4"/>
      <c r="T187" s="4"/>
      <c r="U187" s="4"/>
      <c r="V187" s="4"/>
      <c r="W187" s="4"/>
      <c r="X187" s="4"/>
      <c r="Y187" s="4"/>
      <c r="Z187" s="4"/>
    </row>
    <row r="188">
      <c r="A188" s="106"/>
      <c r="B188" s="106"/>
      <c r="C188" s="173" t="s">
        <v>1834</v>
      </c>
      <c r="D188" s="4"/>
      <c r="E188" s="4"/>
      <c r="F188" s="4" t="str">
        <f>IFERROR(__xludf.DUMMYFUNCTION("""COMPUTED_VALUE"""),"Республика Башкортостан")</f>
        <v>Республика Башкортостан</v>
      </c>
      <c r="G188" s="4" t="str">
        <f>IFERROR(__xludf.DUMMYFUNCTION("""COMPUTED_VALUE"""),"Уфа")</f>
        <v>Уфа</v>
      </c>
      <c r="H188" s="4" t="str">
        <f>IFERROR(__xludf.DUMMYFUNCTION("""COMPUTED_VALUE"""),"ЖК Высотная")</f>
        <v>ЖК Высотная</v>
      </c>
      <c r="I188" s="4"/>
      <c r="J188" s="4"/>
      <c r="K188" s="4"/>
      <c r="L188" s="4"/>
      <c r="M188" s="4"/>
      <c r="N188" s="4"/>
      <c r="O188" s="4"/>
      <c r="P188" s="4"/>
      <c r="Q188" s="4"/>
      <c r="R188" s="4"/>
      <c r="S188" s="4"/>
      <c r="T188" s="4"/>
      <c r="U188" s="4"/>
      <c r="V188" s="4"/>
      <c r="W188" s="4"/>
      <c r="X188" s="4"/>
      <c r="Y188" s="4"/>
      <c r="Z188" s="4"/>
    </row>
    <row r="189">
      <c r="A189" s="165" t="s">
        <v>193</v>
      </c>
      <c r="B189" s="165" t="s">
        <v>194</v>
      </c>
      <c r="C189" s="173" t="s">
        <v>1880</v>
      </c>
      <c r="D189" s="4"/>
      <c r="E189" s="4"/>
      <c r="F189" s="4" t="str">
        <f>IFERROR(__xludf.DUMMYFUNCTION("""COMPUTED_VALUE"""),"Республика Башкортостан")</f>
        <v>Республика Башкортостан</v>
      </c>
      <c r="G189" s="4" t="str">
        <f>IFERROR(__xludf.DUMMYFUNCTION("""COMPUTED_VALUE"""),"Уфа")</f>
        <v>Уфа</v>
      </c>
      <c r="H189" s="4" t="str">
        <f>IFERROR(__xludf.DUMMYFUNCTION("""COMPUTED_VALUE"""),"ЖК Гоголя 53")</f>
        <v>ЖК Гоголя 53</v>
      </c>
      <c r="I189" s="4"/>
      <c r="J189" s="4"/>
      <c r="K189" s="4"/>
      <c r="L189" s="4"/>
      <c r="M189" s="4"/>
      <c r="N189" s="4"/>
      <c r="O189" s="4"/>
      <c r="P189" s="4"/>
      <c r="Q189" s="4"/>
      <c r="R189" s="4"/>
      <c r="S189" s="4"/>
      <c r="T189" s="4"/>
      <c r="U189" s="4"/>
      <c r="V189" s="4"/>
      <c r="W189" s="4"/>
      <c r="X189" s="4"/>
      <c r="Y189" s="4"/>
      <c r="Z189" s="4"/>
    </row>
    <row r="190">
      <c r="A190" s="167"/>
      <c r="B190" s="167"/>
      <c r="C190" s="173" t="s">
        <v>1888</v>
      </c>
      <c r="D190" s="4"/>
      <c r="E190" s="4"/>
      <c r="F190" s="4" t="str">
        <f>IFERROR(__xludf.DUMMYFUNCTION("""COMPUTED_VALUE"""),"Республика Башкортостан")</f>
        <v>Республика Башкортостан</v>
      </c>
      <c r="G190" s="4" t="str">
        <f>IFERROR(__xludf.DUMMYFUNCTION("""COMPUTED_VALUE"""),"Уфа")</f>
        <v>Уфа</v>
      </c>
      <c r="H190" s="4" t="str">
        <f>IFERROR(__xludf.DUMMYFUNCTION("""COMPUTED_VALUE"""),"ЖК Гоголя 63")</f>
        <v>ЖК Гоголя 63</v>
      </c>
      <c r="I190" s="4"/>
      <c r="J190" s="4"/>
      <c r="K190" s="4"/>
      <c r="L190" s="4"/>
      <c r="M190" s="4"/>
      <c r="N190" s="4"/>
      <c r="O190" s="4"/>
      <c r="P190" s="4"/>
      <c r="Q190" s="4"/>
      <c r="R190" s="4"/>
      <c r="S190" s="4"/>
      <c r="T190" s="4"/>
      <c r="U190" s="4"/>
      <c r="V190" s="4"/>
      <c r="W190" s="4"/>
      <c r="X190" s="4"/>
      <c r="Y190" s="4"/>
      <c r="Z190" s="4"/>
    </row>
    <row r="191">
      <c r="A191" s="167"/>
      <c r="B191" s="167"/>
      <c r="C191" s="60" t="s">
        <v>1909</v>
      </c>
      <c r="D191" s="4"/>
      <c r="E191" s="4"/>
      <c r="F191" s="4" t="str">
        <f>IFERROR(__xludf.DUMMYFUNCTION("""COMPUTED_VALUE"""),"Республика Башкортостан")</f>
        <v>Республика Башкортостан</v>
      </c>
      <c r="G191" s="4" t="str">
        <f>IFERROR(__xludf.DUMMYFUNCTION("""COMPUTED_VALUE"""),"Уфа")</f>
        <v>Уфа</v>
      </c>
      <c r="H191" s="4" t="str">
        <f>IFERROR(__xludf.DUMMYFUNCTION("""COMPUTED_VALUE"""),"ЖК Грин Дом")</f>
        <v>ЖК Грин Дом</v>
      </c>
      <c r="I191" s="4"/>
      <c r="J191" s="4"/>
      <c r="K191" s="4"/>
      <c r="L191" s="4"/>
      <c r="M191" s="4"/>
      <c r="N191" s="4"/>
      <c r="O191" s="4"/>
      <c r="P191" s="4"/>
      <c r="Q191" s="4"/>
      <c r="R191" s="4"/>
      <c r="S191" s="4"/>
      <c r="T191" s="4"/>
      <c r="U191" s="4"/>
      <c r="V191" s="4"/>
      <c r="W191" s="4"/>
      <c r="X191" s="4"/>
      <c r="Y191" s="4"/>
      <c r="Z191" s="4"/>
    </row>
    <row r="192">
      <c r="A192" s="167"/>
      <c r="B192" s="167"/>
      <c r="C192" s="173" t="s">
        <v>1615</v>
      </c>
      <c r="D192" s="4"/>
      <c r="E192" s="4"/>
      <c r="F192" s="4" t="str">
        <f>IFERROR(__xludf.DUMMYFUNCTION("""COMPUTED_VALUE"""),"Республика Башкортостан")</f>
        <v>Республика Башкортостан</v>
      </c>
      <c r="G192" s="4" t="str">
        <f>IFERROR(__xludf.DUMMYFUNCTION("""COMPUTED_VALUE"""),"Уфа")</f>
        <v>Уфа</v>
      </c>
      <c r="H192" s="4" t="str">
        <f>IFERROR(__xludf.DUMMYFUNCTION("""COMPUTED_VALUE"""),"ЖК Гурьевский")</f>
        <v>ЖК Гурьевский</v>
      </c>
      <c r="I192" s="4"/>
      <c r="J192" s="4"/>
      <c r="K192" s="4"/>
      <c r="L192" s="4"/>
      <c r="M192" s="4"/>
      <c r="N192" s="4"/>
      <c r="O192" s="4"/>
      <c r="P192" s="4"/>
      <c r="Q192" s="4"/>
      <c r="R192" s="4"/>
      <c r="S192" s="4"/>
      <c r="T192" s="4"/>
      <c r="U192" s="4"/>
      <c r="V192" s="4"/>
      <c r="W192" s="4"/>
      <c r="X192" s="4"/>
      <c r="Y192" s="4"/>
      <c r="Z192" s="4"/>
    </row>
    <row r="193">
      <c r="A193" s="167"/>
      <c r="B193" s="167"/>
      <c r="C193" s="60" t="s">
        <v>1938</v>
      </c>
      <c r="D193" s="4"/>
      <c r="E193" s="4"/>
      <c r="F193" s="4" t="str">
        <f>IFERROR(__xludf.DUMMYFUNCTION("""COMPUTED_VALUE"""),"Республика Башкортостан")</f>
        <v>Республика Башкортостан</v>
      </c>
      <c r="G193" s="4" t="str">
        <f>IFERROR(__xludf.DUMMYFUNCTION("""COMPUTED_VALUE"""),"Уфа")</f>
        <v>Уфа</v>
      </c>
      <c r="H193" s="4" t="str">
        <f>IFERROR(__xludf.DUMMYFUNCTION("""COMPUTED_VALUE"""),"ЖК Дёма ")</f>
        <v>ЖК Дёма </v>
      </c>
      <c r="I193" s="4"/>
      <c r="J193" s="4"/>
      <c r="K193" s="4"/>
      <c r="L193" s="4"/>
      <c r="M193" s="4"/>
      <c r="N193" s="4"/>
      <c r="O193" s="4"/>
      <c r="P193" s="4"/>
      <c r="Q193" s="4"/>
      <c r="R193" s="4"/>
      <c r="S193" s="4"/>
      <c r="T193" s="4"/>
      <c r="U193" s="4"/>
      <c r="V193" s="4"/>
      <c r="W193" s="4"/>
      <c r="X193" s="4"/>
      <c r="Y193" s="4"/>
      <c r="Z193" s="4"/>
    </row>
    <row r="194">
      <c r="A194" s="167"/>
      <c r="B194" s="167"/>
      <c r="C194" s="173" t="s">
        <v>1943</v>
      </c>
      <c r="D194" s="4"/>
      <c r="E194" s="4"/>
      <c r="F194" s="4" t="str">
        <f>IFERROR(__xludf.DUMMYFUNCTION("""COMPUTED_VALUE"""),"Республика Башкортостан")</f>
        <v>Республика Башкортостан</v>
      </c>
      <c r="G194" s="4" t="str">
        <f>IFERROR(__xludf.DUMMYFUNCTION("""COMPUTED_VALUE"""),"Уфа")</f>
        <v>Уфа</v>
      </c>
      <c r="H194" s="4" t="str">
        <f>IFERROR(__xludf.DUMMYFUNCTION("""COMPUTED_VALUE"""),"ЖК Зеленая Роща")</f>
        <v>ЖК Зеленая Роща</v>
      </c>
      <c r="I194" s="4"/>
      <c r="J194" s="4"/>
      <c r="K194" s="4"/>
      <c r="L194" s="4"/>
      <c r="M194" s="4"/>
      <c r="N194" s="4"/>
      <c r="O194" s="4"/>
      <c r="P194" s="4"/>
      <c r="Q194" s="4"/>
      <c r="R194" s="4"/>
      <c r="S194" s="4"/>
      <c r="T194" s="4"/>
      <c r="U194" s="4"/>
      <c r="V194" s="4"/>
      <c r="W194" s="4"/>
      <c r="X194" s="4"/>
      <c r="Y194" s="4"/>
      <c r="Z194" s="4"/>
    </row>
    <row r="195">
      <c r="A195" s="167"/>
      <c r="B195" s="167"/>
      <c r="C195" s="60" t="s">
        <v>1954</v>
      </c>
      <c r="D195" s="4"/>
      <c r="E195" s="4"/>
      <c r="F195" s="4" t="str">
        <f>IFERROR(__xludf.DUMMYFUNCTION("""COMPUTED_VALUE"""),"Республика Башкортостан")</f>
        <v>Республика Башкортостан</v>
      </c>
      <c r="G195" s="4" t="str">
        <f>IFERROR(__xludf.DUMMYFUNCTION("""COMPUTED_VALUE"""),"Уфа")</f>
        <v>Уфа</v>
      </c>
      <c r="H195" s="4" t="str">
        <f>IFERROR(__xludf.DUMMYFUNCTION("""COMPUTED_VALUE"""),"ЖК Зорге парк")</f>
        <v>ЖК Зорге парк</v>
      </c>
      <c r="I195" s="4"/>
      <c r="J195" s="4"/>
      <c r="K195" s="4"/>
      <c r="L195" s="4"/>
      <c r="M195" s="4"/>
      <c r="N195" s="4"/>
      <c r="O195" s="4"/>
      <c r="P195" s="4"/>
      <c r="Q195" s="4"/>
      <c r="R195" s="4"/>
      <c r="S195" s="4"/>
      <c r="T195" s="4"/>
      <c r="U195" s="4"/>
      <c r="V195" s="4"/>
      <c r="W195" s="4"/>
      <c r="X195" s="4"/>
      <c r="Y195" s="4"/>
      <c r="Z195" s="4"/>
    </row>
    <row r="196">
      <c r="A196" s="167"/>
      <c r="B196" s="167"/>
      <c r="C196" s="60" t="s">
        <v>1959</v>
      </c>
      <c r="D196" s="4"/>
      <c r="E196" s="4"/>
      <c r="F196" s="4" t="str">
        <f>IFERROR(__xludf.DUMMYFUNCTION("""COMPUTED_VALUE"""),"Республика Башкортостан")</f>
        <v>Республика Башкортостан</v>
      </c>
      <c r="G196" s="4" t="str">
        <f>IFERROR(__xludf.DUMMYFUNCTION("""COMPUTED_VALUE"""),"Уфа")</f>
        <v>Уфа</v>
      </c>
      <c r="H196" s="4" t="str">
        <f>IFERROR(__xludf.DUMMYFUNCTION("""COMPUTED_VALUE"""),"ЖК Изумрудный 1")</f>
        <v>ЖК Изумрудный 1</v>
      </c>
      <c r="I196" s="4"/>
      <c r="J196" s="4"/>
      <c r="K196" s="4"/>
      <c r="L196" s="4"/>
      <c r="M196" s="4"/>
      <c r="N196" s="4"/>
      <c r="O196" s="4"/>
      <c r="P196" s="4"/>
      <c r="Q196" s="4"/>
      <c r="R196" s="4"/>
      <c r="S196" s="4"/>
      <c r="T196" s="4"/>
      <c r="U196" s="4"/>
      <c r="V196" s="4"/>
      <c r="W196" s="4"/>
      <c r="X196" s="4"/>
      <c r="Y196" s="4"/>
      <c r="Z196" s="4"/>
    </row>
    <row r="197">
      <c r="A197" s="167"/>
      <c r="B197" s="167"/>
      <c r="C197" s="173" t="s">
        <v>1965</v>
      </c>
      <c r="D197" s="4"/>
      <c r="E197" s="4"/>
      <c r="F197" s="4" t="str">
        <f>IFERROR(__xludf.DUMMYFUNCTION("""COMPUTED_VALUE"""),"Республика Башкортостан")</f>
        <v>Республика Башкортостан</v>
      </c>
      <c r="G197" s="4" t="str">
        <f>IFERROR(__xludf.DUMMYFUNCTION("""COMPUTED_VALUE"""),"Уфа")</f>
        <v>Уфа</v>
      </c>
      <c r="H197" s="4" t="str">
        <f>IFERROR(__xludf.DUMMYFUNCTION("""COMPUTED_VALUE"""),"ЖК Изумрудный 2")</f>
        <v>ЖК Изумрудный 2</v>
      </c>
      <c r="I197" s="4"/>
      <c r="J197" s="4"/>
      <c r="K197" s="4"/>
      <c r="L197" s="4"/>
      <c r="M197" s="4"/>
      <c r="N197" s="4"/>
      <c r="O197" s="4"/>
      <c r="P197" s="4"/>
      <c r="Q197" s="4"/>
      <c r="R197" s="4"/>
      <c r="S197" s="4"/>
      <c r="T197" s="4"/>
      <c r="U197" s="4"/>
      <c r="V197" s="4"/>
      <c r="W197" s="4"/>
      <c r="X197" s="4"/>
      <c r="Y197" s="4"/>
      <c r="Z197" s="4"/>
    </row>
    <row r="198">
      <c r="A198" s="167"/>
      <c r="B198" s="167"/>
      <c r="C198" s="173" t="s">
        <v>1973</v>
      </c>
      <c r="D198" s="4"/>
      <c r="E198" s="4"/>
      <c r="F198" s="4" t="str">
        <f>IFERROR(__xludf.DUMMYFUNCTION("""COMPUTED_VALUE"""),"Республика Башкортостан")</f>
        <v>Республика Башкортостан</v>
      </c>
      <c r="G198" s="4" t="str">
        <f>IFERROR(__xludf.DUMMYFUNCTION("""COMPUTED_VALUE"""),"Уфа")</f>
        <v>Уфа</v>
      </c>
      <c r="H198" s="4" t="str">
        <f>IFERROR(__xludf.DUMMYFUNCTION("""COMPUTED_VALUE"""),"ЖК Изумрудный 3")</f>
        <v>ЖК Изумрудный 3</v>
      </c>
      <c r="I198" s="4"/>
      <c r="J198" s="4"/>
      <c r="K198" s="4"/>
      <c r="L198" s="4"/>
      <c r="M198" s="4"/>
      <c r="N198" s="4"/>
      <c r="O198" s="4"/>
      <c r="P198" s="4"/>
      <c r="Q198" s="4"/>
      <c r="R198" s="4"/>
      <c r="S198" s="4"/>
      <c r="T198" s="4"/>
      <c r="U198" s="4"/>
      <c r="V198" s="4"/>
      <c r="W198" s="4"/>
      <c r="X198" s="4"/>
      <c r="Y198" s="4"/>
      <c r="Z198" s="4"/>
    </row>
    <row r="199">
      <c r="A199" s="167"/>
      <c r="B199" s="167"/>
      <c r="C199" s="173" t="s">
        <v>1987</v>
      </c>
      <c r="D199" s="4"/>
      <c r="E199" s="4"/>
      <c r="F199" s="4" t="str">
        <f>IFERROR(__xludf.DUMMYFUNCTION("""COMPUTED_VALUE"""),"Республика Башкортостан")</f>
        <v>Республика Башкортостан</v>
      </c>
      <c r="G199" s="4" t="str">
        <f>IFERROR(__xludf.DUMMYFUNCTION("""COMPUTED_VALUE"""),"Уфа")</f>
        <v>Уфа</v>
      </c>
      <c r="H199" s="4" t="str">
        <f>IFERROR(__xludf.DUMMYFUNCTION("""COMPUTED_VALUE"""),"ЖК Изумрудный 4")</f>
        <v>ЖК Изумрудный 4</v>
      </c>
      <c r="I199" s="4"/>
      <c r="J199" s="4"/>
      <c r="K199" s="4"/>
      <c r="L199" s="4"/>
      <c r="M199" s="4"/>
      <c r="N199" s="4"/>
      <c r="O199" s="4"/>
      <c r="P199" s="4"/>
      <c r="Q199" s="4"/>
      <c r="R199" s="4"/>
      <c r="S199" s="4"/>
      <c r="T199" s="4"/>
      <c r="U199" s="4"/>
      <c r="V199" s="4"/>
      <c r="W199" s="4"/>
      <c r="X199" s="4"/>
      <c r="Y199" s="4"/>
      <c r="Z199" s="4"/>
    </row>
    <row r="200">
      <c r="A200" s="167"/>
      <c r="B200" s="167"/>
      <c r="C200" s="60" t="s">
        <v>2000</v>
      </c>
      <c r="D200" s="4"/>
      <c r="E200" s="4"/>
      <c r="F200" s="4" t="str">
        <f>IFERROR(__xludf.DUMMYFUNCTION("""COMPUTED_VALUE"""),"Республика Башкортостан")</f>
        <v>Республика Башкортостан</v>
      </c>
      <c r="G200" s="4" t="str">
        <f>IFERROR(__xludf.DUMMYFUNCTION("""COMPUTED_VALUE"""),"Уфа")</f>
        <v>Уфа</v>
      </c>
      <c r="H200" s="4" t="str">
        <f>IFERROR(__xludf.DUMMYFUNCTION("""COMPUTED_VALUE"""),"ЖК Иремель")</f>
        <v>ЖК Иремель</v>
      </c>
      <c r="I200" s="4"/>
      <c r="J200" s="4"/>
      <c r="K200" s="4"/>
      <c r="L200" s="4"/>
      <c r="M200" s="4"/>
      <c r="N200" s="4"/>
      <c r="O200" s="4"/>
      <c r="P200" s="4"/>
      <c r="Q200" s="4"/>
      <c r="R200" s="4"/>
      <c r="S200" s="4"/>
      <c r="T200" s="4"/>
      <c r="U200" s="4"/>
      <c r="V200" s="4"/>
      <c r="W200" s="4"/>
      <c r="X200" s="4"/>
      <c r="Y200" s="4"/>
      <c r="Z200" s="4"/>
    </row>
    <row r="201">
      <c r="A201" s="167"/>
      <c r="B201" s="167"/>
      <c r="C201" s="173" t="s">
        <v>2006</v>
      </c>
      <c r="D201" s="4"/>
      <c r="E201" s="4"/>
      <c r="F201" s="4" t="str">
        <f>IFERROR(__xludf.DUMMYFUNCTION("""COMPUTED_VALUE"""),"Республика Башкортостан")</f>
        <v>Республика Башкортостан</v>
      </c>
      <c r="G201" s="4" t="str">
        <f>IFERROR(__xludf.DUMMYFUNCTION("""COMPUTED_VALUE"""),"Уфа")</f>
        <v>Уфа</v>
      </c>
      <c r="H201" s="4" t="str">
        <f>IFERROR(__xludf.DUMMYFUNCTION("""COMPUTED_VALUE"""),"ЖК Искра")</f>
        <v>ЖК Искра</v>
      </c>
      <c r="I201" s="4"/>
      <c r="J201" s="4"/>
      <c r="K201" s="4"/>
      <c r="L201" s="4"/>
      <c r="M201" s="4"/>
      <c r="N201" s="4"/>
      <c r="O201" s="4"/>
      <c r="P201" s="4"/>
      <c r="Q201" s="4"/>
      <c r="R201" s="4"/>
      <c r="S201" s="4"/>
      <c r="T201" s="4"/>
      <c r="U201" s="4"/>
      <c r="V201" s="4"/>
      <c r="W201" s="4"/>
      <c r="X201" s="4"/>
      <c r="Y201" s="4"/>
      <c r="Z201" s="4"/>
    </row>
    <row r="202">
      <c r="A202" s="167"/>
      <c r="B202" s="167"/>
      <c r="C202" s="60" t="s">
        <v>2016</v>
      </c>
      <c r="D202" s="4"/>
      <c r="E202" s="4"/>
      <c r="F202" s="4" t="str">
        <f>IFERROR(__xludf.DUMMYFUNCTION("""COMPUTED_VALUE"""),"Республика Башкортостан")</f>
        <v>Республика Башкортостан</v>
      </c>
      <c r="G202" s="4" t="str">
        <f>IFERROR(__xludf.DUMMYFUNCTION("""COMPUTED_VALUE"""),"Уфа")</f>
        <v>Уфа</v>
      </c>
      <c r="H202" s="4" t="str">
        <f>IFERROR(__xludf.DUMMYFUNCTION("""COMPUTED_VALUE"""),"ЖК квартал Алтын")</f>
        <v>ЖК квартал Алтын</v>
      </c>
      <c r="I202" s="4"/>
      <c r="J202" s="4"/>
      <c r="K202" s="4"/>
      <c r="L202" s="4"/>
      <c r="M202" s="4"/>
      <c r="N202" s="4"/>
      <c r="O202" s="4"/>
      <c r="P202" s="4"/>
      <c r="Q202" s="4"/>
      <c r="R202" s="4"/>
      <c r="S202" s="4"/>
      <c r="T202" s="4"/>
      <c r="U202" s="4"/>
      <c r="V202" s="4"/>
      <c r="W202" s="4"/>
      <c r="X202" s="4"/>
      <c r="Y202" s="4"/>
      <c r="Z202" s="4"/>
    </row>
    <row r="203">
      <c r="A203" s="167"/>
      <c r="B203" s="167"/>
      <c r="C203" s="60" t="s">
        <v>2022</v>
      </c>
      <c r="D203" s="4"/>
      <c r="E203" s="4"/>
      <c r="F203" s="4" t="str">
        <f>IFERROR(__xludf.DUMMYFUNCTION("""COMPUTED_VALUE"""),"Республика Башкортостан")</f>
        <v>Республика Башкортостан</v>
      </c>
      <c r="G203" s="4" t="str">
        <f>IFERROR(__xludf.DUMMYFUNCTION("""COMPUTED_VALUE"""),"Уфа")</f>
        <v>Уфа</v>
      </c>
      <c r="H203" s="4" t="str">
        <f>IFERROR(__xludf.DUMMYFUNCTION("""COMPUTED_VALUE"""),"ЖК квартал Колгуевский")</f>
        <v>ЖК квартал Колгуевский</v>
      </c>
      <c r="I203" s="4"/>
      <c r="J203" s="4"/>
      <c r="K203" s="4"/>
      <c r="L203" s="4"/>
      <c r="M203" s="4"/>
      <c r="N203" s="4"/>
      <c r="O203" s="4"/>
      <c r="P203" s="4"/>
      <c r="Q203" s="4"/>
      <c r="R203" s="4"/>
      <c r="S203" s="4"/>
      <c r="T203" s="4"/>
      <c r="U203" s="4"/>
      <c r="V203" s="4"/>
      <c r="W203" s="4"/>
      <c r="X203" s="4"/>
      <c r="Y203" s="4"/>
      <c r="Z203" s="4"/>
    </row>
    <row r="204">
      <c r="A204" s="167"/>
      <c r="B204" s="167"/>
      <c r="C204" s="173" t="s">
        <v>2027</v>
      </c>
      <c r="D204" s="4"/>
      <c r="E204" s="4"/>
      <c r="F204" s="4" t="str">
        <f>IFERROR(__xludf.DUMMYFUNCTION("""COMPUTED_VALUE"""),"Республика Башкортостан")</f>
        <v>Республика Башкортостан</v>
      </c>
      <c r="G204" s="4" t="str">
        <f>IFERROR(__xludf.DUMMYFUNCTION("""COMPUTED_VALUE"""),"Уфа")</f>
        <v>Уфа</v>
      </c>
      <c r="H204" s="4" t="str">
        <f>IFERROR(__xludf.DUMMYFUNCTION("""COMPUTED_VALUE"""),"ЖК Квартал Набережная")</f>
        <v>ЖК Квартал Набережная</v>
      </c>
      <c r="I204" s="4"/>
      <c r="J204" s="4"/>
      <c r="K204" s="4"/>
      <c r="L204" s="4"/>
      <c r="M204" s="4"/>
      <c r="N204" s="4"/>
      <c r="O204" s="4"/>
      <c r="P204" s="4"/>
      <c r="Q204" s="4"/>
      <c r="R204" s="4"/>
      <c r="S204" s="4"/>
      <c r="T204" s="4"/>
      <c r="U204" s="4"/>
      <c r="V204" s="4"/>
      <c r="W204" s="4"/>
      <c r="X204" s="4"/>
      <c r="Y204" s="4"/>
      <c r="Z204" s="4"/>
    </row>
    <row r="205">
      <c r="A205" s="167"/>
      <c r="B205" s="167"/>
      <c r="C205" s="173" t="s">
        <v>2036</v>
      </c>
      <c r="D205" s="4"/>
      <c r="E205" s="4"/>
      <c r="F205" s="4" t="str">
        <f>IFERROR(__xludf.DUMMYFUNCTION("""COMPUTED_VALUE"""),"Республика Башкортостан")</f>
        <v>Республика Башкортостан</v>
      </c>
      <c r="G205" s="4" t="str">
        <f>IFERROR(__xludf.DUMMYFUNCTION("""COMPUTED_VALUE"""),"Уфа")</f>
        <v>Уфа</v>
      </c>
      <c r="H205" s="4" t="str">
        <f>IFERROR(__xludf.DUMMYFUNCTION("""COMPUTED_VALUE"""),"ЖК Квартал Центр ")</f>
        <v>ЖК Квартал Центр </v>
      </c>
      <c r="I205" s="4"/>
      <c r="J205" s="4"/>
      <c r="K205" s="4"/>
      <c r="L205" s="4"/>
      <c r="M205" s="4"/>
      <c r="N205" s="4"/>
      <c r="O205" s="4"/>
      <c r="P205" s="4"/>
      <c r="Q205" s="4"/>
      <c r="R205" s="4"/>
      <c r="S205" s="4"/>
      <c r="T205" s="4"/>
      <c r="U205" s="4"/>
      <c r="V205" s="4"/>
      <c r="W205" s="4"/>
      <c r="X205" s="4"/>
      <c r="Y205" s="4"/>
      <c r="Z205" s="4"/>
    </row>
    <row r="206">
      <c r="A206" s="167"/>
      <c r="B206" s="167"/>
      <c r="C206" s="60" t="s">
        <v>2055</v>
      </c>
      <c r="D206" s="4"/>
      <c r="E206" s="4"/>
      <c r="F206" s="4" t="str">
        <f>IFERROR(__xludf.DUMMYFUNCTION("""COMPUTED_VALUE"""),"Республика Башкортостан")</f>
        <v>Республика Башкортостан</v>
      </c>
      <c r="G206" s="4" t="str">
        <f>IFERROR(__xludf.DUMMYFUNCTION("""COMPUTED_VALUE"""),"Уфа")</f>
        <v>Уфа</v>
      </c>
      <c r="H206" s="4" t="str">
        <f>IFERROR(__xludf.DUMMYFUNCTION("""COMPUTED_VALUE"""),"ЖК Красинский")</f>
        <v>ЖК Красинский</v>
      </c>
      <c r="I206" s="4"/>
      <c r="J206" s="4"/>
      <c r="K206" s="4"/>
      <c r="L206" s="4"/>
      <c r="M206" s="4"/>
      <c r="N206" s="4"/>
      <c r="O206" s="4"/>
      <c r="P206" s="4"/>
      <c r="Q206" s="4"/>
      <c r="R206" s="4"/>
      <c r="S206" s="4"/>
      <c r="T206" s="4"/>
      <c r="U206" s="4"/>
      <c r="V206" s="4"/>
      <c r="W206" s="4"/>
      <c r="X206" s="4"/>
      <c r="Y206" s="4"/>
      <c r="Z206" s="4"/>
    </row>
    <row r="207">
      <c r="A207" s="167"/>
      <c r="B207" s="167"/>
      <c r="C207" s="173" t="s">
        <v>2061</v>
      </c>
      <c r="D207" s="4"/>
      <c r="E207" s="4"/>
      <c r="F207" s="4" t="str">
        <f>IFERROR(__xludf.DUMMYFUNCTION("""COMPUTED_VALUE"""),"Республика Башкортостан")</f>
        <v>Республика Башкортостан</v>
      </c>
      <c r="G207" s="4" t="str">
        <f>IFERROR(__xludf.DUMMYFUNCTION("""COMPUTED_VALUE"""),"Уфа")</f>
        <v>Уфа</v>
      </c>
      <c r="H207" s="4" t="str">
        <f>IFERROR(__xludf.DUMMYFUNCTION("""COMPUTED_VALUE"""),"ЖК Кристалл")</f>
        <v>ЖК Кристалл</v>
      </c>
      <c r="I207" s="4"/>
      <c r="J207" s="4"/>
      <c r="K207" s="4"/>
      <c r="L207" s="4"/>
      <c r="M207" s="4"/>
      <c r="N207" s="4"/>
      <c r="O207" s="4"/>
      <c r="P207" s="4"/>
      <c r="Q207" s="4"/>
      <c r="R207" s="4"/>
      <c r="S207" s="4"/>
      <c r="T207" s="4"/>
      <c r="U207" s="4"/>
      <c r="V207" s="4"/>
      <c r="W207" s="4"/>
      <c r="X207" s="4"/>
      <c r="Y207" s="4"/>
      <c r="Z207" s="4"/>
    </row>
    <row r="208">
      <c r="A208" s="167"/>
      <c r="B208" s="167"/>
      <c r="C208" s="60" t="s">
        <v>2075</v>
      </c>
      <c r="D208" s="4"/>
      <c r="E208" s="4"/>
      <c r="F208" s="4" t="str">
        <f>IFERROR(__xludf.DUMMYFUNCTION("""COMPUTED_VALUE"""),"Республика Башкортостан")</f>
        <v>Республика Башкортостан</v>
      </c>
      <c r="G208" s="4" t="str">
        <f>IFERROR(__xludf.DUMMYFUNCTION("""COMPUTED_VALUE"""),"Уфа")</f>
        <v>Уфа</v>
      </c>
      <c r="H208" s="4" t="str">
        <f>IFERROR(__xludf.DUMMYFUNCTION("""COMPUTED_VALUE"""),"ЖК Лайт")</f>
        <v>ЖК Лайт</v>
      </c>
      <c r="I208" s="4"/>
      <c r="J208" s="4"/>
      <c r="K208" s="4"/>
      <c r="L208" s="4"/>
      <c r="M208" s="4"/>
      <c r="N208" s="4"/>
      <c r="O208" s="4"/>
      <c r="P208" s="4"/>
      <c r="Q208" s="4"/>
      <c r="R208" s="4"/>
      <c r="S208" s="4"/>
      <c r="T208" s="4"/>
      <c r="U208" s="4"/>
      <c r="V208" s="4"/>
      <c r="W208" s="4"/>
      <c r="X208" s="4"/>
      <c r="Y208" s="4"/>
      <c r="Z208" s="4"/>
    </row>
    <row r="209">
      <c r="A209" s="167"/>
      <c r="B209" s="167"/>
      <c r="C209" s="173" t="s">
        <v>2080</v>
      </c>
      <c r="D209" s="4"/>
      <c r="E209" s="4"/>
      <c r="F209" s="4" t="str">
        <f>IFERROR(__xludf.DUMMYFUNCTION("""COMPUTED_VALUE"""),"Республика Башкортостан")</f>
        <v>Республика Башкортостан</v>
      </c>
      <c r="G209" s="4" t="str">
        <f>IFERROR(__xludf.DUMMYFUNCTION("""COMPUTED_VALUE"""),"Уфа")</f>
        <v>Уфа</v>
      </c>
      <c r="H209" s="4" t="str">
        <f>IFERROR(__xludf.DUMMYFUNCTION("""COMPUTED_VALUE"""),"ЖК Лилия")</f>
        <v>ЖК Лилия</v>
      </c>
      <c r="I209" s="4"/>
      <c r="J209" s="4"/>
      <c r="K209" s="4"/>
      <c r="L209" s="4"/>
      <c r="M209" s="4"/>
      <c r="N209" s="4"/>
      <c r="O209" s="4"/>
      <c r="P209" s="4"/>
      <c r="Q209" s="4"/>
      <c r="R209" s="4"/>
      <c r="S209" s="4"/>
      <c r="T209" s="4"/>
      <c r="U209" s="4"/>
      <c r="V209" s="4"/>
      <c r="W209" s="4"/>
      <c r="X209" s="4"/>
      <c r="Y209" s="4"/>
      <c r="Z209" s="4"/>
    </row>
    <row r="210">
      <c r="A210" s="167"/>
      <c r="B210" s="167"/>
      <c r="C210" s="60" t="s">
        <v>2088</v>
      </c>
      <c r="D210" s="4"/>
      <c r="E210" s="4"/>
      <c r="F210" s="4" t="str">
        <f>IFERROR(__xludf.DUMMYFUNCTION("""COMPUTED_VALUE"""),"Республика Башкортостан")</f>
        <v>Республика Башкортостан</v>
      </c>
      <c r="G210" s="4" t="str">
        <f>IFERROR(__xludf.DUMMYFUNCTION("""COMPUTED_VALUE"""),"Уфа")</f>
        <v>Уфа</v>
      </c>
      <c r="H210" s="4" t="str">
        <f>IFERROR(__xludf.DUMMYFUNCTION("""COMPUTED_VALUE"""),"ЖК МВД")</f>
        <v>ЖК МВД</v>
      </c>
      <c r="I210" s="4"/>
      <c r="J210" s="4"/>
      <c r="K210" s="4"/>
      <c r="L210" s="4"/>
      <c r="M210" s="4"/>
      <c r="N210" s="4"/>
      <c r="O210" s="4"/>
      <c r="P210" s="4"/>
      <c r="Q210" s="4"/>
      <c r="R210" s="4"/>
      <c r="S210" s="4"/>
      <c r="T210" s="4"/>
      <c r="U210" s="4"/>
      <c r="V210" s="4"/>
      <c r="W210" s="4"/>
      <c r="X210" s="4"/>
      <c r="Y210" s="4"/>
      <c r="Z210" s="4"/>
    </row>
    <row r="211">
      <c r="A211" s="167"/>
      <c r="B211" s="167"/>
      <c r="C211" s="60" t="s">
        <v>2093</v>
      </c>
      <c r="D211" s="4"/>
      <c r="E211" s="4"/>
      <c r="F211" s="4" t="str">
        <f>IFERROR(__xludf.DUMMYFUNCTION("""COMPUTED_VALUE"""),"Республика Башкортостан")</f>
        <v>Республика Башкортостан</v>
      </c>
      <c r="G211" s="4" t="str">
        <f>IFERROR(__xludf.DUMMYFUNCTION("""COMPUTED_VALUE"""),"Уфа")</f>
        <v>Уфа</v>
      </c>
      <c r="H211" s="4" t="str">
        <f>IFERROR(__xludf.DUMMYFUNCTION("""COMPUTED_VALUE"""),"ЖК Мечтателей")</f>
        <v>ЖК Мечтателей</v>
      </c>
      <c r="I211" s="4"/>
      <c r="J211" s="4"/>
      <c r="K211" s="4"/>
      <c r="L211" s="4"/>
      <c r="M211" s="4"/>
      <c r="N211" s="4"/>
      <c r="O211" s="4"/>
      <c r="P211" s="4"/>
      <c r="Q211" s="4"/>
      <c r="R211" s="4"/>
      <c r="S211" s="4"/>
      <c r="T211" s="4"/>
      <c r="U211" s="4"/>
      <c r="V211" s="4"/>
      <c r="W211" s="4"/>
      <c r="X211" s="4"/>
      <c r="Y211" s="4"/>
      <c r="Z211" s="4"/>
    </row>
    <row r="212">
      <c r="A212" s="167"/>
      <c r="B212" s="167"/>
      <c r="C212" s="60" t="s">
        <v>2123</v>
      </c>
      <c r="D212" s="4"/>
      <c r="E212" s="4"/>
      <c r="F212" s="4" t="str">
        <f>IFERROR(__xludf.DUMMYFUNCTION("""COMPUTED_VALUE"""),"Республика Башкортостан")</f>
        <v>Республика Башкортостан</v>
      </c>
      <c r="G212" s="4" t="str">
        <f>IFERROR(__xludf.DUMMYFUNCTION("""COMPUTED_VALUE"""),"Уфа")</f>
        <v>Уфа</v>
      </c>
      <c r="H212" s="4" t="str">
        <f>IFERROR(__xludf.DUMMYFUNCTION("""COMPUTED_VALUE"""),"ЖК на Академика Королева 35")</f>
        <v>ЖК на Академика Королева 35</v>
      </c>
      <c r="I212" s="4"/>
      <c r="J212" s="4"/>
      <c r="K212" s="4"/>
      <c r="L212" s="4"/>
      <c r="M212" s="4"/>
      <c r="N212" s="4"/>
      <c r="O212" s="4"/>
      <c r="P212" s="4"/>
      <c r="Q212" s="4"/>
      <c r="R212" s="4"/>
      <c r="S212" s="4"/>
      <c r="T212" s="4"/>
      <c r="U212" s="4"/>
      <c r="V212" s="4"/>
      <c r="W212" s="4"/>
      <c r="X212" s="4"/>
      <c r="Y212" s="4"/>
      <c r="Z212" s="4"/>
    </row>
    <row r="213">
      <c r="A213" s="167"/>
      <c r="B213" s="167"/>
      <c r="C213" s="60" t="s">
        <v>2133</v>
      </c>
      <c r="D213" s="4"/>
      <c r="E213" s="4"/>
      <c r="F213" s="4" t="str">
        <f>IFERROR(__xludf.DUMMYFUNCTION("""COMPUTED_VALUE"""),"Республика Башкортостан")</f>
        <v>Республика Башкортостан</v>
      </c>
      <c r="G213" s="4" t="str">
        <f>IFERROR(__xludf.DUMMYFUNCTION("""COMPUTED_VALUE"""),"Уфа")</f>
        <v>Уфа</v>
      </c>
      <c r="H213" s="4" t="str">
        <f>IFERROR(__xludf.DUMMYFUNCTION("""COMPUTED_VALUE"""),"ЖК на Бикбая")</f>
        <v>ЖК на Бикбая</v>
      </c>
      <c r="I213" s="4"/>
      <c r="J213" s="4"/>
      <c r="K213" s="4"/>
      <c r="L213" s="4"/>
      <c r="M213" s="4"/>
      <c r="N213" s="4"/>
      <c r="O213" s="4"/>
      <c r="P213" s="4"/>
      <c r="Q213" s="4"/>
      <c r="R213" s="4"/>
      <c r="S213" s="4"/>
      <c r="T213" s="4"/>
      <c r="U213" s="4"/>
      <c r="V213" s="4"/>
      <c r="W213" s="4"/>
      <c r="X213" s="4"/>
      <c r="Y213" s="4"/>
      <c r="Z213" s="4"/>
    </row>
    <row r="214">
      <c r="A214" s="167"/>
      <c r="B214" s="167"/>
      <c r="C214" s="60" t="s">
        <v>2143</v>
      </c>
      <c r="D214" s="4"/>
      <c r="E214" s="4"/>
      <c r="F214" s="4" t="str">
        <f>IFERROR(__xludf.DUMMYFUNCTION("""COMPUTED_VALUE"""),"Республика Башкортостан")</f>
        <v>Республика Башкортостан</v>
      </c>
      <c r="G214" s="4" t="str">
        <f>IFERROR(__xludf.DUMMYFUNCTION("""COMPUTED_VALUE"""),"Уфа")</f>
        <v>Уфа</v>
      </c>
      <c r="H214" s="4" t="str">
        <f>IFERROR(__xludf.DUMMYFUNCTION("""COMPUTED_VALUE"""),"ЖК На Исмагилова")</f>
        <v>ЖК На Исмагилова</v>
      </c>
      <c r="I214" s="4"/>
      <c r="J214" s="4"/>
      <c r="K214" s="4"/>
      <c r="L214" s="4"/>
      <c r="M214" s="4"/>
      <c r="N214" s="4"/>
      <c r="O214" s="4"/>
      <c r="P214" s="4"/>
      <c r="Q214" s="4"/>
      <c r="R214" s="4"/>
      <c r="S214" s="4"/>
      <c r="T214" s="4"/>
      <c r="U214" s="4"/>
      <c r="V214" s="4"/>
      <c r="W214" s="4"/>
      <c r="X214" s="4"/>
      <c r="Y214" s="4"/>
      <c r="Z214" s="4"/>
    </row>
    <row r="215">
      <c r="A215" s="167"/>
      <c r="B215" s="167"/>
      <c r="C215" s="60" t="s">
        <v>2153</v>
      </c>
      <c r="D215" s="4"/>
      <c r="E215" s="4"/>
      <c r="F215" s="4" t="str">
        <f>IFERROR(__xludf.DUMMYFUNCTION("""COMPUTED_VALUE"""),"Республика Башкортостан")</f>
        <v>Республика Башкортостан</v>
      </c>
      <c r="G215" s="4" t="str">
        <f>IFERROR(__xludf.DUMMYFUNCTION("""COMPUTED_VALUE"""),"Уфа")</f>
        <v>Уфа</v>
      </c>
      <c r="H215" s="4" t="str">
        <f>IFERROR(__xludf.DUMMYFUNCTION("""COMPUTED_VALUE"""),"ЖК на Караидельской")</f>
        <v>ЖК на Караидельской</v>
      </c>
      <c r="I215" s="4"/>
      <c r="J215" s="4"/>
      <c r="K215" s="4"/>
      <c r="L215" s="4"/>
      <c r="M215" s="4"/>
      <c r="N215" s="4"/>
      <c r="O215" s="4"/>
      <c r="P215" s="4"/>
      <c r="Q215" s="4"/>
      <c r="R215" s="4"/>
      <c r="S215" s="4"/>
      <c r="T215" s="4"/>
      <c r="U215" s="4"/>
      <c r="V215" s="4"/>
      <c r="W215" s="4"/>
      <c r="X215" s="4"/>
      <c r="Y215" s="4"/>
      <c r="Z215" s="4"/>
    </row>
    <row r="216">
      <c r="A216" s="167"/>
      <c r="B216" s="167"/>
      <c r="C216" s="60" t="s">
        <v>2158</v>
      </c>
      <c r="D216" s="4"/>
      <c r="E216" s="4"/>
      <c r="F216" s="4" t="str">
        <f>IFERROR(__xludf.DUMMYFUNCTION("""COMPUTED_VALUE"""),"Республика Башкортостан")</f>
        <v>Республика Башкортостан</v>
      </c>
      <c r="G216" s="4" t="str">
        <f>IFERROR(__xludf.DUMMYFUNCTION("""COMPUTED_VALUE"""),"Уфа")</f>
        <v>Уфа</v>
      </c>
      <c r="H216" s="4" t="str">
        <f>IFERROR(__xludf.DUMMYFUNCTION("""COMPUTED_VALUE"""),"ЖК на Комсомольской")</f>
        <v>ЖК на Комсомольской</v>
      </c>
      <c r="I216" s="4"/>
      <c r="J216" s="4"/>
      <c r="K216" s="4"/>
      <c r="L216" s="4"/>
      <c r="M216" s="4"/>
      <c r="N216" s="4"/>
      <c r="O216" s="4"/>
      <c r="P216" s="4"/>
      <c r="Q216" s="4"/>
      <c r="R216" s="4"/>
      <c r="S216" s="4"/>
      <c r="T216" s="4"/>
      <c r="U216" s="4"/>
      <c r="V216" s="4"/>
      <c r="W216" s="4"/>
      <c r="X216" s="4"/>
      <c r="Y216" s="4"/>
      <c r="Z216" s="4"/>
    </row>
    <row r="217">
      <c r="A217" s="167"/>
      <c r="B217" s="167"/>
      <c r="C217" s="60" t="s">
        <v>2164</v>
      </c>
      <c r="D217" s="4"/>
      <c r="E217" s="4"/>
      <c r="F217" s="4" t="str">
        <f>IFERROR(__xludf.DUMMYFUNCTION("""COMPUTED_VALUE"""),"Республика Башкортостан")</f>
        <v>Республика Башкортостан</v>
      </c>
      <c r="G217" s="4" t="str">
        <f>IFERROR(__xludf.DUMMYFUNCTION("""COMPUTED_VALUE"""),"Уфа")</f>
        <v>Уфа</v>
      </c>
      <c r="H217" s="4" t="str">
        <f>IFERROR(__xludf.DUMMYFUNCTION("""COMPUTED_VALUE"""),"ЖК на Маршала Жукова")</f>
        <v>ЖК на Маршала Жукова</v>
      </c>
      <c r="I217" s="4"/>
      <c r="J217" s="4"/>
      <c r="K217" s="4"/>
      <c r="L217" s="4"/>
      <c r="M217" s="4"/>
      <c r="N217" s="4"/>
      <c r="O217" s="4"/>
      <c r="P217" s="4"/>
      <c r="Q217" s="4"/>
      <c r="R217" s="4"/>
      <c r="S217" s="4"/>
      <c r="T217" s="4"/>
      <c r="U217" s="4"/>
      <c r="V217" s="4"/>
      <c r="W217" s="4"/>
      <c r="X217" s="4"/>
      <c r="Y217" s="4"/>
      <c r="Z217" s="4"/>
    </row>
    <row r="218">
      <c r="A218" s="167"/>
      <c r="B218" s="167"/>
      <c r="C218" s="173" t="s">
        <v>2171</v>
      </c>
      <c r="D218" s="4"/>
      <c r="E218" s="4"/>
      <c r="F218" s="4" t="str">
        <f>IFERROR(__xludf.DUMMYFUNCTION("""COMPUTED_VALUE"""),"Республика Башкортостан")</f>
        <v>Республика Башкортостан</v>
      </c>
      <c r="G218" s="4" t="str">
        <f>IFERROR(__xludf.DUMMYFUNCTION("""COMPUTED_VALUE"""),"Уфа")</f>
        <v>Уфа</v>
      </c>
      <c r="H218" s="4" t="str">
        <f>IFERROR(__xludf.DUMMYFUNCTION("""COMPUTED_VALUE"""),"ЖК на Мингажева")</f>
        <v>ЖК на Мингажева</v>
      </c>
      <c r="I218" s="4"/>
      <c r="J218" s="4"/>
      <c r="K218" s="4"/>
      <c r="L218" s="4"/>
      <c r="M218" s="4"/>
      <c r="N218" s="4"/>
      <c r="O218" s="4"/>
      <c r="P218" s="4"/>
      <c r="Q218" s="4"/>
      <c r="R218" s="4"/>
      <c r="S218" s="4"/>
      <c r="T218" s="4"/>
      <c r="U218" s="4"/>
      <c r="V218" s="4"/>
      <c r="W218" s="4"/>
      <c r="X218" s="4"/>
      <c r="Y218" s="4"/>
      <c r="Z218" s="4"/>
    </row>
    <row r="219">
      <c r="A219" s="167"/>
      <c r="B219" s="167"/>
      <c r="C219" s="173" t="s">
        <v>2181</v>
      </c>
      <c r="D219" s="4"/>
      <c r="E219" s="4"/>
      <c r="F219" s="4" t="str">
        <f>IFERROR(__xludf.DUMMYFUNCTION("""COMPUTED_VALUE"""),"Республика Башкортостан")</f>
        <v>Республика Башкортостан</v>
      </c>
      <c r="G219" s="4" t="str">
        <f>IFERROR(__xludf.DUMMYFUNCTION("""COMPUTED_VALUE"""),"Уфа")</f>
        <v>Уфа</v>
      </c>
      <c r="H219" s="4" t="str">
        <f>IFERROR(__xludf.DUMMYFUNCTION("""COMPUTED_VALUE"""),"ЖК на Набережной реки Уфы 3/5")</f>
        <v>ЖК на Набережной реки Уфы 3/5</v>
      </c>
      <c r="I219" s="4"/>
      <c r="J219" s="4"/>
      <c r="K219" s="4"/>
      <c r="L219" s="4"/>
      <c r="M219" s="4"/>
      <c r="N219" s="4"/>
      <c r="O219" s="4"/>
      <c r="P219" s="4"/>
      <c r="Q219" s="4"/>
      <c r="R219" s="4"/>
      <c r="S219" s="4"/>
      <c r="T219" s="4"/>
      <c r="U219" s="4"/>
      <c r="V219" s="4"/>
      <c r="W219" s="4"/>
      <c r="X219" s="4"/>
      <c r="Y219" s="4"/>
      <c r="Z219" s="4"/>
    </row>
    <row r="220">
      <c r="A220" s="167"/>
      <c r="B220" s="167"/>
      <c r="C220" s="60" t="s">
        <v>2195</v>
      </c>
      <c r="D220" s="4"/>
      <c r="E220" s="4"/>
      <c r="F220" s="4" t="str">
        <f>IFERROR(__xludf.DUMMYFUNCTION("""COMPUTED_VALUE"""),"Республика Башкортостан")</f>
        <v>Республика Башкортостан</v>
      </c>
      <c r="G220" s="4" t="str">
        <f>IFERROR(__xludf.DUMMYFUNCTION("""COMPUTED_VALUE"""),"Уфа")</f>
        <v>Уфа</v>
      </c>
      <c r="H220" s="4" t="str">
        <f>IFERROR(__xludf.DUMMYFUNCTION("""COMPUTED_VALUE"""),"ЖК на Перовской 54")</f>
        <v>ЖК на Перовской 54</v>
      </c>
      <c r="I220" s="4"/>
      <c r="J220" s="4"/>
      <c r="K220" s="4"/>
      <c r="L220" s="4"/>
      <c r="M220" s="4"/>
      <c r="N220" s="4"/>
      <c r="O220" s="4"/>
      <c r="P220" s="4"/>
      <c r="Q220" s="4"/>
      <c r="R220" s="4"/>
      <c r="S220" s="4"/>
      <c r="T220" s="4"/>
      <c r="U220" s="4"/>
      <c r="V220" s="4"/>
      <c r="W220" s="4"/>
      <c r="X220" s="4"/>
      <c r="Y220" s="4"/>
      <c r="Z220" s="4"/>
    </row>
    <row r="221">
      <c r="A221" s="167"/>
      <c r="B221" s="167"/>
      <c r="C221" s="173" t="s">
        <v>2198</v>
      </c>
      <c r="D221" s="4"/>
      <c r="E221" s="4"/>
      <c r="F221" s="4" t="str">
        <f>IFERROR(__xludf.DUMMYFUNCTION("""COMPUTED_VALUE"""),"Республика Башкортостан")</f>
        <v>Республика Башкортостан</v>
      </c>
      <c r="G221" s="4" t="str">
        <f>IFERROR(__xludf.DUMMYFUNCTION("""COMPUTED_VALUE"""),"Уфа")</f>
        <v>Уфа</v>
      </c>
      <c r="H221" s="4" t="str">
        <f>IFERROR(__xludf.DUMMYFUNCTION("""COMPUTED_VALUE"""),"ЖК на Революционной")</f>
        <v>ЖК на Революционной</v>
      </c>
      <c r="I221" s="4"/>
      <c r="J221" s="4"/>
      <c r="K221" s="4"/>
      <c r="L221" s="4"/>
      <c r="M221" s="4"/>
      <c r="N221" s="4"/>
      <c r="O221" s="4"/>
      <c r="P221" s="4"/>
      <c r="Q221" s="4"/>
      <c r="R221" s="4"/>
      <c r="S221" s="4"/>
      <c r="T221" s="4"/>
      <c r="U221" s="4"/>
      <c r="V221" s="4"/>
      <c r="W221" s="4"/>
      <c r="X221" s="4"/>
      <c r="Y221" s="4"/>
      <c r="Z221" s="4"/>
    </row>
    <row r="222">
      <c r="A222" s="167"/>
      <c r="B222" s="167"/>
      <c r="C222" s="173" t="s">
        <v>2215</v>
      </c>
      <c r="D222" s="4"/>
      <c r="E222" s="4"/>
      <c r="F222" s="4" t="str">
        <f>IFERROR(__xludf.DUMMYFUNCTION("""COMPUTED_VALUE"""),"Республика Башкортостан")</f>
        <v>Республика Башкортостан</v>
      </c>
      <c r="G222" s="4" t="str">
        <f>IFERROR(__xludf.DUMMYFUNCTION("""COMPUTED_VALUE"""),"Уфа")</f>
        <v>Уфа</v>
      </c>
      <c r="H222" s="4" t="str">
        <f>IFERROR(__xludf.DUMMYFUNCTION("""COMPUTED_VALUE"""),"ЖК на Сочинской")</f>
        <v>ЖК на Сочинской</v>
      </c>
      <c r="I222" s="4"/>
      <c r="J222" s="4"/>
      <c r="K222" s="4"/>
      <c r="L222" s="4"/>
      <c r="M222" s="4"/>
      <c r="N222" s="4"/>
      <c r="O222" s="4"/>
      <c r="P222" s="4"/>
      <c r="Q222" s="4"/>
      <c r="R222" s="4"/>
      <c r="S222" s="4"/>
      <c r="T222" s="4"/>
      <c r="U222" s="4"/>
      <c r="V222" s="4"/>
      <c r="W222" s="4"/>
      <c r="X222" s="4"/>
      <c r="Y222" s="4"/>
      <c r="Z222" s="4"/>
    </row>
    <row r="223">
      <c r="A223" s="167"/>
      <c r="B223" s="167"/>
      <c r="C223" s="60" t="s">
        <v>2223</v>
      </c>
      <c r="D223" s="4"/>
      <c r="E223" s="4"/>
      <c r="F223" s="4" t="str">
        <f>IFERROR(__xludf.DUMMYFUNCTION("""COMPUTED_VALUE"""),"Республика Башкортостан")</f>
        <v>Республика Башкортостан</v>
      </c>
      <c r="G223" s="4" t="str">
        <f>IFERROR(__xludf.DUMMYFUNCTION("""COMPUTED_VALUE"""),"Уфа")</f>
        <v>Уфа</v>
      </c>
      <c r="H223" s="4" t="str">
        <f>IFERROR(__xludf.DUMMYFUNCTION("""COMPUTED_VALUE"""),"ЖК на Ураксина")</f>
        <v>ЖК на Ураксина</v>
      </c>
      <c r="I223" s="4"/>
      <c r="J223" s="4"/>
      <c r="K223" s="4"/>
      <c r="L223" s="4"/>
      <c r="M223" s="4"/>
      <c r="N223" s="4"/>
      <c r="O223" s="4"/>
      <c r="P223" s="4"/>
      <c r="Q223" s="4"/>
      <c r="R223" s="4"/>
      <c r="S223" s="4"/>
      <c r="T223" s="4"/>
      <c r="U223" s="4"/>
      <c r="V223" s="4"/>
      <c r="W223" s="4"/>
      <c r="X223" s="4"/>
      <c r="Y223" s="4"/>
      <c r="Z223" s="4"/>
    </row>
    <row r="224">
      <c r="A224" s="167"/>
      <c r="B224" s="167"/>
      <c r="C224" s="173" t="s">
        <v>2229</v>
      </c>
      <c r="D224" s="4"/>
      <c r="E224" s="4"/>
      <c r="F224" s="4" t="str">
        <f>IFERROR(__xludf.DUMMYFUNCTION("""COMPUTED_VALUE"""),"Республика Башкортостан")</f>
        <v>Республика Башкортостан</v>
      </c>
      <c r="G224" s="4" t="str">
        <f>IFERROR(__xludf.DUMMYFUNCTION("""COMPUTED_VALUE"""),"Уфа")</f>
        <v>Уфа</v>
      </c>
      <c r="H224" s="4" t="str">
        <f>IFERROR(__xludf.DUMMYFUNCTION("""COMPUTED_VALUE"""),"ЖК на Цурюпа 78")</f>
        <v>ЖК на Цурюпа 78</v>
      </c>
      <c r="I224" s="4"/>
      <c r="J224" s="4"/>
      <c r="K224" s="4"/>
      <c r="L224" s="4"/>
      <c r="M224" s="4"/>
      <c r="N224" s="4"/>
      <c r="O224" s="4"/>
      <c r="P224" s="4"/>
      <c r="Q224" s="4"/>
      <c r="R224" s="4"/>
      <c r="S224" s="4"/>
      <c r="T224" s="4"/>
      <c r="U224" s="4"/>
      <c r="V224" s="4"/>
      <c r="W224" s="4"/>
      <c r="X224" s="4"/>
      <c r="Y224" s="4"/>
      <c r="Z224" s="4"/>
    </row>
    <row r="225">
      <c r="A225" s="167"/>
      <c r="B225" s="167"/>
      <c r="C225" s="60" t="s">
        <v>2247</v>
      </c>
      <c r="D225" s="4"/>
      <c r="E225" s="4"/>
      <c r="F225" s="4" t="str">
        <f>IFERROR(__xludf.DUMMYFUNCTION("""COMPUTED_VALUE"""),"Республика Башкортостан")</f>
        <v>Республика Башкортостан</v>
      </c>
      <c r="G225" s="4" t="str">
        <f>IFERROR(__xludf.DUMMYFUNCTION("""COMPUTED_VALUE"""),"Уфа")</f>
        <v>Уфа</v>
      </c>
      <c r="H225" s="4" t="str">
        <f>IFERROR(__xludf.DUMMYFUNCTION("""COMPUTED_VALUE"""),"ЖК на Цюрупы")</f>
        <v>ЖК на Цюрупы</v>
      </c>
      <c r="I225" s="4"/>
      <c r="J225" s="4"/>
      <c r="K225" s="4"/>
      <c r="L225" s="4"/>
      <c r="M225" s="4"/>
      <c r="N225" s="4"/>
      <c r="O225" s="4"/>
      <c r="P225" s="4"/>
      <c r="Q225" s="4"/>
      <c r="R225" s="4"/>
      <c r="S225" s="4"/>
      <c r="T225" s="4"/>
      <c r="U225" s="4"/>
      <c r="V225" s="4"/>
      <c r="W225" s="4"/>
      <c r="X225" s="4"/>
      <c r="Y225" s="4"/>
      <c r="Z225" s="4"/>
    </row>
    <row r="226">
      <c r="A226" s="167"/>
      <c r="B226" s="167"/>
      <c r="C226" s="60" t="s">
        <v>2252</v>
      </c>
      <c r="D226" s="4"/>
      <c r="E226" s="4"/>
      <c r="F226" s="4" t="str">
        <f>IFERROR(__xludf.DUMMYFUNCTION("""COMPUTED_VALUE"""),"Республика Башкортостан")</f>
        <v>Республика Башкортостан</v>
      </c>
      <c r="G226" s="4" t="str">
        <f>IFERROR(__xludf.DUMMYFUNCTION("""COMPUTED_VALUE"""),"Уфа")</f>
        <v>Уфа</v>
      </c>
      <c r="H226" s="4" t="str">
        <f>IFERROR(__xludf.DUMMYFUNCTION("""COMPUTED_VALUE"""),"ЖК на Чернышевского")</f>
        <v>ЖК на Чернышевского</v>
      </c>
      <c r="I226" s="4"/>
      <c r="J226" s="4"/>
      <c r="K226" s="4"/>
      <c r="L226" s="4"/>
      <c r="M226" s="4"/>
      <c r="N226" s="4"/>
      <c r="O226" s="4"/>
      <c r="P226" s="4"/>
      <c r="Q226" s="4"/>
      <c r="R226" s="4"/>
      <c r="S226" s="4"/>
      <c r="T226" s="4"/>
      <c r="U226" s="4"/>
      <c r="V226" s="4"/>
      <c r="W226" s="4"/>
      <c r="X226" s="4"/>
      <c r="Y226" s="4"/>
      <c r="Z226" s="4"/>
    </row>
    <row r="227">
      <c r="A227" s="167"/>
      <c r="B227" s="167"/>
      <c r="C227" s="173" t="s">
        <v>2257</v>
      </c>
      <c r="D227" s="4"/>
      <c r="E227" s="4"/>
      <c r="F227" s="4" t="str">
        <f>IFERROR(__xludf.DUMMYFUNCTION("""COMPUTED_VALUE"""),"Республика Башкортостан")</f>
        <v>Республика Башкортостан</v>
      </c>
      <c r="G227" s="4" t="str">
        <f>IFERROR(__xludf.DUMMYFUNCTION("""COMPUTED_VALUE"""),"Уфа")</f>
        <v>Уфа</v>
      </c>
      <c r="H227" s="4" t="str">
        <f>IFERROR(__xludf.DUMMYFUNCTION("""COMPUTED_VALUE"""),"ЖК Новаленд 1")</f>
        <v>ЖК Новаленд 1</v>
      </c>
      <c r="I227" s="4"/>
      <c r="J227" s="4"/>
      <c r="K227" s="4"/>
      <c r="L227" s="4"/>
      <c r="M227" s="4"/>
      <c r="N227" s="4"/>
      <c r="O227" s="4"/>
      <c r="P227" s="4"/>
      <c r="Q227" s="4"/>
      <c r="R227" s="4"/>
      <c r="S227" s="4"/>
      <c r="T227" s="4"/>
      <c r="U227" s="4"/>
      <c r="V227" s="4"/>
      <c r="W227" s="4"/>
      <c r="X227" s="4"/>
      <c r="Y227" s="4"/>
      <c r="Z227" s="4"/>
    </row>
    <row r="228">
      <c r="A228" s="167"/>
      <c r="B228" s="167"/>
      <c r="C228" s="173" t="s">
        <v>2268</v>
      </c>
      <c r="D228" s="4"/>
      <c r="E228" s="4"/>
      <c r="F228" s="4" t="str">
        <f>IFERROR(__xludf.DUMMYFUNCTION("""COMPUTED_VALUE"""),"Республика Башкортостан")</f>
        <v>Республика Башкортостан</v>
      </c>
      <c r="G228" s="4" t="str">
        <f>IFERROR(__xludf.DUMMYFUNCTION("""COMPUTED_VALUE"""),"Уфа")</f>
        <v>Уфа</v>
      </c>
      <c r="H228" s="4" t="str">
        <f>IFERROR(__xludf.DUMMYFUNCTION("""COMPUTED_VALUE"""),"ЖК Новаленд 2")</f>
        <v>ЖК Новаленд 2</v>
      </c>
      <c r="I228" s="4"/>
      <c r="J228" s="4"/>
      <c r="K228" s="4"/>
      <c r="L228" s="4"/>
      <c r="M228" s="4"/>
      <c r="N228" s="4"/>
      <c r="O228" s="4"/>
      <c r="P228" s="4"/>
      <c r="Q228" s="4"/>
      <c r="R228" s="4"/>
      <c r="S228" s="4"/>
      <c r="T228" s="4"/>
      <c r="U228" s="4"/>
      <c r="V228" s="4"/>
      <c r="W228" s="4"/>
      <c r="X228" s="4"/>
      <c r="Y228" s="4"/>
      <c r="Z228" s="4"/>
    </row>
    <row r="229">
      <c r="A229" s="167"/>
      <c r="B229" s="167"/>
      <c r="C229" s="173" t="s">
        <v>2276</v>
      </c>
      <c r="D229" s="4"/>
      <c r="E229" s="4"/>
      <c r="F229" s="4" t="str">
        <f>IFERROR(__xludf.DUMMYFUNCTION("""COMPUTED_VALUE"""),"Республика Башкортостан")</f>
        <v>Республика Башкортостан</v>
      </c>
      <c r="G229" s="4" t="str">
        <f>IFERROR(__xludf.DUMMYFUNCTION("""COMPUTED_VALUE"""),"Уфа")</f>
        <v>Уфа</v>
      </c>
      <c r="H229" s="4" t="str">
        <f>IFERROR(__xludf.DUMMYFUNCTION("""COMPUTED_VALUE"""),"ЖК Новаленд 3")</f>
        <v>ЖК Новаленд 3</v>
      </c>
      <c r="I229" s="4"/>
      <c r="J229" s="4"/>
      <c r="K229" s="4"/>
      <c r="L229" s="4"/>
      <c r="M229" s="4"/>
      <c r="N229" s="4"/>
      <c r="O229" s="4"/>
      <c r="P229" s="4"/>
      <c r="Q229" s="4"/>
      <c r="R229" s="4"/>
      <c r="S229" s="4"/>
      <c r="T229" s="4"/>
      <c r="U229" s="4"/>
      <c r="V229" s="4"/>
      <c r="W229" s="4"/>
      <c r="X229" s="4"/>
      <c r="Y229" s="4"/>
      <c r="Z229" s="4"/>
    </row>
    <row r="230">
      <c r="A230" s="167"/>
      <c r="B230" s="167"/>
      <c r="C230" s="60" t="s">
        <v>2288</v>
      </c>
      <c r="D230" s="4"/>
      <c r="E230" s="4"/>
      <c r="F230" s="4" t="str">
        <f>IFERROR(__xludf.DUMMYFUNCTION("""COMPUTED_VALUE"""),"Республика Башкортостан")</f>
        <v>Республика Башкортостан</v>
      </c>
      <c r="G230" s="4" t="str">
        <f>IFERROR(__xludf.DUMMYFUNCTION("""COMPUTED_VALUE"""),"Уфа")</f>
        <v>Уфа</v>
      </c>
      <c r="H230" s="4" t="str">
        <f>IFERROR(__xludf.DUMMYFUNCTION("""COMPUTED_VALUE"""),"ЖК Новаленд 4")</f>
        <v>ЖК Новаленд 4</v>
      </c>
      <c r="I230" s="4"/>
      <c r="J230" s="4"/>
      <c r="K230" s="4"/>
      <c r="L230" s="4"/>
      <c r="M230" s="4"/>
      <c r="N230" s="4"/>
      <c r="O230" s="4"/>
      <c r="P230" s="4"/>
      <c r="Q230" s="4"/>
      <c r="R230" s="4"/>
      <c r="S230" s="4"/>
      <c r="T230" s="4"/>
      <c r="U230" s="4"/>
      <c r="V230" s="4"/>
      <c r="W230" s="4"/>
      <c r="X230" s="4"/>
      <c r="Y230" s="4"/>
      <c r="Z230" s="4"/>
    </row>
    <row r="231">
      <c r="A231" s="167"/>
      <c r="B231" s="167"/>
      <c r="C231" s="60" t="s">
        <v>2293</v>
      </c>
      <c r="D231" s="4"/>
      <c r="E231" s="4"/>
      <c r="F231" s="4" t="str">
        <f>IFERROR(__xludf.DUMMYFUNCTION("""COMPUTED_VALUE"""),"Республика Башкортостан")</f>
        <v>Республика Башкортостан</v>
      </c>
      <c r="G231" s="4" t="str">
        <f>IFERROR(__xludf.DUMMYFUNCTION("""COMPUTED_VALUE"""),"Уфа")</f>
        <v>Уфа</v>
      </c>
      <c r="H231" s="4" t="str">
        <f>IFERROR(__xludf.DUMMYFUNCTION("""COMPUTED_VALUE"""),"ЖК Новая Дёма")</f>
        <v>ЖК Новая Дёма</v>
      </c>
      <c r="I231" s="4"/>
      <c r="J231" s="4"/>
      <c r="K231" s="4"/>
      <c r="L231" s="4"/>
      <c r="M231" s="4"/>
      <c r="N231" s="4"/>
      <c r="O231" s="4"/>
      <c r="P231" s="4"/>
      <c r="Q231" s="4"/>
      <c r="R231" s="4"/>
      <c r="S231" s="4"/>
      <c r="T231" s="4"/>
      <c r="U231" s="4"/>
      <c r="V231" s="4"/>
      <c r="W231" s="4"/>
      <c r="X231" s="4"/>
      <c r="Y231" s="4"/>
      <c r="Z231" s="4"/>
    </row>
    <row r="232">
      <c r="A232" s="167"/>
      <c r="B232" s="167"/>
      <c r="C232" s="173" t="s">
        <v>2298</v>
      </c>
      <c r="D232" s="4"/>
      <c r="E232" s="4"/>
      <c r="F232" s="4" t="str">
        <f>IFERROR(__xludf.DUMMYFUNCTION("""COMPUTED_VALUE"""),"Республика Башкортостан")</f>
        <v>Республика Башкортостан</v>
      </c>
      <c r="G232" s="4" t="str">
        <f>IFERROR(__xludf.DUMMYFUNCTION("""COMPUTED_VALUE"""),"Уфа")</f>
        <v>Уфа</v>
      </c>
      <c r="H232" s="4" t="str">
        <f>IFERROR(__xludf.DUMMYFUNCTION("""COMPUTED_VALUE"""),"ЖК Новомостовая")</f>
        <v>ЖК Новомостовая</v>
      </c>
      <c r="I232" s="4"/>
      <c r="J232" s="4"/>
      <c r="K232" s="4"/>
      <c r="L232" s="4"/>
      <c r="M232" s="4"/>
      <c r="N232" s="4"/>
      <c r="O232" s="4"/>
      <c r="P232" s="4"/>
      <c r="Q232" s="4"/>
      <c r="R232" s="4"/>
      <c r="S232" s="4"/>
      <c r="T232" s="4"/>
      <c r="U232" s="4"/>
      <c r="V232" s="4"/>
      <c r="W232" s="4"/>
      <c r="X232" s="4"/>
      <c r="Y232" s="4"/>
      <c r="Z232" s="4"/>
    </row>
    <row r="233">
      <c r="A233" s="167"/>
      <c r="B233" s="167"/>
      <c r="C233" s="60" t="s">
        <v>2304</v>
      </c>
      <c r="D233" s="4"/>
      <c r="E233" s="4"/>
      <c r="F233" s="4" t="str">
        <f>IFERROR(__xludf.DUMMYFUNCTION("""COMPUTED_VALUE"""),"Республика Башкортостан")</f>
        <v>Республика Башкортостан</v>
      </c>
      <c r="G233" s="4" t="str">
        <f>IFERROR(__xludf.DUMMYFUNCTION("""COMPUTED_VALUE"""),"Уфа")</f>
        <v>Уфа</v>
      </c>
      <c r="H233" s="4" t="str">
        <f>IFERROR(__xludf.DUMMYFUNCTION("""COMPUTED_VALUE"""),"ЖК Нью-Йорт")</f>
        <v>ЖК Нью-Йорт</v>
      </c>
      <c r="I233" s="4"/>
      <c r="J233" s="4"/>
      <c r="K233" s="4"/>
      <c r="L233" s="4"/>
      <c r="M233" s="4"/>
      <c r="N233" s="4"/>
      <c r="O233" s="4"/>
      <c r="P233" s="4"/>
      <c r="Q233" s="4"/>
      <c r="R233" s="4"/>
      <c r="S233" s="4"/>
      <c r="T233" s="4"/>
      <c r="U233" s="4"/>
      <c r="V233" s="4"/>
      <c r="W233" s="4"/>
      <c r="X233" s="4"/>
      <c r="Y233" s="4"/>
      <c r="Z233" s="4"/>
    </row>
    <row r="234">
      <c r="A234" s="167"/>
      <c r="B234" s="167"/>
      <c r="C234" s="60" t="s">
        <v>2309</v>
      </c>
      <c r="D234" s="4"/>
      <c r="E234" s="4"/>
      <c r="F234" s="4" t="str">
        <f>IFERROR(__xludf.DUMMYFUNCTION("""COMPUTED_VALUE"""),"Республика Башкортостан")</f>
        <v>Республика Башкортостан</v>
      </c>
      <c r="G234" s="4" t="str">
        <f>IFERROR(__xludf.DUMMYFUNCTION("""COMPUTED_VALUE"""),"Уфа")</f>
        <v>Уфа</v>
      </c>
      <c r="H234" s="4" t="str">
        <f>IFERROR(__xludf.DUMMYFUNCTION("""COMPUTED_VALUE"""),"ЖК Орион")</f>
        <v>ЖК Орион</v>
      </c>
      <c r="I234" s="4"/>
      <c r="J234" s="4"/>
      <c r="K234" s="4"/>
      <c r="L234" s="4"/>
      <c r="M234" s="4"/>
      <c r="N234" s="4"/>
      <c r="O234" s="4"/>
      <c r="P234" s="4"/>
      <c r="Q234" s="4"/>
      <c r="R234" s="4"/>
      <c r="S234" s="4"/>
      <c r="T234" s="4"/>
      <c r="U234" s="4"/>
      <c r="V234" s="4"/>
      <c r="W234" s="4"/>
      <c r="X234" s="4"/>
      <c r="Y234" s="4"/>
      <c r="Z234" s="4"/>
    </row>
    <row r="235">
      <c r="A235" s="167"/>
      <c r="B235" s="167"/>
      <c r="C235" s="60" t="s">
        <v>2314</v>
      </c>
      <c r="D235" s="4"/>
      <c r="E235" s="4"/>
      <c r="F235" s="4" t="str">
        <f>IFERROR(__xludf.DUMMYFUNCTION("""COMPUTED_VALUE"""),"Республика Башкортостан")</f>
        <v>Республика Башкортостан</v>
      </c>
      <c r="G235" s="4" t="str">
        <f>IFERROR(__xludf.DUMMYFUNCTION("""COMPUTED_VALUE"""),"Уфа")</f>
        <v>Уфа</v>
      </c>
      <c r="H235" s="4" t="str">
        <f>IFERROR(__xludf.DUMMYFUNCTION("""COMPUTED_VALUE"""),"ЖК Панорама")</f>
        <v>ЖК Панорама</v>
      </c>
      <c r="I235" s="4"/>
      <c r="J235" s="4"/>
      <c r="K235" s="4"/>
      <c r="L235" s="4"/>
      <c r="M235" s="4"/>
      <c r="N235" s="4"/>
      <c r="O235" s="4"/>
      <c r="P235" s="4"/>
      <c r="Q235" s="4"/>
      <c r="R235" s="4"/>
      <c r="S235" s="4"/>
      <c r="T235" s="4"/>
      <c r="U235" s="4"/>
      <c r="V235" s="4"/>
      <c r="W235" s="4"/>
      <c r="X235" s="4"/>
      <c r="Y235" s="4"/>
      <c r="Z235" s="4"/>
    </row>
    <row r="236">
      <c r="A236" s="167"/>
      <c r="B236" s="167"/>
      <c r="C236" s="60" t="s">
        <v>2319</v>
      </c>
      <c r="D236" s="4"/>
      <c r="E236" s="4"/>
      <c r="F236" s="4" t="str">
        <f>IFERROR(__xludf.DUMMYFUNCTION("""COMPUTED_VALUE"""),"Республика Башкортостан")</f>
        <v>Республика Башкортостан</v>
      </c>
      <c r="G236" s="4" t="str">
        <f>IFERROR(__xludf.DUMMYFUNCTION("""COMPUTED_VALUE"""),"Уфа")</f>
        <v>Уфа</v>
      </c>
      <c r="H236" s="4" t="str">
        <f>IFERROR(__xludf.DUMMYFUNCTION("""COMPUTED_VALUE"""),"ЖК Парус")</f>
        <v>ЖК Парус</v>
      </c>
      <c r="I236" s="4"/>
      <c r="J236" s="4"/>
      <c r="K236" s="4"/>
      <c r="L236" s="4"/>
      <c r="M236" s="4"/>
      <c r="N236" s="4"/>
      <c r="O236" s="4"/>
      <c r="P236" s="4"/>
      <c r="Q236" s="4"/>
      <c r="R236" s="4"/>
      <c r="S236" s="4"/>
      <c r="T236" s="4"/>
      <c r="U236" s="4"/>
      <c r="V236" s="4"/>
      <c r="W236" s="4"/>
      <c r="X236" s="4"/>
      <c r="Y236" s="4"/>
      <c r="Z236" s="4"/>
    </row>
    <row r="237">
      <c r="A237" s="167"/>
      <c r="B237" s="167"/>
      <c r="C237" s="173" t="s">
        <v>2324</v>
      </c>
      <c r="D237" s="4"/>
      <c r="E237" s="4"/>
      <c r="F237" s="4" t="str">
        <f>IFERROR(__xludf.DUMMYFUNCTION("""COMPUTED_VALUE"""),"Республика Башкортостан")</f>
        <v>Республика Башкортостан</v>
      </c>
      <c r="G237" s="4" t="str">
        <f>IFERROR(__xludf.DUMMYFUNCTION("""COMPUTED_VALUE"""),"Уфа")</f>
        <v>Уфа</v>
      </c>
      <c r="H237" s="4" t="str">
        <f>IFERROR(__xludf.DUMMYFUNCTION("""COMPUTED_VALUE"""),"ЖК Петропавловский")</f>
        <v>ЖК Петропавловский</v>
      </c>
      <c r="I237" s="4"/>
      <c r="J237" s="4"/>
      <c r="K237" s="4"/>
      <c r="L237" s="4"/>
      <c r="M237" s="4"/>
      <c r="N237" s="4"/>
      <c r="O237" s="4"/>
      <c r="P237" s="4"/>
      <c r="Q237" s="4"/>
      <c r="R237" s="4"/>
      <c r="S237" s="4"/>
      <c r="T237" s="4"/>
      <c r="U237" s="4"/>
      <c r="V237" s="4"/>
      <c r="W237" s="4"/>
      <c r="X237" s="4"/>
      <c r="Y237" s="4"/>
      <c r="Z237" s="4"/>
    </row>
    <row r="238">
      <c r="A238" s="167"/>
      <c r="B238" s="167"/>
      <c r="C238" s="60" t="s">
        <v>2333</v>
      </c>
      <c r="D238" s="4"/>
      <c r="E238" s="4"/>
      <c r="F238" s="4" t="str">
        <f>IFERROR(__xludf.DUMMYFUNCTION("""COMPUTED_VALUE"""),"Республика Башкортостан")</f>
        <v>Республика Башкортостан</v>
      </c>
      <c r="G238" s="4" t="str">
        <f>IFERROR(__xludf.DUMMYFUNCTION("""COMPUTED_VALUE"""),"Уфа")</f>
        <v>Уфа</v>
      </c>
      <c r="H238" s="4" t="str">
        <f>IFERROR(__xludf.DUMMYFUNCTION("""COMPUTED_VALUE"""),"ЖК Планета")</f>
        <v>ЖК Планета</v>
      </c>
      <c r="I238" s="4"/>
      <c r="J238" s="4"/>
      <c r="K238" s="4"/>
      <c r="L238" s="4"/>
      <c r="M238" s="4"/>
      <c r="N238" s="4"/>
      <c r="O238" s="4"/>
      <c r="P238" s="4"/>
      <c r="Q238" s="4"/>
      <c r="R238" s="4"/>
      <c r="S238" s="4"/>
      <c r="T238" s="4"/>
      <c r="U238" s="4"/>
      <c r="V238" s="4"/>
      <c r="W238" s="4"/>
      <c r="X238" s="4"/>
      <c r="Y238" s="4"/>
      <c r="Z238" s="4"/>
    </row>
    <row r="239">
      <c r="A239" s="167"/>
      <c r="B239" s="167"/>
      <c r="C239" s="173" t="s">
        <v>2338</v>
      </c>
      <c r="D239" s="4"/>
      <c r="E239" s="4"/>
      <c r="F239" s="4" t="str">
        <f>IFERROR(__xludf.DUMMYFUNCTION("""COMPUTED_VALUE"""),"Республика Башкортостан")</f>
        <v>Республика Башкортостан</v>
      </c>
      <c r="G239" s="4" t="str">
        <f>IFERROR(__xludf.DUMMYFUNCTION("""COMPUTED_VALUE"""),"Уфа")</f>
        <v>Уфа</v>
      </c>
      <c r="H239" s="4" t="str">
        <f>IFERROR(__xludf.DUMMYFUNCTION("""COMPUTED_VALUE"""),"ЖК Планета 2")</f>
        <v>ЖК Планета 2</v>
      </c>
      <c r="I239" s="4"/>
      <c r="J239" s="4"/>
      <c r="K239" s="4"/>
      <c r="L239" s="4"/>
      <c r="M239" s="4"/>
      <c r="N239" s="4"/>
      <c r="O239" s="4"/>
      <c r="P239" s="4"/>
      <c r="Q239" s="4"/>
      <c r="R239" s="4"/>
      <c r="S239" s="4"/>
      <c r="T239" s="4"/>
      <c r="U239" s="4"/>
      <c r="V239" s="4"/>
      <c r="W239" s="4"/>
      <c r="X239" s="4"/>
      <c r="Y239" s="4"/>
      <c r="Z239" s="4"/>
    </row>
    <row r="240">
      <c r="A240" s="167"/>
      <c r="B240" s="167"/>
      <c r="C240" s="173" t="s">
        <v>2352</v>
      </c>
      <c r="D240" s="4"/>
      <c r="E240" s="4"/>
      <c r="F240" s="4" t="str">
        <f>IFERROR(__xludf.DUMMYFUNCTION("""COMPUTED_VALUE"""),"Республика Башкортостан")</f>
        <v>Республика Башкортостан</v>
      </c>
      <c r="G240" s="4" t="str">
        <f>IFERROR(__xludf.DUMMYFUNCTION("""COMPUTED_VALUE"""),"Уфа")</f>
        <v>Уфа</v>
      </c>
      <c r="H240" s="4" t="str">
        <f>IFERROR(__xludf.DUMMYFUNCTION("""COMPUTED_VALUE"""),"ЖК Планета 3")</f>
        <v>ЖК Планета 3</v>
      </c>
      <c r="I240" s="4"/>
      <c r="J240" s="4"/>
      <c r="K240" s="4"/>
      <c r="L240" s="4"/>
      <c r="M240" s="4"/>
      <c r="N240" s="4"/>
      <c r="O240" s="4"/>
      <c r="P240" s="4"/>
      <c r="Q240" s="4"/>
      <c r="R240" s="4"/>
      <c r="S240" s="4"/>
      <c r="T240" s="4"/>
      <c r="U240" s="4"/>
      <c r="V240" s="4"/>
      <c r="W240" s="4"/>
      <c r="X240" s="4"/>
      <c r="Y240" s="4"/>
      <c r="Z240" s="4"/>
    </row>
    <row r="241">
      <c r="A241" s="167"/>
      <c r="B241" s="167"/>
      <c r="C241" s="60" t="s">
        <v>2363</v>
      </c>
      <c r="D241" s="4"/>
      <c r="E241" s="4"/>
      <c r="F241" s="4" t="str">
        <f>IFERROR(__xludf.DUMMYFUNCTION("""COMPUTED_VALUE"""),"Республика Башкортостан")</f>
        <v>Республика Башкортостан</v>
      </c>
      <c r="G241" s="4" t="str">
        <f>IFERROR(__xludf.DUMMYFUNCTION("""COMPUTED_VALUE"""),"Уфа")</f>
        <v>Уфа</v>
      </c>
      <c r="H241" s="4" t="str">
        <f>IFERROR(__xludf.DUMMYFUNCTION("""COMPUTED_VALUE"""),"ЖК Полесье")</f>
        <v>ЖК Полесье</v>
      </c>
      <c r="I241" s="4"/>
      <c r="J241" s="4"/>
      <c r="K241" s="4"/>
      <c r="L241" s="4"/>
      <c r="M241" s="4"/>
      <c r="N241" s="4"/>
      <c r="O241" s="4"/>
      <c r="P241" s="4"/>
      <c r="Q241" s="4"/>
      <c r="R241" s="4"/>
      <c r="S241" s="4"/>
      <c r="T241" s="4"/>
      <c r="U241" s="4"/>
      <c r="V241" s="4"/>
      <c r="W241" s="4"/>
      <c r="X241" s="4"/>
      <c r="Y241" s="4"/>
      <c r="Z241" s="4"/>
    </row>
    <row r="242">
      <c r="A242" s="167"/>
      <c r="B242" s="167"/>
      <c r="C242" s="60" t="s">
        <v>2368</v>
      </c>
      <c r="D242" s="4"/>
      <c r="E242" s="4"/>
      <c r="F242" s="4" t="str">
        <f>IFERROR(__xludf.DUMMYFUNCTION("""COMPUTED_VALUE"""),"Республика Башкортостан")</f>
        <v>Республика Башкортостан</v>
      </c>
      <c r="G242" s="4" t="str">
        <f>IFERROR(__xludf.DUMMYFUNCTION("""COMPUTED_VALUE"""),"Уфа")</f>
        <v>Уфа</v>
      </c>
      <c r="H242" s="4" t="str">
        <f>IFERROR(__xludf.DUMMYFUNCTION("""COMPUTED_VALUE"""),"ЖК Полесье 2")</f>
        <v>ЖК Полесье 2</v>
      </c>
      <c r="I242" s="4"/>
      <c r="J242" s="4"/>
      <c r="K242" s="4"/>
      <c r="L242" s="4"/>
      <c r="M242" s="4"/>
      <c r="N242" s="4"/>
      <c r="O242" s="4"/>
      <c r="P242" s="4"/>
      <c r="Q242" s="4"/>
      <c r="R242" s="4"/>
      <c r="S242" s="4"/>
      <c r="T242" s="4"/>
      <c r="U242" s="4"/>
      <c r="V242" s="4"/>
      <c r="W242" s="4"/>
      <c r="X242" s="4"/>
      <c r="Y242" s="4"/>
      <c r="Z242" s="4"/>
    </row>
    <row r="243">
      <c r="A243" s="167"/>
      <c r="B243" s="167"/>
      <c r="C243" s="60" t="s">
        <v>2373</v>
      </c>
      <c r="D243" s="4"/>
      <c r="E243" s="4"/>
      <c r="F243" s="4" t="str">
        <f>IFERROR(__xludf.DUMMYFUNCTION("""COMPUTED_VALUE"""),"Республика Башкортостан")</f>
        <v>Республика Башкортостан</v>
      </c>
      <c r="G243" s="4" t="str">
        <f>IFERROR(__xludf.DUMMYFUNCTION("""COMPUTED_VALUE"""),"Уфа")</f>
        <v>Уфа</v>
      </c>
      <c r="H243" s="4" t="str">
        <f>IFERROR(__xludf.DUMMYFUNCTION("""COMPUTED_VALUE"""),"ЖК Полесье 3")</f>
        <v>ЖК Полесье 3</v>
      </c>
      <c r="I243" s="4"/>
      <c r="J243" s="4"/>
      <c r="K243" s="4"/>
      <c r="L243" s="4"/>
      <c r="M243" s="4"/>
      <c r="N243" s="4"/>
      <c r="O243" s="4"/>
      <c r="P243" s="4"/>
      <c r="Q243" s="4"/>
      <c r="R243" s="4"/>
      <c r="S243" s="4"/>
      <c r="T243" s="4"/>
      <c r="U243" s="4"/>
      <c r="V243" s="4"/>
      <c r="W243" s="4"/>
      <c r="X243" s="4"/>
      <c r="Y243" s="4"/>
      <c r="Z243" s="4"/>
    </row>
    <row r="244">
      <c r="A244" s="167"/>
      <c r="B244" s="167"/>
      <c r="C244" s="173" t="s">
        <v>686</v>
      </c>
      <c r="D244" s="4"/>
      <c r="E244" s="4"/>
      <c r="F244" s="4" t="str">
        <f>IFERROR(__xludf.DUMMYFUNCTION("""COMPUTED_VALUE"""),"Республика Башкортостан")</f>
        <v>Республика Башкортостан</v>
      </c>
      <c r="G244" s="4" t="str">
        <f>IFERROR(__xludf.DUMMYFUNCTION("""COMPUTED_VALUE"""),"Уфа")</f>
        <v>Уфа</v>
      </c>
      <c r="H244" s="4" t="str">
        <f>IFERROR(__xludf.DUMMYFUNCTION("""COMPUTED_VALUE"""),"ЖК Президент отель")</f>
        <v>ЖК Президент отель</v>
      </c>
      <c r="I244" s="4"/>
      <c r="J244" s="4"/>
      <c r="K244" s="4"/>
      <c r="L244" s="4"/>
      <c r="M244" s="4"/>
      <c r="N244" s="4"/>
      <c r="O244" s="4"/>
      <c r="P244" s="4"/>
      <c r="Q244" s="4"/>
      <c r="R244" s="4"/>
      <c r="S244" s="4"/>
      <c r="T244" s="4"/>
      <c r="U244" s="4"/>
      <c r="V244" s="4"/>
      <c r="W244" s="4"/>
      <c r="X244" s="4"/>
      <c r="Y244" s="4"/>
      <c r="Z244" s="4"/>
    </row>
    <row r="245">
      <c r="A245" s="167"/>
      <c r="B245" s="167"/>
      <c r="C245" s="173" t="s">
        <v>2388</v>
      </c>
      <c r="D245" s="4"/>
      <c r="E245" s="4"/>
      <c r="F245" s="4" t="str">
        <f>IFERROR(__xludf.DUMMYFUNCTION("""COMPUTED_VALUE"""),"Республика Башкортостан")</f>
        <v>Республика Башкортостан</v>
      </c>
      <c r="G245" s="4" t="str">
        <f>IFERROR(__xludf.DUMMYFUNCTION("""COMPUTED_VALUE"""),"Уфа")</f>
        <v>Уфа</v>
      </c>
      <c r="H245" s="4" t="str">
        <f>IFERROR(__xludf.DUMMYFUNCTION("""COMPUTED_VALUE"""),"ЖК Проезд Лесной 16")</f>
        <v>ЖК Проезд Лесной 16</v>
      </c>
      <c r="I245" s="4"/>
      <c r="J245" s="4"/>
      <c r="K245" s="4"/>
      <c r="L245" s="4"/>
      <c r="M245" s="4"/>
      <c r="N245" s="4"/>
      <c r="O245" s="4"/>
      <c r="P245" s="4"/>
      <c r="Q245" s="4"/>
      <c r="R245" s="4"/>
      <c r="S245" s="4"/>
      <c r="T245" s="4"/>
      <c r="U245" s="4"/>
      <c r="V245" s="4"/>
      <c r="W245" s="4"/>
      <c r="X245" s="4"/>
      <c r="Y245" s="4"/>
      <c r="Z245" s="4"/>
    </row>
    <row r="246">
      <c r="A246" s="167"/>
      <c r="B246" s="167"/>
      <c r="C246" s="60" t="s">
        <v>2398</v>
      </c>
      <c r="D246" s="4"/>
      <c r="E246" s="4"/>
      <c r="F246" s="4" t="str">
        <f>IFERROR(__xludf.DUMMYFUNCTION("""COMPUTED_VALUE"""),"Республика Башкортостан")</f>
        <v>Республика Башкортостан</v>
      </c>
      <c r="G246" s="4" t="str">
        <f>IFERROR(__xludf.DUMMYFUNCTION("""COMPUTED_VALUE"""),"Уфа")</f>
        <v>Уфа</v>
      </c>
      <c r="H246" s="4" t="str">
        <f>IFERROR(__xludf.DUMMYFUNCTION("""COMPUTED_VALUE"""),"ЖК Республика ")</f>
        <v>ЖК Республика </v>
      </c>
      <c r="I246" s="4"/>
      <c r="J246" s="4"/>
      <c r="K246" s="4"/>
      <c r="L246" s="4"/>
      <c r="M246" s="4"/>
      <c r="N246" s="4"/>
      <c r="O246" s="4"/>
      <c r="P246" s="4"/>
      <c r="Q246" s="4"/>
      <c r="R246" s="4"/>
      <c r="S246" s="4"/>
      <c r="T246" s="4"/>
      <c r="U246" s="4"/>
      <c r="V246" s="4"/>
      <c r="W246" s="4"/>
      <c r="X246" s="4"/>
      <c r="Y246" s="4"/>
      <c r="Z246" s="4"/>
    </row>
    <row r="247">
      <c r="A247" s="167"/>
      <c r="B247" s="167"/>
      <c r="C247" s="60" t="s">
        <v>2403</v>
      </c>
      <c r="D247" s="4"/>
      <c r="E247" s="4"/>
      <c r="F247" s="4" t="str">
        <f>IFERROR(__xludf.DUMMYFUNCTION("""COMPUTED_VALUE"""),"Республика Башкортостан")</f>
        <v>Республика Башкортостан</v>
      </c>
      <c r="G247" s="4" t="str">
        <f>IFERROR(__xludf.DUMMYFUNCTION("""COMPUTED_VALUE"""),"Уфа")</f>
        <v>Уфа</v>
      </c>
      <c r="H247" s="4" t="str">
        <f>IFERROR(__xludf.DUMMYFUNCTION("""COMPUTED_VALUE"""),"ЖК Республика 1")</f>
        <v>ЖК Республика 1</v>
      </c>
      <c r="I247" s="4"/>
      <c r="J247" s="4"/>
      <c r="K247" s="4"/>
      <c r="L247" s="4"/>
      <c r="M247" s="4"/>
      <c r="N247" s="4"/>
      <c r="O247" s="4"/>
      <c r="P247" s="4"/>
      <c r="Q247" s="4"/>
      <c r="R247" s="4"/>
      <c r="S247" s="4"/>
      <c r="T247" s="4"/>
      <c r="U247" s="4"/>
      <c r="V247" s="4"/>
      <c r="W247" s="4"/>
      <c r="X247" s="4"/>
      <c r="Y247" s="4"/>
      <c r="Z247" s="4"/>
    </row>
    <row r="248">
      <c r="A248" s="167"/>
      <c r="B248" s="167"/>
      <c r="C248" s="60" t="s">
        <v>2408</v>
      </c>
      <c r="D248" s="4"/>
      <c r="E248" s="4"/>
      <c r="F248" s="4" t="str">
        <f>IFERROR(__xludf.DUMMYFUNCTION("""COMPUTED_VALUE"""),"Республика Башкортостан")</f>
        <v>Республика Башкортостан</v>
      </c>
      <c r="G248" s="4" t="str">
        <f>IFERROR(__xludf.DUMMYFUNCTION("""COMPUTED_VALUE"""),"Уфа")</f>
        <v>Уфа</v>
      </c>
      <c r="H248" s="4" t="str">
        <f>IFERROR(__xludf.DUMMYFUNCTION("""COMPUTED_VALUE"""),"ЖК Риверсайд")</f>
        <v>ЖК Риверсайд</v>
      </c>
      <c r="I248" s="4"/>
      <c r="J248" s="4"/>
      <c r="K248" s="4"/>
      <c r="L248" s="4"/>
      <c r="M248" s="4"/>
      <c r="N248" s="4"/>
      <c r="O248" s="4"/>
      <c r="P248" s="4"/>
      <c r="Q248" s="4"/>
      <c r="R248" s="4"/>
      <c r="S248" s="4"/>
      <c r="T248" s="4"/>
      <c r="U248" s="4"/>
      <c r="V248" s="4"/>
      <c r="W248" s="4"/>
      <c r="X248" s="4"/>
      <c r="Y248" s="4"/>
      <c r="Z248" s="4"/>
    </row>
    <row r="249">
      <c r="A249" s="167"/>
      <c r="B249" s="167"/>
      <c r="C249" s="173" t="s">
        <v>2414</v>
      </c>
      <c r="D249" s="4"/>
      <c r="E249" s="4"/>
      <c r="F249" s="4" t="str">
        <f>IFERROR(__xludf.DUMMYFUNCTION("""COMPUTED_VALUE"""),"Республика Башкортостан")</f>
        <v>Республика Башкортостан</v>
      </c>
      <c r="G249" s="4" t="str">
        <f>IFERROR(__xludf.DUMMYFUNCTION("""COMPUTED_VALUE"""),"Уфа")</f>
        <v>Уфа</v>
      </c>
      <c r="H249" s="4" t="str">
        <f>IFERROR(__xludf.DUMMYFUNCTION("""COMPUTED_VALUE"""),"ЖК Свобода 1")</f>
        <v>ЖК Свобода 1</v>
      </c>
      <c r="I249" s="4"/>
      <c r="J249" s="4"/>
      <c r="K249" s="4"/>
      <c r="L249" s="4"/>
      <c r="M249" s="4"/>
      <c r="N249" s="4"/>
      <c r="O249" s="4"/>
      <c r="P249" s="4"/>
      <c r="Q249" s="4"/>
      <c r="R249" s="4"/>
      <c r="S249" s="4"/>
      <c r="T249" s="4"/>
      <c r="U249" s="4"/>
      <c r="V249" s="4"/>
      <c r="W249" s="4"/>
      <c r="X249" s="4"/>
      <c r="Y249" s="4"/>
      <c r="Z249" s="4"/>
    </row>
    <row r="250">
      <c r="A250" s="167"/>
      <c r="B250" s="167"/>
      <c r="C250" s="173" t="s">
        <v>2426</v>
      </c>
      <c r="D250" s="4"/>
      <c r="E250" s="4"/>
      <c r="F250" s="4" t="str">
        <f>IFERROR(__xludf.DUMMYFUNCTION("""COMPUTED_VALUE"""),"Республика Башкортостан")</f>
        <v>Республика Башкортостан</v>
      </c>
      <c r="G250" s="4" t="str">
        <f>IFERROR(__xludf.DUMMYFUNCTION("""COMPUTED_VALUE"""),"Уфа")</f>
        <v>Уфа</v>
      </c>
      <c r="H250" s="4" t="str">
        <f>IFERROR(__xludf.DUMMYFUNCTION("""COMPUTED_VALUE"""),"ЖК Свобода 2")</f>
        <v>ЖК Свобода 2</v>
      </c>
      <c r="I250" s="4"/>
      <c r="J250" s="4"/>
      <c r="K250" s="4"/>
      <c r="L250" s="4"/>
      <c r="M250" s="4"/>
      <c r="N250" s="4"/>
      <c r="O250" s="4"/>
      <c r="P250" s="4"/>
      <c r="Q250" s="4"/>
      <c r="R250" s="4"/>
      <c r="S250" s="4"/>
      <c r="T250" s="4"/>
      <c r="U250" s="4"/>
      <c r="V250" s="4"/>
      <c r="W250" s="4"/>
      <c r="X250" s="4"/>
      <c r="Y250" s="4"/>
      <c r="Z250" s="4"/>
    </row>
    <row r="251">
      <c r="A251" s="167"/>
      <c r="B251" s="167"/>
      <c r="C251" s="173" t="s">
        <v>2434</v>
      </c>
      <c r="D251" s="4"/>
      <c r="E251" s="4"/>
      <c r="F251" s="4" t="str">
        <f>IFERROR(__xludf.DUMMYFUNCTION("""COMPUTED_VALUE"""),"Республика Башкортостан")</f>
        <v>Республика Башкортостан</v>
      </c>
      <c r="G251" s="4" t="str">
        <f>IFERROR(__xludf.DUMMYFUNCTION("""COMPUTED_VALUE"""),"Уфа")</f>
        <v>Уфа</v>
      </c>
      <c r="H251" s="4" t="str">
        <f>IFERROR(__xludf.DUMMYFUNCTION("""COMPUTED_VALUE"""),"ЖК Семь звёзд")</f>
        <v>ЖК Семь звёзд</v>
      </c>
      <c r="I251" s="4"/>
      <c r="J251" s="4"/>
      <c r="K251" s="4"/>
      <c r="L251" s="4"/>
      <c r="M251" s="4"/>
      <c r="N251" s="4"/>
      <c r="O251" s="4"/>
      <c r="P251" s="4"/>
      <c r="Q251" s="4"/>
      <c r="R251" s="4"/>
      <c r="S251" s="4"/>
      <c r="T251" s="4"/>
      <c r="U251" s="4"/>
      <c r="V251" s="4"/>
      <c r="W251" s="4"/>
      <c r="X251" s="4"/>
      <c r="Y251" s="4"/>
      <c r="Z251" s="4"/>
    </row>
    <row r="252">
      <c r="A252" s="167"/>
      <c r="B252" s="167"/>
      <c r="C252" s="60" t="s">
        <v>2442</v>
      </c>
      <c r="D252" s="4"/>
      <c r="E252" s="4"/>
      <c r="F252" s="4" t="str">
        <f>IFERROR(__xludf.DUMMYFUNCTION("""COMPUTED_VALUE"""),"Республика Башкортостан")</f>
        <v>Республика Башкортостан</v>
      </c>
      <c r="G252" s="4" t="str">
        <f>IFERROR(__xludf.DUMMYFUNCTION("""COMPUTED_VALUE"""),"Уфа")</f>
        <v>Уфа</v>
      </c>
      <c r="H252" s="4" t="str">
        <f>IFERROR(__xludf.DUMMYFUNCTION("""COMPUTED_VALUE"""),"ЖК Семья")</f>
        <v>ЖК Семья</v>
      </c>
      <c r="I252" s="4"/>
      <c r="J252" s="4"/>
      <c r="K252" s="4"/>
      <c r="L252" s="4"/>
      <c r="M252" s="4"/>
      <c r="N252" s="4"/>
      <c r="O252" s="4"/>
      <c r="P252" s="4"/>
      <c r="Q252" s="4"/>
      <c r="R252" s="4"/>
      <c r="S252" s="4"/>
      <c r="T252" s="4"/>
      <c r="U252" s="4"/>
      <c r="V252" s="4"/>
      <c r="W252" s="4"/>
      <c r="X252" s="4"/>
      <c r="Y252" s="4"/>
      <c r="Z252" s="4"/>
    </row>
    <row r="253">
      <c r="A253" s="167"/>
      <c r="B253" s="167"/>
      <c r="C253" s="173" t="s">
        <v>2946</v>
      </c>
      <c r="D253" s="4"/>
      <c r="E253" s="4"/>
      <c r="F253" s="4" t="str">
        <f>IFERROR(__xludf.DUMMYFUNCTION("""COMPUTED_VALUE"""),"Республика Башкортостан")</f>
        <v>Республика Башкортостан</v>
      </c>
      <c r="G253" s="4" t="str">
        <f>IFERROR(__xludf.DUMMYFUNCTION("""COMPUTED_VALUE"""),"Уфа")</f>
        <v>Уфа</v>
      </c>
      <c r="H253" s="4" t="str">
        <f>IFERROR(__xludf.DUMMYFUNCTION("""COMPUTED_VALUE"""),"ЖК Старый центр")</f>
        <v>ЖК Старый центр</v>
      </c>
      <c r="I253" s="4"/>
      <c r="J253" s="4"/>
      <c r="K253" s="4"/>
      <c r="L253" s="4"/>
      <c r="M253" s="4"/>
      <c r="N253" s="4"/>
      <c r="O253" s="4"/>
      <c r="P253" s="4"/>
      <c r="Q253" s="4"/>
      <c r="R253" s="4"/>
      <c r="S253" s="4"/>
      <c r="T253" s="4"/>
      <c r="U253" s="4"/>
      <c r="V253" s="4"/>
      <c r="W253" s="4"/>
      <c r="X253" s="4"/>
      <c r="Y253" s="4"/>
      <c r="Z253" s="4"/>
    </row>
    <row r="254">
      <c r="A254" s="167"/>
      <c r="B254" s="167"/>
      <c r="C254" s="60" t="s">
        <v>2460</v>
      </c>
      <c r="D254" s="4"/>
      <c r="E254" s="4"/>
      <c r="F254" s="4" t="str">
        <f>IFERROR(__xludf.DUMMYFUNCTION("""COMPUTED_VALUE"""),"Республика Башкортостан")</f>
        <v>Республика Башкортостан</v>
      </c>
      <c r="G254" s="4" t="str">
        <f>IFERROR(__xludf.DUMMYFUNCTION("""COMPUTED_VALUE"""),"Уфа")</f>
        <v>Уфа</v>
      </c>
      <c r="H254" s="4" t="str">
        <f>IFERROR(__xludf.DUMMYFUNCTION("""COMPUTED_VALUE"""),"ЖК Тихий Центр")</f>
        <v>ЖК Тихий Центр</v>
      </c>
      <c r="I254" s="4"/>
      <c r="J254" s="4"/>
      <c r="K254" s="4"/>
      <c r="L254" s="4"/>
      <c r="M254" s="4"/>
      <c r="N254" s="4"/>
      <c r="O254" s="4"/>
      <c r="P254" s="4"/>
      <c r="Q254" s="4"/>
      <c r="R254" s="4"/>
      <c r="S254" s="4"/>
      <c r="T254" s="4"/>
      <c r="U254" s="4"/>
      <c r="V254" s="4"/>
      <c r="W254" s="4"/>
      <c r="X254" s="4"/>
      <c r="Y254" s="4"/>
      <c r="Z254" s="4"/>
    </row>
    <row r="255">
      <c r="A255" s="167"/>
      <c r="B255" s="167"/>
      <c r="C255" s="60" t="s">
        <v>2465</v>
      </c>
      <c r="D255" s="4"/>
      <c r="E255" s="4"/>
      <c r="F255" s="4" t="str">
        <f>IFERROR(__xludf.DUMMYFUNCTION("""COMPUTED_VALUE"""),"Республика Башкортостан")</f>
        <v>Республика Башкортостан</v>
      </c>
      <c r="G255" s="4" t="str">
        <f>IFERROR(__xludf.DUMMYFUNCTION("""COMPUTED_VALUE"""),"Уфа")</f>
        <v>Уфа</v>
      </c>
      <c r="H255" s="4" t="str">
        <f>IFERROR(__xludf.DUMMYFUNCTION("""COMPUTED_VALUE"""),"ЖК Трио")</f>
        <v>ЖК Трио</v>
      </c>
      <c r="I255" s="4"/>
      <c r="J255" s="4"/>
      <c r="K255" s="4"/>
      <c r="L255" s="4"/>
      <c r="M255" s="4"/>
      <c r="N255" s="4"/>
      <c r="O255" s="4"/>
      <c r="P255" s="4"/>
      <c r="Q255" s="4"/>
      <c r="R255" s="4"/>
      <c r="S255" s="4"/>
      <c r="T255" s="4"/>
      <c r="U255" s="4"/>
      <c r="V255" s="4"/>
      <c r="W255" s="4"/>
      <c r="X255" s="4"/>
      <c r="Y255" s="4"/>
      <c r="Z255" s="4"/>
    </row>
    <row r="256">
      <c r="A256" s="106"/>
      <c r="B256" s="106"/>
      <c r="C256" s="176" t="s">
        <v>2471</v>
      </c>
      <c r="D256" s="4"/>
      <c r="E256" s="4"/>
      <c r="F256" s="4" t="str">
        <f>IFERROR(__xludf.DUMMYFUNCTION("""COMPUTED_VALUE"""),"Республика Башкортостан")</f>
        <v>Республика Башкортостан</v>
      </c>
      <c r="G256" s="4" t="str">
        <f>IFERROR(__xludf.DUMMYFUNCTION("""COMPUTED_VALUE"""),"Уфа")</f>
        <v>Уфа</v>
      </c>
      <c r="H256" s="4" t="str">
        <f>IFERROR(__xludf.DUMMYFUNCTION("""COMPUTED_VALUE"""),"ЖК Уфимский кремль ")</f>
        <v>ЖК Уфимский кремль </v>
      </c>
      <c r="I256" s="4"/>
      <c r="J256" s="4"/>
      <c r="K256" s="4"/>
      <c r="L256" s="4"/>
      <c r="M256" s="4"/>
      <c r="N256" s="4"/>
      <c r="O256" s="4"/>
      <c r="P256" s="4"/>
      <c r="Q256" s="4"/>
      <c r="R256" s="4"/>
      <c r="S256" s="4"/>
      <c r="T256" s="4"/>
      <c r="U256" s="4"/>
      <c r="V256" s="4"/>
      <c r="W256" s="4"/>
      <c r="X256" s="4"/>
      <c r="Y256" s="4"/>
      <c r="Z256" s="4"/>
    </row>
    <row r="257">
      <c r="A257" s="165" t="s">
        <v>239</v>
      </c>
      <c r="B257" s="165" t="s">
        <v>240</v>
      </c>
      <c r="C257" s="60" t="s">
        <v>2534</v>
      </c>
      <c r="D257" s="4"/>
      <c r="E257" s="4"/>
      <c r="F257" s="4" t="str">
        <f>IFERROR(__xludf.DUMMYFUNCTION("""COMPUTED_VALUE"""),"Республика Башкортостан")</f>
        <v>Республика Башкортостан</v>
      </c>
      <c r="G257" s="4" t="str">
        <f>IFERROR(__xludf.DUMMYFUNCTION("""COMPUTED_VALUE"""),"Уфа")</f>
        <v>Уфа</v>
      </c>
      <c r="H257" s="4" t="str">
        <f>IFERROR(__xludf.DUMMYFUNCTION("""COMPUTED_VALUE"""),"ЖК Цветы Башкирии 1")</f>
        <v>ЖК Цветы Башкирии 1</v>
      </c>
      <c r="I257" s="4"/>
      <c r="J257" s="4"/>
      <c r="K257" s="4"/>
      <c r="L257" s="4"/>
      <c r="M257" s="4"/>
      <c r="N257" s="4"/>
      <c r="O257" s="4"/>
      <c r="P257" s="4"/>
      <c r="Q257" s="4"/>
      <c r="R257" s="4"/>
      <c r="S257" s="4"/>
      <c r="T257" s="4"/>
      <c r="U257" s="4"/>
      <c r="V257" s="4"/>
      <c r="W257" s="4"/>
      <c r="X257" s="4"/>
      <c r="Y257" s="4"/>
      <c r="Z257" s="4"/>
    </row>
    <row r="258">
      <c r="A258" s="167"/>
      <c r="B258" s="167"/>
      <c r="C258" s="60" t="s">
        <v>2542</v>
      </c>
      <c r="D258" s="4"/>
      <c r="E258" s="4"/>
      <c r="F258" s="4" t="str">
        <f>IFERROR(__xludf.DUMMYFUNCTION("""COMPUTED_VALUE"""),"Республика Башкортостан")</f>
        <v>Республика Башкортостан</v>
      </c>
      <c r="G258" s="4" t="str">
        <f>IFERROR(__xludf.DUMMYFUNCTION("""COMPUTED_VALUE"""),"Уфа")</f>
        <v>Уфа</v>
      </c>
      <c r="H258" s="4" t="str">
        <f>IFERROR(__xludf.DUMMYFUNCTION("""COMPUTED_VALUE"""),"ЖК Цветы Башкирии 2")</f>
        <v>ЖК Цветы Башкирии 2</v>
      </c>
      <c r="I258" s="4"/>
      <c r="J258" s="4"/>
      <c r="K258" s="4"/>
      <c r="L258" s="4"/>
      <c r="M258" s="4"/>
      <c r="N258" s="4"/>
      <c r="O258" s="4"/>
      <c r="P258" s="4"/>
      <c r="Q258" s="4"/>
      <c r="R258" s="4"/>
      <c r="S258" s="4"/>
      <c r="T258" s="4"/>
      <c r="U258" s="4"/>
      <c r="V258" s="4"/>
      <c r="W258" s="4"/>
      <c r="X258" s="4"/>
      <c r="Y258" s="4"/>
      <c r="Z258" s="4"/>
    </row>
    <row r="259">
      <c r="A259" s="167"/>
      <c r="B259" s="167"/>
      <c r="C259" s="60" t="s">
        <v>2553</v>
      </c>
      <c r="D259" s="4"/>
      <c r="E259" s="4"/>
      <c r="F259" s="4" t="str">
        <f>IFERROR(__xludf.DUMMYFUNCTION("""COMPUTED_VALUE"""),"Республика Башкортостан")</f>
        <v>Республика Башкортостан</v>
      </c>
      <c r="G259" s="4" t="str">
        <f>IFERROR(__xludf.DUMMYFUNCTION("""COMPUTED_VALUE"""),"Уфа")</f>
        <v>Уфа</v>
      </c>
      <c r="H259" s="4" t="str">
        <f>IFERROR(__xludf.DUMMYFUNCTION("""COMPUTED_VALUE"""),"ЖК Цветы Башкирии 3")</f>
        <v>ЖК Цветы Башкирии 3</v>
      </c>
      <c r="I259" s="4"/>
      <c r="J259" s="4"/>
      <c r="K259" s="4"/>
      <c r="L259" s="4"/>
      <c r="M259" s="4"/>
      <c r="N259" s="4"/>
      <c r="O259" s="4"/>
      <c r="P259" s="4"/>
      <c r="Q259" s="4"/>
      <c r="R259" s="4"/>
      <c r="S259" s="4"/>
      <c r="T259" s="4"/>
      <c r="U259" s="4"/>
      <c r="V259" s="4"/>
      <c r="W259" s="4"/>
      <c r="X259" s="4"/>
      <c r="Y259" s="4"/>
      <c r="Z259" s="4"/>
    </row>
    <row r="260">
      <c r="A260" s="167"/>
      <c r="B260" s="106"/>
      <c r="C260" s="60" t="s">
        <v>2564</v>
      </c>
      <c r="D260" s="4"/>
      <c r="E260" s="4"/>
      <c r="F260" s="4" t="str">
        <f>IFERROR(__xludf.DUMMYFUNCTION("""COMPUTED_VALUE"""),"Республика Башкортостан")</f>
        <v>Республика Башкортостан</v>
      </c>
      <c r="G260" s="4" t="str">
        <f>IFERROR(__xludf.DUMMYFUNCTION("""COMPUTED_VALUE"""),"Уфа")</f>
        <v>Уфа</v>
      </c>
      <c r="H260" s="4" t="str">
        <f>IFERROR(__xludf.DUMMYFUNCTION("""COMPUTED_VALUE"""),"ЖК Центр")</f>
        <v>ЖК Центр</v>
      </c>
      <c r="I260" s="4"/>
      <c r="J260" s="4"/>
      <c r="K260" s="4"/>
      <c r="L260" s="4"/>
      <c r="M260" s="4"/>
      <c r="N260" s="4"/>
      <c r="O260" s="4"/>
      <c r="P260" s="4"/>
      <c r="Q260" s="4"/>
      <c r="R260" s="4"/>
      <c r="S260" s="4"/>
      <c r="T260" s="4"/>
      <c r="U260" s="4"/>
      <c r="V260" s="4"/>
      <c r="W260" s="4"/>
      <c r="X260" s="4"/>
      <c r="Y260" s="4"/>
      <c r="Z260" s="4"/>
    </row>
    <row r="261">
      <c r="A261" s="167"/>
      <c r="B261" s="165" t="s">
        <v>267</v>
      </c>
      <c r="C261" s="60" t="s">
        <v>2576</v>
      </c>
      <c r="D261" s="4"/>
      <c r="E261" s="4"/>
      <c r="F261" s="4" t="str">
        <f>IFERROR(__xludf.DUMMYFUNCTION("""COMPUTED_VALUE"""),"Республика Башкортостан")</f>
        <v>Республика Башкортостан</v>
      </c>
      <c r="G261" s="4" t="str">
        <f>IFERROR(__xludf.DUMMYFUNCTION("""COMPUTED_VALUE"""),"Уфа")</f>
        <v>Уфа</v>
      </c>
      <c r="H261" s="4" t="str">
        <f>IFERROR(__xludf.DUMMYFUNCTION("""COMPUTED_VALUE"""),"ЖК Черемушки")</f>
        <v>ЖК Черемушки</v>
      </c>
      <c r="I261" s="4"/>
      <c r="J261" s="4"/>
      <c r="K261" s="4"/>
      <c r="L261" s="4"/>
      <c r="M261" s="4"/>
      <c r="N261" s="4"/>
      <c r="O261" s="4"/>
      <c r="P261" s="4"/>
      <c r="Q261" s="4"/>
      <c r="R261" s="4"/>
      <c r="S261" s="4"/>
      <c r="T261" s="4"/>
      <c r="U261" s="4"/>
      <c r="V261" s="4"/>
      <c r="W261" s="4"/>
      <c r="X261" s="4"/>
      <c r="Y261" s="4"/>
      <c r="Z261" s="4"/>
    </row>
    <row r="262">
      <c r="A262" s="167"/>
      <c r="B262" s="167"/>
      <c r="C262" s="60" t="s">
        <v>2581</v>
      </c>
      <c r="D262" s="4"/>
      <c r="E262" s="4"/>
      <c r="F262" s="4" t="str">
        <f>IFERROR(__xludf.DUMMYFUNCTION("""COMPUTED_VALUE"""),"Республика Башкортостан")</f>
        <v>Республика Башкортостан</v>
      </c>
      <c r="G262" s="4" t="str">
        <f>IFERROR(__xludf.DUMMYFUNCTION("""COMPUTED_VALUE"""),"Уфа")</f>
        <v>Уфа</v>
      </c>
      <c r="H262" s="4" t="str">
        <f>IFERROR(__xludf.DUMMYFUNCTION("""COMPUTED_VALUE"""),"ЖК Черемушки 2")</f>
        <v>ЖК Черемушки 2</v>
      </c>
      <c r="I262" s="4"/>
      <c r="J262" s="4"/>
      <c r="K262" s="4"/>
      <c r="L262" s="4"/>
      <c r="M262" s="4"/>
      <c r="N262" s="4"/>
      <c r="O262" s="4"/>
      <c r="P262" s="4"/>
      <c r="Q262" s="4"/>
      <c r="R262" s="4"/>
      <c r="S262" s="4"/>
      <c r="T262" s="4"/>
      <c r="U262" s="4"/>
      <c r="V262" s="4"/>
      <c r="W262" s="4"/>
      <c r="X262" s="4"/>
      <c r="Y262" s="4"/>
      <c r="Z262" s="4"/>
    </row>
    <row r="263">
      <c r="A263" s="167"/>
      <c r="B263" s="167"/>
      <c r="C263" s="60" t="s">
        <v>2589</v>
      </c>
      <c r="D263" s="4"/>
      <c r="E263" s="4"/>
      <c r="F263" s="4" t="str">
        <f>IFERROR(__xludf.DUMMYFUNCTION("""COMPUTED_VALUE"""),"Республика Башкортостан")</f>
        <v>Республика Башкортостан</v>
      </c>
      <c r="G263" s="4" t="str">
        <f>IFERROR(__xludf.DUMMYFUNCTION("""COMPUTED_VALUE"""),"Уфа")</f>
        <v>Уфа</v>
      </c>
      <c r="H263" s="4" t="str">
        <f>IFERROR(__xludf.DUMMYFUNCTION("""COMPUTED_VALUE"""),"ЖК Черемушки 3")</f>
        <v>ЖК Черемушки 3</v>
      </c>
      <c r="I263" s="4"/>
      <c r="J263" s="4"/>
      <c r="K263" s="4"/>
      <c r="L263" s="4"/>
      <c r="M263" s="4"/>
      <c r="N263" s="4"/>
      <c r="O263" s="4"/>
      <c r="P263" s="4"/>
      <c r="Q263" s="4"/>
      <c r="R263" s="4"/>
      <c r="S263" s="4"/>
      <c r="T263" s="4"/>
      <c r="U263" s="4"/>
      <c r="V263" s="4"/>
      <c r="W263" s="4"/>
      <c r="X263" s="4"/>
      <c r="Y263" s="4"/>
      <c r="Z263" s="4"/>
    </row>
    <row r="264">
      <c r="A264" s="167"/>
      <c r="B264" s="167"/>
      <c r="C264" s="60" t="s">
        <v>2597</v>
      </c>
      <c r="D264" s="4"/>
      <c r="E264" s="4"/>
      <c r="F264" s="4" t="str">
        <f>IFERROR(__xludf.DUMMYFUNCTION("""COMPUTED_VALUE"""),"Республика Башкортостан")</f>
        <v>Республика Башкортостан</v>
      </c>
      <c r="G264" s="4" t="str">
        <f>IFERROR(__xludf.DUMMYFUNCTION("""COMPUTED_VALUE"""),"Уфа")</f>
        <v>Уфа</v>
      </c>
      <c r="H264" s="4" t="str">
        <f>IFERROR(__xludf.DUMMYFUNCTION("""COMPUTED_VALUE"""),"ЖК Черниковские высотки")</f>
        <v>ЖК Черниковские высотки</v>
      </c>
      <c r="I264" s="4"/>
      <c r="J264" s="4"/>
      <c r="K264" s="4"/>
      <c r="L264" s="4"/>
      <c r="M264" s="4"/>
      <c r="N264" s="4"/>
      <c r="O264" s="4"/>
      <c r="P264" s="4"/>
      <c r="Q264" s="4"/>
      <c r="R264" s="4"/>
      <c r="S264" s="4"/>
      <c r="T264" s="4"/>
      <c r="U264" s="4"/>
      <c r="V264" s="4"/>
      <c r="W264" s="4"/>
      <c r="X264" s="4"/>
      <c r="Y264" s="4"/>
      <c r="Z264" s="4"/>
    </row>
    <row r="265">
      <c r="A265" s="167"/>
      <c r="B265" s="106"/>
      <c r="C265" s="60" t="s">
        <v>2605</v>
      </c>
      <c r="D265" s="4"/>
      <c r="E265" s="4"/>
      <c r="F265" s="4" t="str">
        <f>IFERROR(__xludf.DUMMYFUNCTION("""COMPUTED_VALUE"""),"Республика Башкортостан")</f>
        <v>Республика Башкортостан</v>
      </c>
      <c r="G265" s="4" t="str">
        <f>IFERROR(__xludf.DUMMYFUNCTION("""COMPUTED_VALUE"""),"Уфа")</f>
        <v>Уфа</v>
      </c>
      <c r="H265" s="4" t="str">
        <f>IFERROR(__xludf.DUMMYFUNCTION("""COMPUTED_VALUE"""),"ЖК Чистое небо ")</f>
        <v>ЖК Чистое небо </v>
      </c>
      <c r="I265" s="4"/>
      <c r="J265" s="4"/>
      <c r="K265" s="4"/>
      <c r="L265" s="4"/>
      <c r="M265" s="4"/>
      <c r="N265" s="4"/>
      <c r="O265" s="4"/>
      <c r="P265" s="4"/>
      <c r="Q265" s="4"/>
      <c r="R265" s="4"/>
      <c r="S265" s="4"/>
      <c r="T265" s="4"/>
      <c r="U265" s="4"/>
      <c r="V265" s="4"/>
      <c r="W265" s="4"/>
      <c r="X265" s="4"/>
      <c r="Y265" s="4"/>
      <c r="Z265" s="4"/>
    </row>
    <row r="266">
      <c r="A266" s="167"/>
      <c r="B266" s="165" t="s">
        <v>290</v>
      </c>
      <c r="C266" s="60" t="s">
        <v>2647</v>
      </c>
      <c r="D266" s="4"/>
      <c r="E266" s="4"/>
      <c r="F266" s="4" t="str">
        <f>IFERROR(__xludf.DUMMYFUNCTION("""COMPUTED_VALUE"""),"Республика Башкортостан")</f>
        <v>Республика Башкортостан</v>
      </c>
      <c r="G266" s="4" t="str">
        <f>IFERROR(__xludf.DUMMYFUNCTION("""COMPUTED_VALUE"""),"Уфа")</f>
        <v>Уфа</v>
      </c>
      <c r="H266" s="4" t="str">
        <f>IFERROR(__xludf.DUMMYFUNCTION("""COMPUTED_VALUE"""),"ЖК Эверест")</f>
        <v>ЖК Эверест</v>
      </c>
      <c r="I266" s="4"/>
      <c r="J266" s="4"/>
      <c r="K266" s="4"/>
      <c r="L266" s="4"/>
      <c r="M266" s="4"/>
      <c r="N266" s="4"/>
      <c r="O266" s="4"/>
      <c r="P266" s="4"/>
      <c r="Q266" s="4"/>
      <c r="R266" s="4"/>
      <c r="S266" s="4"/>
      <c r="T266" s="4"/>
      <c r="U266" s="4"/>
      <c r="V266" s="4"/>
      <c r="W266" s="4"/>
      <c r="X266" s="4"/>
      <c r="Y266" s="4"/>
      <c r="Z266" s="4"/>
    </row>
    <row r="267">
      <c r="A267" s="167"/>
      <c r="B267" s="167"/>
      <c r="C267" s="60" t="s">
        <v>2652</v>
      </c>
      <c r="D267" s="4"/>
      <c r="E267" s="4"/>
      <c r="F267" s="4" t="str">
        <f>IFERROR(__xludf.DUMMYFUNCTION("""COMPUTED_VALUE"""),"Республика Башкортостан")</f>
        <v>Республика Башкортостан</v>
      </c>
      <c r="G267" s="4" t="str">
        <f>IFERROR(__xludf.DUMMYFUNCTION("""COMPUTED_VALUE"""),"Уфа")</f>
        <v>Уфа</v>
      </c>
      <c r="H267" s="4" t="str">
        <f>IFERROR(__xludf.DUMMYFUNCTION("""COMPUTED_VALUE"""),"ЖК Элементум")</f>
        <v>ЖК Элементум</v>
      </c>
      <c r="I267" s="4"/>
      <c r="J267" s="4"/>
      <c r="K267" s="4"/>
      <c r="L267" s="4"/>
      <c r="M267" s="4"/>
      <c r="N267" s="4"/>
      <c r="O267" s="4"/>
      <c r="P267" s="4"/>
      <c r="Q267" s="4"/>
      <c r="R267" s="4"/>
      <c r="S267" s="4"/>
      <c r="T267" s="4"/>
      <c r="U267" s="4"/>
      <c r="V267" s="4"/>
      <c r="W267" s="4"/>
      <c r="X267" s="4"/>
      <c r="Y267" s="4"/>
      <c r="Z267" s="4"/>
    </row>
    <row r="268">
      <c r="A268" s="167"/>
      <c r="B268" s="106"/>
      <c r="C268" s="60" t="s">
        <v>2657</v>
      </c>
      <c r="D268" s="4"/>
      <c r="E268" s="4"/>
      <c r="F268" s="4" t="str">
        <f>IFERROR(__xludf.DUMMYFUNCTION("""COMPUTED_VALUE"""),"Республика Башкортостан")</f>
        <v>Республика Башкортостан</v>
      </c>
      <c r="G268" s="4" t="str">
        <f>IFERROR(__xludf.DUMMYFUNCTION("""COMPUTED_VALUE"""),"Уфа")</f>
        <v>Уфа</v>
      </c>
      <c r="H268" s="4" t="str">
        <f>IFERROR(__xludf.DUMMYFUNCTION("""COMPUTED_VALUE"""),"ЖК Элементум 2")</f>
        <v>ЖК Элементум 2</v>
      </c>
      <c r="I268" s="4"/>
      <c r="J268" s="4"/>
      <c r="K268" s="4"/>
      <c r="L268" s="4"/>
      <c r="M268" s="4"/>
      <c r="N268" s="4"/>
      <c r="O268" s="4"/>
      <c r="P268" s="4"/>
      <c r="Q268" s="4"/>
      <c r="R268" s="4"/>
      <c r="S268" s="4"/>
      <c r="T268" s="4"/>
      <c r="U268" s="4"/>
      <c r="V268" s="4"/>
      <c r="W268" s="4"/>
      <c r="X268" s="4"/>
      <c r="Y268" s="4"/>
      <c r="Z268" s="4"/>
    </row>
    <row r="269">
      <c r="A269" s="167"/>
      <c r="B269" s="165" t="s">
        <v>314</v>
      </c>
      <c r="C269" s="60" t="s">
        <v>2668</v>
      </c>
      <c r="D269" s="4"/>
      <c r="E269" s="4"/>
      <c r="F269" s="4" t="str">
        <f>IFERROR(__xludf.DUMMYFUNCTION("""COMPUTED_VALUE"""),"Республика Башкортостан")</f>
        <v>Республика Башкортостан</v>
      </c>
      <c r="G269" s="4" t="str">
        <f>IFERROR(__xludf.DUMMYFUNCTION("""COMPUTED_VALUE"""),"Уфа")</f>
        <v>Уфа</v>
      </c>
      <c r="H269" s="4" t="str">
        <f>IFERROR(__xludf.DUMMYFUNCTION("""COMPUTED_VALUE"""),"ЖК Южный 2")</f>
        <v>ЖК Южный 2</v>
      </c>
      <c r="I269" s="4"/>
      <c r="J269" s="4"/>
      <c r="K269" s="4"/>
      <c r="L269" s="4"/>
      <c r="M269" s="4"/>
      <c r="N269" s="4"/>
      <c r="O269" s="4"/>
      <c r="P269" s="4"/>
      <c r="Q269" s="4"/>
      <c r="R269" s="4"/>
      <c r="S269" s="4"/>
      <c r="T269" s="4"/>
      <c r="U269" s="4"/>
      <c r="V269" s="4"/>
      <c r="W269" s="4"/>
      <c r="X269" s="4"/>
      <c r="Y269" s="4"/>
      <c r="Z269" s="4"/>
    </row>
    <row r="270">
      <c r="A270" s="167"/>
      <c r="B270" s="167"/>
      <c r="C270" s="60" t="s">
        <v>2680</v>
      </c>
      <c r="D270" s="4"/>
      <c r="E270" s="4"/>
      <c r="F270" s="4" t="str">
        <f>IFERROR(__xludf.DUMMYFUNCTION("""COMPUTED_VALUE"""),"Республика Башкортостан")</f>
        <v>Республика Башкортостан</v>
      </c>
      <c r="G270" s="4" t="str">
        <f>IFERROR(__xludf.DUMMYFUNCTION("""COMPUTED_VALUE"""),"Уфа")</f>
        <v>Уфа</v>
      </c>
      <c r="H270" s="4" t="str">
        <f>IFERROR(__xludf.DUMMYFUNCTION("""COMPUTED_VALUE"""),"ЖК Яркий квартал МАДРИД")</f>
        <v>ЖК Яркий квартал МАДРИД</v>
      </c>
      <c r="I270" s="4"/>
      <c r="J270" s="4"/>
      <c r="K270" s="4"/>
      <c r="L270" s="4"/>
      <c r="M270" s="4"/>
      <c r="N270" s="4"/>
      <c r="O270" s="4"/>
      <c r="P270" s="4"/>
      <c r="Q270" s="4"/>
      <c r="R270" s="4"/>
      <c r="S270" s="4"/>
      <c r="T270" s="4"/>
      <c r="U270" s="4"/>
      <c r="V270" s="4"/>
      <c r="W270" s="4"/>
      <c r="X270" s="4"/>
      <c r="Y270" s="4"/>
      <c r="Z270" s="4"/>
    </row>
    <row r="271">
      <c r="A271" s="167"/>
      <c r="B271" s="167"/>
      <c r="C271" s="60" t="s">
        <v>2691</v>
      </c>
      <c r="D271" s="4"/>
      <c r="E271" s="4"/>
      <c r="F271" s="4" t="str">
        <f>IFERROR(__xludf.DUMMYFUNCTION("""COMPUTED_VALUE"""),"Республика Башкортостан")</f>
        <v>Республика Башкортостан</v>
      </c>
      <c r="G271" s="4" t="str">
        <f>IFERROR(__xludf.DUMMYFUNCTION("""COMPUTED_VALUE"""),"Уфа")</f>
        <v>Уфа</v>
      </c>
      <c r="H271" s="4" t="str">
        <f>IFERROR(__xludf.DUMMYFUNCTION("""COMPUTED_VALUE"""),"ЖК Яркий Квартал Париж 1")</f>
        <v>ЖК Яркий Квартал Париж 1</v>
      </c>
      <c r="I271" s="4"/>
      <c r="J271" s="4"/>
      <c r="K271" s="4"/>
      <c r="L271" s="4"/>
      <c r="M271" s="4"/>
      <c r="N271" s="4"/>
      <c r="O271" s="4"/>
      <c r="P271" s="4"/>
      <c r="Q271" s="4"/>
      <c r="R271" s="4"/>
      <c r="S271" s="4"/>
      <c r="T271" s="4"/>
      <c r="U271" s="4"/>
      <c r="V271" s="4"/>
      <c r="W271" s="4"/>
      <c r="X271" s="4"/>
      <c r="Y271" s="4"/>
      <c r="Z271" s="4"/>
    </row>
    <row r="272">
      <c r="A272" s="167"/>
      <c r="B272" s="167"/>
      <c r="C272" s="60" t="s">
        <v>2708</v>
      </c>
      <c r="D272" s="4"/>
      <c r="E272" s="4"/>
      <c r="F272" s="4" t="str">
        <f>IFERROR(__xludf.DUMMYFUNCTION("""COMPUTED_VALUE"""),"Республика Башкортостан")</f>
        <v>Республика Башкортостан</v>
      </c>
      <c r="G272" s="4" t="str">
        <f>IFERROR(__xludf.DUMMYFUNCTION("""COMPUTED_VALUE"""),"Уфа")</f>
        <v>Уфа</v>
      </c>
      <c r="H272" s="4" t="str">
        <f>IFERROR(__xludf.DUMMYFUNCTION("""COMPUTED_VALUE"""),"ЖК Яркий Квартал Париж 2")</f>
        <v>ЖК Яркий Квартал Париж 2</v>
      </c>
      <c r="I272" s="4"/>
      <c r="J272" s="4"/>
      <c r="K272" s="4"/>
      <c r="L272" s="4"/>
      <c r="M272" s="4"/>
      <c r="N272" s="4"/>
      <c r="O272" s="4"/>
      <c r="P272" s="4"/>
      <c r="Q272" s="4"/>
      <c r="R272" s="4"/>
      <c r="S272" s="4"/>
      <c r="T272" s="4"/>
      <c r="U272" s="4"/>
      <c r="V272" s="4"/>
      <c r="W272" s="4"/>
      <c r="X272" s="4"/>
      <c r="Y272" s="4"/>
      <c r="Z272" s="4"/>
    </row>
    <row r="273">
      <c r="A273" s="167"/>
      <c r="B273" s="167"/>
      <c r="C273" s="60" t="s">
        <v>2719</v>
      </c>
      <c r="D273" s="4"/>
      <c r="E273" s="4"/>
      <c r="F273" s="4" t="str">
        <f>IFERROR(__xludf.DUMMYFUNCTION("""COMPUTED_VALUE"""),"Республика Башкортостан")</f>
        <v>Республика Башкортостан</v>
      </c>
      <c r="G273" s="4" t="str">
        <f>IFERROR(__xludf.DUMMYFUNCTION("""COMPUTED_VALUE"""),"Уфа")</f>
        <v>Уфа</v>
      </c>
      <c r="H273" s="4" t="str">
        <f>IFERROR(__xludf.DUMMYFUNCTION("""COMPUTED_VALUE"""),"ЖК Яркий Квартал Париж 3")</f>
        <v>ЖК Яркий Квартал Париж 3</v>
      </c>
      <c r="I273" s="4"/>
      <c r="J273" s="4"/>
      <c r="K273" s="4"/>
      <c r="L273" s="4"/>
      <c r="M273" s="4"/>
      <c r="N273" s="4"/>
      <c r="O273" s="4"/>
      <c r="P273" s="4"/>
      <c r="Q273" s="4"/>
      <c r="R273" s="4"/>
      <c r="S273" s="4"/>
      <c r="T273" s="4"/>
      <c r="U273" s="4"/>
      <c r="V273" s="4"/>
      <c r="W273" s="4"/>
      <c r="X273" s="4"/>
      <c r="Y273" s="4"/>
      <c r="Z273" s="4"/>
    </row>
    <row r="274">
      <c r="A274" s="167"/>
      <c r="B274" s="167"/>
      <c r="C274" s="60" t="s">
        <v>2730</v>
      </c>
      <c r="D274" s="4"/>
      <c r="E274" s="4"/>
      <c r="F274" s="4" t="str">
        <f>IFERROR(__xludf.DUMMYFUNCTION("""COMPUTED_VALUE"""),"Республика Башкортостан")</f>
        <v>Республика Башкортостан</v>
      </c>
      <c r="G274" s="4" t="str">
        <f>IFERROR(__xludf.DUMMYFUNCTION("""COMPUTED_VALUE"""),"Уфа")</f>
        <v>Уфа</v>
      </c>
      <c r="H274" s="4" t="str">
        <f>IFERROR(__xludf.DUMMYFUNCTION("""COMPUTED_VALUE"""),"ЖК Idel Tower")</f>
        <v>ЖК Idel Tower</v>
      </c>
      <c r="I274" s="4"/>
      <c r="J274" s="4"/>
      <c r="K274" s="4"/>
      <c r="L274" s="4"/>
      <c r="M274" s="4"/>
      <c r="N274" s="4"/>
      <c r="O274" s="4"/>
      <c r="P274" s="4"/>
      <c r="Q274" s="4"/>
      <c r="R274" s="4"/>
      <c r="S274" s="4"/>
      <c r="T274" s="4"/>
      <c r="U274" s="4"/>
      <c r="V274" s="4"/>
      <c r="W274" s="4"/>
      <c r="X274" s="4"/>
      <c r="Y274" s="4"/>
      <c r="Z274" s="4"/>
    </row>
    <row r="275">
      <c r="A275" s="167"/>
      <c r="B275" s="167"/>
      <c r="C275" s="60" t="s">
        <v>2738</v>
      </c>
      <c r="D275" s="4"/>
      <c r="E275" s="4"/>
      <c r="F275" s="4" t="str">
        <f>IFERROR(__xludf.DUMMYFUNCTION("""COMPUTED_VALUE"""),"Республика Башкортостан")</f>
        <v>Республика Башкортостан</v>
      </c>
      <c r="G275" s="4" t="str">
        <f>IFERROR(__xludf.DUMMYFUNCTION("""COMPUTED_VALUE"""),"Уфа")</f>
        <v>Уфа</v>
      </c>
      <c r="H275" s="4" t="str">
        <f>IFERROR(__xludf.DUMMYFUNCTION("""COMPUTED_VALUE"""),"ЖК Idel Tower 2")</f>
        <v>ЖК Idel Tower 2</v>
      </c>
      <c r="I275" s="4"/>
      <c r="J275" s="4"/>
      <c r="K275" s="4"/>
      <c r="L275" s="4"/>
      <c r="M275" s="4"/>
      <c r="N275" s="4"/>
      <c r="O275" s="4"/>
      <c r="P275" s="4"/>
      <c r="Q275" s="4"/>
      <c r="R275" s="4"/>
      <c r="S275" s="4"/>
      <c r="T275" s="4"/>
      <c r="U275" s="4"/>
      <c r="V275" s="4"/>
      <c r="W275" s="4"/>
      <c r="X275" s="4"/>
      <c r="Y275" s="4"/>
      <c r="Z275" s="4"/>
    </row>
    <row r="276">
      <c r="A276" s="167"/>
      <c r="B276" s="167"/>
      <c r="C276" s="60" t="s">
        <v>2755</v>
      </c>
      <c r="D276" s="4"/>
      <c r="E276" s="4"/>
      <c r="F276" s="4" t="str">
        <f>IFERROR(__xludf.DUMMYFUNCTION("""COMPUTED_VALUE"""),"Республика Башкортостан")</f>
        <v>Республика Башкортостан</v>
      </c>
      <c r="G276" s="4" t="str">
        <f>IFERROR(__xludf.DUMMYFUNCTION("""COMPUTED_VALUE"""),"Уфа")</f>
        <v>Уфа</v>
      </c>
      <c r="H276" s="4" t="str">
        <f>IFERROR(__xludf.DUMMYFUNCTION("""COMPUTED_VALUE"""),"ЖК Smart Plaza")</f>
        <v>ЖК Smart Plaza</v>
      </c>
      <c r="I276" s="4"/>
      <c r="J276" s="4"/>
      <c r="K276" s="4"/>
      <c r="L276" s="4"/>
      <c r="M276" s="4"/>
      <c r="N276" s="4"/>
      <c r="O276" s="4"/>
      <c r="P276" s="4"/>
      <c r="Q276" s="4"/>
      <c r="R276" s="4"/>
      <c r="S276" s="4"/>
      <c r="T276" s="4"/>
      <c r="U276" s="4"/>
      <c r="V276" s="4"/>
      <c r="W276" s="4"/>
      <c r="X276" s="4"/>
      <c r="Y276" s="4"/>
      <c r="Z276" s="4"/>
    </row>
    <row r="277">
      <c r="A277" s="167"/>
      <c r="B277" s="106"/>
      <c r="C277" s="60" t="s">
        <v>2763</v>
      </c>
      <c r="D277" s="4"/>
      <c r="E277" s="4"/>
      <c r="F277" s="4" t="str">
        <f>IFERROR(__xludf.DUMMYFUNCTION("""COMPUTED_VALUE"""),"Республика Башкортостан")</f>
        <v>Республика Башкортостан</v>
      </c>
      <c r="G277" s="4" t="str">
        <f>IFERROR(__xludf.DUMMYFUNCTION("""COMPUTED_VALUE"""),"Уфа")</f>
        <v>Уфа</v>
      </c>
      <c r="H277" s="4" t="str">
        <f>IFERROR(__xludf.DUMMYFUNCTION("""COMPUTED_VALUE"""),"ЖК The Prime")</f>
        <v>ЖК The Prime</v>
      </c>
      <c r="I277" s="4"/>
      <c r="J277" s="4"/>
      <c r="K277" s="4"/>
      <c r="L277" s="4"/>
      <c r="M277" s="4"/>
      <c r="N277" s="4"/>
      <c r="O277" s="4"/>
      <c r="P277" s="4"/>
      <c r="Q277" s="4"/>
      <c r="R277" s="4"/>
      <c r="S277" s="4"/>
      <c r="T277" s="4"/>
      <c r="U277" s="4"/>
      <c r="V277" s="4"/>
      <c r="W277" s="4"/>
      <c r="X277" s="4"/>
      <c r="Y277" s="4"/>
      <c r="Z277" s="4"/>
    </row>
    <row r="278">
      <c r="A278" s="167"/>
      <c r="B278" s="165" t="s">
        <v>329</v>
      </c>
      <c r="C278" s="60" t="s">
        <v>1586</v>
      </c>
      <c r="D278" s="4"/>
      <c r="E278" s="4"/>
      <c r="F278" s="4" t="str">
        <f>IFERROR(__xludf.DUMMYFUNCTION("""COMPUTED_VALUE"""),"Республика Башкортостан")</f>
        <v>Республика Башкортостан</v>
      </c>
      <c r="G278" s="4" t="str">
        <f>IFERROR(__xludf.DUMMYFUNCTION("""COMPUTED_VALUE"""),"Уфа")</f>
        <v>Уфа</v>
      </c>
      <c r="H278" s="4" t="str">
        <f>IFERROR(__xludf.DUMMYFUNCTION("""COMPUTED_VALUE"""),"Зеленый квартал (затон)")</f>
        <v>Зеленый квартал (затон)</v>
      </c>
      <c r="I278" s="4"/>
      <c r="J278" s="4"/>
      <c r="K278" s="4"/>
      <c r="L278" s="4"/>
      <c r="M278" s="4"/>
      <c r="N278" s="4"/>
      <c r="O278" s="4"/>
      <c r="P278" s="4"/>
      <c r="Q278" s="4"/>
      <c r="R278" s="4"/>
      <c r="S278" s="4"/>
      <c r="T278" s="4"/>
      <c r="U278" s="4"/>
      <c r="V278" s="4"/>
      <c r="W278" s="4"/>
      <c r="X278" s="4"/>
      <c r="Y278" s="4"/>
      <c r="Z278" s="4"/>
    </row>
    <row r="279">
      <c r="A279" s="167"/>
      <c r="B279" s="167"/>
      <c r="C279" s="60" t="s">
        <v>2782</v>
      </c>
      <c r="D279" s="4"/>
      <c r="E279" s="4"/>
      <c r="F279" s="4" t="str">
        <f>IFERROR(__xludf.DUMMYFUNCTION("""COMPUTED_VALUE"""),"Республика Башкортостан")</f>
        <v>Республика Башкортостан</v>
      </c>
      <c r="G279" s="4" t="str">
        <f>IFERROR(__xludf.DUMMYFUNCTION("""COMPUTED_VALUE"""),"Уфа")</f>
        <v>Уфа</v>
      </c>
      <c r="H279" s="4" t="str">
        <f>IFERROR(__xludf.DUMMYFUNCTION("""COMPUTED_VALUE"""),"квартал Амантая")</f>
        <v>квартал Амантая</v>
      </c>
      <c r="I279" s="4"/>
      <c r="J279" s="4"/>
      <c r="K279" s="4"/>
      <c r="L279" s="4"/>
      <c r="M279" s="4"/>
      <c r="N279" s="4"/>
      <c r="O279" s="4"/>
      <c r="P279" s="4"/>
      <c r="Q279" s="4"/>
      <c r="R279" s="4"/>
      <c r="S279" s="4"/>
      <c r="T279" s="4"/>
      <c r="U279" s="4"/>
      <c r="V279" s="4"/>
      <c r="W279" s="4"/>
      <c r="X279" s="4"/>
      <c r="Y279" s="4"/>
      <c r="Z279" s="4"/>
    </row>
    <row r="280">
      <c r="A280" s="167"/>
      <c r="B280" s="167"/>
      <c r="C280" s="60" t="s">
        <v>2799</v>
      </c>
      <c r="D280" s="4"/>
      <c r="E280" s="4"/>
      <c r="F280" s="4" t="str">
        <f>IFERROR(__xludf.DUMMYFUNCTION("""COMPUTED_VALUE"""),"Республика Башкортостан")</f>
        <v>Республика Башкортостан</v>
      </c>
      <c r="G280" s="4" t="str">
        <f>IFERROR(__xludf.DUMMYFUNCTION("""COMPUTED_VALUE"""),"Уфа")</f>
        <v>Уфа</v>
      </c>
      <c r="H280" s="4" t="str">
        <f>IFERROR(__xludf.DUMMYFUNCTION("""COMPUTED_VALUE"""),"Квартал Башкирия")</f>
        <v>Квартал Башкирия</v>
      </c>
      <c r="I280" s="4"/>
      <c r="J280" s="4"/>
      <c r="K280" s="4"/>
      <c r="L280" s="4"/>
      <c r="M280" s="4"/>
      <c r="N280" s="4"/>
      <c r="O280" s="4"/>
      <c r="P280" s="4"/>
      <c r="Q280" s="4"/>
      <c r="R280" s="4"/>
      <c r="S280" s="4"/>
      <c r="T280" s="4"/>
      <c r="U280" s="4"/>
      <c r="V280" s="4"/>
      <c r="W280" s="4"/>
      <c r="X280" s="4"/>
      <c r="Y280" s="4"/>
      <c r="Z280" s="4"/>
    </row>
    <row r="281">
      <c r="A281" s="167"/>
      <c r="B281" s="106"/>
      <c r="C281" s="60" t="s">
        <v>2813</v>
      </c>
      <c r="D281" s="4"/>
      <c r="E281" s="4"/>
      <c r="F281" s="4" t="str">
        <f>IFERROR(__xludf.DUMMYFUNCTION("""COMPUTED_VALUE"""),"Республика Башкортостан")</f>
        <v>Республика Башкортостан</v>
      </c>
      <c r="G281" s="4" t="str">
        <f>IFERROR(__xludf.DUMMYFUNCTION("""COMPUTED_VALUE"""),"Уфа")</f>
        <v>Уфа</v>
      </c>
      <c r="H281" s="4" t="str">
        <f>IFERROR(__xludf.DUMMYFUNCTION("""COMPUTED_VALUE"""),"квартал Белореченский")</f>
        <v>квартал Белореченский</v>
      </c>
      <c r="I281" s="4"/>
      <c r="J281" s="4"/>
      <c r="K281" s="4"/>
      <c r="L281" s="4"/>
      <c r="M281" s="4"/>
      <c r="N281" s="4"/>
      <c r="O281" s="4"/>
      <c r="P281" s="4"/>
      <c r="Q281" s="4"/>
      <c r="R281" s="4"/>
      <c r="S281" s="4"/>
      <c r="T281" s="4"/>
      <c r="U281" s="4"/>
      <c r="V281" s="4"/>
      <c r="W281" s="4"/>
      <c r="X281" s="4"/>
      <c r="Y281" s="4"/>
      <c r="Z281" s="4"/>
    </row>
    <row r="282">
      <c r="A282" s="106"/>
      <c r="B282" s="165" t="s">
        <v>349</v>
      </c>
      <c r="C282" s="60" t="s">
        <v>2828</v>
      </c>
      <c r="D282" s="4"/>
      <c r="E282" s="4"/>
      <c r="F282" s="4" t="str">
        <f>IFERROR(__xludf.DUMMYFUNCTION("""COMPUTED_VALUE"""),"Республика Башкортостан")</f>
        <v>Республика Башкортостан</v>
      </c>
      <c r="G282" s="4" t="str">
        <f>IFERROR(__xludf.DUMMYFUNCTION("""COMPUTED_VALUE"""),"Уфа")</f>
        <v>Уфа</v>
      </c>
      <c r="H282" s="4" t="str">
        <f>IFERROR(__xludf.DUMMYFUNCTION("""COMPUTED_VALUE"""),"квартал Гагаринский ")</f>
        <v>квартал Гагаринский </v>
      </c>
      <c r="I282" s="4"/>
      <c r="J282" s="4"/>
      <c r="K282" s="4"/>
      <c r="L282" s="4"/>
      <c r="M282" s="4"/>
      <c r="N282" s="4"/>
      <c r="O282" s="4"/>
      <c r="P282" s="4"/>
      <c r="Q282" s="4"/>
      <c r="R282" s="4"/>
      <c r="S282" s="4"/>
      <c r="T282" s="4"/>
      <c r="U282" s="4"/>
      <c r="V282" s="4"/>
      <c r="W282" s="4"/>
      <c r="X282" s="4"/>
      <c r="Y282" s="4"/>
      <c r="Z282" s="4"/>
    </row>
    <row r="283">
      <c r="A283" s="13"/>
      <c r="B283" s="13"/>
      <c r="C283" s="13"/>
      <c r="D283" s="4"/>
      <c r="E283" s="4"/>
      <c r="F283" s="4" t="str">
        <f>IFERROR(__xludf.DUMMYFUNCTION("""COMPUTED_VALUE"""),"Республика Башкортостан")</f>
        <v>Республика Башкортостан</v>
      </c>
      <c r="G283" s="4" t="str">
        <f>IFERROR(__xludf.DUMMYFUNCTION("""COMPUTED_VALUE"""),"Уфа")</f>
        <v>Уфа</v>
      </c>
      <c r="H283" s="4" t="str">
        <f>IFERROR(__xludf.DUMMYFUNCTION("""COMPUTED_VALUE"""),"Квартал дом Профсоюзов")</f>
        <v>Квартал дом Профсоюзов</v>
      </c>
      <c r="I283" s="4"/>
      <c r="J283" s="4"/>
      <c r="K283" s="4"/>
      <c r="L283" s="4"/>
      <c r="M283" s="4"/>
      <c r="N283" s="4"/>
      <c r="O283" s="4"/>
      <c r="P283" s="4"/>
      <c r="Q283" s="4"/>
      <c r="R283" s="4"/>
      <c r="S283" s="4"/>
      <c r="T283" s="4"/>
      <c r="U283" s="4"/>
      <c r="V283" s="4"/>
      <c r="W283" s="4"/>
      <c r="X283" s="4"/>
      <c r="Y283" s="4"/>
      <c r="Z283" s="4"/>
    </row>
    <row r="284">
      <c r="A284" s="13"/>
      <c r="B284" s="13"/>
      <c r="C284" s="13"/>
      <c r="D284" s="4"/>
      <c r="E284" s="4"/>
      <c r="F284" s="4" t="str">
        <f>IFERROR(__xludf.DUMMYFUNCTION("""COMPUTED_VALUE"""),"Республика Башкортостан")</f>
        <v>Республика Башкортостан</v>
      </c>
      <c r="G284" s="4" t="str">
        <f>IFERROR(__xludf.DUMMYFUNCTION("""COMPUTED_VALUE"""),"Уфа")</f>
        <v>Уфа</v>
      </c>
      <c r="H284" s="4" t="str">
        <f>IFERROR(__xludf.DUMMYFUNCTION("""COMPUTED_VALUE"""),"Квартал Дружба")</f>
        <v>Квартал Дружба</v>
      </c>
      <c r="I284" s="4"/>
      <c r="J284" s="4"/>
      <c r="K284" s="4"/>
      <c r="L284" s="4"/>
      <c r="M284" s="4"/>
      <c r="N284" s="4"/>
      <c r="O284" s="4"/>
      <c r="P284" s="4"/>
      <c r="Q284" s="4"/>
      <c r="R284" s="4"/>
      <c r="S284" s="4"/>
      <c r="T284" s="4"/>
      <c r="U284" s="4"/>
      <c r="V284" s="4"/>
      <c r="W284" s="4"/>
      <c r="X284" s="4"/>
      <c r="Y284" s="4"/>
      <c r="Z284" s="4"/>
    </row>
    <row r="285">
      <c r="A285" s="13"/>
      <c r="B285" s="13"/>
      <c r="C285" s="13"/>
      <c r="D285" s="4"/>
      <c r="E285" s="4"/>
      <c r="F285" s="4" t="str">
        <f>IFERROR(__xludf.DUMMYFUNCTION("""COMPUTED_VALUE"""),"Республика Башкортостан")</f>
        <v>Республика Башкортостан</v>
      </c>
      <c r="G285" s="4" t="str">
        <f>IFERROR(__xludf.DUMMYFUNCTION("""COMPUTED_VALUE"""),"Уфа")</f>
        <v>Уфа</v>
      </c>
      <c r="H285" s="4" t="str">
        <f>IFERROR(__xludf.DUMMYFUNCTION("""COMPUTED_VALUE"""),"Квартал Зенцова")</f>
        <v>Квартал Зенцова</v>
      </c>
      <c r="I285" s="4"/>
      <c r="J285" s="4"/>
      <c r="K285" s="4"/>
      <c r="L285" s="4"/>
      <c r="M285" s="4"/>
      <c r="N285" s="4"/>
      <c r="O285" s="4"/>
      <c r="P285" s="4"/>
      <c r="Q285" s="4"/>
      <c r="R285" s="4"/>
      <c r="S285" s="4"/>
      <c r="T285" s="4"/>
      <c r="U285" s="4"/>
      <c r="V285" s="4"/>
      <c r="W285" s="4"/>
      <c r="X285" s="4"/>
      <c r="Y285" s="4"/>
      <c r="Z285" s="4"/>
    </row>
    <row r="286">
      <c r="A286" s="13"/>
      <c r="B286" s="13"/>
      <c r="C286" s="13"/>
      <c r="D286" s="4"/>
      <c r="E286" s="4"/>
      <c r="F286" s="4" t="str">
        <f>IFERROR(__xludf.DUMMYFUNCTION("""COMPUTED_VALUE"""),"Республика Башкортостан")</f>
        <v>Республика Башкортостан</v>
      </c>
      <c r="G286" s="4" t="str">
        <f>IFERROR(__xludf.DUMMYFUNCTION("""COMPUTED_VALUE"""),"Уфа")</f>
        <v>Уфа</v>
      </c>
      <c r="H286" s="4" t="str">
        <f>IFERROR(__xludf.DUMMYFUNCTION("""COMPUTED_VALUE"""),"Квартал Корсо")</f>
        <v>Квартал Корсо</v>
      </c>
      <c r="I286" s="4"/>
      <c r="J286" s="4"/>
      <c r="K286" s="4"/>
      <c r="L286" s="4"/>
      <c r="M286" s="4"/>
      <c r="N286" s="4"/>
      <c r="O286" s="4"/>
      <c r="P286" s="4"/>
      <c r="Q286" s="4"/>
      <c r="R286" s="4"/>
      <c r="S286" s="4"/>
      <c r="T286" s="4"/>
      <c r="U286" s="4"/>
      <c r="V286" s="4"/>
      <c r="W286" s="4"/>
      <c r="X286" s="4"/>
      <c r="Y286" s="4"/>
      <c r="Z286" s="4"/>
    </row>
    <row r="287">
      <c r="A287" s="13"/>
      <c r="B287" s="161"/>
      <c r="C287" s="13"/>
      <c r="D287" s="4"/>
      <c r="E287" s="4"/>
      <c r="F287" s="4" t="str">
        <f>IFERROR(__xludf.DUMMYFUNCTION("""COMPUTED_VALUE"""),"Республика Башкортостан")</f>
        <v>Республика Башкортостан</v>
      </c>
      <c r="G287" s="4" t="str">
        <f>IFERROR(__xludf.DUMMYFUNCTION("""COMPUTED_VALUE"""),"Уфа")</f>
        <v>Уфа</v>
      </c>
      <c r="H287" s="4" t="str">
        <f>IFERROR(__xludf.DUMMYFUNCTION("""COMPUTED_VALUE"""),"квартал Кузнецовский затон")</f>
        <v>квартал Кузнецовский затон</v>
      </c>
      <c r="I287" s="4"/>
      <c r="J287" s="4"/>
      <c r="K287" s="4"/>
      <c r="L287" s="4"/>
      <c r="M287" s="4"/>
      <c r="N287" s="4"/>
      <c r="O287" s="4"/>
      <c r="P287" s="4"/>
      <c r="Q287" s="4"/>
      <c r="R287" s="4"/>
      <c r="S287" s="4"/>
      <c r="T287" s="4"/>
      <c r="U287" s="4"/>
      <c r="V287" s="4"/>
      <c r="W287" s="4"/>
      <c r="X287" s="4"/>
      <c r="Y287" s="4"/>
      <c r="Z287" s="4"/>
    </row>
    <row r="288">
      <c r="A288" s="13"/>
      <c r="B288" s="161"/>
      <c r="C288" s="13"/>
      <c r="D288" s="4"/>
      <c r="E288" s="4"/>
      <c r="F288" s="4" t="str">
        <f>IFERROR(__xludf.DUMMYFUNCTION("""COMPUTED_VALUE"""),"Республика Башкортостан")</f>
        <v>Республика Башкортостан</v>
      </c>
      <c r="G288" s="4" t="str">
        <f>IFERROR(__xludf.DUMMYFUNCTION("""COMPUTED_VALUE"""),"Уфа")</f>
        <v>Уфа</v>
      </c>
      <c r="H288" s="4" t="str">
        <f>IFERROR(__xludf.DUMMYFUNCTION("""COMPUTED_VALUE"""),"Квартал Летчиков")</f>
        <v>Квартал Летчиков</v>
      </c>
      <c r="I288" s="4"/>
      <c r="J288" s="4"/>
      <c r="K288" s="4"/>
      <c r="L288" s="4"/>
      <c r="M288" s="4"/>
      <c r="N288" s="4"/>
      <c r="O288" s="4"/>
      <c r="P288" s="4"/>
      <c r="Q288" s="4"/>
      <c r="R288" s="4"/>
      <c r="S288" s="4"/>
      <c r="T288" s="4"/>
      <c r="U288" s="4"/>
      <c r="V288" s="4"/>
      <c r="W288" s="4"/>
      <c r="X288" s="4"/>
      <c r="Y288" s="4"/>
      <c r="Z288" s="4"/>
    </row>
    <row r="289">
      <c r="A289" s="13"/>
      <c r="B289" s="161"/>
      <c r="C289" s="13"/>
      <c r="D289" s="4"/>
      <c r="E289" s="4"/>
      <c r="F289" s="4" t="str">
        <f>IFERROR(__xludf.DUMMYFUNCTION("""COMPUTED_VALUE"""),"Республика Башкортостан")</f>
        <v>Республика Башкортостан</v>
      </c>
      <c r="G289" s="4" t="str">
        <f>IFERROR(__xludf.DUMMYFUNCTION("""COMPUTED_VALUE"""),"Уфа")</f>
        <v>Уфа</v>
      </c>
      <c r="H289" s="4" t="str">
        <f>IFERROR(__xludf.DUMMYFUNCTION("""COMPUTED_VALUE"""),"Квартал Маяк")</f>
        <v>Квартал Маяк</v>
      </c>
      <c r="I289" s="4"/>
      <c r="J289" s="4"/>
      <c r="K289" s="4"/>
      <c r="L289" s="4"/>
      <c r="M289" s="4"/>
      <c r="N289" s="4"/>
      <c r="O289" s="4"/>
      <c r="P289" s="4"/>
      <c r="Q289" s="4"/>
      <c r="R289" s="4"/>
      <c r="S289" s="4"/>
      <c r="T289" s="4"/>
      <c r="U289" s="4"/>
      <c r="V289" s="4"/>
      <c r="W289" s="4"/>
      <c r="X289" s="4"/>
      <c r="Y289" s="4"/>
      <c r="Z289" s="4"/>
    </row>
    <row r="290">
      <c r="A290" s="13"/>
      <c r="B290" s="161"/>
      <c r="C290" s="13"/>
      <c r="D290" s="4"/>
      <c r="E290" s="4"/>
      <c r="F290" s="4" t="str">
        <f>IFERROR(__xludf.DUMMYFUNCTION("""COMPUTED_VALUE"""),"Республика Башкортостан")</f>
        <v>Республика Башкортостан</v>
      </c>
      <c r="G290" s="4" t="str">
        <f>IFERROR(__xludf.DUMMYFUNCTION("""COMPUTED_VALUE"""),"Уфа")</f>
        <v>Уфа</v>
      </c>
      <c r="H290" s="4" t="str">
        <f>IFERROR(__xludf.DUMMYFUNCTION("""COMPUTED_VALUE"""),"Квартал Олимп")</f>
        <v>Квартал Олимп</v>
      </c>
      <c r="I290" s="4"/>
      <c r="J290" s="4"/>
      <c r="K290" s="4"/>
      <c r="L290" s="4"/>
      <c r="M290" s="4"/>
      <c r="N290" s="4"/>
      <c r="O290" s="4"/>
      <c r="P290" s="4"/>
      <c r="Q290" s="4"/>
      <c r="R290" s="4"/>
      <c r="S290" s="4"/>
      <c r="T290" s="4"/>
      <c r="U290" s="4"/>
      <c r="V290" s="4"/>
      <c r="W290" s="4"/>
      <c r="X290" s="4"/>
      <c r="Y290" s="4"/>
      <c r="Z290" s="4"/>
    </row>
    <row r="291">
      <c r="A291" s="13"/>
      <c r="B291" s="161"/>
      <c r="C291" s="13"/>
      <c r="D291" s="4"/>
      <c r="E291" s="4"/>
      <c r="F291" s="4" t="str">
        <f>IFERROR(__xludf.DUMMYFUNCTION("""COMPUTED_VALUE"""),"Республика Башкортостан")</f>
        <v>Республика Башкортостан</v>
      </c>
      <c r="G291" s="4" t="str">
        <f>IFERROR(__xludf.DUMMYFUNCTION("""COMPUTED_VALUE"""),"Уфа")</f>
        <v>Уфа</v>
      </c>
      <c r="H291" s="4" t="str">
        <f>IFERROR(__xludf.DUMMYFUNCTION("""COMPUTED_VALUE"""),"Квартал Олимп 2")</f>
        <v>Квартал Олимп 2</v>
      </c>
      <c r="I291" s="4"/>
      <c r="J291" s="4"/>
      <c r="K291" s="4"/>
      <c r="L291" s="4"/>
      <c r="M291" s="4"/>
      <c r="N291" s="4"/>
      <c r="O291" s="4"/>
      <c r="P291" s="4"/>
      <c r="Q291" s="4"/>
      <c r="R291" s="4"/>
      <c r="S291" s="4"/>
      <c r="T291" s="4"/>
      <c r="U291" s="4"/>
      <c r="V291" s="4"/>
      <c r="W291" s="4"/>
      <c r="X291" s="4"/>
      <c r="Y291" s="4"/>
      <c r="Z291" s="4"/>
    </row>
    <row r="292">
      <c r="A292" s="13"/>
      <c r="B292" s="161"/>
      <c r="C292" s="13"/>
      <c r="D292" s="4"/>
      <c r="E292" s="4"/>
      <c r="F292" s="4" t="str">
        <f>IFERROR(__xludf.DUMMYFUNCTION("""COMPUTED_VALUE"""),"Республика Башкортостан")</f>
        <v>Республика Башкортостан</v>
      </c>
      <c r="G292" s="4" t="str">
        <f>IFERROR(__xludf.DUMMYFUNCTION("""COMPUTED_VALUE"""),"Уфа")</f>
        <v>Уфа</v>
      </c>
      <c r="H292" s="4" t="str">
        <f>IFERROR(__xludf.DUMMYFUNCTION("""COMPUTED_VALUE"""),"Квартал Олимп 3")</f>
        <v>Квартал Олимп 3</v>
      </c>
      <c r="I292" s="4"/>
      <c r="J292" s="4"/>
      <c r="K292" s="4"/>
      <c r="L292" s="4"/>
      <c r="M292" s="4"/>
      <c r="N292" s="4"/>
      <c r="O292" s="4"/>
      <c r="P292" s="4"/>
      <c r="Q292" s="4"/>
      <c r="R292" s="4"/>
      <c r="S292" s="4"/>
      <c r="T292" s="4"/>
      <c r="U292" s="4"/>
      <c r="V292" s="4"/>
      <c r="W292" s="4"/>
      <c r="X292" s="4"/>
      <c r="Y292" s="4"/>
      <c r="Z292" s="4"/>
    </row>
    <row r="293">
      <c r="A293" s="13"/>
      <c r="B293" s="161"/>
      <c r="C293" s="13"/>
      <c r="D293" s="4"/>
      <c r="E293" s="4"/>
      <c r="F293" s="4" t="str">
        <f>IFERROR(__xludf.DUMMYFUNCTION("""COMPUTED_VALUE"""),"Республика Башкортостан")</f>
        <v>Республика Башкортостан</v>
      </c>
      <c r="G293" s="4" t="str">
        <f>IFERROR(__xludf.DUMMYFUNCTION("""COMPUTED_VALUE"""),"Уфа")</f>
        <v>Уфа</v>
      </c>
      <c r="H293" s="4" t="str">
        <f>IFERROR(__xludf.DUMMYFUNCTION("""COMPUTED_VALUE"""),"Квартал Университетский")</f>
        <v>Квартал Университетский</v>
      </c>
      <c r="I293" s="4"/>
      <c r="J293" s="4"/>
      <c r="K293" s="4"/>
      <c r="L293" s="4"/>
      <c r="M293" s="4"/>
      <c r="N293" s="4"/>
      <c r="O293" s="4"/>
      <c r="P293" s="4"/>
      <c r="Q293" s="4"/>
      <c r="R293" s="4"/>
      <c r="S293" s="4"/>
      <c r="T293" s="4"/>
      <c r="U293" s="4"/>
      <c r="V293" s="4"/>
      <c r="W293" s="4"/>
      <c r="X293" s="4"/>
      <c r="Y293" s="4"/>
      <c r="Z293" s="4"/>
    </row>
    <row r="294">
      <c r="A294" s="13"/>
      <c r="B294" s="161"/>
      <c r="C294" s="13"/>
      <c r="D294" s="4"/>
      <c r="E294" s="4"/>
      <c r="F294" s="4" t="str">
        <f>IFERROR(__xludf.DUMMYFUNCTION("""COMPUTED_VALUE"""),"Республика Татарстан")</f>
        <v>Республика Татарстан</v>
      </c>
      <c r="G294" s="4" t="str">
        <f>IFERROR(__xludf.DUMMYFUNCTION("""COMPUTED_VALUE"""),"Казань")</f>
        <v>Казань</v>
      </c>
      <c r="H294" s="4" t="str">
        <f>IFERROR(__xludf.DUMMYFUNCTION("""COMPUTED_VALUE"""),"ЖК  Победы 126а")</f>
        <v>ЖК  Победы 126а</v>
      </c>
      <c r="I294" s="4"/>
      <c r="J294" s="4"/>
      <c r="K294" s="4"/>
      <c r="L294" s="4"/>
      <c r="M294" s="4"/>
      <c r="N294" s="4"/>
      <c r="O294" s="4"/>
      <c r="P294" s="4"/>
      <c r="Q294" s="4"/>
      <c r="R294" s="4"/>
      <c r="S294" s="4"/>
      <c r="T294" s="4"/>
      <c r="U294" s="4"/>
      <c r="V294" s="4"/>
      <c r="W294" s="4"/>
      <c r="X294" s="4"/>
      <c r="Y294" s="4"/>
      <c r="Z294" s="4"/>
    </row>
    <row r="295">
      <c r="A295" s="13"/>
      <c r="B295" s="161"/>
      <c r="C295" s="13"/>
      <c r="D295" s="4"/>
      <c r="E295" s="4"/>
      <c r="F295" s="4" t="str">
        <f>IFERROR(__xludf.DUMMYFUNCTION("""COMPUTED_VALUE"""),"Республика Татарстан")</f>
        <v>Республика Татарстан</v>
      </c>
      <c r="G295" s="4" t="str">
        <f>IFERROR(__xludf.DUMMYFUNCTION("""COMPUTED_VALUE"""),"Казань")</f>
        <v>Казань</v>
      </c>
      <c r="H295" s="4" t="str">
        <f>IFERROR(__xludf.DUMMYFUNCTION("""COMPUTED_VALUE"""),"ЖК Авалон Сити")</f>
        <v>ЖК Авалон Сити</v>
      </c>
      <c r="I295" s="4"/>
      <c r="J295" s="4"/>
      <c r="K295" s="4"/>
      <c r="L295" s="4"/>
      <c r="M295" s="4"/>
      <c r="N295" s="4"/>
      <c r="O295" s="4"/>
      <c r="P295" s="4"/>
      <c r="Q295" s="4"/>
      <c r="R295" s="4"/>
      <c r="S295" s="4"/>
      <c r="T295" s="4"/>
      <c r="U295" s="4"/>
      <c r="V295" s="4"/>
      <c r="W295" s="4"/>
      <c r="X295" s="4"/>
      <c r="Y295" s="4"/>
      <c r="Z295" s="4"/>
    </row>
    <row r="296">
      <c r="A296" s="13"/>
      <c r="B296" s="161"/>
      <c r="C296" s="13"/>
      <c r="D296" s="4"/>
      <c r="E296" s="4"/>
      <c r="F296" s="4" t="str">
        <f>IFERROR(__xludf.DUMMYFUNCTION("""COMPUTED_VALUE"""),"Республика Татарстан")</f>
        <v>Республика Татарстан</v>
      </c>
      <c r="G296" s="4" t="str">
        <f>IFERROR(__xludf.DUMMYFUNCTION("""COMPUTED_VALUE"""),"Казань")</f>
        <v>Казань</v>
      </c>
      <c r="H296" s="4" t="str">
        <f>IFERROR(__xludf.DUMMYFUNCTION("""COMPUTED_VALUE"""),"ЖК Айтматова 1")</f>
        <v>ЖК Айтматова 1</v>
      </c>
      <c r="I296" s="4"/>
      <c r="J296" s="4"/>
      <c r="K296" s="4"/>
      <c r="L296" s="4"/>
      <c r="M296" s="4"/>
      <c r="N296" s="4"/>
      <c r="O296" s="4"/>
      <c r="P296" s="4"/>
      <c r="Q296" s="4"/>
      <c r="R296" s="4"/>
      <c r="S296" s="4"/>
      <c r="T296" s="4"/>
      <c r="U296" s="4"/>
      <c r="V296" s="4"/>
      <c r="W296" s="4"/>
      <c r="X296" s="4"/>
      <c r="Y296" s="4"/>
      <c r="Z296" s="4"/>
    </row>
    <row r="297">
      <c r="A297" s="13"/>
      <c r="B297" s="161"/>
      <c r="C297" s="13"/>
      <c r="D297" s="4"/>
      <c r="E297" s="4"/>
      <c r="F297" s="4" t="str">
        <f>IFERROR(__xludf.DUMMYFUNCTION("""COMPUTED_VALUE"""),"Республика Татарстан")</f>
        <v>Республика Татарстан</v>
      </c>
      <c r="G297" s="4" t="str">
        <f>IFERROR(__xludf.DUMMYFUNCTION("""COMPUTED_VALUE"""),"Казань")</f>
        <v>Казань</v>
      </c>
      <c r="H297" s="4" t="str">
        <f>IFERROR(__xludf.DUMMYFUNCTION("""COMPUTED_VALUE"""),"ЖК Айтматова 2")</f>
        <v>ЖК Айтматова 2</v>
      </c>
      <c r="I297" s="4"/>
      <c r="J297" s="4"/>
      <c r="K297" s="4"/>
      <c r="L297" s="4"/>
      <c r="M297" s="4"/>
      <c r="N297" s="4"/>
      <c r="O297" s="4"/>
      <c r="P297" s="4"/>
      <c r="Q297" s="4"/>
      <c r="R297" s="4"/>
      <c r="S297" s="4"/>
      <c r="T297" s="4"/>
      <c r="U297" s="4"/>
      <c r="V297" s="4"/>
      <c r="W297" s="4"/>
      <c r="X297" s="4"/>
      <c r="Y297" s="4"/>
      <c r="Z297" s="4"/>
    </row>
    <row r="298">
      <c r="A298" s="13"/>
      <c r="B298" s="161"/>
      <c r="C298" s="13"/>
      <c r="D298" s="4"/>
      <c r="E298" s="4"/>
      <c r="F298" s="4" t="str">
        <f>IFERROR(__xludf.DUMMYFUNCTION("""COMPUTED_VALUE"""),"Республика Татарстан")</f>
        <v>Республика Татарстан</v>
      </c>
      <c r="G298" s="4" t="str">
        <f>IFERROR(__xludf.DUMMYFUNCTION("""COMPUTED_VALUE"""),"Казань")</f>
        <v>Казань</v>
      </c>
      <c r="H298" s="4" t="str">
        <f>IFERROR(__xludf.DUMMYFUNCTION("""COMPUTED_VALUE"""),"ЖК Аура - 1")</f>
        <v>ЖК Аура - 1</v>
      </c>
      <c r="I298" s="4"/>
      <c r="J298" s="4"/>
      <c r="K298" s="4"/>
      <c r="L298" s="4"/>
      <c r="M298" s="4"/>
      <c r="N298" s="4"/>
      <c r="O298" s="4"/>
      <c r="P298" s="4"/>
      <c r="Q298" s="4"/>
      <c r="R298" s="4"/>
      <c r="S298" s="4"/>
      <c r="T298" s="4"/>
      <c r="U298" s="4"/>
      <c r="V298" s="4"/>
      <c r="W298" s="4"/>
      <c r="X298" s="4"/>
      <c r="Y298" s="4"/>
      <c r="Z298" s="4"/>
    </row>
    <row r="299">
      <c r="A299" s="13"/>
      <c r="B299" s="161"/>
      <c r="C299" s="13"/>
      <c r="D299" s="4"/>
      <c r="E299" s="4"/>
      <c r="F299" s="4" t="str">
        <f>IFERROR(__xludf.DUMMYFUNCTION("""COMPUTED_VALUE"""),"Республика Татарстан")</f>
        <v>Республика Татарстан</v>
      </c>
      <c r="G299" s="4" t="str">
        <f>IFERROR(__xludf.DUMMYFUNCTION("""COMPUTED_VALUE"""),"Казань")</f>
        <v>Казань</v>
      </c>
      <c r="H299" s="4" t="str">
        <f>IFERROR(__xludf.DUMMYFUNCTION("""COMPUTED_VALUE"""),"ЖК Белая бабочка")</f>
        <v>ЖК Белая бабочка</v>
      </c>
      <c r="I299" s="4"/>
      <c r="J299" s="4"/>
      <c r="K299" s="4"/>
      <c r="L299" s="4"/>
      <c r="M299" s="4"/>
      <c r="N299" s="4"/>
      <c r="O299" s="4"/>
      <c r="P299" s="4"/>
      <c r="Q299" s="4"/>
      <c r="R299" s="4"/>
      <c r="S299" s="4"/>
      <c r="T299" s="4"/>
      <c r="U299" s="4"/>
      <c r="V299" s="4"/>
      <c r="W299" s="4"/>
      <c r="X299" s="4"/>
      <c r="Y299" s="4"/>
      <c r="Z299" s="4"/>
    </row>
    <row r="300">
      <c r="A300" s="13"/>
      <c r="B300" s="161"/>
      <c r="C300" s="13"/>
      <c r="D300" s="4"/>
      <c r="E300" s="4"/>
      <c r="F300" s="4" t="str">
        <f>IFERROR(__xludf.DUMMYFUNCTION("""COMPUTED_VALUE"""),"Республика Татарстан")</f>
        <v>Республика Татарстан</v>
      </c>
      <c r="G300" s="4" t="str">
        <f>IFERROR(__xludf.DUMMYFUNCTION("""COMPUTED_VALUE"""),"Казань")</f>
        <v>Казань</v>
      </c>
      <c r="H300" s="4" t="str">
        <f>IFERROR(__xludf.DUMMYFUNCTION("""COMPUTED_VALUE"""),"ЖК Зимний дворец")</f>
        <v>ЖК Зимний дворец</v>
      </c>
      <c r="I300" s="4"/>
      <c r="J300" s="4"/>
      <c r="K300" s="4"/>
      <c r="L300" s="4"/>
      <c r="M300" s="4"/>
      <c r="N300" s="4"/>
      <c r="O300" s="4"/>
      <c r="P300" s="4"/>
      <c r="Q300" s="4"/>
      <c r="R300" s="4"/>
      <c r="S300" s="4"/>
      <c r="T300" s="4"/>
      <c r="U300" s="4"/>
      <c r="V300" s="4"/>
      <c r="W300" s="4"/>
      <c r="X300" s="4"/>
      <c r="Y300" s="4"/>
      <c r="Z300" s="4"/>
    </row>
    <row r="301">
      <c r="A301" s="13"/>
      <c r="B301" s="161"/>
      <c r="C301" s="13"/>
      <c r="D301" s="4"/>
      <c r="E301" s="4"/>
      <c r="F301" s="4" t="str">
        <f>IFERROR(__xludf.DUMMYFUNCTION("""COMPUTED_VALUE"""),"Республика Татарстан")</f>
        <v>Республика Татарстан</v>
      </c>
      <c r="G301" s="4" t="str">
        <f>IFERROR(__xludf.DUMMYFUNCTION("""COMPUTED_VALUE"""),"Казань")</f>
        <v>Казань</v>
      </c>
      <c r="H301" s="4" t="str">
        <f>IFERROR(__xludf.DUMMYFUNCTION("""COMPUTED_VALUE"""),"ЖК Зимний сад - 1")</f>
        <v>ЖК Зимний сад - 1</v>
      </c>
      <c r="I301" s="4"/>
      <c r="J301" s="4"/>
      <c r="K301" s="4"/>
      <c r="L301" s="4"/>
      <c r="M301" s="4"/>
      <c r="N301" s="4"/>
      <c r="O301" s="4"/>
      <c r="P301" s="4"/>
      <c r="Q301" s="4"/>
      <c r="R301" s="4"/>
      <c r="S301" s="4"/>
      <c r="T301" s="4"/>
      <c r="U301" s="4"/>
      <c r="V301" s="4"/>
      <c r="W301" s="4"/>
      <c r="X301" s="4"/>
      <c r="Y301" s="4"/>
      <c r="Z301" s="4"/>
    </row>
    <row r="302">
      <c r="A302" s="13"/>
      <c r="B302" s="161"/>
      <c r="C302" s="13"/>
      <c r="D302" s="4"/>
      <c r="E302" s="4"/>
      <c r="F302" s="4" t="str">
        <f>IFERROR(__xludf.DUMMYFUNCTION("""COMPUTED_VALUE"""),"Республика Татарстан")</f>
        <v>Республика Татарстан</v>
      </c>
      <c r="G302" s="4" t="str">
        <f>IFERROR(__xludf.DUMMYFUNCTION("""COMPUTED_VALUE"""),"Казань")</f>
        <v>Казань</v>
      </c>
      <c r="H302" s="4" t="str">
        <f>IFERROR(__xludf.DUMMYFUNCTION("""COMPUTED_VALUE"""),"ЖК Зимний сад - 2")</f>
        <v>ЖК Зимний сад - 2</v>
      </c>
      <c r="I302" s="4"/>
      <c r="J302" s="4"/>
      <c r="K302" s="4"/>
      <c r="L302" s="4"/>
      <c r="M302" s="4"/>
      <c r="N302" s="4"/>
      <c r="O302" s="4"/>
      <c r="P302" s="4"/>
      <c r="Q302" s="4"/>
      <c r="R302" s="4"/>
      <c r="S302" s="4"/>
      <c r="T302" s="4"/>
      <c r="U302" s="4"/>
      <c r="V302" s="4"/>
      <c r="W302" s="4"/>
      <c r="X302" s="4"/>
      <c r="Y302" s="4"/>
      <c r="Z302" s="4"/>
    </row>
    <row r="303">
      <c r="A303" s="13"/>
      <c r="B303" s="161"/>
      <c r="C303" s="13"/>
      <c r="D303" s="4"/>
      <c r="E303" s="4"/>
      <c r="F303" s="4" t="str">
        <f>IFERROR(__xludf.DUMMYFUNCTION("""COMPUTED_VALUE"""),"Республика Татарстан")</f>
        <v>Республика Татарстан</v>
      </c>
      <c r="G303" s="4" t="str">
        <f>IFERROR(__xludf.DUMMYFUNCTION("""COMPUTED_VALUE"""),"Казань")</f>
        <v>Казань</v>
      </c>
      <c r="H303" s="4" t="str">
        <f>IFERROR(__xludf.DUMMYFUNCTION("""COMPUTED_VALUE"""),"ЖК Зимний сад - 3")</f>
        <v>ЖК Зимний сад - 3</v>
      </c>
      <c r="I303" s="4"/>
      <c r="J303" s="4"/>
      <c r="K303" s="4"/>
      <c r="L303" s="4"/>
      <c r="M303" s="4"/>
      <c r="N303" s="4"/>
      <c r="O303" s="4"/>
      <c r="P303" s="4"/>
      <c r="Q303" s="4"/>
      <c r="R303" s="4"/>
      <c r="S303" s="4"/>
      <c r="T303" s="4"/>
      <c r="U303" s="4"/>
      <c r="V303" s="4"/>
      <c r="W303" s="4"/>
      <c r="X303" s="4"/>
      <c r="Y303" s="4"/>
      <c r="Z303" s="4"/>
    </row>
    <row r="304">
      <c r="A304" s="13"/>
      <c r="B304" s="161"/>
      <c r="C304" s="13"/>
      <c r="D304" s="4"/>
      <c r="E304" s="4"/>
      <c r="F304" s="4" t="str">
        <f>IFERROR(__xludf.DUMMYFUNCTION("""COMPUTED_VALUE"""),"Республика Татарстан")</f>
        <v>Республика Татарстан</v>
      </c>
      <c r="G304" s="4" t="str">
        <f>IFERROR(__xludf.DUMMYFUNCTION("""COMPUTED_VALUE"""),"Казань")</f>
        <v>Казань</v>
      </c>
      <c r="H304" s="4" t="str">
        <f>IFERROR(__xludf.DUMMYFUNCTION("""COMPUTED_VALUE"""),"ЖК Изумрудный город")</f>
        <v>ЖК Изумрудный город</v>
      </c>
      <c r="I304" s="4"/>
      <c r="J304" s="4"/>
      <c r="K304" s="4"/>
      <c r="L304" s="4"/>
      <c r="M304" s="4"/>
      <c r="N304" s="4"/>
      <c r="O304" s="4"/>
      <c r="P304" s="4"/>
      <c r="Q304" s="4"/>
      <c r="R304" s="4"/>
      <c r="S304" s="4"/>
      <c r="T304" s="4"/>
      <c r="U304" s="4"/>
      <c r="V304" s="4"/>
      <c r="W304" s="4"/>
      <c r="X304" s="4"/>
      <c r="Y304" s="4"/>
      <c r="Z304" s="4"/>
    </row>
    <row r="305">
      <c r="A305" s="13"/>
      <c r="B305" s="161"/>
      <c r="C305" s="13"/>
      <c r="D305" s="4"/>
      <c r="E305" s="4"/>
      <c r="F305" s="4" t="str">
        <f>IFERROR(__xludf.DUMMYFUNCTION("""COMPUTED_VALUE"""),"Республика Татарстан")</f>
        <v>Республика Татарстан</v>
      </c>
      <c r="G305" s="4" t="str">
        <f>IFERROR(__xludf.DUMMYFUNCTION("""COMPUTED_VALUE"""),"Казань")</f>
        <v>Казань</v>
      </c>
      <c r="H305" s="4" t="str">
        <f>IFERROR(__xludf.DUMMYFUNCTION("""COMPUTED_VALUE"""),"ЖК Казан Су")</f>
        <v>ЖК Казан Су</v>
      </c>
      <c r="I305" s="4"/>
      <c r="J305" s="4"/>
      <c r="K305" s="4"/>
      <c r="L305" s="4"/>
      <c r="M305" s="4"/>
      <c r="N305" s="4"/>
      <c r="O305" s="4"/>
      <c r="P305" s="4"/>
      <c r="Q305" s="4"/>
      <c r="R305" s="4"/>
      <c r="S305" s="4"/>
      <c r="T305" s="4"/>
      <c r="U305" s="4"/>
      <c r="V305" s="4"/>
      <c r="W305" s="4"/>
      <c r="X305" s="4"/>
      <c r="Y305" s="4"/>
      <c r="Z305" s="4"/>
    </row>
    <row r="306">
      <c r="A306" s="13"/>
      <c r="B306" s="161"/>
      <c r="C306" s="13"/>
      <c r="D306" s="4"/>
      <c r="E306" s="4"/>
      <c r="F306" s="4" t="str">
        <f>IFERROR(__xludf.DUMMYFUNCTION("""COMPUTED_VALUE"""),"Республика Татарстан")</f>
        <v>Республика Татарстан</v>
      </c>
      <c r="G306" s="4" t="str">
        <f>IFERROR(__xludf.DUMMYFUNCTION("""COMPUTED_VALUE"""),"Казань")</f>
        <v>Казань</v>
      </c>
      <c r="H306" s="4" t="str">
        <f>IFERROR(__xludf.DUMMYFUNCTION("""COMPUTED_VALUE"""),"ЖК Каштан")</f>
        <v>ЖК Каштан</v>
      </c>
      <c r="I306" s="4"/>
      <c r="J306" s="4"/>
      <c r="K306" s="4"/>
      <c r="L306" s="4"/>
      <c r="M306" s="4"/>
      <c r="N306" s="4"/>
      <c r="O306" s="4"/>
      <c r="P306" s="4"/>
      <c r="Q306" s="4"/>
      <c r="R306" s="4"/>
      <c r="S306" s="4"/>
      <c r="T306" s="4"/>
      <c r="U306" s="4"/>
      <c r="V306" s="4"/>
      <c r="W306" s="4"/>
      <c r="X306" s="4"/>
      <c r="Y306" s="4"/>
      <c r="Z306" s="4"/>
    </row>
    <row r="307">
      <c r="A307" s="13"/>
      <c r="B307" s="161"/>
      <c r="C307" s="13"/>
      <c r="D307" s="4"/>
      <c r="E307" s="4"/>
      <c r="F307" s="4" t="str">
        <f>IFERROR(__xludf.DUMMYFUNCTION("""COMPUTED_VALUE"""),"Республика Татарстан")</f>
        <v>Республика Татарстан</v>
      </c>
      <c r="G307" s="4" t="str">
        <f>IFERROR(__xludf.DUMMYFUNCTION("""COMPUTED_VALUE"""),"Казань")</f>
        <v>Казань</v>
      </c>
      <c r="H307" s="4" t="str">
        <f>IFERROR(__xludf.DUMMYFUNCTION("""COMPUTED_VALUE"""),"ЖК Милениум Сити")</f>
        <v>ЖК Милениум Сити</v>
      </c>
      <c r="I307" s="4"/>
      <c r="J307" s="4"/>
      <c r="K307" s="4"/>
      <c r="L307" s="4"/>
      <c r="M307" s="4"/>
      <c r="N307" s="4"/>
      <c r="O307" s="4"/>
      <c r="P307" s="4"/>
      <c r="Q307" s="4"/>
      <c r="R307" s="4"/>
      <c r="S307" s="4"/>
      <c r="T307" s="4"/>
      <c r="U307" s="4"/>
      <c r="V307" s="4"/>
      <c r="W307" s="4"/>
      <c r="X307" s="4"/>
      <c r="Y307" s="4"/>
      <c r="Z307" s="4"/>
    </row>
    <row r="308">
      <c r="A308" s="13"/>
      <c r="B308" s="161"/>
      <c r="C308" s="13"/>
      <c r="D308" s="4"/>
      <c r="E308" s="4"/>
      <c r="F308" s="4" t="str">
        <f>IFERROR(__xludf.DUMMYFUNCTION("""COMPUTED_VALUE"""),"Республика Татарстан")</f>
        <v>Республика Татарстан</v>
      </c>
      <c r="G308" s="4" t="str">
        <f>IFERROR(__xludf.DUMMYFUNCTION("""COMPUTED_VALUE"""),"Казань")</f>
        <v>Казань</v>
      </c>
      <c r="H308" s="4" t="str">
        <f>IFERROR(__xludf.DUMMYFUNCTION("""COMPUTED_VALUE"""),"ЖК Молодежный")</f>
        <v>ЖК Молодежный</v>
      </c>
      <c r="I308" s="4"/>
      <c r="J308" s="4"/>
      <c r="K308" s="4"/>
      <c r="L308" s="4"/>
      <c r="M308" s="4"/>
      <c r="N308" s="4"/>
      <c r="O308" s="4"/>
      <c r="P308" s="4"/>
      <c r="Q308" s="4"/>
      <c r="R308" s="4"/>
      <c r="S308" s="4"/>
      <c r="T308" s="4"/>
      <c r="U308" s="4"/>
      <c r="V308" s="4"/>
      <c r="W308" s="4"/>
      <c r="X308" s="4"/>
      <c r="Y308" s="4"/>
      <c r="Z308" s="4"/>
    </row>
    <row r="309">
      <c r="A309" s="13"/>
      <c r="B309" s="161"/>
      <c r="C309" s="13"/>
      <c r="D309" s="4"/>
      <c r="E309" s="4"/>
      <c r="F309" s="4" t="str">
        <f>IFERROR(__xludf.DUMMYFUNCTION("""COMPUTED_VALUE"""),"Республика Татарстан")</f>
        <v>Республика Татарстан</v>
      </c>
      <c r="G309" s="4" t="str">
        <f>IFERROR(__xludf.DUMMYFUNCTION("""COMPUTED_VALUE"""),"Казань")</f>
        <v>Казань</v>
      </c>
      <c r="H309" s="4" t="str">
        <f>IFERROR(__xludf.DUMMYFUNCTION("""COMPUTED_VALUE"""),"ЖК МЧС-1")</f>
        <v>ЖК МЧС-1</v>
      </c>
      <c r="I309" s="4"/>
      <c r="J309" s="4"/>
      <c r="K309" s="4"/>
      <c r="L309" s="4"/>
      <c r="M309" s="4"/>
      <c r="N309" s="4"/>
      <c r="O309" s="4"/>
      <c r="P309" s="4"/>
      <c r="Q309" s="4"/>
      <c r="R309" s="4"/>
      <c r="S309" s="4"/>
      <c r="T309" s="4"/>
      <c r="U309" s="4"/>
      <c r="V309" s="4"/>
      <c r="W309" s="4"/>
      <c r="X309" s="4"/>
      <c r="Y309" s="4"/>
      <c r="Z309" s="4"/>
    </row>
    <row r="310">
      <c r="A310" s="13"/>
      <c r="B310" s="161"/>
      <c r="C310" s="13"/>
      <c r="D310" s="4"/>
      <c r="E310" s="4"/>
      <c r="F310" s="4" t="str">
        <f>IFERROR(__xludf.DUMMYFUNCTION("""COMPUTED_VALUE"""),"Республика Татарстан")</f>
        <v>Республика Татарстан</v>
      </c>
      <c r="G310" s="4" t="str">
        <f>IFERROR(__xludf.DUMMYFUNCTION("""COMPUTED_VALUE"""),"Казань")</f>
        <v>Казань</v>
      </c>
      <c r="H310" s="4" t="str">
        <f>IFERROR(__xludf.DUMMYFUNCTION("""COMPUTED_VALUE"""),"ЖК МЧС-2")</f>
        <v>ЖК МЧС-2</v>
      </c>
      <c r="I310" s="4"/>
      <c r="J310" s="4"/>
      <c r="K310" s="4"/>
      <c r="L310" s="4"/>
      <c r="M310" s="4"/>
      <c r="N310" s="4"/>
      <c r="O310" s="4"/>
      <c r="P310" s="4"/>
      <c r="Q310" s="4"/>
      <c r="R310" s="4"/>
      <c r="S310" s="4"/>
      <c r="T310" s="4"/>
      <c r="U310" s="4"/>
      <c r="V310" s="4"/>
      <c r="W310" s="4"/>
      <c r="X310" s="4"/>
      <c r="Y310" s="4"/>
      <c r="Z310" s="4"/>
    </row>
    <row r="311">
      <c r="A311" s="13"/>
      <c r="B311" s="161"/>
      <c r="C311" s="13"/>
      <c r="D311" s="4"/>
      <c r="E311" s="4"/>
      <c r="F311" s="4" t="str">
        <f>IFERROR(__xludf.DUMMYFUNCTION("""COMPUTED_VALUE"""),"Республика Татарстан")</f>
        <v>Республика Татарстан</v>
      </c>
      <c r="G311" s="4" t="str">
        <f>IFERROR(__xludf.DUMMYFUNCTION("""COMPUTED_VALUE"""),"Казань")</f>
        <v>Казань</v>
      </c>
      <c r="H311" s="4" t="str">
        <f>IFERROR(__xludf.DUMMYFUNCTION("""COMPUTED_VALUE"""),"ЖК МЧС-3")</f>
        <v>ЖК МЧС-3</v>
      </c>
      <c r="I311" s="4"/>
      <c r="J311" s="4"/>
      <c r="K311" s="4"/>
      <c r="L311" s="4"/>
      <c r="M311" s="4"/>
      <c r="N311" s="4"/>
      <c r="O311" s="4"/>
      <c r="P311" s="4"/>
      <c r="Q311" s="4"/>
      <c r="R311" s="4"/>
      <c r="S311" s="4"/>
      <c r="T311" s="4"/>
      <c r="U311" s="4"/>
      <c r="V311" s="4"/>
      <c r="W311" s="4"/>
      <c r="X311" s="4"/>
      <c r="Y311" s="4"/>
      <c r="Z311" s="4"/>
    </row>
    <row r="312">
      <c r="A312" s="13"/>
      <c r="B312" s="161"/>
      <c r="C312" s="13"/>
      <c r="D312" s="4"/>
      <c r="E312" s="4"/>
      <c r="F312" s="4" t="str">
        <f>IFERROR(__xludf.DUMMYFUNCTION("""COMPUTED_VALUE"""),"Республика Татарстан")</f>
        <v>Республика Татарстан</v>
      </c>
      <c r="G312" s="4" t="str">
        <f>IFERROR(__xludf.DUMMYFUNCTION("""COMPUTED_VALUE"""),"Казань")</f>
        <v>Казань</v>
      </c>
      <c r="H312" s="4" t="str">
        <f>IFERROR(__xludf.DUMMYFUNCTION("""COMPUTED_VALUE"""),"ЖК МЧС-4")</f>
        <v>ЖК МЧС-4</v>
      </c>
      <c r="I312" s="4"/>
      <c r="J312" s="4"/>
      <c r="K312" s="4"/>
      <c r="L312" s="4"/>
      <c r="M312" s="4"/>
      <c r="N312" s="4"/>
      <c r="O312" s="4"/>
      <c r="P312" s="4"/>
      <c r="Q312" s="4"/>
      <c r="R312" s="4"/>
      <c r="S312" s="4"/>
      <c r="T312" s="4"/>
      <c r="U312" s="4"/>
      <c r="V312" s="4"/>
      <c r="W312" s="4"/>
      <c r="X312" s="4"/>
      <c r="Y312" s="4"/>
      <c r="Z312" s="4"/>
    </row>
    <row r="313">
      <c r="A313" s="13"/>
      <c r="B313" s="161"/>
      <c r="C313" s="13"/>
      <c r="D313" s="4"/>
      <c r="E313" s="4"/>
      <c r="F313" s="4" t="str">
        <f>IFERROR(__xludf.DUMMYFUNCTION("""COMPUTED_VALUE"""),"Республика Татарстан")</f>
        <v>Республика Татарстан</v>
      </c>
      <c r="G313" s="4" t="str">
        <f>IFERROR(__xludf.DUMMYFUNCTION("""COMPUTED_VALUE"""),"Казань")</f>
        <v>Казань</v>
      </c>
      <c r="H313" s="4" t="str">
        <f>IFERROR(__xludf.DUMMYFUNCTION("""COMPUTED_VALUE"""),"ЖК на ""Фучика 96""")</f>
        <v>ЖК на "Фучика 96"</v>
      </c>
      <c r="I313" s="4"/>
      <c r="J313" s="4"/>
      <c r="K313" s="4"/>
      <c r="L313" s="4"/>
      <c r="M313" s="4"/>
      <c r="N313" s="4"/>
      <c r="O313" s="4"/>
      <c r="P313" s="4"/>
      <c r="Q313" s="4"/>
      <c r="R313" s="4"/>
      <c r="S313" s="4"/>
      <c r="T313" s="4"/>
      <c r="U313" s="4"/>
      <c r="V313" s="4"/>
      <c r="W313" s="4"/>
      <c r="X313" s="4"/>
      <c r="Y313" s="4"/>
      <c r="Z313" s="4"/>
    </row>
    <row r="314">
      <c r="A314" s="13"/>
      <c r="B314" s="161"/>
      <c r="C314" s="13"/>
      <c r="D314" s="4"/>
      <c r="E314" s="4"/>
      <c r="F314" s="4" t="str">
        <f>IFERROR(__xludf.DUMMYFUNCTION("""COMPUTED_VALUE"""),"Республика Татарстан")</f>
        <v>Республика Татарстан</v>
      </c>
      <c r="G314" s="4" t="str">
        <f>IFERROR(__xludf.DUMMYFUNCTION("""COMPUTED_VALUE"""),"Казань")</f>
        <v>Казань</v>
      </c>
      <c r="H314" s="4" t="str">
        <f>IFERROR(__xludf.DUMMYFUNCTION("""COMPUTED_VALUE"""),"ЖК на Габишева")</f>
        <v>ЖК на Габишева</v>
      </c>
      <c r="I314" s="4"/>
      <c r="J314" s="4"/>
      <c r="K314" s="4"/>
      <c r="L314" s="4"/>
      <c r="M314" s="4"/>
      <c r="N314" s="4"/>
      <c r="O314" s="4"/>
      <c r="P314" s="4"/>
      <c r="Q314" s="4"/>
      <c r="R314" s="4"/>
      <c r="S314" s="4"/>
      <c r="T314" s="4"/>
      <c r="U314" s="4"/>
      <c r="V314" s="4"/>
      <c r="W314" s="4"/>
      <c r="X314" s="4"/>
      <c r="Y314" s="4"/>
      <c r="Z314" s="4"/>
    </row>
    <row r="315">
      <c r="A315" s="13"/>
      <c r="B315" s="161"/>
      <c r="C315" s="13"/>
      <c r="D315" s="4"/>
      <c r="E315" s="4"/>
      <c r="F315" s="4" t="str">
        <f>IFERROR(__xludf.DUMMYFUNCTION("""COMPUTED_VALUE"""),"Республика Татарстан")</f>
        <v>Республика Татарстан</v>
      </c>
      <c r="G315" s="4" t="str">
        <f>IFERROR(__xludf.DUMMYFUNCTION("""COMPUTED_VALUE"""),"Казань")</f>
        <v>Казань</v>
      </c>
      <c r="H315" s="4" t="str">
        <f>IFERROR(__xludf.DUMMYFUNCTION("""COMPUTED_VALUE"""),"ЖК на Габишева 2")</f>
        <v>ЖК на Габишева 2</v>
      </c>
      <c r="I315" s="4"/>
      <c r="J315" s="4"/>
      <c r="K315" s="4"/>
      <c r="L315" s="4"/>
      <c r="M315" s="4"/>
      <c r="N315" s="4"/>
      <c r="O315" s="4"/>
      <c r="P315" s="4"/>
      <c r="Q315" s="4"/>
      <c r="R315" s="4"/>
      <c r="S315" s="4"/>
      <c r="T315" s="4"/>
      <c r="U315" s="4"/>
      <c r="V315" s="4"/>
      <c r="W315" s="4"/>
      <c r="X315" s="4"/>
      <c r="Y315" s="4"/>
      <c r="Z315" s="4"/>
    </row>
    <row r="316">
      <c r="A316" s="13"/>
      <c r="B316" s="161"/>
      <c r="C316" s="13"/>
      <c r="D316" s="4"/>
      <c r="E316" s="4"/>
      <c r="F316" s="4" t="str">
        <f>IFERROR(__xludf.DUMMYFUNCTION("""COMPUTED_VALUE"""),"Республика Татарстан")</f>
        <v>Республика Татарстан</v>
      </c>
      <c r="G316" s="4" t="str">
        <f>IFERROR(__xludf.DUMMYFUNCTION("""COMPUTED_VALUE"""),"Казань")</f>
        <v>Казань</v>
      </c>
      <c r="H316" s="4" t="str">
        <f>IFERROR(__xludf.DUMMYFUNCTION("""COMPUTED_VALUE"""),"ЖК на Габишева 3")</f>
        <v>ЖК на Габишева 3</v>
      </c>
      <c r="I316" s="4"/>
      <c r="J316" s="4"/>
      <c r="K316" s="4"/>
      <c r="L316" s="4"/>
      <c r="M316" s="4"/>
      <c r="N316" s="4"/>
      <c r="O316" s="4"/>
      <c r="P316" s="4"/>
      <c r="Q316" s="4"/>
      <c r="R316" s="4"/>
      <c r="S316" s="4"/>
      <c r="T316" s="4"/>
      <c r="U316" s="4"/>
      <c r="V316" s="4"/>
      <c r="W316" s="4"/>
      <c r="X316" s="4"/>
      <c r="Y316" s="4"/>
      <c r="Z316" s="4"/>
    </row>
    <row r="317">
      <c r="A317" s="13"/>
      <c r="B317" s="161"/>
      <c r="C317" s="13"/>
      <c r="D317" s="4"/>
      <c r="E317" s="4"/>
      <c r="F317" s="4" t="str">
        <f>IFERROR(__xludf.DUMMYFUNCTION("""COMPUTED_VALUE"""),"Республика Татарстан")</f>
        <v>Республика Татарстан</v>
      </c>
      <c r="G317" s="4" t="str">
        <f>IFERROR(__xludf.DUMMYFUNCTION("""COMPUTED_VALUE"""),"Казань")</f>
        <v>Казань</v>
      </c>
      <c r="H317" s="4" t="str">
        <f>IFERROR(__xludf.DUMMYFUNCTION("""COMPUTED_VALUE"""),"ЖК на Глушко 2")</f>
        <v>ЖК на Глушко 2</v>
      </c>
      <c r="I317" s="4"/>
      <c r="J317" s="4"/>
      <c r="K317" s="4"/>
      <c r="L317" s="4"/>
      <c r="M317" s="4"/>
      <c r="N317" s="4"/>
      <c r="O317" s="4"/>
      <c r="P317" s="4"/>
      <c r="Q317" s="4"/>
      <c r="R317" s="4"/>
      <c r="S317" s="4"/>
      <c r="T317" s="4"/>
      <c r="U317" s="4"/>
      <c r="V317" s="4"/>
      <c r="W317" s="4"/>
      <c r="X317" s="4"/>
      <c r="Y317" s="4"/>
      <c r="Z317" s="4"/>
    </row>
    <row r="318">
      <c r="A318" s="13"/>
      <c r="B318" s="161"/>
      <c r="C318" s="13"/>
      <c r="D318" s="4"/>
      <c r="E318" s="4"/>
      <c r="F318" s="4" t="str">
        <f>IFERROR(__xludf.DUMMYFUNCTION("""COMPUTED_VALUE"""),"Республика Татарстан")</f>
        <v>Республика Татарстан</v>
      </c>
      <c r="G318" s="4" t="str">
        <f>IFERROR(__xludf.DUMMYFUNCTION("""COMPUTED_VALUE"""),"Казань")</f>
        <v>Казань</v>
      </c>
      <c r="H318" s="4" t="str">
        <f>IFERROR(__xludf.DUMMYFUNCTION("""COMPUTED_VALUE"""),"ЖК на Глушко 3")</f>
        <v>ЖК на Глушко 3</v>
      </c>
      <c r="I318" s="4"/>
      <c r="J318" s="4"/>
      <c r="K318" s="4"/>
      <c r="L318" s="4"/>
      <c r="M318" s="4"/>
      <c r="N318" s="4"/>
      <c r="O318" s="4"/>
      <c r="P318" s="4"/>
      <c r="Q318" s="4"/>
      <c r="R318" s="4"/>
      <c r="S318" s="4"/>
      <c r="T318" s="4"/>
      <c r="U318" s="4"/>
      <c r="V318" s="4"/>
      <c r="W318" s="4"/>
      <c r="X318" s="4"/>
      <c r="Y318" s="4"/>
      <c r="Z318" s="4"/>
    </row>
    <row r="319">
      <c r="A319" s="13"/>
      <c r="B319" s="161"/>
      <c r="C319" s="13"/>
      <c r="D319" s="4"/>
      <c r="E319" s="4"/>
      <c r="F319" s="4" t="str">
        <f>IFERROR(__xludf.DUMMYFUNCTION("""COMPUTED_VALUE"""),"Республика Татарстан")</f>
        <v>Республика Татарстан</v>
      </c>
      <c r="G319" s="4" t="str">
        <f>IFERROR(__xludf.DUMMYFUNCTION("""COMPUTED_VALUE"""),"Казань")</f>
        <v>Казань</v>
      </c>
      <c r="H319" s="4" t="str">
        <f>IFERROR(__xludf.DUMMYFUNCTION("""COMPUTED_VALUE"""),"ЖК на Глушко 4")</f>
        <v>ЖК на Глушко 4</v>
      </c>
      <c r="I319" s="4"/>
      <c r="J319" s="4"/>
      <c r="K319" s="4"/>
      <c r="L319" s="4"/>
      <c r="M319" s="4"/>
      <c r="N319" s="4"/>
      <c r="O319" s="4"/>
      <c r="P319" s="4"/>
      <c r="Q319" s="4"/>
      <c r="R319" s="4"/>
      <c r="S319" s="4"/>
      <c r="T319" s="4"/>
      <c r="U319" s="4"/>
      <c r="V319" s="4"/>
      <c r="W319" s="4"/>
      <c r="X319" s="4"/>
      <c r="Y319" s="4"/>
      <c r="Z319" s="4"/>
    </row>
    <row r="320">
      <c r="A320" s="13"/>
      <c r="B320" s="161"/>
      <c r="C320" s="13"/>
      <c r="D320" s="4"/>
      <c r="E320" s="4"/>
      <c r="F320" s="4" t="str">
        <f>IFERROR(__xludf.DUMMYFUNCTION("""COMPUTED_VALUE"""),"Республика Татарстан")</f>
        <v>Республика Татарстан</v>
      </c>
      <c r="G320" s="4" t="str">
        <f>IFERROR(__xludf.DUMMYFUNCTION("""COMPUTED_VALUE"""),"Казань")</f>
        <v>Казань</v>
      </c>
      <c r="H320" s="4" t="str">
        <f>IFERROR(__xludf.DUMMYFUNCTION("""COMPUTED_VALUE"""),"ЖК на Глушко 5")</f>
        <v>ЖК на Глушко 5</v>
      </c>
      <c r="I320" s="4"/>
      <c r="J320" s="4"/>
      <c r="K320" s="4"/>
      <c r="L320" s="4"/>
      <c r="M320" s="4"/>
      <c r="N320" s="4"/>
      <c r="O320" s="4"/>
      <c r="P320" s="4"/>
      <c r="Q320" s="4"/>
      <c r="R320" s="4"/>
      <c r="S320" s="4"/>
      <c r="T320" s="4"/>
      <c r="U320" s="4"/>
      <c r="V320" s="4"/>
      <c r="W320" s="4"/>
      <c r="X320" s="4"/>
      <c r="Y320" s="4"/>
      <c r="Z320" s="4"/>
    </row>
    <row r="321">
      <c r="A321" s="13"/>
      <c r="B321" s="161"/>
      <c r="C321" s="13"/>
      <c r="D321" s="4"/>
      <c r="E321" s="4"/>
      <c r="F321" s="4" t="str">
        <f>IFERROR(__xludf.DUMMYFUNCTION("""COMPUTED_VALUE"""),"Республика Татарстан")</f>
        <v>Республика Татарстан</v>
      </c>
      <c r="G321" s="4" t="str">
        <f>IFERROR(__xludf.DUMMYFUNCTION("""COMPUTED_VALUE"""),"Казань")</f>
        <v>Казань</v>
      </c>
      <c r="H321" s="4" t="str">
        <f>IFERROR(__xludf.DUMMYFUNCTION("""COMPUTED_VALUE"""),"ЖК на Глушко 6")</f>
        <v>ЖК на Глушко 6</v>
      </c>
      <c r="I321" s="4"/>
      <c r="J321" s="4"/>
      <c r="K321" s="4"/>
      <c r="L321" s="4"/>
      <c r="M321" s="4"/>
      <c r="N321" s="4"/>
      <c r="O321" s="4"/>
      <c r="P321" s="4"/>
      <c r="Q321" s="4"/>
      <c r="R321" s="4"/>
      <c r="S321" s="4"/>
      <c r="T321" s="4"/>
      <c r="U321" s="4"/>
      <c r="V321" s="4"/>
      <c r="W321" s="4"/>
      <c r="X321" s="4"/>
      <c r="Y321" s="4"/>
      <c r="Z321" s="4"/>
    </row>
    <row r="322">
      <c r="A322" s="13"/>
      <c r="B322" s="161"/>
      <c r="C322" s="13"/>
      <c r="D322" s="4"/>
      <c r="E322" s="4"/>
      <c r="F322" s="4" t="str">
        <f>IFERROR(__xludf.DUMMYFUNCTION("""COMPUTED_VALUE"""),"Республика Татарстан")</f>
        <v>Республика Татарстан</v>
      </c>
      <c r="G322" s="4" t="str">
        <f>IFERROR(__xludf.DUMMYFUNCTION("""COMPUTED_VALUE"""),"Казань")</f>
        <v>Казань</v>
      </c>
      <c r="H322" s="4" t="str">
        <f>IFERROR(__xludf.DUMMYFUNCTION("""COMPUTED_VALUE"""),"ЖК на Глушко 7")</f>
        <v>ЖК на Глушко 7</v>
      </c>
      <c r="I322" s="4"/>
      <c r="J322" s="4"/>
      <c r="K322" s="4"/>
      <c r="L322" s="4"/>
      <c r="M322" s="4"/>
      <c r="N322" s="4"/>
      <c r="O322" s="4"/>
      <c r="P322" s="4"/>
      <c r="Q322" s="4"/>
      <c r="R322" s="4"/>
      <c r="S322" s="4"/>
      <c r="T322" s="4"/>
      <c r="U322" s="4"/>
      <c r="V322" s="4"/>
      <c r="W322" s="4"/>
      <c r="X322" s="4"/>
      <c r="Y322" s="4"/>
      <c r="Z322" s="4"/>
    </row>
    <row r="323">
      <c r="A323" s="13"/>
      <c r="B323" s="161"/>
      <c r="C323" s="13"/>
      <c r="D323" s="4"/>
      <c r="E323" s="4"/>
      <c r="F323" s="4" t="str">
        <f>IFERROR(__xludf.DUMMYFUNCTION("""COMPUTED_VALUE"""),"Республика Татарстан")</f>
        <v>Республика Татарстан</v>
      </c>
      <c r="G323" s="4" t="str">
        <f>IFERROR(__xludf.DUMMYFUNCTION("""COMPUTED_VALUE"""),"Казань")</f>
        <v>Казань</v>
      </c>
      <c r="H323" s="4" t="str">
        <f>IFERROR(__xludf.DUMMYFUNCTION("""COMPUTED_VALUE"""),"ЖК на Глушко-1")</f>
        <v>ЖК на Глушко-1</v>
      </c>
      <c r="I323" s="4"/>
      <c r="J323" s="4"/>
      <c r="K323" s="4"/>
      <c r="L323" s="4"/>
      <c r="M323" s="4"/>
      <c r="N323" s="4"/>
      <c r="O323" s="4"/>
      <c r="P323" s="4"/>
      <c r="Q323" s="4"/>
      <c r="R323" s="4"/>
      <c r="S323" s="4"/>
      <c r="T323" s="4"/>
      <c r="U323" s="4"/>
      <c r="V323" s="4"/>
      <c r="W323" s="4"/>
      <c r="X323" s="4"/>
      <c r="Y323" s="4"/>
      <c r="Z323" s="4"/>
    </row>
    <row r="324">
      <c r="A324" s="13"/>
      <c r="B324" s="161"/>
      <c r="C324" s="13"/>
      <c r="D324" s="4"/>
      <c r="E324" s="4"/>
      <c r="F324" s="4" t="str">
        <f>IFERROR(__xludf.DUMMYFUNCTION("""COMPUTED_VALUE"""),"Республика Татарстан")</f>
        <v>Республика Татарстан</v>
      </c>
      <c r="G324" s="4" t="str">
        <f>IFERROR(__xludf.DUMMYFUNCTION("""COMPUTED_VALUE"""),"Казань")</f>
        <v>Казань</v>
      </c>
      <c r="H324" s="4" t="str">
        <f>IFERROR(__xludf.DUMMYFUNCTION("""COMPUTED_VALUE"""),"ЖК на Глушко-12а")</f>
        <v>ЖК на Глушко-12а</v>
      </c>
      <c r="I324" s="4"/>
      <c r="J324" s="4"/>
      <c r="K324" s="4"/>
      <c r="L324" s="4"/>
      <c r="M324" s="4"/>
      <c r="N324" s="4"/>
      <c r="O324" s="4"/>
      <c r="P324" s="4"/>
      <c r="Q324" s="4"/>
      <c r="R324" s="4"/>
      <c r="S324" s="4"/>
      <c r="T324" s="4"/>
      <c r="U324" s="4"/>
      <c r="V324" s="4"/>
      <c r="W324" s="4"/>
      <c r="X324" s="4"/>
      <c r="Y324" s="4"/>
      <c r="Z324" s="4"/>
    </row>
    <row r="325">
      <c r="A325" s="13"/>
      <c r="B325" s="161"/>
      <c r="C325" s="13"/>
      <c r="D325" s="4"/>
      <c r="E325" s="4"/>
      <c r="F325" s="4" t="str">
        <f>IFERROR(__xludf.DUMMYFUNCTION("""COMPUTED_VALUE"""),"Республика Татарстан")</f>
        <v>Республика Татарстан</v>
      </c>
      <c r="G325" s="4" t="str">
        <f>IFERROR(__xludf.DUMMYFUNCTION("""COMPUTED_VALUE"""),"Казань")</f>
        <v>Казань</v>
      </c>
      <c r="H325" s="4" t="str">
        <f>IFERROR(__xludf.DUMMYFUNCTION("""COMPUTED_VALUE"""),"ЖК на Завойского 1")</f>
        <v>ЖК на Завойского 1</v>
      </c>
      <c r="I325" s="4"/>
      <c r="J325" s="4"/>
      <c r="K325" s="4"/>
      <c r="L325" s="4"/>
      <c r="M325" s="4"/>
      <c r="N325" s="4"/>
      <c r="O325" s="4"/>
      <c r="P325" s="4"/>
      <c r="Q325" s="4"/>
      <c r="R325" s="4"/>
      <c r="S325" s="4"/>
      <c r="T325" s="4"/>
      <c r="U325" s="4"/>
      <c r="V325" s="4"/>
      <c r="W325" s="4"/>
      <c r="X325" s="4"/>
      <c r="Y325" s="4"/>
      <c r="Z325" s="4"/>
    </row>
    <row r="326">
      <c r="A326" s="13"/>
      <c r="B326" s="161"/>
      <c r="C326" s="13"/>
      <c r="D326" s="4"/>
      <c r="E326" s="4"/>
      <c r="F326" s="4" t="str">
        <f>IFERROR(__xludf.DUMMYFUNCTION("""COMPUTED_VALUE"""),"Республика Татарстан")</f>
        <v>Республика Татарстан</v>
      </c>
      <c r="G326" s="4" t="str">
        <f>IFERROR(__xludf.DUMMYFUNCTION("""COMPUTED_VALUE"""),"Казань")</f>
        <v>Казань</v>
      </c>
      <c r="H326" s="4" t="str">
        <f>IFERROR(__xludf.DUMMYFUNCTION("""COMPUTED_VALUE"""),"ЖК на Завойского 2")</f>
        <v>ЖК на Завойского 2</v>
      </c>
      <c r="I326" s="4"/>
      <c r="J326" s="4"/>
      <c r="K326" s="4"/>
      <c r="L326" s="4"/>
      <c r="M326" s="4"/>
      <c r="N326" s="4"/>
      <c r="O326" s="4"/>
      <c r="P326" s="4"/>
      <c r="Q326" s="4"/>
      <c r="R326" s="4"/>
      <c r="S326" s="4"/>
      <c r="T326" s="4"/>
      <c r="U326" s="4"/>
      <c r="V326" s="4"/>
      <c r="W326" s="4"/>
      <c r="X326" s="4"/>
      <c r="Y326" s="4"/>
      <c r="Z326" s="4"/>
    </row>
    <row r="327">
      <c r="A327" s="13"/>
      <c r="B327" s="161"/>
      <c r="C327" s="13"/>
      <c r="D327" s="4"/>
      <c r="E327" s="4"/>
      <c r="F327" s="4" t="str">
        <f>IFERROR(__xludf.DUMMYFUNCTION("""COMPUTED_VALUE"""),"Республика Татарстан")</f>
        <v>Республика Татарстан</v>
      </c>
      <c r="G327" s="4" t="str">
        <f>IFERROR(__xludf.DUMMYFUNCTION("""COMPUTED_VALUE"""),"Казань")</f>
        <v>Казань</v>
      </c>
      <c r="H327" s="4" t="str">
        <f>IFERROR(__xludf.DUMMYFUNCTION("""COMPUTED_VALUE"""),"ЖК на Завойского 3")</f>
        <v>ЖК на Завойского 3</v>
      </c>
      <c r="I327" s="4"/>
      <c r="J327" s="4"/>
      <c r="K327" s="4"/>
      <c r="L327" s="4"/>
      <c r="M327" s="4"/>
      <c r="N327" s="4"/>
      <c r="O327" s="4"/>
      <c r="P327" s="4"/>
      <c r="Q327" s="4"/>
      <c r="R327" s="4"/>
      <c r="S327" s="4"/>
      <c r="T327" s="4"/>
      <c r="U327" s="4"/>
      <c r="V327" s="4"/>
      <c r="W327" s="4"/>
      <c r="X327" s="4"/>
      <c r="Y327" s="4"/>
      <c r="Z327" s="4"/>
    </row>
    <row r="328">
      <c r="A328" s="13"/>
      <c r="B328" s="161"/>
      <c r="C328" s="13"/>
      <c r="D328" s="4"/>
      <c r="E328" s="4"/>
      <c r="F328" s="4" t="str">
        <f>IFERROR(__xludf.DUMMYFUNCTION("""COMPUTED_VALUE"""),"Республика Татарстан")</f>
        <v>Республика Татарстан</v>
      </c>
      <c r="G328" s="4" t="str">
        <f>IFERROR(__xludf.DUMMYFUNCTION("""COMPUTED_VALUE"""),"Казань")</f>
        <v>Казань</v>
      </c>
      <c r="H328" s="4" t="str">
        <f>IFERROR(__xludf.DUMMYFUNCTION("""COMPUTED_VALUE"""),"ЖК на Минской")</f>
        <v>ЖК на Минской</v>
      </c>
      <c r="I328" s="4"/>
      <c r="J328" s="4"/>
      <c r="K328" s="4"/>
      <c r="L328" s="4"/>
      <c r="M328" s="4"/>
      <c r="N328" s="4"/>
      <c r="O328" s="4"/>
      <c r="P328" s="4"/>
      <c r="Q328" s="4"/>
      <c r="R328" s="4"/>
      <c r="S328" s="4"/>
      <c r="T328" s="4"/>
      <c r="U328" s="4"/>
      <c r="V328" s="4"/>
      <c r="W328" s="4"/>
      <c r="X328" s="4"/>
      <c r="Y328" s="4"/>
      <c r="Z328" s="4"/>
    </row>
    <row r="329">
      <c r="A329" s="13"/>
      <c r="B329" s="161"/>
      <c r="C329" s="13"/>
      <c r="D329" s="4"/>
      <c r="E329" s="4"/>
      <c r="F329" s="4" t="str">
        <f>IFERROR(__xludf.DUMMYFUNCTION("""COMPUTED_VALUE"""),"Республика Татарстан")</f>
        <v>Республика Татарстан</v>
      </c>
      <c r="G329" s="4" t="str">
        <f>IFERROR(__xludf.DUMMYFUNCTION("""COMPUTED_VALUE"""),"Казань")</f>
        <v>Казань</v>
      </c>
      <c r="H329" s="4" t="str">
        <f>IFERROR(__xludf.DUMMYFUNCTION("""COMPUTED_VALUE"""),"ЖК на Минской 10")</f>
        <v>ЖК на Минской 10</v>
      </c>
      <c r="I329" s="4"/>
      <c r="J329" s="4"/>
      <c r="K329" s="4"/>
      <c r="L329" s="4"/>
      <c r="M329" s="4"/>
      <c r="N329" s="4"/>
      <c r="O329" s="4"/>
      <c r="P329" s="4"/>
      <c r="Q329" s="4"/>
      <c r="R329" s="4"/>
      <c r="S329" s="4"/>
      <c r="T329" s="4"/>
      <c r="U329" s="4"/>
      <c r="V329" s="4"/>
      <c r="W329" s="4"/>
      <c r="X329" s="4"/>
      <c r="Y329" s="4"/>
      <c r="Z329" s="4"/>
    </row>
    <row r="330">
      <c r="A330" s="13"/>
      <c r="B330" s="161"/>
      <c r="C330" s="13"/>
      <c r="D330" s="4"/>
      <c r="E330" s="4"/>
      <c r="F330" s="4" t="str">
        <f>IFERROR(__xludf.DUMMYFUNCTION("""COMPUTED_VALUE"""),"Республика Татарстан")</f>
        <v>Республика Татарстан</v>
      </c>
      <c r="G330" s="4" t="str">
        <f>IFERROR(__xludf.DUMMYFUNCTION("""COMPUTED_VALUE"""),"Казань")</f>
        <v>Казань</v>
      </c>
      <c r="H330" s="4" t="str">
        <f>IFERROR(__xludf.DUMMYFUNCTION("""COMPUTED_VALUE"""),"ЖК на Минской 12")</f>
        <v>ЖК на Минской 12</v>
      </c>
      <c r="I330" s="4"/>
      <c r="J330" s="4"/>
      <c r="K330" s="4"/>
      <c r="L330" s="4"/>
      <c r="M330" s="4"/>
      <c r="N330" s="4"/>
      <c r="O330" s="4"/>
      <c r="P330" s="4"/>
      <c r="Q330" s="4"/>
      <c r="R330" s="4"/>
      <c r="S330" s="4"/>
      <c r="T330" s="4"/>
      <c r="U330" s="4"/>
      <c r="V330" s="4"/>
      <c r="W330" s="4"/>
      <c r="X330" s="4"/>
      <c r="Y330" s="4"/>
      <c r="Z330" s="4"/>
    </row>
    <row r="331">
      <c r="A331" s="13"/>
      <c r="B331" s="161"/>
      <c r="C331" s="13"/>
      <c r="D331" s="4"/>
      <c r="E331" s="4"/>
      <c r="F331" s="4" t="str">
        <f>IFERROR(__xludf.DUMMYFUNCTION("""COMPUTED_VALUE"""),"Республика Татарстан")</f>
        <v>Республика Татарстан</v>
      </c>
      <c r="G331" s="4" t="str">
        <f>IFERROR(__xludf.DUMMYFUNCTION("""COMPUTED_VALUE"""),"Казань")</f>
        <v>Казань</v>
      </c>
      <c r="H331" s="4" t="str">
        <f>IFERROR(__xludf.DUMMYFUNCTION("""COMPUTED_VALUE"""),"ЖК на Минской 2")</f>
        <v>ЖК на Минской 2</v>
      </c>
      <c r="I331" s="4"/>
      <c r="J331" s="4"/>
      <c r="K331" s="4"/>
      <c r="L331" s="4"/>
      <c r="M331" s="4"/>
      <c r="N331" s="4"/>
      <c r="O331" s="4"/>
      <c r="P331" s="4"/>
      <c r="Q331" s="4"/>
      <c r="R331" s="4"/>
      <c r="S331" s="4"/>
      <c r="T331" s="4"/>
      <c r="U331" s="4"/>
      <c r="V331" s="4"/>
      <c r="W331" s="4"/>
      <c r="X331" s="4"/>
      <c r="Y331" s="4"/>
      <c r="Z331" s="4"/>
    </row>
    <row r="332">
      <c r="A332" s="13"/>
      <c r="B332" s="161"/>
      <c r="C332" s="13"/>
      <c r="D332" s="4"/>
      <c r="E332" s="4"/>
      <c r="F332" s="4" t="str">
        <f>IFERROR(__xludf.DUMMYFUNCTION("""COMPUTED_VALUE"""),"Республика Татарстан")</f>
        <v>Республика Татарстан</v>
      </c>
      <c r="G332" s="4" t="str">
        <f>IFERROR(__xludf.DUMMYFUNCTION("""COMPUTED_VALUE"""),"Казань")</f>
        <v>Казань</v>
      </c>
      <c r="H332" s="4" t="str">
        <f>IFERROR(__xludf.DUMMYFUNCTION("""COMPUTED_VALUE"""),"ЖК на Новоселья 1")</f>
        <v>ЖК на Новоселья 1</v>
      </c>
      <c r="I332" s="4"/>
      <c r="J332" s="4"/>
      <c r="K332" s="4"/>
      <c r="L332" s="4"/>
      <c r="M332" s="4"/>
      <c r="N332" s="4"/>
      <c r="O332" s="4"/>
      <c r="P332" s="4"/>
      <c r="Q332" s="4"/>
      <c r="R332" s="4"/>
      <c r="S332" s="4"/>
      <c r="T332" s="4"/>
      <c r="U332" s="4"/>
      <c r="V332" s="4"/>
      <c r="W332" s="4"/>
      <c r="X332" s="4"/>
      <c r="Y332" s="4"/>
      <c r="Z332" s="4"/>
    </row>
    <row r="333">
      <c r="A333" s="13"/>
      <c r="B333" s="161"/>
      <c r="C333" s="13"/>
      <c r="D333" s="4"/>
      <c r="E333" s="4"/>
      <c r="F333" s="4" t="str">
        <f>IFERROR(__xludf.DUMMYFUNCTION("""COMPUTED_VALUE"""),"Республика Татарстан")</f>
        <v>Республика Татарстан</v>
      </c>
      <c r="G333" s="4" t="str">
        <f>IFERROR(__xludf.DUMMYFUNCTION("""COMPUTED_VALUE"""),"Казань")</f>
        <v>Казань</v>
      </c>
      <c r="H333" s="4" t="str">
        <f>IFERROR(__xludf.DUMMYFUNCTION("""COMPUTED_VALUE"""),"ЖК на Новоселья 2")</f>
        <v>ЖК на Новоселья 2</v>
      </c>
      <c r="I333" s="4"/>
      <c r="J333" s="4"/>
      <c r="K333" s="4"/>
      <c r="L333" s="4"/>
      <c r="M333" s="4"/>
      <c r="N333" s="4"/>
      <c r="O333" s="4"/>
      <c r="P333" s="4"/>
      <c r="Q333" s="4"/>
      <c r="R333" s="4"/>
      <c r="S333" s="4"/>
      <c r="T333" s="4"/>
      <c r="U333" s="4"/>
      <c r="V333" s="4"/>
      <c r="W333" s="4"/>
      <c r="X333" s="4"/>
      <c r="Y333" s="4"/>
      <c r="Z333" s="4"/>
    </row>
    <row r="334">
      <c r="A334" s="13"/>
      <c r="B334" s="161"/>
      <c r="C334" s="13"/>
      <c r="D334" s="4"/>
      <c r="E334" s="4"/>
      <c r="F334" s="4" t="str">
        <f>IFERROR(__xludf.DUMMYFUNCTION("""COMPUTED_VALUE"""),"Республика Татарстан")</f>
        <v>Республика Татарстан</v>
      </c>
      <c r="G334" s="4" t="str">
        <f>IFERROR(__xludf.DUMMYFUNCTION("""COMPUTED_VALUE"""),"Казань")</f>
        <v>Казань</v>
      </c>
      <c r="H334" s="4" t="str">
        <f>IFERROR(__xludf.DUMMYFUNCTION("""COMPUTED_VALUE"""),"ЖК на Ноксинском спуске")</f>
        <v>ЖК на Ноксинском спуске</v>
      </c>
      <c r="I334" s="4"/>
      <c r="J334" s="4"/>
      <c r="K334" s="4"/>
      <c r="L334" s="4"/>
      <c r="M334" s="4"/>
      <c r="N334" s="4"/>
      <c r="O334" s="4"/>
      <c r="P334" s="4"/>
      <c r="Q334" s="4"/>
      <c r="R334" s="4"/>
      <c r="S334" s="4"/>
      <c r="T334" s="4"/>
      <c r="U334" s="4"/>
      <c r="V334" s="4"/>
      <c r="W334" s="4"/>
      <c r="X334" s="4"/>
      <c r="Y334" s="4"/>
      <c r="Z334" s="4"/>
    </row>
    <row r="335">
      <c r="A335" s="13"/>
      <c r="B335" s="161"/>
      <c r="C335" s="13"/>
      <c r="D335" s="4"/>
      <c r="E335" s="4"/>
      <c r="F335" s="4" t="str">
        <f>IFERROR(__xludf.DUMMYFUNCTION("""COMPUTED_VALUE"""),"Республика Татарстан")</f>
        <v>Республика Татарстан</v>
      </c>
      <c r="G335" s="4" t="str">
        <f>IFERROR(__xludf.DUMMYFUNCTION("""COMPUTED_VALUE"""),"Казань")</f>
        <v>Казань</v>
      </c>
      <c r="H335" s="4" t="str">
        <f>IFERROR(__xludf.DUMMYFUNCTION("""COMPUTED_VALUE"""),"ЖК на Ноксинском спуске 2")</f>
        <v>ЖК на Ноксинском спуске 2</v>
      </c>
      <c r="I335" s="4"/>
      <c r="J335" s="4"/>
      <c r="K335" s="4"/>
      <c r="L335" s="4"/>
      <c r="M335" s="4"/>
      <c r="N335" s="4"/>
      <c r="O335" s="4"/>
      <c r="P335" s="4"/>
      <c r="Q335" s="4"/>
      <c r="R335" s="4"/>
      <c r="S335" s="4"/>
      <c r="T335" s="4"/>
      <c r="U335" s="4"/>
      <c r="V335" s="4"/>
      <c r="W335" s="4"/>
      <c r="X335" s="4"/>
      <c r="Y335" s="4"/>
      <c r="Z335" s="4"/>
    </row>
    <row r="336">
      <c r="A336" s="13"/>
      <c r="B336" s="161"/>
      <c r="C336" s="13"/>
      <c r="D336" s="4"/>
      <c r="E336" s="4"/>
      <c r="F336" s="4" t="str">
        <f>IFERROR(__xludf.DUMMYFUNCTION("""COMPUTED_VALUE"""),"Республика Татарстан")</f>
        <v>Республика Татарстан</v>
      </c>
      <c r="G336" s="4" t="str">
        <f>IFERROR(__xludf.DUMMYFUNCTION("""COMPUTED_VALUE"""),"Казань")</f>
        <v>Казань</v>
      </c>
      <c r="H336" s="4" t="str">
        <f>IFERROR(__xludf.DUMMYFUNCTION("""COMPUTED_VALUE"""),"ЖК на Ноксинском спуске 20")</f>
        <v>ЖК на Ноксинском спуске 20</v>
      </c>
      <c r="I336" s="4"/>
      <c r="J336" s="4"/>
      <c r="K336" s="4"/>
      <c r="L336" s="4"/>
      <c r="M336" s="4"/>
      <c r="N336" s="4"/>
      <c r="O336" s="4"/>
      <c r="P336" s="4"/>
      <c r="Q336" s="4"/>
      <c r="R336" s="4"/>
      <c r="S336" s="4"/>
      <c r="T336" s="4"/>
      <c r="U336" s="4"/>
      <c r="V336" s="4"/>
      <c r="W336" s="4"/>
      <c r="X336" s="4"/>
      <c r="Y336" s="4"/>
      <c r="Z336" s="4"/>
    </row>
    <row r="337">
      <c r="A337" s="13"/>
      <c r="B337" s="161"/>
      <c r="C337" s="13"/>
      <c r="D337" s="4"/>
      <c r="E337" s="4"/>
      <c r="F337" s="4" t="str">
        <f>IFERROR(__xludf.DUMMYFUNCTION("""COMPUTED_VALUE"""),"Республика Татарстан")</f>
        <v>Республика Татарстан</v>
      </c>
      <c r="G337" s="4" t="str">
        <f>IFERROR(__xludf.DUMMYFUNCTION("""COMPUTED_VALUE"""),"Казань")</f>
        <v>Казань</v>
      </c>
      <c r="H337" s="4" t="str">
        <f>IFERROR(__xludf.DUMMYFUNCTION("""COMPUTED_VALUE"""),"ЖК на Ноксинском спуске 3")</f>
        <v>ЖК на Ноксинском спуске 3</v>
      </c>
      <c r="I337" s="4"/>
      <c r="J337" s="4"/>
      <c r="K337" s="4"/>
      <c r="L337" s="4"/>
      <c r="M337" s="4"/>
      <c r="N337" s="4"/>
      <c r="O337" s="4"/>
      <c r="P337" s="4"/>
      <c r="Q337" s="4"/>
      <c r="R337" s="4"/>
      <c r="S337" s="4"/>
      <c r="T337" s="4"/>
      <c r="U337" s="4"/>
      <c r="V337" s="4"/>
      <c r="W337" s="4"/>
      <c r="X337" s="4"/>
      <c r="Y337" s="4"/>
      <c r="Z337" s="4"/>
    </row>
    <row r="338">
      <c r="A338" s="13"/>
      <c r="B338" s="161"/>
      <c r="C338" s="13"/>
      <c r="D338" s="4"/>
      <c r="E338" s="4"/>
      <c r="F338" s="4" t="str">
        <f>IFERROR(__xludf.DUMMYFUNCTION("""COMPUTED_VALUE"""),"Республика Татарстан")</f>
        <v>Республика Татарстан</v>
      </c>
      <c r="G338" s="4" t="str">
        <f>IFERROR(__xludf.DUMMYFUNCTION("""COMPUTED_VALUE"""),"Казань")</f>
        <v>Казань</v>
      </c>
      <c r="H338" s="4" t="str">
        <f>IFERROR(__xludf.DUMMYFUNCTION("""COMPUTED_VALUE"""),"ЖК на Ноксинском спуске 37")</f>
        <v>ЖК на Ноксинском спуске 37</v>
      </c>
      <c r="I338" s="4"/>
      <c r="J338" s="4"/>
      <c r="K338" s="4"/>
      <c r="L338" s="4"/>
      <c r="M338" s="4"/>
      <c r="N338" s="4"/>
      <c r="O338" s="4"/>
      <c r="P338" s="4"/>
      <c r="Q338" s="4"/>
      <c r="R338" s="4"/>
      <c r="S338" s="4"/>
      <c r="T338" s="4"/>
      <c r="U338" s="4"/>
      <c r="V338" s="4"/>
      <c r="W338" s="4"/>
      <c r="X338" s="4"/>
      <c r="Y338" s="4"/>
      <c r="Z338" s="4"/>
    </row>
    <row r="339">
      <c r="A339" s="13"/>
      <c r="B339" s="161"/>
      <c r="C339" s="13"/>
      <c r="D339" s="4"/>
      <c r="E339" s="4"/>
      <c r="F339" s="4" t="str">
        <f>IFERROR(__xludf.DUMMYFUNCTION("""COMPUTED_VALUE"""),"Республика Татарстан")</f>
        <v>Республика Татарстан</v>
      </c>
      <c r="G339" s="4" t="str">
        <f>IFERROR(__xludf.DUMMYFUNCTION("""COMPUTED_VALUE"""),"Казань")</f>
        <v>Казань</v>
      </c>
      <c r="H339" s="4" t="str">
        <f>IFERROR(__xludf.DUMMYFUNCTION("""COMPUTED_VALUE"""),"ЖК на Ноксинском спуске 4")</f>
        <v>ЖК на Ноксинском спуске 4</v>
      </c>
      <c r="I339" s="4"/>
      <c r="J339" s="4"/>
      <c r="K339" s="4"/>
      <c r="L339" s="4"/>
      <c r="M339" s="4"/>
      <c r="N339" s="4"/>
      <c r="O339" s="4"/>
      <c r="P339" s="4"/>
      <c r="Q339" s="4"/>
      <c r="R339" s="4"/>
      <c r="S339" s="4"/>
      <c r="T339" s="4"/>
      <c r="U339" s="4"/>
      <c r="V339" s="4"/>
      <c r="W339" s="4"/>
      <c r="X339" s="4"/>
      <c r="Y339" s="4"/>
      <c r="Z339" s="4"/>
    </row>
    <row r="340">
      <c r="A340" s="13"/>
      <c r="B340" s="161"/>
      <c r="C340" s="13"/>
      <c r="D340" s="4"/>
      <c r="E340" s="4"/>
      <c r="F340" s="4" t="str">
        <f>IFERROR(__xludf.DUMMYFUNCTION("""COMPUTED_VALUE"""),"Республика Татарстан")</f>
        <v>Республика Татарстан</v>
      </c>
      <c r="G340" s="4" t="str">
        <f>IFERROR(__xludf.DUMMYFUNCTION("""COMPUTED_VALUE"""),"Казань")</f>
        <v>Казань</v>
      </c>
      <c r="H340" s="4" t="str">
        <f>IFERROR(__xludf.DUMMYFUNCTION("""COMPUTED_VALUE"""),"ЖК на Пилотской 39")</f>
        <v>ЖК на Пилотской 39</v>
      </c>
      <c r="I340" s="4"/>
      <c r="J340" s="4"/>
      <c r="K340" s="4"/>
      <c r="L340" s="4"/>
      <c r="M340" s="4"/>
      <c r="N340" s="4"/>
      <c r="O340" s="4"/>
      <c r="P340" s="4"/>
      <c r="Q340" s="4"/>
      <c r="R340" s="4"/>
      <c r="S340" s="4"/>
      <c r="T340" s="4"/>
      <c r="U340" s="4"/>
      <c r="V340" s="4"/>
      <c r="W340" s="4"/>
      <c r="X340" s="4"/>
      <c r="Y340" s="4"/>
      <c r="Z340" s="4"/>
    </row>
    <row r="341">
      <c r="A341" s="13"/>
      <c r="B341" s="161"/>
      <c r="C341" s="13"/>
      <c r="D341" s="4"/>
      <c r="E341" s="4"/>
      <c r="F341" s="4" t="str">
        <f>IFERROR(__xludf.DUMMYFUNCTION("""COMPUTED_VALUE"""),"Республика Татарстан")</f>
        <v>Республика Татарстан</v>
      </c>
      <c r="G341" s="4" t="str">
        <f>IFERROR(__xludf.DUMMYFUNCTION("""COMPUTED_VALUE"""),"Казань")</f>
        <v>Казань</v>
      </c>
      <c r="H341" s="4" t="str">
        <f>IFERROR(__xludf.DUMMYFUNCTION("""COMPUTED_VALUE"""),"ЖК На проспекте Победы")</f>
        <v>ЖК На проспекте Победы</v>
      </c>
      <c r="I341" s="4"/>
      <c r="J341" s="4"/>
      <c r="K341" s="4"/>
      <c r="L341" s="4"/>
      <c r="M341" s="4"/>
      <c r="N341" s="4"/>
      <c r="O341" s="4"/>
      <c r="P341" s="4"/>
      <c r="Q341" s="4"/>
      <c r="R341" s="4"/>
      <c r="S341" s="4"/>
      <c r="T341" s="4"/>
      <c r="U341" s="4"/>
      <c r="V341" s="4"/>
      <c r="W341" s="4"/>
      <c r="X341" s="4"/>
      <c r="Y341" s="4"/>
      <c r="Z341" s="4"/>
    </row>
    <row r="342">
      <c r="A342" s="13"/>
      <c r="B342" s="161"/>
      <c r="C342" s="13"/>
      <c r="D342" s="4"/>
      <c r="E342" s="4"/>
      <c r="F342" s="4" t="str">
        <f>IFERROR(__xludf.DUMMYFUNCTION("""COMPUTED_VALUE"""),"Республика Татарстан")</f>
        <v>Республика Татарстан</v>
      </c>
      <c r="G342" s="4" t="str">
        <f>IFERROR(__xludf.DUMMYFUNCTION("""COMPUTED_VALUE"""),"Казань")</f>
        <v>Казань</v>
      </c>
      <c r="H342" s="4" t="str">
        <f>IFERROR(__xludf.DUMMYFUNCTION("""COMPUTED_VALUE"""),"ЖК на Проспекте Победы - 2")</f>
        <v>ЖК на Проспекте Победы - 2</v>
      </c>
      <c r="I342" s="4"/>
      <c r="J342" s="4"/>
      <c r="K342" s="4"/>
      <c r="L342" s="4"/>
      <c r="M342" s="4"/>
      <c r="N342" s="4"/>
      <c r="O342" s="4"/>
      <c r="P342" s="4"/>
      <c r="Q342" s="4"/>
      <c r="R342" s="4"/>
      <c r="S342" s="4"/>
      <c r="T342" s="4"/>
      <c r="U342" s="4"/>
      <c r="V342" s="4"/>
      <c r="W342" s="4"/>
      <c r="X342" s="4"/>
      <c r="Y342" s="4"/>
      <c r="Z342" s="4"/>
    </row>
    <row r="343">
      <c r="A343" s="13"/>
      <c r="B343" s="161"/>
      <c r="C343" s="13"/>
      <c r="D343" s="4"/>
      <c r="E343" s="4"/>
      <c r="F343" s="4" t="str">
        <f>IFERROR(__xludf.DUMMYFUNCTION("""COMPUTED_VALUE"""),"Республика Татарстан")</f>
        <v>Республика Татарстан</v>
      </c>
      <c r="G343" s="4" t="str">
        <f>IFERROR(__xludf.DUMMYFUNCTION("""COMPUTED_VALUE"""),"Казань")</f>
        <v>Казань</v>
      </c>
      <c r="H343" s="4" t="str">
        <f>IFERROR(__xludf.DUMMYFUNCTION("""COMPUTED_VALUE"""),"ЖК на Проспекте Победы 152/33")</f>
        <v>ЖК на Проспекте Победы 152/33</v>
      </c>
      <c r="I343" s="4"/>
      <c r="J343" s="4"/>
      <c r="K343" s="4"/>
      <c r="L343" s="4"/>
      <c r="M343" s="4"/>
      <c r="N343" s="4"/>
      <c r="O343" s="4"/>
      <c r="P343" s="4"/>
      <c r="Q343" s="4"/>
      <c r="R343" s="4"/>
      <c r="S343" s="4"/>
      <c r="T343" s="4"/>
      <c r="U343" s="4"/>
      <c r="V343" s="4"/>
      <c r="W343" s="4"/>
      <c r="X343" s="4"/>
      <c r="Y343" s="4"/>
      <c r="Z343" s="4"/>
    </row>
    <row r="344">
      <c r="A344" s="13"/>
      <c r="B344" s="161"/>
      <c r="C344" s="13"/>
      <c r="D344" s="4"/>
      <c r="E344" s="4"/>
      <c r="F344" s="4" t="str">
        <f>IFERROR(__xludf.DUMMYFUNCTION("""COMPUTED_VALUE"""),"Республика Татарстан")</f>
        <v>Республика Татарстан</v>
      </c>
      <c r="G344" s="4" t="str">
        <f>IFERROR(__xludf.DUMMYFUNCTION("""COMPUTED_VALUE"""),"Казань")</f>
        <v>Казань</v>
      </c>
      <c r="H344" s="4" t="str">
        <f>IFERROR(__xludf.DUMMYFUNCTION("""COMPUTED_VALUE"""),"ЖК на Проспекте Победы 156")</f>
        <v>ЖК на Проспекте Победы 156</v>
      </c>
      <c r="I344" s="4"/>
      <c r="J344" s="4"/>
      <c r="K344" s="4"/>
      <c r="L344" s="4"/>
      <c r="M344" s="4"/>
      <c r="N344" s="4"/>
      <c r="O344" s="4"/>
      <c r="P344" s="4"/>
      <c r="Q344" s="4"/>
      <c r="R344" s="4"/>
      <c r="S344" s="4"/>
      <c r="T344" s="4"/>
      <c r="U344" s="4"/>
      <c r="V344" s="4"/>
      <c r="W344" s="4"/>
      <c r="X344" s="4"/>
      <c r="Y344" s="4"/>
      <c r="Z344" s="4"/>
    </row>
    <row r="345">
      <c r="A345" s="13"/>
      <c r="B345" s="161"/>
      <c r="C345" s="13"/>
      <c r="D345" s="4"/>
      <c r="E345" s="4"/>
      <c r="F345" s="4" t="str">
        <f>IFERROR(__xludf.DUMMYFUNCTION("""COMPUTED_VALUE"""),"Республика Татарстан")</f>
        <v>Республика Татарстан</v>
      </c>
      <c r="G345" s="4" t="str">
        <f>IFERROR(__xludf.DUMMYFUNCTION("""COMPUTED_VALUE"""),"Казань")</f>
        <v>Казань</v>
      </c>
      <c r="H345" s="4" t="str">
        <f>IFERROR(__xludf.DUMMYFUNCTION("""COMPUTED_VALUE"""),"ЖК на Проспекте Победы 168")</f>
        <v>ЖК на Проспекте Победы 168</v>
      </c>
      <c r="I345" s="4"/>
      <c r="J345" s="4"/>
      <c r="K345" s="4"/>
      <c r="L345" s="4"/>
      <c r="M345" s="4"/>
      <c r="N345" s="4"/>
      <c r="O345" s="4"/>
      <c r="P345" s="4"/>
      <c r="Q345" s="4"/>
      <c r="R345" s="4"/>
      <c r="S345" s="4"/>
      <c r="T345" s="4"/>
      <c r="U345" s="4"/>
      <c r="V345" s="4"/>
      <c r="W345" s="4"/>
      <c r="X345" s="4"/>
      <c r="Y345" s="4"/>
      <c r="Z345" s="4"/>
    </row>
    <row r="346">
      <c r="A346" s="13"/>
      <c r="B346" s="161"/>
      <c r="C346" s="13"/>
      <c r="D346" s="4"/>
      <c r="E346" s="4"/>
      <c r="F346" s="4" t="str">
        <f>IFERROR(__xludf.DUMMYFUNCTION("""COMPUTED_VALUE"""),"Республика Татарстан")</f>
        <v>Республика Татарстан</v>
      </c>
      <c r="G346" s="4" t="str">
        <f>IFERROR(__xludf.DUMMYFUNCTION("""COMPUTED_VALUE"""),"Казань")</f>
        <v>Казань</v>
      </c>
      <c r="H346" s="4" t="str">
        <f>IFERROR(__xludf.DUMMYFUNCTION("""COMPUTED_VALUE"""),"ЖК на Серова 48")</f>
        <v>ЖК на Серова 48</v>
      </c>
      <c r="I346" s="4"/>
      <c r="J346" s="4"/>
      <c r="K346" s="4"/>
      <c r="L346" s="4"/>
      <c r="M346" s="4"/>
      <c r="N346" s="4"/>
      <c r="O346" s="4"/>
      <c r="P346" s="4"/>
      <c r="Q346" s="4"/>
      <c r="R346" s="4"/>
      <c r="S346" s="4"/>
      <c r="T346" s="4"/>
      <c r="U346" s="4"/>
      <c r="V346" s="4"/>
      <c r="W346" s="4"/>
      <c r="X346" s="4"/>
      <c r="Y346" s="4"/>
      <c r="Z346" s="4"/>
    </row>
    <row r="347">
      <c r="A347" s="13"/>
      <c r="B347" s="161"/>
      <c r="C347" s="13"/>
      <c r="D347" s="4"/>
      <c r="E347" s="4"/>
      <c r="F347" s="4" t="str">
        <f>IFERROR(__xludf.DUMMYFUNCTION("""COMPUTED_VALUE"""),"Республика Татарстан")</f>
        <v>Республика Татарстан</v>
      </c>
      <c r="G347" s="4" t="str">
        <f>IFERROR(__xludf.DUMMYFUNCTION("""COMPUTED_VALUE"""),"Казань")</f>
        <v>Казань</v>
      </c>
      <c r="H347" s="4" t="str">
        <f>IFERROR(__xludf.DUMMYFUNCTION("""COMPUTED_VALUE"""),"ЖК на Фучика")</f>
        <v>ЖК на Фучика</v>
      </c>
      <c r="I347" s="4"/>
      <c r="J347" s="4"/>
      <c r="K347" s="4"/>
      <c r="L347" s="4"/>
      <c r="M347" s="4"/>
      <c r="N347" s="4"/>
      <c r="O347" s="4"/>
      <c r="P347" s="4"/>
      <c r="Q347" s="4"/>
      <c r="R347" s="4"/>
      <c r="S347" s="4"/>
      <c r="T347" s="4"/>
      <c r="U347" s="4"/>
      <c r="V347" s="4"/>
      <c r="W347" s="4"/>
      <c r="X347" s="4"/>
      <c r="Y347" s="4"/>
      <c r="Z347" s="4"/>
    </row>
    <row r="348">
      <c r="A348" s="13"/>
      <c r="B348" s="161"/>
      <c r="C348" s="13"/>
      <c r="D348" s="4"/>
      <c r="E348" s="4"/>
      <c r="F348" s="4" t="str">
        <f>IFERROR(__xludf.DUMMYFUNCTION("""COMPUTED_VALUE"""),"Республика Татарстан")</f>
        <v>Республика Татарстан</v>
      </c>
      <c r="G348" s="4" t="str">
        <f>IFERROR(__xludf.DUMMYFUNCTION("""COMPUTED_VALUE"""),"Казань")</f>
        <v>Казань</v>
      </c>
      <c r="H348" s="4" t="str">
        <f>IFERROR(__xludf.DUMMYFUNCTION("""COMPUTED_VALUE"""),"ЖК на Фучика 2")</f>
        <v>ЖК на Фучика 2</v>
      </c>
      <c r="I348" s="4"/>
      <c r="J348" s="4"/>
      <c r="K348" s="4"/>
      <c r="L348" s="4"/>
      <c r="M348" s="4"/>
      <c r="N348" s="4"/>
      <c r="O348" s="4"/>
      <c r="P348" s="4"/>
      <c r="Q348" s="4"/>
      <c r="R348" s="4"/>
      <c r="S348" s="4"/>
      <c r="T348" s="4"/>
      <c r="U348" s="4"/>
      <c r="V348" s="4"/>
      <c r="W348" s="4"/>
      <c r="X348" s="4"/>
      <c r="Y348" s="4"/>
      <c r="Z348" s="4"/>
    </row>
    <row r="349">
      <c r="A349" s="13"/>
      <c r="B349" s="161"/>
      <c r="C349" s="13"/>
      <c r="D349" s="4"/>
      <c r="E349" s="4"/>
      <c r="F349" s="4" t="str">
        <f>IFERROR(__xludf.DUMMYFUNCTION("""COMPUTED_VALUE"""),"Республика Татарстан")</f>
        <v>Республика Татарстан</v>
      </c>
      <c r="G349" s="4" t="str">
        <f>IFERROR(__xludf.DUMMYFUNCTION("""COMPUTED_VALUE"""),"Казань")</f>
        <v>Казань</v>
      </c>
      <c r="H349" s="4" t="str">
        <f>IFERROR(__xludf.DUMMYFUNCTION("""COMPUTED_VALUE"""),"ЖК на Фучика 94")</f>
        <v>ЖК на Фучика 94</v>
      </c>
      <c r="I349" s="4"/>
      <c r="J349" s="4"/>
      <c r="K349" s="4"/>
      <c r="L349" s="4"/>
      <c r="M349" s="4"/>
      <c r="N349" s="4"/>
      <c r="O349" s="4"/>
      <c r="P349" s="4"/>
      <c r="Q349" s="4"/>
      <c r="R349" s="4"/>
      <c r="S349" s="4"/>
      <c r="T349" s="4"/>
      <c r="U349" s="4"/>
      <c r="V349" s="4"/>
      <c r="W349" s="4"/>
      <c r="X349" s="4"/>
      <c r="Y349" s="4"/>
      <c r="Z349" s="4"/>
    </row>
    <row r="350">
      <c r="A350" s="13"/>
      <c r="B350" s="161"/>
      <c r="C350" s="13"/>
      <c r="D350" s="4"/>
      <c r="E350" s="4"/>
      <c r="F350" s="4" t="str">
        <f>IFERROR(__xludf.DUMMYFUNCTION("""COMPUTED_VALUE"""),"Республика Татарстан")</f>
        <v>Республика Татарстан</v>
      </c>
      <c r="G350" s="4" t="str">
        <f>IFERROR(__xludf.DUMMYFUNCTION("""COMPUTED_VALUE"""),"Казань")</f>
        <v>Казань</v>
      </c>
      <c r="H350" s="4" t="str">
        <f>IFERROR(__xludf.DUMMYFUNCTION("""COMPUTED_VALUE"""),"ЖК на Четаева 14/14а")</f>
        <v>ЖК на Четаева 14/14а</v>
      </c>
      <c r="I350" s="4"/>
      <c r="J350" s="4"/>
      <c r="K350" s="4"/>
      <c r="L350" s="4"/>
      <c r="M350" s="4"/>
      <c r="N350" s="4"/>
      <c r="O350" s="4"/>
      <c r="P350" s="4"/>
      <c r="Q350" s="4"/>
      <c r="R350" s="4"/>
      <c r="S350" s="4"/>
      <c r="T350" s="4"/>
      <c r="U350" s="4"/>
      <c r="V350" s="4"/>
      <c r="W350" s="4"/>
      <c r="X350" s="4"/>
      <c r="Y350" s="4"/>
      <c r="Z350" s="4"/>
    </row>
    <row r="351">
      <c r="A351" s="13"/>
      <c r="B351" s="161"/>
      <c r="C351" s="13"/>
      <c r="D351" s="4"/>
      <c r="E351" s="4"/>
      <c r="F351" s="4" t="str">
        <f>IFERROR(__xludf.DUMMYFUNCTION("""COMPUTED_VALUE"""),"Республика Татарстан")</f>
        <v>Республика Татарстан</v>
      </c>
      <c r="G351" s="4" t="str">
        <f>IFERROR(__xludf.DUMMYFUNCTION("""COMPUTED_VALUE"""),"Казань")</f>
        <v>Казань</v>
      </c>
      <c r="H351" s="4" t="str">
        <f>IFERROR(__xludf.DUMMYFUNCTION("""COMPUTED_VALUE"""),"ЖК на Ямашева 1")</f>
        <v>ЖК на Ямашева 1</v>
      </c>
      <c r="I351" s="4"/>
      <c r="J351" s="4"/>
      <c r="K351" s="4"/>
      <c r="L351" s="4"/>
      <c r="M351" s="4"/>
      <c r="N351" s="4"/>
      <c r="O351" s="4"/>
      <c r="P351" s="4"/>
      <c r="Q351" s="4"/>
      <c r="R351" s="4"/>
      <c r="S351" s="4"/>
      <c r="T351" s="4"/>
      <c r="U351" s="4"/>
      <c r="V351" s="4"/>
      <c r="W351" s="4"/>
      <c r="X351" s="4"/>
      <c r="Y351" s="4"/>
      <c r="Z351" s="4"/>
    </row>
    <row r="352">
      <c r="A352" s="13"/>
      <c r="B352" s="161"/>
      <c r="C352" s="13"/>
      <c r="D352" s="4"/>
      <c r="E352" s="4"/>
      <c r="F352" s="4" t="str">
        <f>IFERROR(__xludf.DUMMYFUNCTION("""COMPUTED_VALUE"""),"Республика Татарстан")</f>
        <v>Республика Татарстан</v>
      </c>
      <c r="G352" s="4" t="str">
        <f>IFERROR(__xludf.DUMMYFUNCTION("""COMPUTED_VALUE"""),"Казань")</f>
        <v>Казань</v>
      </c>
      <c r="H352" s="4" t="str">
        <f>IFERROR(__xludf.DUMMYFUNCTION("""COMPUTED_VALUE"""),"ЖК Огни Казани")</f>
        <v>ЖК Огни Казани</v>
      </c>
      <c r="I352" s="4"/>
      <c r="J352" s="4"/>
      <c r="K352" s="4"/>
      <c r="L352" s="4"/>
      <c r="M352" s="4"/>
      <c r="N352" s="4"/>
      <c r="O352" s="4"/>
      <c r="P352" s="4"/>
      <c r="Q352" s="4"/>
      <c r="R352" s="4"/>
      <c r="S352" s="4"/>
      <c r="T352" s="4"/>
      <c r="U352" s="4"/>
      <c r="V352" s="4"/>
      <c r="W352" s="4"/>
      <c r="X352" s="4"/>
      <c r="Y352" s="4"/>
      <c r="Z352" s="4"/>
    </row>
    <row r="353">
      <c r="A353" s="13"/>
      <c r="B353" s="161"/>
      <c r="C353" s="13"/>
      <c r="D353" s="4"/>
      <c r="E353" s="4"/>
      <c r="F353" s="4" t="str">
        <f>IFERROR(__xludf.DUMMYFUNCTION("""COMPUTED_VALUE"""),"Республика Татарстан")</f>
        <v>Республика Татарстан</v>
      </c>
      <c r="G353" s="4" t="str">
        <f>IFERROR(__xludf.DUMMYFUNCTION("""COMPUTED_VALUE"""),"Казань")</f>
        <v>Казань</v>
      </c>
      <c r="H353" s="4" t="str">
        <f>IFERROR(__xludf.DUMMYFUNCTION("""COMPUTED_VALUE"""),"ЖК Палитра ")</f>
        <v>ЖК Палитра </v>
      </c>
      <c r="I353" s="4"/>
      <c r="J353" s="4"/>
      <c r="K353" s="4"/>
      <c r="L353" s="4"/>
      <c r="M353" s="4"/>
      <c r="N353" s="4"/>
      <c r="O353" s="4"/>
      <c r="P353" s="4"/>
      <c r="Q353" s="4"/>
      <c r="R353" s="4"/>
      <c r="S353" s="4"/>
      <c r="T353" s="4"/>
      <c r="U353" s="4"/>
      <c r="V353" s="4"/>
      <c r="W353" s="4"/>
      <c r="X353" s="4"/>
      <c r="Y353" s="4"/>
      <c r="Z353" s="4"/>
    </row>
    <row r="354">
      <c r="A354" s="13"/>
      <c r="B354" s="161"/>
      <c r="C354" s="13"/>
      <c r="D354" s="4"/>
      <c r="E354" s="4"/>
      <c r="F354" s="4" t="str">
        <f>IFERROR(__xludf.DUMMYFUNCTION("""COMPUTED_VALUE"""),"Республика Татарстан")</f>
        <v>Республика Татарстан</v>
      </c>
      <c r="G354" s="4" t="str">
        <f>IFERROR(__xludf.DUMMYFUNCTION("""COMPUTED_VALUE"""),"Казань")</f>
        <v>Казань</v>
      </c>
      <c r="H354" s="4" t="str">
        <f>IFERROR(__xludf.DUMMYFUNCTION("""COMPUTED_VALUE"""),"ЖК Победы 78")</f>
        <v>ЖК Победы 78</v>
      </c>
      <c r="I354" s="4"/>
      <c r="J354" s="4"/>
      <c r="K354" s="4"/>
      <c r="L354" s="4"/>
      <c r="M354" s="4"/>
      <c r="N354" s="4"/>
      <c r="O354" s="4"/>
      <c r="P354" s="4"/>
      <c r="Q354" s="4"/>
      <c r="R354" s="4"/>
      <c r="S354" s="4"/>
      <c r="T354" s="4"/>
      <c r="U354" s="4"/>
      <c r="V354" s="4"/>
      <c r="W354" s="4"/>
      <c r="X354" s="4"/>
      <c r="Y354" s="4"/>
      <c r="Z354" s="4"/>
    </row>
    <row r="355">
      <c r="A355" s="13"/>
      <c r="B355" s="161"/>
      <c r="C355" s="13"/>
      <c r="D355" s="4"/>
      <c r="E355" s="4"/>
      <c r="F355" s="4" t="str">
        <f>IFERROR(__xludf.DUMMYFUNCTION("""COMPUTED_VALUE"""),"Республика Татарстан")</f>
        <v>Республика Татарстан</v>
      </c>
      <c r="G355" s="4" t="str">
        <f>IFERROR(__xludf.DUMMYFUNCTION("""COMPUTED_VALUE"""),"Казань")</f>
        <v>Казань</v>
      </c>
      <c r="H355" s="4" t="str">
        <f>IFERROR(__xludf.DUMMYFUNCTION("""COMPUTED_VALUE"""),"ЖК Победы-100")</f>
        <v>ЖК Победы-100</v>
      </c>
      <c r="I355" s="4"/>
      <c r="J355" s="4"/>
      <c r="K355" s="4"/>
      <c r="L355" s="4"/>
      <c r="M355" s="4"/>
      <c r="N355" s="4"/>
      <c r="O355" s="4"/>
      <c r="P355" s="4"/>
      <c r="Q355" s="4"/>
      <c r="R355" s="4"/>
      <c r="S355" s="4"/>
      <c r="T355" s="4"/>
      <c r="U355" s="4"/>
      <c r="V355" s="4"/>
      <c r="W355" s="4"/>
      <c r="X355" s="4"/>
      <c r="Y355" s="4"/>
      <c r="Z355" s="4"/>
    </row>
    <row r="356">
      <c r="A356" s="13"/>
      <c r="B356" s="161"/>
      <c r="C356" s="13"/>
      <c r="D356" s="4"/>
      <c r="E356" s="4"/>
      <c r="F356" s="4" t="str">
        <f>IFERROR(__xludf.DUMMYFUNCTION("""COMPUTED_VALUE"""),"Республика Татарстан")</f>
        <v>Республика Татарстан</v>
      </c>
      <c r="G356" s="4" t="str">
        <f>IFERROR(__xludf.DUMMYFUNCTION("""COMPUTED_VALUE"""),"Казань")</f>
        <v>Казань</v>
      </c>
      <c r="H356" s="4" t="str">
        <f>IFERROR(__xludf.DUMMYFUNCTION("""COMPUTED_VALUE"""),"ЖК Резиденция Мон")</f>
        <v>ЖК Резиденция Мон</v>
      </c>
      <c r="I356" s="4"/>
      <c r="J356" s="4"/>
      <c r="K356" s="4"/>
      <c r="L356" s="4"/>
      <c r="M356" s="4"/>
      <c r="N356" s="4"/>
      <c r="O356" s="4"/>
      <c r="P356" s="4"/>
      <c r="Q356" s="4"/>
      <c r="R356" s="4"/>
      <c r="S356" s="4"/>
      <c r="T356" s="4"/>
      <c r="U356" s="4"/>
      <c r="V356" s="4"/>
      <c r="W356" s="4"/>
      <c r="X356" s="4"/>
      <c r="Y356" s="4"/>
      <c r="Z356" s="4"/>
    </row>
    <row r="357">
      <c r="A357" s="13"/>
      <c r="B357" s="161"/>
      <c r="C357" s="13"/>
      <c r="D357" s="4"/>
      <c r="E357" s="4"/>
      <c r="F357" s="4" t="str">
        <f>IFERROR(__xludf.DUMMYFUNCTION("""COMPUTED_VALUE"""),"Республика Татарстан")</f>
        <v>Республика Татарстан</v>
      </c>
      <c r="G357" s="4" t="str">
        <f>IFERROR(__xludf.DUMMYFUNCTION("""COMPUTED_VALUE"""),"Казань")</f>
        <v>Казань</v>
      </c>
      <c r="H357" s="4" t="str">
        <f>IFERROR(__xludf.DUMMYFUNCTION("""COMPUTED_VALUE"""),"ЖК Ривьера 1")</f>
        <v>ЖК Ривьера 1</v>
      </c>
      <c r="I357" s="4"/>
      <c r="J357" s="4"/>
      <c r="K357" s="4"/>
      <c r="L357" s="4"/>
      <c r="M357" s="4"/>
      <c r="N357" s="4"/>
      <c r="O357" s="4"/>
      <c r="P357" s="4"/>
      <c r="Q357" s="4"/>
      <c r="R357" s="4"/>
      <c r="S357" s="4"/>
      <c r="T357" s="4"/>
      <c r="U357" s="4"/>
      <c r="V357" s="4"/>
      <c r="W357" s="4"/>
      <c r="X357" s="4"/>
      <c r="Y357" s="4"/>
      <c r="Z357" s="4"/>
    </row>
    <row r="358">
      <c r="A358" s="13"/>
      <c r="B358" s="161"/>
      <c r="C358" s="13"/>
      <c r="D358" s="4"/>
      <c r="E358" s="4"/>
      <c r="F358" s="4" t="str">
        <f>IFERROR(__xludf.DUMMYFUNCTION("""COMPUTED_VALUE"""),"Республика Татарстан")</f>
        <v>Республика Татарстан</v>
      </c>
      <c r="G358" s="4" t="str">
        <f>IFERROR(__xludf.DUMMYFUNCTION("""COMPUTED_VALUE"""),"Казань")</f>
        <v>Казань</v>
      </c>
      <c r="H358" s="4" t="str">
        <f>IFERROR(__xludf.DUMMYFUNCTION("""COMPUTED_VALUE"""),"ЖК Ривьера 2")</f>
        <v>ЖК Ривьера 2</v>
      </c>
      <c r="I358" s="4"/>
      <c r="J358" s="4"/>
      <c r="K358" s="4"/>
      <c r="L358" s="4"/>
      <c r="M358" s="4"/>
      <c r="N358" s="4"/>
      <c r="O358" s="4"/>
      <c r="P358" s="4"/>
      <c r="Q358" s="4"/>
      <c r="R358" s="4"/>
      <c r="S358" s="4"/>
      <c r="T358" s="4"/>
      <c r="U358" s="4"/>
      <c r="V358" s="4"/>
      <c r="W358" s="4"/>
      <c r="X358" s="4"/>
      <c r="Y358" s="4"/>
      <c r="Z358" s="4"/>
    </row>
    <row r="359">
      <c r="A359" s="13"/>
      <c r="B359" s="161"/>
      <c r="C359" s="13"/>
      <c r="D359" s="4"/>
      <c r="E359" s="4"/>
      <c r="F359" s="4" t="str">
        <f>IFERROR(__xludf.DUMMYFUNCTION("""COMPUTED_VALUE"""),"Республика Татарстан")</f>
        <v>Республика Татарстан</v>
      </c>
      <c r="G359" s="4" t="str">
        <f>IFERROR(__xludf.DUMMYFUNCTION("""COMPUTED_VALUE"""),"Казань")</f>
        <v>Казань</v>
      </c>
      <c r="H359" s="4" t="str">
        <f>IFERROR(__xludf.DUMMYFUNCTION("""COMPUTED_VALUE"""),"ЖК Ривьера 3")</f>
        <v>ЖК Ривьера 3</v>
      </c>
      <c r="I359" s="4"/>
      <c r="J359" s="4"/>
      <c r="K359" s="4"/>
      <c r="L359" s="4"/>
      <c r="M359" s="4"/>
      <c r="N359" s="4"/>
      <c r="O359" s="4"/>
      <c r="P359" s="4"/>
      <c r="Q359" s="4"/>
      <c r="R359" s="4"/>
      <c r="S359" s="4"/>
      <c r="T359" s="4"/>
      <c r="U359" s="4"/>
      <c r="V359" s="4"/>
      <c r="W359" s="4"/>
      <c r="X359" s="4"/>
      <c r="Y359" s="4"/>
      <c r="Z359" s="4"/>
    </row>
    <row r="360">
      <c r="A360" s="13"/>
      <c r="B360" s="161"/>
      <c r="C360" s="13"/>
      <c r="D360" s="4"/>
      <c r="E360" s="4"/>
      <c r="F360" s="4" t="str">
        <f>IFERROR(__xludf.DUMMYFUNCTION("""COMPUTED_VALUE"""),"Республика Татарстан")</f>
        <v>Республика Татарстан</v>
      </c>
      <c r="G360" s="4" t="str">
        <f>IFERROR(__xludf.DUMMYFUNCTION("""COMPUTED_VALUE"""),"Казань")</f>
        <v>Казань</v>
      </c>
      <c r="H360" s="4" t="str">
        <f>IFERROR(__xludf.DUMMYFUNCTION("""COMPUTED_VALUE"""),"ЖК Ривьера 4")</f>
        <v>ЖК Ривьера 4</v>
      </c>
      <c r="I360" s="4"/>
      <c r="J360" s="4"/>
      <c r="K360" s="4"/>
      <c r="L360" s="4"/>
      <c r="M360" s="4"/>
      <c r="N360" s="4"/>
      <c r="O360" s="4"/>
      <c r="P360" s="4"/>
      <c r="Q360" s="4"/>
      <c r="R360" s="4"/>
      <c r="S360" s="4"/>
      <c r="T360" s="4"/>
      <c r="U360" s="4"/>
      <c r="V360" s="4"/>
      <c r="W360" s="4"/>
      <c r="X360" s="4"/>
      <c r="Y360" s="4"/>
      <c r="Z360" s="4"/>
    </row>
    <row r="361">
      <c r="A361" s="13"/>
      <c r="B361" s="161"/>
      <c r="C361" s="13"/>
      <c r="D361" s="4"/>
      <c r="E361" s="4"/>
      <c r="F361" s="4" t="str">
        <f>IFERROR(__xludf.DUMMYFUNCTION("""COMPUTED_VALUE"""),"Республика Татарстан")</f>
        <v>Республика Татарстан</v>
      </c>
      <c r="G361" s="4" t="str">
        <f>IFERROR(__xludf.DUMMYFUNCTION("""COMPUTED_VALUE"""),"Казань")</f>
        <v>Казань</v>
      </c>
      <c r="H361" s="4" t="str">
        <f>IFERROR(__xludf.DUMMYFUNCTION("""COMPUTED_VALUE"""),"ЖК Ривьера 5")</f>
        <v>ЖК Ривьера 5</v>
      </c>
      <c r="I361" s="4"/>
      <c r="J361" s="4"/>
      <c r="K361" s="4"/>
      <c r="L361" s="4"/>
      <c r="M361" s="4"/>
      <c r="N361" s="4"/>
      <c r="O361" s="4"/>
      <c r="P361" s="4"/>
      <c r="Q361" s="4"/>
      <c r="R361" s="4"/>
      <c r="S361" s="4"/>
      <c r="T361" s="4"/>
      <c r="U361" s="4"/>
      <c r="V361" s="4"/>
      <c r="W361" s="4"/>
      <c r="X361" s="4"/>
      <c r="Y361" s="4"/>
      <c r="Z361" s="4"/>
    </row>
    <row r="362">
      <c r="A362" s="13"/>
      <c r="B362" s="161"/>
      <c r="C362" s="13"/>
      <c r="D362" s="4"/>
      <c r="E362" s="4"/>
      <c r="F362" s="4" t="str">
        <f>IFERROR(__xludf.DUMMYFUNCTION("""COMPUTED_VALUE"""),"Республика Татарстан")</f>
        <v>Республика Татарстан</v>
      </c>
      <c r="G362" s="4" t="str">
        <f>IFERROR(__xludf.DUMMYFUNCTION("""COMPUTED_VALUE"""),"Казань")</f>
        <v>Казань</v>
      </c>
      <c r="H362" s="4" t="str">
        <f>IFERROR(__xludf.DUMMYFUNCTION("""COMPUTED_VALUE"""),"ЖК Романтика")</f>
        <v>ЖК Романтика</v>
      </c>
      <c r="I362" s="4"/>
      <c r="J362" s="4"/>
      <c r="K362" s="4"/>
      <c r="L362" s="4"/>
      <c r="M362" s="4"/>
      <c r="N362" s="4"/>
      <c r="O362" s="4"/>
      <c r="P362" s="4"/>
      <c r="Q362" s="4"/>
      <c r="R362" s="4"/>
      <c r="S362" s="4"/>
      <c r="T362" s="4"/>
      <c r="U362" s="4"/>
      <c r="V362" s="4"/>
      <c r="W362" s="4"/>
      <c r="X362" s="4"/>
      <c r="Y362" s="4"/>
      <c r="Z362" s="4"/>
    </row>
    <row r="363">
      <c r="A363" s="13"/>
      <c r="B363" s="161"/>
      <c r="C363" s="13"/>
      <c r="D363" s="4"/>
      <c r="E363" s="4"/>
      <c r="F363" s="4" t="str">
        <f>IFERROR(__xludf.DUMMYFUNCTION("""COMPUTED_VALUE"""),"Республика Татарстан")</f>
        <v>Республика Татарстан</v>
      </c>
      <c r="G363" s="4" t="str">
        <f>IFERROR(__xludf.DUMMYFUNCTION("""COMPUTED_VALUE"""),"Казань")</f>
        <v>Казань</v>
      </c>
      <c r="H363" s="4" t="str">
        <f>IFERROR(__xludf.DUMMYFUNCTION("""COMPUTED_VALUE"""),"ЖК Синяя птица")</f>
        <v>ЖК Синяя птица</v>
      </c>
      <c r="I363" s="4"/>
      <c r="J363" s="4"/>
      <c r="K363" s="4"/>
      <c r="L363" s="4"/>
      <c r="M363" s="4"/>
      <c r="N363" s="4"/>
      <c r="O363" s="4"/>
      <c r="P363" s="4"/>
      <c r="Q363" s="4"/>
      <c r="R363" s="4"/>
      <c r="S363" s="4"/>
      <c r="T363" s="4"/>
      <c r="U363" s="4"/>
      <c r="V363" s="4"/>
      <c r="W363" s="4"/>
      <c r="X363" s="4"/>
      <c r="Y363" s="4"/>
      <c r="Z363" s="4"/>
    </row>
    <row r="364">
      <c r="A364" s="13"/>
      <c r="B364" s="161"/>
      <c r="C364" s="13"/>
      <c r="D364" s="4"/>
      <c r="E364" s="4"/>
      <c r="F364" s="4" t="str">
        <f>IFERROR(__xludf.DUMMYFUNCTION("""COMPUTED_VALUE"""),"Республика Татарстан")</f>
        <v>Республика Татарстан</v>
      </c>
      <c r="G364" s="4" t="str">
        <f>IFERROR(__xludf.DUMMYFUNCTION("""COMPUTED_VALUE"""),"Казань")</f>
        <v>Казань</v>
      </c>
      <c r="H364" s="4" t="str">
        <f>IFERROR(__xludf.DUMMYFUNCTION("""COMPUTED_VALUE"""),"ЖК Сказочный Лес ")</f>
        <v>ЖК Сказочный Лес </v>
      </c>
      <c r="I364" s="4"/>
      <c r="J364" s="4"/>
      <c r="K364" s="4"/>
      <c r="L364" s="4"/>
      <c r="M364" s="4"/>
      <c r="N364" s="4"/>
      <c r="O364" s="4"/>
      <c r="P364" s="4"/>
      <c r="Q364" s="4"/>
      <c r="R364" s="4"/>
      <c r="S364" s="4"/>
      <c r="T364" s="4"/>
      <c r="U364" s="4"/>
      <c r="V364" s="4"/>
      <c r="W364" s="4"/>
      <c r="X364" s="4"/>
      <c r="Y364" s="4"/>
      <c r="Z364" s="4"/>
    </row>
    <row r="365">
      <c r="A365" s="13"/>
      <c r="B365" s="161"/>
      <c r="C365" s="13"/>
      <c r="D365" s="4"/>
      <c r="E365" s="4"/>
      <c r="F365" s="4" t="str">
        <f>IFERROR(__xludf.DUMMYFUNCTION("""COMPUTED_VALUE"""),"Республика Татарстан")</f>
        <v>Республика Татарстан</v>
      </c>
      <c r="G365" s="4" t="str">
        <f>IFERROR(__xludf.DUMMYFUNCTION("""COMPUTED_VALUE"""),"Казань")</f>
        <v>Казань</v>
      </c>
      <c r="H365" s="4" t="str">
        <f>IFERROR(__xludf.DUMMYFUNCTION("""COMPUTED_VALUE"""),"ЖК Созвездие")</f>
        <v>ЖК Созвездие</v>
      </c>
      <c r="I365" s="4"/>
      <c r="J365" s="4"/>
      <c r="K365" s="4"/>
      <c r="L365" s="4"/>
      <c r="M365" s="4"/>
      <c r="N365" s="4"/>
      <c r="O365" s="4"/>
      <c r="P365" s="4"/>
      <c r="Q365" s="4"/>
      <c r="R365" s="4"/>
      <c r="S365" s="4"/>
      <c r="T365" s="4"/>
      <c r="U365" s="4"/>
      <c r="V365" s="4"/>
      <c r="W365" s="4"/>
      <c r="X365" s="4"/>
      <c r="Y365" s="4"/>
      <c r="Z365" s="4"/>
    </row>
    <row r="366">
      <c r="A366" s="13"/>
      <c r="B366" s="161"/>
      <c r="C366" s="13"/>
      <c r="D366" s="4"/>
      <c r="E366" s="4"/>
      <c r="F366" s="4" t="str">
        <f>IFERROR(__xludf.DUMMYFUNCTION("""COMPUTED_VALUE"""),"Республика Татарстан")</f>
        <v>Республика Татарстан</v>
      </c>
      <c r="G366" s="4" t="str">
        <f>IFERROR(__xludf.DUMMYFUNCTION("""COMPUTED_VALUE"""),"Казань")</f>
        <v>Казань</v>
      </c>
      <c r="H366" s="4" t="str">
        <f>IFERROR(__xludf.DUMMYFUNCTION("""COMPUTED_VALUE"""),"ЖК Станция Спортивная ")</f>
        <v>ЖК Станция Спортивная </v>
      </c>
      <c r="I366" s="4"/>
      <c r="J366" s="4"/>
      <c r="K366" s="4"/>
      <c r="L366" s="4"/>
      <c r="M366" s="4"/>
      <c r="N366" s="4"/>
      <c r="O366" s="4"/>
      <c r="P366" s="4"/>
      <c r="Q366" s="4"/>
      <c r="R366" s="4"/>
      <c r="S366" s="4"/>
      <c r="T366" s="4"/>
      <c r="U366" s="4"/>
      <c r="V366" s="4"/>
      <c r="W366" s="4"/>
      <c r="X366" s="4"/>
      <c r="Y366" s="4"/>
      <c r="Z366" s="4"/>
    </row>
    <row r="367">
      <c r="A367" s="13"/>
      <c r="B367" s="161"/>
      <c r="C367" s="13"/>
      <c r="D367" s="4"/>
      <c r="E367" s="4"/>
      <c r="F367" s="4" t="str">
        <f>IFERROR(__xludf.DUMMYFUNCTION("""COMPUTED_VALUE"""),"Республика Татарстан")</f>
        <v>Республика Татарстан</v>
      </c>
      <c r="G367" s="4" t="str">
        <f>IFERROR(__xludf.DUMMYFUNCTION("""COMPUTED_VALUE"""),"Казань")</f>
        <v>Казань</v>
      </c>
      <c r="H367" s="4" t="str">
        <f>IFERROR(__xludf.DUMMYFUNCTION("""COMPUTED_VALUE"""),"ЖК Ферма-2")</f>
        <v>ЖК Ферма-2</v>
      </c>
      <c r="I367" s="4"/>
      <c r="J367" s="4"/>
      <c r="K367" s="4"/>
      <c r="L367" s="4"/>
      <c r="M367" s="4"/>
      <c r="N367" s="4"/>
      <c r="O367" s="4"/>
      <c r="P367" s="4"/>
      <c r="Q367" s="4"/>
      <c r="R367" s="4"/>
      <c r="S367" s="4"/>
      <c r="T367" s="4"/>
      <c r="U367" s="4"/>
      <c r="V367" s="4"/>
      <c r="W367" s="4"/>
      <c r="X367" s="4"/>
      <c r="Y367" s="4"/>
      <c r="Z367" s="4"/>
    </row>
    <row r="368">
      <c r="A368" s="13"/>
      <c r="B368" s="161"/>
      <c r="C368" s="13"/>
      <c r="D368" s="4"/>
      <c r="E368" s="4"/>
      <c r="F368" s="4" t="str">
        <f>IFERROR(__xludf.DUMMYFUNCTION("""COMPUTED_VALUE"""),"Республика Татарстан")</f>
        <v>Республика Татарстан</v>
      </c>
      <c r="G368" s="4" t="str">
        <f>IFERROR(__xludf.DUMMYFUNCTION("""COMPUTED_VALUE"""),"Казань")</f>
        <v>Казань</v>
      </c>
      <c r="H368" s="4" t="str">
        <f>IFERROR(__xludf.DUMMYFUNCTION("""COMPUTED_VALUE"""),"ЖК Чистопольская 71а")</f>
        <v>ЖК Чистопольская 71а</v>
      </c>
      <c r="I368" s="4"/>
      <c r="J368" s="4"/>
      <c r="K368" s="4"/>
      <c r="L368" s="4"/>
      <c r="M368" s="4"/>
      <c r="N368" s="4"/>
      <c r="O368" s="4"/>
      <c r="P368" s="4"/>
      <c r="Q368" s="4"/>
      <c r="R368" s="4"/>
      <c r="S368" s="4"/>
      <c r="T368" s="4"/>
      <c r="U368" s="4"/>
      <c r="V368" s="4"/>
      <c r="W368" s="4"/>
      <c r="X368" s="4"/>
      <c r="Y368" s="4"/>
      <c r="Z368" s="4"/>
    </row>
    <row r="369">
      <c r="A369" s="13"/>
      <c r="B369" s="161"/>
      <c r="C369" s="13"/>
      <c r="D369" s="4"/>
      <c r="E369" s="4"/>
      <c r="F369" s="4" t="str">
        <f>IFERROR(__xludf.DUMMYFUNCTION("""COMPUTED_VALUE"""),"Республика Татарстан")</f>
        <v>Республика Татарстан</v>
      </c>
      <c r="G369" s="4" t="str">
        <f>IFERROR(__xludf.DUMMYFUNCTION("""COMPUTED_VALUE"""),"Казань")</f>
        <v>Казань</v>
      </c>
      <c r="H369" s="4" t="str">
        <f>IFERROR(__xludf.DUMMYFUNCTION("""COMPUTED_VALUE"""),"ЖК Энергия")</f>
        <v>ЖК Энергия</v>
      </c>
      <c r="I369" s="4"/>
      <c r="J369" s="4"/>
      <c r="K369" s="4"/>
      <c r="L369" s="4"/>
      <c r="M369" s="4"/>
      <c r="N369" s="4"/>
      <c r="O369" s="4"/>
      <c r="P369" s="4"/>
      <c r="Q369" s="4"/>
      <c r="R369" s="4"/>
      <c r="S369" s="4"/>
      <c r="T369" s="4"/>
      <c r="U369" s="4"/>
      <c r="V369" s="4"/>
      <c r="W369" s="4"/>
      <c r="X369" s="4"/>
      <c r="Y369" s="4"/>
      <c r="Z369" s="4"/>
    </row>
    <row r="370">
      <c r="A370" s="13"/>
      <c r="B370" s="161"/>
      <c r="C370" s="13"/>
      <c r="D370" s="4"/>
      <c r="E370" s="4"/>
      <c r="F370" s="4" t="str">
        <f>IFERROR(__xludf.DUMMYFUNCTION("""COMPUTED_VALUE"""),"Республика Татарстан")</f>
        <v>Республика Татарстан</v>
      </c>
      <c r="G370" s="4" t="str">
        <f>IFERROR(__xludf.DUMMYFUNCTION("""COMPUTED_VALUE"""),"Казань")</f>
        <v>Казань</v>
      </c>
      <c r="H370" s="4" t="str">
        <f>IFERROR(__xludf.DUMMYFUNCTION("""COMPUTED_VALUE"""),"ЖК Южный 1")</f>
        <v>ЖК Южный 1</v>
      </c>
      <c r="I370" s="4"/>
      <c r="J370" s="4"/>
      <c r="K370" s="4"/>
      <c r="L370" s="4"/>
      <c r="M370" s="4"/>
      <c r="N370" s="4"/>
      <c r="O370" s="4"/>
      <c r="P370" s="4"/>
      <c r="Q370" s="4"/>
      <c r="R370" s="4"/>
      <c r="S370" s="4"/>
      <c r="T370" s="4"/>
      <c r="U370" s="4"/>
      <c r="V370" s="4"/>
      <c r="W370" s="4"/>
      <c r="X370" s="4"/>
      <c r="Y370" s="4"/>
      <c r="Z370" s="4"/>
    </row>
    <row r="371">
      <c r="A371" s="13"/>
      <c r="B371" s="161"/>
      <c r="C371" s="13"/>
      <c r="D371" s="4"/>
      <c r="E371" s="4"/>
      <c r="F371" s="4" t="str">
        <f>IFERROR(__xludf.DUMMYFUNCTION("""COMPUTED_VALUE"""),"Республика Татарстан")</f>
        <v>Республика Татарстан</v>
      </c>
      <c r="G371" s="4" t="str">
        <f>IFERROR(__xludf.DUMMYFUNCTION("""COMPUTED_VALUE"""),"Казань")</f>
        <v>Казань</v>
      </c>
      <c r="H371" s="4" t="str">
        <f>IFERROR(__xludf.DUMMYFUNCTION("""COMPUTED_VALUE"""),"ЖК Южный 2")</f>
        <v>ЖК Южный 2</v>
      </c>
      <c r="I371" s="4"/>
      <c r="J371" s="4"/>
      <c r="K371" s="4"/>
      <c r="L371" s="4"/>
      <c r="M371" s="4"/>
      <c r="N371" s="4"/>
      <c r="O371" s="4"/>
      <c r="P371" s="4"/>
      <c r="Q371" s="4"/>
      <c r="R371" s="4"/>
      <c r="S371" s="4"/>
      <c r="T371" s="4"/>
      <c r="U371" s="4"/>
      <c r="V371" s="4"/>
      <c r="W371" s="4"/>
      <c r="X371" s="4"/>
      <c r="Y371" s="4"/>
      <c r="Z371" s="4"/>
    </row>
    <row r="372">
      <c r="A372" s="13"/>
      <c r="B372" s="161"/>
      <c r="C372" s="13"/>
      <c r="D372" s="4"/>
      <c r="E372" s="4"/>
      <c r="F372" s="4" t="str">
        <f>IFERROR(__xludf.DUMMYFUNCTION("""COMPUTED_VALUE"""),"Республика Татарстан")</f>
        <v>Республика Татарстан</v>
      </c>
      <c r="G372" s="4" t="str">
        <f>IFERROR(__xludf.DUMMYFUNCTION("""COMPUTED_VALUE"""),"Казань")</f>
        <v>Казань</v>
      </c>
      <c r="H372" s="4" t="str">
        <f>IFERROR(__xludf.DUMMYFUNCTION("""COMPUTED_VALUE"""),"ЖК Южный 3")</f>
        <v>ЖК Южный 3</v>
      </c>
      <c r="I372" s="4"/>
      <c r="J372" s="4"/>
      <c r="K372" s="4"/>
      <c r="L372" s="4"/>
      <c r="M372" s="4"/>
      <c r="N372" s="4"/>
      <c r="O372" s="4"/>
      <c r="P372" s="4"/>
      <c r="Q372" s="4"/>
      <c r="R372" s="4"/>
      <c r="S372" s="4"/>
      <c r="T372" s="4"/>
      <c r="U372" s="4"/>
      <c r="V372" s="4"/>
      <c r="W372" s="4"/>
      <c r="X372" s="4"/>
      <c r="Y372" s="4"/>
      <c r="Z372" s="4"/>
    </row>
    <row r="373">
      <c r="A373" s="13"/>
      <c r="B373" s="161"/>
      <c r="C373" s="13"/>
      <c r="D373" s="4"/>
      <c r="E373" s="4"/>
      <c r="F373" s="4" t="str">
        <f>IFERROR(__xludf.DUMMYFUNCTION("""COMPUTED_VALUE"""),"Республика Татарстан")</f>
        <v>Республика Татарстан</v>
      </c>
      <c r="G373" s="4" t="str">
        <f>IFERROR(__xludf.DUMMYFUNCTION("""COMPUTED_VALUE"""),"Казань")</f>
        <v>Казань</v>
      </c>
      <c r="H373" s="4" t="str">
        <f>IFERROR(__xludf.DUMMYFUNCTION("""COMPUTED_VALUE"""),"ЖК Южный Парк")</f>
        <v>ЖК Южный Парк</v>
      </c>
      <c r="I373" s="4"/>
      <c r="J373" s="4"/>
      <c r="K373" s="4"/>
      <c r="L373" s="4"/>
      <c r="M373" s="4"/>
      <c r="N373" s="4"/>
      <c r="O373" s="4"/>
      <c r="P373" s="4"/>
      <c r="Q373" s="4"/>
      <c r="R373" s="4"/>
      <c r="S373" s="4"/>
      <c r="T373" s="4"/>
      <c r="U373" s="4"/>
      <c r="V373" s="4"/>
      <c r="W373" s="4"/>
      <c r="X373" s="4"/>
      <c r="Y373" s="4"/>
      <c r="Z373" s="4"/>
    </row>
    <row r="374">
      <c r="A374" s="13"/>
      <c r="B374" s="161"/>
      <c r="C374" s="13"/>
      <c r="D374" s="4"/>
      <c r="E374" s="4"/>
      <c r="F374" s="4" t="str">
        <f>IFERROR(__xludf.DUMMYFUNCTION("""COMPUTED_VALUE"""),"Республика Татарстан")</f>
        <v>Республика Татарстан</v>
      </c>
      <c r="G374" s="4" t="str">
        <f>IFERROR(__xludf.DUMMYFUNCTION("""COMPUTED_VALUE"""),"Казань")</f>
        <v>Казань</v>
      </c>
      <c r="H374" s="4" t="str">
        <f>IFERROR(__xludf.DUMMYFUNCTION("""COMPUTED_VALUE"""),"ЖК Яркий")</f>
        <v>ЖК Яркий</v>
      </c>
      <c r="I374" s="4"/>
      <c r="J374" s="4"/>
      <c r="K374" s="4"/>
      <c r="L374" s="4"/>
      <c r="M374" s="4"/>
      <c r="N374" s="4"/>
      <c r="O374" s="4"/>
      <c r="P374" s="4"/>
      <c r="Q374" s="4"/>
      <c r="R374" s="4"/>
      <c r="S374" s="4"/>
      <c r="T374" s="4"/>
      <c r="U374" s="4"/>
      <c r="V374" s="4"/>
      <c r="W374" s="4"/>
      <c r="X374" s="4"/>
      <c r="Y374" s="4"/>
      <c r="Z374" s="4"/>
    </row>
    <row r="375">
      <c r="A375" s="13"/>
      <c r="B375" s="161"/>
      <c r="C375" s="13"/>
      <c r="D375" s="4"/>
      <c r="E375" s="4"/>
      <c r="F375" s="4" t="str">
        <f>IFERROR(__xludf.DUMMYFUNCTION("""COMPUTED_VALUE"""),"Республика Татарстан")</f>
        <v>Республика Татарстан</v>
      </c>
      <c r="G375" s="4" t="str">
        <f>IFERROR(__xludf.DUMMYFUNCTION("""COMPUTED_VALUE"""),"Казань")</f>
        <v>Казань</v>
      </c>
      <c r="H375" s="4" t="str">
        <f>IFERROR(__xludf.DUMMYFUNCTION("""COMPUTED_VALUE"""),"ЖК Coлнечный город 1")</f>
        <v>ЖК Coлнечный город 1</v>
      </c>
      <c r="I375" s="4"/>
      <c r="J375" s="4"/>
      <c r="K375" s="4"/>
      <c r="L375" s="4"/>
      <c r="M375" s="4"/>
      <c r="N375" s="4"/>
      <c r="O375" s="4"/>
      <c r="P375" s="4"/>
      <c r="Q375" s="4"/>
      <c r="R375" s="4"/>
      <c r="S375" s="4"/>
      <c r="T375" s="4"/>
      <c r="U375" s="4"/>
      <c r="V375" s="4"/>
      <c r="W375" s="4"/>
      <c r="X375" s="4"/>
      <c r="Y375" s="4"/>
      <c r="Z375" s="4"/>
    </row>
    <row r="376">
      <c r="A376" s="13"/>
      <c r="B376" s="161"/>
      <c r="C376" s="13"/>
      <c r="D376" s="4"/>
      <c r="E376" s="4"/>
      <c r="F376" s="4" t="str">
        <f>IFERROR(__xludf.DUMMYFUNCTION("""COMPUTED_VALUE"""),"Республика Татарстан")</f>
        <v>Республика Татарстан</v>
      </c>
      <c r="G376" s="4" t="str">
        <f>IFERROR(__xludf.DUMMYFUNCTION("""COMPUTED_VALUE"""),"Казань")</f>
        <v>Казань</v>
      </c>
      <c r="H376" s="4" t="str">
        <f>IFERROR(__xludf.DUMMYFUNCTION("""COMPUTED_VALUE"""),"ЖК Coлнечный город 2")</f>
        <v>ЖК Coлнечный город 2</v>
      </c>
      <c r="I376" s="4"/>
      <c r="J376" s="4"/>
      <c r="K376" s="4"/>
      <c r="L376" s="4"/>
      <c r="M376" s="4"/>
      <c r="N376" s="4"/>
      <c r="O376" s="4"/>
      <c r="P376" s="4"/>
      <c r="Q376" s="4"/>
      <c r="R376" s="4"/>
      <c r="S376" s="4"/>
      <c r="T376" s="4"/>
      <c r="U376" s="4"/>
      <c r="V376" s="4"/>
      <c r="W376" s="4"/>
      <c r="X376" s="4"/>
      <c r="Y376" s="4"/>
      <c r="Z376" s="4"/>
    </row>
    <row r="377">
      <c r="A377" s="13"/>
      <c r="B377" s="161"/>
      <c r="C377" s="13"/>
      <c r="D377" s="4"/>
      <c r="E377" s="4"/>
      <c r="F377" s="4" t="str">
        <f>IFERROR(__xludf.DUMMYFUNCTION("""COMPUTED_VALUE"""),"Республика Татарстан")</f>
        <v>Республика Татарстан</v>
      </c>
      <c r="G377" s="4" t="str">
        <f>IFERROR(__xludf.DUMMYFUNCTION("""COMPUTED_VALUE"""),"Казань")</f>
        <v>Казань</v>
      </c>
      <c r="H377" s="4" t="str">
        <f>IFERROR(__xludf.DUMMYFUNCTION("""COMPUTED_VALUE"""),"ЖК Miracle")</f>
        <v>ЖК Miracle</v>
      </c>
      <c r="I377" s="4"/>
      <c r="J377" s="4"/>
      <c r="K377" s="4"/>
      <c r="L377" s="4"/>
      <c r="M377" s="4"/>
      <c r="N377" s="4"/>
      <c r="O377" s="4"/>
      <c r="P377" s="4"/>
      <c r="Q377" s="4"/>
      <c r="R377" s="4"/>
      <c r="S377" s="4"/>
      <c r="T377" s="4"/>
      <c r="U377" s="4"/>
      <c r="V377" s="4"/>
      <c r="W377" s="4"/>
      <c r="X377" s="4"/>
      <c r="Y377" s="4"/>
      <c r="Z377" s="4"/>
    </row>
    <row r="378">
      <c r="A378" s="13"/>
      <c r="B378" s="161"/>
      <c r="C378" s="13"/>
      <c r="D378" s="4"/>
      <c r="E378" s="4"/>
      <c r="F378" s="4" t="str">
        <f>IFERROR(__xludf.DUMMYFUNCTION("""COMPUTED_VALUE"""),"Республика Татарстан")</f>
        <v>Республика Татарстан</v>
      </c>
      <c r="G378" s="4" t="str">
        <f>IFERROR(__xludf.DUMMYFUNCTION("""COMPUTED_VALUE"""),"Усады")</f>
        <v>Усады</v>
      </c>
      <c r="H378" s="4" t="str">
        <f>IFERROR(__xludf.DUMMYFUNCTION("""COMPUTED_VALUE"""),"ЖК Счастливый")</f>
        <v>ЖК Счастливый</v>
      </c>
      <c r="I378" s="4"/>
      <c r="J378" s="4"/>
      <c r="K378" s="4"/>
      <c r="L378" s="4"/>
      <c r="M378" s="4"/>
      <c r="N378" s="4"/>
      <c r="O378" s="4"/>
      <c r="P378" s="4"/>
      <c r="Q378" s="4"/>
      <c r="R378" s="4"/>
      <c r="S378" s="4"/>
      <c r="T378" s="4"/>
      <c r="U378" s="4"/>
      <c r="V378" s="4"/>
      <c r="W378" s="4"/>
      <c r="X378" s="4"/>
      <c r="Y378" s="4"/>
      <c r="Z378" s="4"/>
    </row>
    <row r="379">
      <c r="A379" s="13"/>
      <c r="B379" s="161"/>
      <c r="C379" s="13"/>
      <c r="D379" s="4"/>
      <c r="E379" s="4"/>
      <c r="F379" s="4"/>
      <c r="G379" s="4"/>
      <c r="H379" s="4"/>
      <c r="I379" s="4"/>
      <c r="J379" s="4"/>
      <c r="K379" s="4"/>
      <c r="L379" s="4"/>
      <c r="M379" s="4"/>
      <c r="N379" s="4"/>
      <c r="O379" s="4"/>
      <c r="P379" s="4"/>
      <c r="Q379" s="4"/>
      <c r="R379" s="4"/>
      <c r="S379" s="4"/>
      <c r="T379" s="4"/>
      <c r="U379" s="4"/>
      <c r="V379" s="4"/>
      <c r="W379" s="4"/>
      <c r="X379" s="4"/>
      <c r="Y379" s="4"/>
      <c r="Z379" s="4"/>
    </row>
    <row r="380">
      <c r="A380" s="13"/>
      <c r="B380" s="161"/>
      <c r="C380" s="13"/>
      <c r="D380" s="4"/>
      <c r="E380" s="4"/>
      <c r="F380" s="4"/>
      <c r="G380" s="4"/>
      <c r="H380" s="4"/>
      <c r="I380" s="4"/>
      <c r="J380" s="4"/>
      <c r="K380" s="4"/>
      <c r="L380" s="4"/>
      <c r="M380" s="4"/>
      <c r="N380" s="4"/>
      <c r="O380" s="4"/>
      <c r="P380" s="4"/>
      <c r="Q380" s="4"/>
      <c r="R380" s="4"/>
      <c r="S380" s="4"/>
      <c r="T380" s="4"/>
      <c r="U380" s="4"/>
      <c r="V380" s="4"/>
      <c r="W380" s="4"/>
      <c r="X380" s="4"/>
      <c r="Y380" s="4"/>
      <c r="Z380" s="4"/>
    </row>
    <row r="381">
      <c r="A381" s="13"/>
      <c r="B381" s="161"/>
      <c r="C381" s="13"/>
      <c r="D381" s="4"/>
      <c r="E381" s="4"/>
      <c r="F381" s="4"/>
      <c r="G381" s="4"/>
      <c r="H381" s="4"/>
      <c r="I381" s="4"/>
      <c r="J381" s="4"/>
      <c r="K381" s="4"/>
      <c r="L381" s="4"/>
      <c r="M381" s="4"/>
      <c r="N381" s="4"/>
      <c r="O381" s="4"/>
      <c r="P381" s="4"/>
      <c r="Q381" s="4"/>
      <c r="R381" s="4"/>
      <c r="S381" s="4"/>
      <c r="T381" s="4"/>
      <c r="U381" s="4"/>
      <c r="V381" s="4"/>
      <c r="W381" s="4"/>
      <c r="X381" s="4"/>
      <c r="Y381" s="4"/>
      <c r="Z381" s="4"/>
    </row>
    <row r="382">
      <c r="A382" s="13"/>
      <c r="B382" s="161"/>
      <c r="C382" s="13"/>
      <c r="D382" s="4"/>
      <c r="E382" s="4"/>
      <c r="F382" s="4"/>
      <c r="G382" s="4"/>
      <c r="H382" s="4"/>
      <c r="I382" s="4"/>
      <c r="J382" s="4"/>
      <c r="K382" s="4"/>
      <c r="L382" s="4"/>
      <c r="M382" s="4"/>
      <c r="N382" s="4"/>
      <c r="O382" s="4"/>
      <c r="P382" s="4"/>
      <c r="Q382" s="4"/>
      <c r="R382" s="4"/>
      <c r="S382" s="4"/>
      <c r="T382" s="4"/>
      <c r="U382" s="4"/>
      <c r="V382" s="4"/>
      <c r="W382" s="4"/>
      <c r="X382" s="4"/>
      <c r="Y382" s="4"/>
      <c r="Z382" s="4"/>
    </row>
    <row r="383">
      <c r="A383" s="13"/>
      <c r="B383" s="161"/>
      <c r="C383" s="13"/>
      <c r="D383" s="4"/>
      <c r="E383" s="4"/>
      <c r="F383" s="4"/>
      <c r="G383" s="4"/>
      <c r="H383" s="4"/>
      <c r="I383" s="4"/>
      <c r="J383" s="4"/>
      <c r="K383" s="4"/>
      <c r="L383" s="4"/>
      <c r="M383" s="4"/>
      <c r="N383" s="4"/>
      <c r="O383" s="4"/>
      <c r="P383" s="4"/>
      <c r="Q383" s="4"/>
      <c r="R383" s="4"/>
      <c r="S383" s="4"/>
      <c r="T383" s="4"/>
      <c r="U383" s="4"/>
      <c r="V383" s="4"/>
      <c r="W383" s="4"/>
      <c r="X383" s="4"/>
      <c r="Y383" s="4"/>
      <c r="Z383" s="4"/>
    </row>
    <row r="384">
      <c r="A384" s="13"/>
      <c r="B384" s="161"/>
      <c r="C384" s="13"/>
      <c r="D384" s="4"/>
      <c r="E384" s="4"/>
      <c r="F384" s="4"/>
      <c r="G384" s="4"/>
      <c r="H384" s="4"/>
      <c r="I384" s="4"/>
      <c r="J384" s="4"/>
      <c r="K384" s="4"/>
      <c r="L384" s="4"/>
      <c r="M384" s="4"/>
      <c r="N384" s="4"/>
      <c r="O384" s="4"/>
      <c r="P384" s="4"/>
      <c r="Q384" s="4"/>
      <c r="R384" s="4"/>
      <c r="S384" s="4"/>
      <c r="T384" s="4"/>
      <c r="U384" s="4"/>
      <c r="V384" s="4"/>
      <c r="W384" s="4"/>
      <c r="X384" s="4"/>
      <c r="Y384" s="4"/>
      <c r="Z384" s="4"/>
    </row>
    <row r="385">
      <c r="A385" s="13"/>
      <c r="B385" s="161"/>
      <c r="C385" s="13"/>
      <c r="D385" s="4"/>
      <c r="E385" s="4"/>
      <c r="F385" s="4"/>
      <c r="G385" s="4"/>
      <c r="H385" s="4"/>
      <c r="I385" s="4"/>
      <c r="J385" s="4"/>
      <c r="K385" s="4"/>
      <c r="L385" s="4"/>
      <c r="M385" s="4"/>
      <c r="N385" s="4"/>
      <c r="O385" s="4"/>
      <c r="P385" s="4"/>
      <c r="Q385" s="4"/>
      <c r="R385" s="4"/>
      <c r="S385" s="4"/>
      <c r="T385" s="4"/>
      <c r="U385" s="4"/>
      <c r="V385" s="4"/>
      <c r="W385" s="4"/>
      <c r="X385" s="4"/>
      <c r="Y385" s="4"/>
      <c r="Z385" s="4"/>
    </row>
    <row r="386">
      <c r="A386" s="13"/>
      <c r="B386" s="161"/>
      <c r="C386" s="13"/>
      <c r="D386" s="4"/>
      <c r="E386" s="4"/>
      <c r="F386" s="4"/>
      <c r="G386" s="4"/>
      <c r="H386" s="4"/>
      <c r="I386" s="4"/>
      <c r="J386" s="4"/>
      <c r="K386" s="4"/>
      <c r="L386" s="4"/>
      <c r="M386" s="4"/>
      <c r="N386" s="4"/>
      <c r="O386" s="4"/>
      <c r="P386" s="4"/>
      <c r="Q386" s="4"/>
      <c r="R386" s="4"/>
      <c r="S386" s="4"/>
      <c r="T386" s="4"/>
      <c r="U386" s="4"/>
      <c r="V386" s="4"/>
      <c r="W386" s="4"/>
      <c r="X386" s="4"/>
      <c r="Y386" s="4"/>
      <c r="Z386" s="4"/>
    </row>
    <row r="387">
      <c r="A387" s="13"/>
      <c r="B387" s="161"/>
      <c r="C387" s="13"/>
      <c r="D387" s="4"/>
      <c r="E387" s="4"/>
      <c r="F387" s="4"/>
      <c r="G387" s="4"/>
      <c r="H387" s="4"/>
      <c r="I387" s="4"/>
      <c r="J387" s="4"/>
      <c r="K387" s="4"/>
      <c r="L387" s="4"/>
      <c r="M387" s="4"/>
      <c r="N387" s="4"/>
      <c r="O387" s="4"/>
      <c r="P387" s="4"/>
      <c r="Q387" s="4"/>
      <c r="R387" s="4"/>
      <c r="S387" s="4"/>
      <c r="T387" s="4"/>
      <c r="U387" s="4"/>
      <c r="V387" s="4"/>
      <c r="W387" s="4"/>
      <c r="X387" s="4"/>
      <c r="Y387" s="4"/>
      <c r="Z387" s="4"/>
    </row>
    <row r="388">
      <c r="A388" s="13"/>
      <c r="B388" s="161"/>
      <c r="C388" s="13"/>
      <c r="D388" s="4"/>
      <c r="E388" s="4"/>
      <c r="F388" s="4"/>
      <c r="G388" s="4"/>
      <c r="H388" s="4"/>
      <c r="I388" s="4"/>
      <c r="J388" s="4"/>
      <c r="K388" s="4"/>
      <c r="L388" s="4"/>
      <c r="M388" s="4"/>
      <c r="N388" s="4"/>
      <c r="O388" s="4"/>
      <c r="P388" s="4"/>
      <c r="Q388" s="4"/>
      <c r="R388" s="4"/>
      <c r="S388" s="4"/>
      <c r="T388" s="4"/>
      <c r="U388" s="4"/>
      <c r="V388" s="4"/>
      <c r="W388" s="4"/>
      <c r="X388" s="4"/>
      <c r="Y388" s="4"/>
      <c r="Z388" s="4"/>
    </row>
    <row r="389">
      <c r="A389" s="13"/>
      <c r="B389" s="161"/>
      <c r="C389" s="13"/>
      <c r="D389" s="4"/>
      <c r="E389" s="4"/>
      <c r="F389" s="4"/>
      <c r="G389" s="4"/>
      <c r="H389" s="4"/>
      <c r="I389" s="4"/>
      <c r="J389" s="4"/>
      <c r="K389" s="4"/>
      <c r="L389" s="4"/>
      <c r="M389" s="4"/>
      <c r="N389" s="4"/>
      <c r="O389" s="4"/>
      <c r="P389" s="4"/>
      <c r="Q389" s="4"/>
      <c r="R389" s="4"/>
      <c r="S389" s="4"/>
      <c r="T389" s="4"/>
      <c r="U389" s="4"/>
      <c r="V389" s="4"/>
      <c r="W389" s="4"/>
      <c r="X389" s="4"/>
      <c r="Y389" s="4"/>
      <c r="Z389" s="4"/>
    </row>
    <row r="390">
      <c r="A390" s="13"/>
      <c r="B390" s="161"/>
      <c r="C390" s="13"/>
      <c r="D390" s="4"/>
      <c r="E390" s="4"/>
      <c r="F390" s="4"/>
      <c r="G390" s="4"/>
      <c r="H390" s="4"/>
      <c r="I390" s="4"/>
      <c r="J390" s="4"/>
      <c r="K390" s="4"/>
      <c r="L390" s="4"/>
      <c r="M390" s="4"/>
      <c r="N390" s="4"/>
      <c r="O390" s="4"/>
      <c r="P390" s="4"/>
      <c r="Q390" s="4"/>
      <c r="R390" s="4"/>
      <c r="S390" s="4"/>
      <c r="T390" s="4"/>
      <c r="U390" s="4"/>
      <c r="V390" s="4"/>
      <c r="W390" s="4"/>
      <c r="X390" s="4"/>
      <c r="Y390" s="4"/>
      <c r="Z390" s="4"/>
    </row>
    <row r="391">
      <c r="A391" s="13"/>
      <c r="B391" s="161"/>
      <c r="C391" s="13"/>
      <c r="D391" s="4"/>
      <c r="E391" s="4"/>
      <c r="F391" s="4"/>
      <c r="G391" s="4"/>
      <c r="H391" s="4"/>
      <c r="I391" s="4"/>
      <c r="J391" s="4"/>
      <c r="K391" s="4"/>
      <c r="L391" s="4"/>
      <c r="M391" s="4"/>
      <c r="N391" s="4"/>
      <c r="O391" s="4"/>
      <c r="P391" s="4"/>
      <c r="Q391" s="4"/>
      <c r="R391" s="4"/>
      <c r="S391" s="4"/>
      <c r="T391" s="4"/>
      <c r="U391" s="4"/>
      <c r="V391" s="4"/>
      <c r="W391" s="4"/>
      <c r="X391" s="4"/>
      <c r="Y391" s="4"/>
      <c r="Z391" s="4"/>
    </row>
    <row r="392">
      <c r="A392" s="13"/>
      <c r="B392" s="161"/>
      <c r="C392" s="13"/>
      <c r="D392" s="4"/>
      <c r="E392" s="4"/>
      <c r="F392" s="4"/>
      <c r="G392" s="4"/>
      <c r="H392" s="4"/>
      <c r="I392" s="4"/>
      <c r="J392" s="4"/>
      <c r="K392" s="4"/>
      <c r="L392" s="4"/>
      <c r="M392" s="4"/>
      <c r="N392" s="4"/>
      <c r="O392" s="4"/>
      <c r="P392" s="4"/>
      <c r="Q392" s="4"/>
      <c r="R392" s="4"/>
      <c r="S392" s="4"/>
      <c r="T392" s="4"/>
      <c r="U392" s="4"/>
      <c r="V392" s="4"/>
      <c r="W392" s="4"/>
      <c r="X392" s="4"/>
      <c r="Y392" s="4"/>
      <c r="Z392" s="4"/>
    </row>
    <row r="393">
      <c r="A393" s="13"/>
      <c r="B393" s="161"/>
      <c r="C393" s="13"/>
      <c r="D393" s="4"/>
      <c r="E393" s="4"/>
      <c r="F393" s="4"/>
      <c r="G393" s="4"/>
      <c r="H393" s="4"/>
      <c r="I393" s="4"/>
      <c r="J393" s="4"/>
      <c r="K393" s="4"/>
      <c r="L393" s="4"/>
      <c r="M393" s="4"/>
      <c r="N393" s="4"/>
      <c r="O393" s="4"/>
      <c r="P393" s="4"/>
      <c r="Q393" s="4"/>
      <c r="R393" s="4"/>
      <c r="S393" s="4"/>
      <c r="T393" s="4"/>
      <c r="U393" s="4"/>
      <c r="V393" s="4"/>
      <c r="W393" s="4"/>
      <c r="X393" s="4"/>
      <c r="Y393" s="4"/>
      <c r="Z393" s="4"/>
    </row>
    <row r="394">
      <c r="A394" s="13"/>
      <c r="B394" s="161"/>
      <c r="C394" s="13"/>
      <c r="D394" s="4"/>
      <c r="E394" s="4"/>
      <c r="F394" s="4"/>
      <c r="G394" s="4"/>
      <c r="H394" s="4"/>
      <c r="I394" s="4"/>
      <c r="J394" s="4"/>
      <c r="K394" s="4"/>
      <c r="L394" s="4"/>
      <c r="M394" s="4"/>
      <c r="N394" s="4"/>
      <c r="O394" s="4"/>
      <c r="P394" s="4"/>
      <c r="Q394" s="4"/>
      <c r="R394" s="4"/>
      <c r="S394" s="4"/>
      <c r="T394" s="4"/>
      <c r="U394" s="4"/>
      <c r="V394" s="4"/>
      <c r="W394" s="4"/>
      <c r="X394" s="4"/>
      <c r="Y394" s="4"/>
      <c r="Z394" s="4"/>
    </row>
    <row r="395">
      <c r="A395" s="13"/>
      <c r="B395" s="161"/>
      <c r="C395" s="13"/>
      <c r="D395" s="4"/>
      <c r="E395" s="4"/>
      <c r="F395" s="4"/>
      <c r="G395" s="4"/>
      <c r="H395" s="4"/>
      <c r="I395" s="4"/>
      <c r="J395" s="4"/>
      <c r="K395" s="4"/>
      <c r="L395" s="4"/>
      <c r="M395" s="4"/>
      <c r="N395" s="4"/>
      <c r="O395" s="4"/>
      <c r="P395" s="4"/>
      <c r="Q395" s="4"/>
      <c r="R395" s="4"/>
      <c r="S395" s="4"/>
      <c r="T395" s="4"/>
      <c r="U395" s="4"/>
      <c r="V395" s="4"/>
      <c r="W395" s="4"/>
      <c r="X395" s="4"/>
      <c r="Y395" s="4"/>
      <c r="Z395" s="4"/>
    </row>
    <row r="396">
      <c r="A396" s="13"/>
      <c r="B396" s="161"/>
      <c r="C396" s="13"/>
      <c r="D396" s="4"/>
      <c r="E396" s="4"/>
      <c r="F396" s="4"/>
      <c r="G396" s="4"/>
      <c r="H396" s="4"/>
      <c r="I396" s="4"/>
      <c r="J396" s="4"/>
      <c r="K396" s="4"/>
      <c r="L396" s="4"/>
      <c r="M396" s="4"/>
      <c r="N396" s="4"/>
      <c r="O396" s="4"/>
      <c r="P396" s="4"/>
      <c r="Q396" s="4"/>
      <c r="R396" s="4"/>
      <c r="S396" s="4"/>
      <c r="T396" s="4"/>
      <c r="U396" s="4"/>
      <c r="V396" s="4"/>
      <c r="W396" s="4"/>
      <c r="X396" s="4"/>
      <c r="Y396" s="4"/>
      <c r="Z396" s="4"/>
    </row>
    <row r="397">
      <c r="A397" s="13"/>
      <c r="B397" s="161"/>
      <c r="C397" s="13"/>
      <c r="D397" s="4"/>
      <c r="E397" s="4"/>
      <c r="F397" s="4"/>
      <c r="G397" s="4"/>
      <c r="H397" s="4"/>
      <c r="I397" s="4"/>
      <c r="J397" s="4"/>
      <c r="K397" s="4"/>
      <c r="L397" s="4"/>
      <c r="M397" s="4"/>
      <c r="N397" s="4"/>
      <c r="O397" s="4"/>
      <c r="P397" s="4"/>
      <c r="Q397" s="4"/>
      <c r="R397" s="4"/>
      <c r="S397" s="4"/>
      <c r="T397" s="4"/>
      <c r="U397" s="4"/>
      <c r="V397" s="4"/>
      <c r="W397" s="4"/>
      <c r="X397" s="4"/>
      <c r="Y397" s="4"/>
      <c r="Z397" s="4"/>
    </row>
    <row r="398">
      <c r="A398" s="13"/>
      <c r="B398" s="161"/>
      <c r="C398" s="13"/>
      <c r="D398" s="4"/>
      <c r="E398" s="4"/>
      <c r="F398" s="4"/>
      <c r="G398" s="4"/>
      <c r="H398" s="4"/>
      <c r="I398" s="4"/>
      <c r="J398" s="4"/>
      <c r="K398" s="4"/>
      <c r="L398" s="4"/>
      <c r="M398" s="4"/>
      <c r="N398" s="4"/>
      <c r="O398" s="4"/>
      <c r="P398" s="4"/>
      <c r="Q398" s="4"/>
      <c r="R398" s="4"/>
      <c r="S398" s="4"/>
      <c r="T398" s="4"/>
      <c r="U398" s="4"/>
      <c r="V398" s="4"/>
      <c r="W398" s="4"/>
      <c r="X398" s="4"/>
      <c r="Y398" s="4"/>
      <c r="Z398" s="4"/>
    </row>
    <row r="399">
      <c r="A399" s="13"/>
      <c r="B399" s="161"/>
      <c r="C399" s="13"/>
      <c r="D399" s="4"/>
      <c r="E399" s="4"/>
      <c r="F399" s="4"/>
      <c r="G399" s="4"/>
      <c r="H399" s="4"/>
      <c r="I399" s="4"/>
      <c r="J399" s="4"/>
      <c r="K399" s="4"/>
      <c r="L399" s="4"/>
      <c r="M399" s="4"/>
      <c r="N399" s="4"/>
      <c r="O399" s="4"/>
      <c r="P399" s="4"/>
      <c r="Q399" s="4"/>
      <c r="R399" s="4"/>
      <c r="S399" s="4"/>
      <c r="T399" s="4"/>
      <c r="U399" s="4"/>
      <c r="V399" s="4"/>
      <c r="W399" s="4"/>
      <c r="X399" s="4"/>
      <c r="Y399" s="4"/>
      <c r="Z399" s="4"/>
    </row>
    <row r="400">
      <c r="A400" s="13"/>
      <c r="B400" s="161"/>
      <c r="C400" s="13"/>
      <c r="D400" s="4"/>
      <c r="E400" s="4"/>
      <c r="F400" s="4"/>
      <c r="G400" s="4"/>
      <c r="H400" s="4"/>
      <c r="I400" s="4"/>
      <c r="J400" s="4"/>
      <c r="K400" s="4"/>
      <c r="L400" s="4"/>
      <c r="M400" s="4"/>
      <c r="N400" s="4"/>
      <c r="O400" s="4"/>
      <c r="P400" s="4"/>
      <c r="Q400" s="4"/>
      <c r="R400" s="4"/>
      <c r="S400" s="4"/>
      <c r="T400" s="4"/>
      <c r="U400" s="4"/>
      <c r="V400" s="4"/>
      <c r="W400" s="4"/>
      <c r="X400" s="4"/>
      <c r="Y400" s="4"/>
      <c r="Z400" s="4"/>
    </row>
    <row r="401">
      <c r="A401" s="13"/>
      <c r="B401" s="161"/>
      <c r="C401" s="13"/>
      <c r="D401" s="4"/>
      <c r="E401" s="4"/>
      <c r="F401" s="4"/>
      <c r="G401" s="4"/>
      <c r="H401" s="4"/>
      <c r="I401" s="4"/>
      <c r="J401" s="4"/>
      <c r="K401" s="4"/>
      <c r="L401" s="4"/>
      <c r="M401" s="4"/>
      <c r="N401" s="4"/>
      <c r="O401" s="4"/>
      <c r="P401" s="4"/>
      <c r="Q401" s="4"/>
      <c r="R401" s="4"/>
      <c r="S401" s="4"/>
      <c r="T401" s="4"/>
      <c r="U401" s="4"/>
      <c r="V401" s="4"/>
      <c r="W401" s="4"/>
      <c r="X401" s="4"/>
      <c r="Y401" s="4"/>
      <c r="Z401" s="4"/>
    </row>
    <row r="402">
      <c r="A402" s="13"/>
      <c r="B402" s="161"/>
      <c r="C402" s="13"/>
      <c r="D402" s="4"/>
      <c r="E402" s="4"/>
      <c r="F402" s="4"/>
      <c r="G402" s="4"/>
      <c r="H402" s="4"/>
      <c r="I402" s="4"/>
      <c r="J402" s="4"/>
      <c r="K402" s="4"/>
      <c r="L402" s="4"/>
      <c r="M402" s="4"/>
      <c r="N402" s="4"/>
      <c r="O402" s="4"/>
      <c r="P402" s="4"/>
      <c r="Q402" s="4"/>
      <c r="R402" s="4"/>
      <c r="S402" s="4"/>
      <c r="T402" s="4"/>
      <c r="U402" s="4"/>
      <c r="V402" s="4"/>
      <c r="W402" s="4"/>
      <c r="X402" s="4"/>
      <c r="Y402" s="4"/>
      <c r="Z402" s="4"/>
    </row>
    <row r="403">
      <c r="A403" s="13"/>
      <c r="B403" s="161"/>
      <c r="C403" s="13"/>
      <c r="D403" s="4"/>
      <c r="E403" s="4"/>
      <c r="F403" s="4"/>
      <c r="G403" s="4"/>
      <c r="H403" s="4"/>
      <c r="I403" s="4"/>
      <c r="J403" s="4"/>
      <c r="K403" s="4"/>
      <c r="L403" s="4"/>
      <c r="M403" s="4"/>
      <c r="N403" s="4"/>
      <c r="O403" s="4"/>
      <c r="P403" s="4"/>
      <c r="Q403" s="4"/>
      <c r="R403" s="4"/>
      <c r="S403" s="4"/>
      <c r="T403" s="4"/>
      <c r="U403" s="4"/>
      <c r="V403" s="4"/>
      <c r="W403" s="4"/>
      <c r="X403" s="4"/>
      <c r="Y403" s="4"/>
      <c r="Z403" s="4"/>
    </row>
    <row r="404">
      <c r="A404" s="13"/>
      <c r="B404" s="161"/>
      <c r="C404" s="13"/>
      <c r="D404" s="4"/>
      <c r="E404" s="4"/>
      <c r="F404" s="4"/>
      <c r="G404" s="4"/>
      <c r="H404" s="4"/>
      <c r="I404" s="4"/>
      <c r="J404" s="4"/>
      <c r="K404" s="4"/>
      <c r="L404" s="4"/>
      <c r="M404" s="4"/>
      <c r="N404" s="4"/>
      <c r="O404" s="4"/>
      <c r="P404" s="4"/>
      <c r="Q404" s="4"/>
      <c r="R404" s="4"/>
      <c r="S404" s="4"/>
      <c r="T404" s="4"/>
      <c r="U404" s="4"/>
      <c r="V404" s="4"/>
      <c r="W404" s="4"/>
      <c r="X404" s="4"/>
      <c r="Y404" s="4"/>
      <c r="Z404" s="4"/>
    </row>
    <row r="405">
      <c r="A405" s="13"/>
      <c r="B405" s="161"/>
      <c r="C405" s="13"/>
      <c r="D405" s="4"/>
      <c r="E405" s="4"/>
      <c r="F405" s="4"/>
      <c r="G405" s="4"/>
      <c r="H405" s="4"/>
      <c r="I405" s="4"/>
      <c r="J405" s="4"/>
      <c r="K405" s="4"/>
      <c r="L405" s="4"/>
      <c r="M405" s="4"/>
      <c r="N405" s="4"/>
      <c r="O405" s="4"/>
      <c r="P405" s="4"/>
      <c r="Q405" s="4"/>
      <c r="R405" s="4"/>
      <c r="S405" s="4"/>
      <c r="T405" s="4"/>
      <c r="U405" s="4"/>
      <c r="V405" s="4"/>
      <c r="W405" s="4"/>
      <c r="X405" s="4"/>
      <c r="Y405" s="4"/>
      <c r="Z405" s="4"/>
    </row>
    <row r="406">
      <c r="A406" s="13"/>
      <c r="B406" s="161"/>
      <c r="C406" s="13"/>
      <c r="D406" s="4"/>
      <c r="E406" s="4"/>
      <c r="F406" s="4"/>
      <c r="G406" s="4"/>
      <c r="H406" s="4"/>
      <c r="I406" s="4"/>
      <c r="J406" s="4"/>
      <c r="K406" s="4"/>
      <c r="L406" s="4"/>
      <c r="M406" s="4"/>
      <c r="N406" s="4"/>
      <c r="O406" s="4"/>
      <c r="P406" s="4"/>
      <c r="Q406" s="4"/>
      <c r="R406" s="4"/>
      <c r="S406" s="4"/>
      <c r="T406" s="4"/>
      <c r="U406" s="4"/>
      <c r="V406" s="4"/>
      <c r="W406" s="4"/>
      <c r="X406" s="4"/>
      <c r="Y406" s="4"/>
      <c r="Z406" s="4"/>
    </row>
    <row r="407">
      <c r="A407" s="13"/>
      <c r="B407" s="161"/>
      <c r="C407" s="13"/>
      <c r="D407" s="4"/>
      <c r="E407" s="4"/>
      <c r="F407" s="4"/>
      <c r="G407" s="4"/>
      <c r="H407" s="4"/>
      <c r="I407" s="4"/>
      <c r="J407" s="4"/>
      <c r="K407" s="4"/>
      <c r="L407" s="4"/>
      <c r="M407" s="4"/>
      <c r="N407" s="4"/>
      <c r="O407" s="4"/>
      <c r="P407" s="4"/>
      <c r="Q407" s="4"/>
      <c r="R407" s="4"/>
      <c r="S407" s="4"/>
      <c r="T407" s="4"/>
      <c r="U407" s="4"/>
      <c r="V407" s="4"/>
      <c r="W407" s="4"/>
      <c r="X407" s="4"/>
      <c r="Y407" s="4"/>
      <c r="Z407" s="4"/>
    </row>
    <row r="408">
      <c r="A408" s="13"/>
      <c r="B408" s="161"/>
      <c r="C408" s="13"/>
      <c r="D408" s="4"/>
      <c r="E408" s="4"/>
      <c r="F408" s="4"/>
      <c r="G408" s="4"/>
      <c r="H408" s="4"/>
      <c r="I408" s="4"/>
      <c r="J408" s="4"/>
      <c r="K408" s="4"/>
      <c r="L408" s="4"/>
      <c r="M408" s="4"/>
      <c r="N408" s="4"/>
      <c r="O408" s="4"/>
      <c r="P408" s="4"/>
      <c r="Q408" s="4"/>
      <c r="R408" s="4"/>
      <c r="S408" s="4"/>
      <c r="T408" s="4"/>
      <c r="U408" s="4"/>
      <c r="V408" s="4"/>
      <c r="W408" s="4"/>
      <c r="X408" s="4"/>
      <c r="Y408" s="4"/>
      <c r="Z408" s="4"/>
    </row>
    <row r="409">
      <c r="A409" s="13"/>
      <c r="B409" s="161"/>
      <c r="C409" s="13"/>
      <c r="D409" s="4"/>
      <c r="E409" s="4"/>
      <c r="F409" s="4"/>
      <c r="G409" s="4"/>
      <c r="H409" s="4"/>
      <c r="I409" s="4"/>
      <c r="J409" s="4"/>
      <c r="K409" s="4"/>
      <c r="L409" s="4"/>
      <c r="M409" s="4"/>
      <c r="N409" s="4"/>
      <c r="O409" s="4"/>
      <c r="P409" s="4"/>
      <c r="Q409" s="4"/>
      <c r="R409" s="4"/>
      <c r="S409" s="4"/>
      <c r="T409" s="4"/>
      <c r="U409" s="4"/>
      <c r="V409" s="4"/>
      <c r="W409" s="4"/>
      <c r="X409" s="4"/>
      <c r="Y409" s="4"/>
      <c r="Z409" s="4"/>
    </row>
    <row r="410">
      <c r="A410" s="13"/>
      <c r="B410" s="161"/>
      <c r="C410" s="13"/>
      <c r="D410" s="4"/>
      <c r="E410" s="4"/>
      <c r="F410" s="4"/>
      <c r="G410" s="4"/>
      <c r="H410" s="4"/>
      <c r="I410" s="4"/>
      <c r="J410" s="4"/>
      <c r="K410" s="4"/>
      <c r="L410" s="4"/>
      <c r="M410" s="4"/>
      <c r="N410" s="4"/>
      <c r="O410" s="4"/>
      <c r="P410" s="4"/>
      <c r="Q410" s="4"/>
      <c r="R410" s="4"/>
      <c r="S410" s="4"/>
      <c r="T410" s="4"/>
      <c r="U410" s="4"/>
      <c r="V410" s="4"/>
      <c r="W410" s="4"/>
      <c r="X410" s="4"/>
      <c r="Y410" s="4"/>
      <c r="Z410" s="4"/>
    </row>
    <row r="411">
      <c r="A411" s="13"/>
      <c r="B411" s="161"/>
      <c r="C411" s="13"/>
      <c r="D411" s="4"/>
      <c r="E411" s="4"/>
      <c r="F411" s="4"/>
      <c r="G411" s="4"/>
      <c r="H411" s="4"/>
      <c r="I411" s="4"/>
      <c r="J411" s="4"/>
      <c r="K411" s="4"/>
      <c r="L411" s="4"/>
      <c r="M411" s="4"/>
      <c r="N411" s="4"/>
      <c r="O411" s="4"/>
      <c r="P411" s="4"/>
      <c r="Q411" s="4"/>
      <c r="R411" s="4"/>
      <c r="S411" s="4"/>
      <c r="T411" s="4"/>
      <c r="U411" s="4"/>
      <c r="V411" s="4"/>
      <c r="W411" s="4"/>
      <c r="X411" s="4"/>
      <c r="Y411" s="4"/>
      <c r="Z411" s="4"/>
    </row>
    <row r="412">
      <c r="A412" s="13"/>
      <c r="B412" s="161"/>
      <c r="C412" s="13"/>
      <c r="D412" s="4"/>
      <c r="E412" s="4"/>
      <c r="F412" s="4"/>
      <c r="G412" s="4"/>
      <c r="H412" s="4"/>
      <c r="I412" s="4"/>
      <c r="J412" s="4"/>
      <c r="K412" s="4"/>
      <c r="L412" s="4"/>
      <c r="M412" s="4"/>
      <c r="N412" s="4"/>
      <c r="O412" s="4"/>
      <c r="P412" s="4"/>
      <c r="Q412" s="4"/>
      <c r="R412" s="4"/>
      <c r="S412" s="4"/>
      <c r="T412" s="4"/>
      <c r="U412" s="4"/>
      <c r="V412" s="4"/>
      <c r="W412" s="4"/>
      <c r="X412" s="4"/>
      <c r="Y412" s="4"/>
      <c r="Z412" s="4"/>
    </row>
    <row r="413">
      <c r="A413" s="13"/>
      <c r="B413" s="161"/>
      <c r="C413" s="13"/>
      <c r="D413" s="4"/>
      <c r="E413" s="4"/>
      <c r="F413" s="4"/>
      <c r="G413" s="4"/>
      <c r="H413" s="4"/>
      <c r="I413" s="4"/>
      <c r="J413" s="4"/>
      <c r="K413" s="4"/>
      <c r="L413" s="4"/>
      <c r="M413" s="4"/>
      <c r="N413" s="4"/>
      <c r="O413" s="4"/>
      <c r="P413" s="4"/>
      <c r="Q413" s="4"/>
      <c r="R413" s="4"/>
      <c r="S413" s="4"/>
      <c r="T413" s="4"/>
      <c r="U413" s="4"/>
      <c r="V413" s="4"/>
      <c r="W413" s="4"/>
      <c r="X413" s="4"/>
      <c r="Y413" s="4"/>
      <c r="Z413" s="4"/>
    </row>
    <row r="414">
      <c r="A414" s="13"/>
      <c r="B414" s="161"/>
      <c r="C414" s="13"/>
      <c r="D414" s="4"/>
      <c r="E414" s="4"/>
      <c r="F414" s="4"/>
      <c r="G414" s="4"/>
      <c r="H414" s="4"/>
      <c r="I414" s="4"/>
      <c r="J414" s="4"/>
      <c r="K414" s="4"/>
      <c r="L414" s="4"/>
      <c r="M414" s="4"/>
      <c r="N414" s="4"/>
      <c r="O414" s="4"/>
      <c r="P414" s="4"/>
      <c r="Q414" s="4"/>
      <c r="R414" s="4"/>
      <c r="S414" s="4"/>
      <c r="T414" s="4"/>
      <c r="U414" s="4"/>
      <c r="V414" s="4"/>
      <c r="W414" s="4"/>
      <c r="X414" s="4"/>
      <c r="Y414" s="4"/>
      <c r="Z414" s="4"/>
    </row>
    <row r="415">
      <c r="A415" s="13"/>
      <c r="B415" s="161"/>
      <c r="C415" s="13"/>
      <c r="D415" s="4"/>
      <c r="E415" s="4"/>
      <c r="F415" s="4"/>
      <c r="G415" s="4"/>
      <c r="H415" s="4"/>
      <c r="I415" s="4"/>
      <c r="J415" s="4"/>
      <c r="K415" s="4"/>
      <c r="L415" s="4"/>
      <c r="M415" s="4"/>
      <c r="N415" s="4"/>
      <c r="O415" s="4"/>
      <c r="P415" s="4"/>
      <c r="Q415" s="4"/>
      <c r="R415" s="4"/>
      <c r="S415" s="4"/>
      <c r="T415" s="4"/>
      <c r="U415" s="4"/>
      <c r="V415" s="4"/>
      <c r="W415" s="4"/>
      <c r="X415" s="4"/>
      <c r="Y415" s="4"/>
      <c r="Z415" s="4"/>
    </row>
    <row r="416">
      <c r="A416" s="13"/>
      <c r="B416" s="161"/>
      <c r="C416" s="13"/>
      <c r="D416" s="4"/>
      <c r="E416" s="4"/>
      <c r="F416" s="4"/>
      <c r="G416" s="4"/>
      <c r="H416" s="4"/>
      <c r="I416" s="4"/>
      <c r="J416" s="4"/>
      <c r="K416" s="4"/>
      <c r="L416" s="4"/>
      <c r="M416" s="4"/>
      <c r="N416" s="4"/>
      <c r="O416" s="4"/>
      <c r="P416" s="4"/>
      <c r="Q416" s="4"/>
      <c r="R416" s="4"/>
      <c r="S416" s="4"/>
      <c r="T416" s="4"/>
      <c r="U416" s="4"/>
      <c r="V416" s="4"/>
      <c r="W416" s="4"/>
      <c r="X416" s="4"/>
      <c r="Y416" s="4"/>
      <c r="Z416" s="4"/>
    </row>
    <row r="417">
      <c r="A417" s="13"/>
      <c r="B417" s="161"/>
      <c r="C417" s="13"/>
      <c r="D417" s="4"/>
      <c r="E417" s="4"/>
      <c r="F417" s="4"/>
      <c r="G417" s="4"/>
      <c r="H417" s="4"/>
      <c r="I417" s="4"/>
      <c r="J417" s="4"/>
      <c r="K417" s="4"/>
      <c r="L417" s="4"/>
      <c r="M417" s="4"/>
      <c r="N417" s="4"/>
      <c r="O417" s="4"/>
      <c r="P417" s="4"/>
      <c r="Q417" s="4"/>
      <c r="R417" s="4"/>
      <c r="S417" s="4"/>
      <c r="T417" s="4"/>
      <c r="U417" s="4"/>
      <c r="V417" s="4"/>
      <c r="W417" s="4"/>
      <c r="X417" s="4"/>
      <c r="Y417" s="4"/>
      <c r="Z417" s="4"/>
    </row>
    <row r="418">
      <c r="A418" s="13"/>
      <c r="B418" s="161"/>
      <c r="C418" s="13"/>
      <c r="D418" s="4"/>
      <c r="E418" s="4"/>
      <c r="F418" s="4"/>
      <c r="G418" s="4"/>
      <c r="H418" s="4"/>
      <c r="I418" s="4"/>
      <c r="J418" s="4"/>
      <c r="K418" s="4"/>
      <c r="L418" s="4"/>
      <c r="M418" s="4"/>
      <c r="N418" s="4"/>
      <c r="O418" s="4"/>
      <c r="P418" s="4"/>
      <c r="Q418" s="4"/>
      <c r="R418" s="4"/>
      <c r="S418" s="4"/>
      <c r="T418" s="4"/>
      <c r="U418" s="4"/>
      <c r="V418" s="4"/>
      <c r="W418" s="4"/>
      <c r="X418" s="4"/>
      <c r="Y418" s="4"/>
      <c r="Z418" s="4"/>
    </row>
    <row r="419">
      <c r="A419" s="13"/>
      <c r="B419" s="161"/>
      <c r="C419" s="13"/>
      <c r="D419" s="4"/>
      <c r="E419" s="4"/>
      <c r="F419" s="4"/>
      <c r="G419" s="4"/>
      <c r="H419" s="4"/>
      <c r="I419" s="4"/>
      <c r="J419" s="4"/>
      <c r="K419" s="4"/>
      <c r="L419" s="4"/>
      <c r="M419" s="4"/>
      <c r="N419" s="4"/>
      <c r="O419" s="4"/>
      <c r="P419" s="4"/>
      <c r="Q419" s="4"/>
      <c r="R419" s="4"/>
      <c r="S419" s="4"/>
      <c r="T419" s="4"/>
      <c r="U419" s="4"/>
      <c r="V419" s="4"/>
      <c r="W419" s="4"/>
      <c r="X419" s="4"/>
      <c r="Y419" s="4"/>
      <c r="Z419" s="4"/>
    </row>
    <row r="420">
      <c r="A420" s="13"/>
      <c r="B420" s="161"/>
      <c r="C420" s="13"/>
      <c r="D420" s="4"/>
      <c r="E420" s="4"/>
      <c r="F420" s="4"/>
      <c r="G420" s="4"/>
      <c r="H420" s="4"/>
      <c r="I420" s="4"/>
      <c r="J420" s="4"/>
      <c r="K420" s="4"/>
      <c r="L420" s="4"/>
      <c r="M420" s="4"/>
      <c r="N420" s="4"/>
      <c r="O420" s="4"/>
      <c r="P420" s="4"/>
      <c r="Q420" s="4"/>
      <c r="R420" s="4"/>
      <c r="S420" s="4"/>
      <c r="T420" s="4"/>
      <c r="U420" s="4"/>
      <c r="V420" s="4"/>
      <c r="W420" s="4"/>
      <c r="X420" s="4"/>
      <c r="Y420" s="4"/>
      <c r="Z420" s="4"/>
    </row>
    <row r="421">
      <c r="A421" s="13"/>
      <c r="B421" s="161"/>
      <c r="C421" s="13"/>
      <c r="D421" s="4"/>
      <c r="E421" s="4"/>
      <c r="F421" s="4"/>
      <c r="G421" s="4"/>
      <c r="H421" s="4"/>
      <c r="I421" s="4"/>
      <c r="J421" s="4"/>
      <c r="K421" s="4"/>
      <c r="L421" s="4"/>
      <c r="M421" s="4"/>
      <c r="N421" s="4"/>
      <c r="O421" s="4"/>
      <c r="P421" s="4"/>
      <c r="Q421" s="4"/>
      <c r="R421" s="4"/>
      <c r="S421" s="4"/>
      <c r="T421" s="4"/>
      <c r="U421" s="4"/>
      <c r="V421" s="4"/>
      <c r="W421" s="4"/>
      <c r="X421" s="4"/>
      <c r="Y421" s="4"/>
      <c r="Z421" s="4"/>
    </row>
    <row r="422">
      <c r="A422" s="13"/>
      <c r="B422" s="161"/>
      <c r="C422" s="13"/>
      <c r="D422" s="4"/>
      <c r="E422" s="4"/>
      <c r="F422" s="4"/>
      <c r="G422" s="4"/>
      <c r="H422" s="4"/>
      <c r="I422" s="4"/>
      <c r="J422" s="4"/>
      <c r="K422" s="4"/>
      <c r="L422" s="4"/>
      <c r="M422" s="4"/>
      <c r="N422" s="4"/>
      <c r="O422" s="4"/>
      <c r="P422" s="4"/>
      <c r="Q422" s="4"/>
      <c r="R422" s="4"/>
      <c r="S422" s="4"/>
      <c r="T422" s="4"/>
      <c r="U422" s="4"/>
      <c r="V422" s="4"/>
      <c r="W422" s="4"/>
      <c r="X422" s="4"/>
      <c r="Y422" s="4"/>
      <c r="Z422" s="4"/>
    </row>
    <row r="423">
      <c r="A423" s="13"/>
      <c r="B423" s="161"/>
      <c r="C423" s="13"/>
      <c r="D423" s="4"/>
      <c r="E423" s="4"/>
      <c r="F423" s="4"/>
      <c r="G423" s="4"/>
      <c r="H423" s="4"/>
      <c r="I423" s="4"/>
      <c r="J423" s="4"/>
      <c r="K423" s="4"/>
      <c r="L423" s="4"/>
      <c r="M423" s="4"/>
      <c r="N423" s="4"/>
      <c r="O423" s="4"/>
      <c r="P423" s="4"/>
      <c r="Q423" s="4"/>
      <c r="R423" s="4"/>
      <c r="S423" s="4"/>
      <c r="T423" s="4"/>
      <c r="U423" s="4"/>
      <c r="V423" s="4"/>
      <c r="W423" s="4"/>
      <c r="X423" s="4"/>
      <c r="Y423" s="4"/>
      <c r="Z423" s="4"/>
    </row>
    <row r="424">
      <c r="A424" s="13"/>
      <c r="B424" s="161"/>
      <c r="C424" s="13"/>
      <c r="D424" s="4"/>
      <c r="E424" s="4"/>
      <c r="F424" s="4"/>
      <c r="G424" s="4"/>
      <c r="H424" s="4"/>
      <c r="I424" s="4"/>
      <c r="J424" s="4"/>
      <c r="K424" s="4"/>
      <c r="L424" s="4"/>
      <c r="M424" s="4"/>
      <c r="N424" s="4"/>
      <c r="O424" s="4"/>
      <c r="P424" s="4"/>
      <c r="Q424" s="4"/>
      <c r="R424" s="4"/>
      <c r="S424" s="4"/>
      <c r="T424" s="4"/>
      <c r="U424" s="4"/>
      <c r="V424" s="4"/>
      <c r="W424" s="4"/>
      <c r="X424" s="4"/>
      <c r="Y424" s="4"/>
      <c r="Z424" s="4"/>
    </row>
    <row r="425">
      <c r="A425" s="13"/>
      <c r="B425" s="161"/>
      <c r="C425" s="13"/>
      <c r="D425" s="4"/>
      <c r="E425" s="4"/>
      <c r="F425" s="4"/>
      <c r="G425" s="4"/>
      <c r="H425" s="4"/>
      <c r="I425" s="4"/>
      <c r="J425" s="4"/>
      <c r="K425" s="4"/>
      <c r="L425" s="4"/>
      <c r="M425" s="4"/>
      <c r="N425" s="4"/>
      <c r="O425" s="4"/>
      <c r="P425" s="4"/>
      <c r="Q425" s="4"/>
      <c r="R425" s="4"/>
      <c r="S425" s="4"/>
      <c r="T425" s="4"/>
      <c r="U425" s="4"/>
      <c r="V425" s="4"/>
      <c r="W425" s="4"/>
      <c r="X425" s="4"/>
      <c r="Y425" s="4"/>
      <c r="Z425" s="4"/>
    </row>
    <row r="426">
      <c r="A426" s="13"/>
      <c r="B426" s="161"/>
      <c r="C426" s="13"/>
      <c r="D426" s="4"/>
      <c r="E426" s="4"/>
      <c r="F426" s="4"/>
      <c r="G426" s="4"/>
      <c r="H426" s="4"/>
      <c r="I426" s="4"/>
      <c r="J426" s="4"/>
      <c r="K426" s="4"/>
      <c r="L426" s="4"/>
      <c r="M426" s="4"/>
      <c r="N426" s="4"/>
      <c r="O426" s="4"/>
      <c r="P426" s="4"/>
      <c r="Q426" s="4"/>
      <c r="R426" s="4"/>
      <c r="S426" s="4"/>
      <c r="T426" s="4"/>
      <c r="U426" s="4"/>
      <c r="V426" s="4"/>
      <c r="W426" s="4"/>
      <c r="X426" s="4"/>
      <c r="Y426" s="4"/>
      <c r="Z426" s="4"/>
    </row>
    <row r="427">
      <c r="A427" s="13"/>
      <c r="B427" s="161"/>
      <c r="C427" s="13"/>
      <c r="D427" s="4"/>
      <c r="E427" s="4"/>
      <c r="F427" s="4"/>
      <c r="G427" s="4"/>
      <c r="H427" s="4"/>
      <c r="I427" s="4"/>
      <c r="J427" s="4"/>
      <c r="K427" s="4"/>
      <c r="L427" s="4"/>
      <c r="M427" s="4"/>
      <c r="N427" s="4"/>
      <c r="O427" s="4"/>
      <c r="P427" s="4"/>
      <c r="Q427" s="4"/>
      <c r="R427" s="4"/>
      <c r="S427" s="4"/>
      <c r="T427" s="4"/>
      <c r="U427" s="4"/>
      <c r="V427" s="4"/>
      <c r="W427" s="4"/>
      <c r="X427" s="4"/>
      <c r="Y427" s="4"/>
      <c r="Z427" s="4"/>
    </row>
    <row r="428">
      <c r="A428" s="13"/>
      <c r="B428" s="161"/>
      <c r="C428" s="13"/>
      <c r="D428" s="4"/>
      <c r="E428" s="4"/>
      <c r="F428" s="4"/>
      <c r="G428" s="4"/>
      <c r="H428" s="4"/>
      <c r="I428" s="4"/>
      <c r="J428" s="4"/>
      <c r="K428" s="4"/>
      <c r="L428" s="4"/>
      <c r="M428" s="4"/>
      <c r="N428" s="4"/>
      <c r="O428" s="4"/>
      <c r="P428" s="4"/>
      <c r="Q428" s="4"/>
      <c r="R428" s="4"/>
      <c r="S428" s="4"/>
      <c r="T428" s="4"/>
      <c r="U428" s="4"/>
      <c r="V428" s="4"/>
      <c r="W428" s="4"/>
      <c r="X428" s="4"/>
      <c r="Y428" s="4"/>
      <c r="Z428" s="4"/>
    </row>
    <row r="429">
      <c r="A429" s="13"/>
      <c r="B429" s="161"/>
      <c r="C429" s="13"/>
      <c r="D429" s="4"/>
      <c r="E429" s="4"/>
      <c r="F429" s="4"/>
      <c r="G429" s="4"/>
      <c r="H429" s="4"/>
      <c r="I429" s="4"/>
      <c r="J429" s="4"/>
      <c r="K429" s="4"/>
      <c r="L429" s="4"/>
      <c r="M429" s="4"/>
      <c r="N429" s="4"/>
      <c r="O429" s="4"/>
      <c r="P429" s="4"/>
      <c r="Q429" s="4"/>
      <c r="R429" s="4"/>
      <c r="S429" s="4"/>
      <c r="T429" s="4"/>
      <c r="U429" s="4"/>
      <c r="V429" s="4"/>
      <c r="W429" s="4"/>
      <c r="X429" s="4"/>
      <c r="Y429" s="4"/>
      <c r="Z429" s="4"/>
    </row>
    <row r="430">
      <c r="A430" s="13"/>
      <c r="B430" s="161"/>
      <c r="C430" s="13"/>
      <c r="D430" s="4"/>
      <c r="E430" s="4"/>
      <c r="F430" s="4"/>
      <c r="G430" s="4"/>
      <c r="H430" s="4"/>
      <c r="I430" s="4"/>
      <c r="J430" s="4"/>
      <c r="K430" s="4"/>
      <c r="L430" s="4"/>
      <c r="M430" s="4"/>
      <c r="N430" s="4"/>
      <c r="O430" s="4"/>
      <c r="P430" s="4"/>
      <c r="Q430" s="4"/>
      <c r="R430" s="4"/>
      <c r="S430" s="4"/>
      <c r="T430" s="4"/>
      <c r="U430" s="4"/>
      <c r="V430" s="4"/>
      <c r="W430" s="4"/>
      <c r="X430" s="4"/>
      <c r="Y430" s="4"/>
      <c r="Z430" s="4"/>
    </row>
    <row r="431">
      <c r="A431" s="13"/>
      <c r="B431" s="161"/>
      <c r="C431" s="13"/>
      <c r="D431" s="4"/>
      <c r="E431" s="4"/>
      <c r="F431" s="4"/>
      <c r="G431" s="4"/>
      <c r="H431" s="4"/>
      <c r="I431" s="4"/>
      <c r="J431" s="4"/>
      <c r="K431" s="4"/>
      <c r="L431" s="4"/>
      <c r="M431" s="4"/>
      <c r="N431" s="4"/>
      <c r="O431" s="4"/>
      <c r="P431" s="4"/>
      <c r="Q431" s="4"/>
      <c r="R431" s="4"/>
      <c r="S431" s="4"/>
      <c r="T431" s="4"/>
      <c r="U431" s="4"/>
      <c r="V431" s="4"/>
      <c r="W431" s="4"/>
      <c r="X431" s="4"/>
      <c r="Y431" s="4"/>
      <c r="Z431" s="4"/>
    </row>
    <row r="432">
      <c r="A432" s="13"/>
      <c r="B432" s="161"/>
      <c r="C432" s="13"/>
      <c r="D432" s="4"/>
      <c r="E432" s="4"/>
      <c r="F432" s="4"/>
      <c r="G432" s="4"/>
      <c r="H432" s="4"/>
      <c r="I432" s="4"/>
      <c r="J432" s="4"/>
      <c r="K432" s="4"/>
      <c r="L432" s="4"/>
      <c r="M432" s="4"/>
      <c r="N432" s="4"/>
      <c r="O432" s="4"/>
      <c r="P432" s="4"/>
      <c r="Q432" s="4"/>
      <c r="R432" s="4"/>
      <c r="S432" s="4"/>
      <c r="T432" s="4"/>
      <c r="U432" s="4"/>
      <c r="V432" s="4"/>
      <c r="W432" s="4"/>
      <c r="X432" s="4"/>
      <c r="Y432" s="4"/>
      <c r="Z432" s="4"/>
    </row>
    <row r="433">
      <c r="A433" s="13"/>
      <c r="B433" s="161"/>
      <c r="C433" s="13"/>
      <c r="D433" s="4"/>
      <c r="E433" s="4"/>
      <c r="F433" s="4"/>
      <c r="G433" s="4"/>
      <c r="H433" s="4"/>
      <c r="I433" s="4"/>
      <c r="J433" s="4"/>
      <c r="K433" s="4"/>
      <c r="L433" s="4"/>
      <c r="M433" s="4"/>
      <c r="N433" s="4"/>
      <c r="O433" s="4"/>
      <c r="P433" s="4"/>
      <c r="Q433" s="4"/>
      <c r="R433" s="4"/>
      <c r="S433" s="4"/>
      <c r="T433" s="4"/>
      <c r="U433" s="4"/>
      <c r="V433" s="4"/>
      <c r="W433" s="4"/>
      <c r="X433" s="4"/>
      <c r="Y433" s="4"/>
      <c r="Z433" s="4"/>
    </row>
    <row r="434">
      <c r="A434" s="13"/>
      <c r="B434" s="161"/>
      <c r="C434" s="13"/>
      <c r="D434" s="4"/>
      <c r="E434" s="4"/>
      <c r="F434" s="4"/>
      <c r="G434" s="4"/>
      <c r="H434" s="4"/>
      <c r="I434" s="4"/>
      <c r="J434" s="4"/>
      <c r="K434" s="4"/>
      <c r="L434" s="4"/>
      <c r="M434" s="4"/>
      <c r="N434" s="4"/>
      <c r="O434" s="4"/>
      <c r="P434" s="4"/>
      <c r="Q434" s="4"/>
      <c r="R434" s="4"/>
      <c r="S434" s="4"/>
      <c r="T434" s="4"/>
      <c r="U434" s="4"/>
      <c r="V434" s="4"/>
      <c r="W434" s="4"/>
      <c r="X434" s="4"/>
      <c r="Y434" s="4"/>
      <c r="Z434" s="4"/>
    </row>
    <row r="435">
      <c r="A435" s="13"/>
      <c r="B435" s="161"/>
      <c r="C435" s="13"/>
      <c r="D435" s="4"/>
      <c r="E435" s="4"/>
      <c r="F435" s="4"/>
      <c r="G435" s="4"/>
      <c r="H435" s="4"/>
      <c r="I435" s="4"/>
      <c r="J435" s="4"/>
      <c r="K435" s="4"/>
      <c r="L435" s="4"/>
      <c r="M435" s="4"/>
      <c r="N435" s="4"/>
      <c r="O435" s="4"/>
      <c r="P435" s="4"/>
      <c r="Q435" s="4"/>
      <c r="R435" s="4"/>
      <c r="S435" s="4"/>
      <c r="T435" s="4"/>
      <c r="U435" s="4"/>
      <c r="V435" s="4"/>
      <c r="W435" s="4"/>
      <c r="X435" s="4"/>
      <c r="Y435" s="4"/>
      <c r="Z435" s="4"/>
    </row>
    <row r="436">
      <c r="A436" s="13"/>
      <c r="B436" s="161"/>
      <c r="C436" s="13"/>
      <c r="D436" s="4"/>
      <c r="E436" s="4"/>
      <c r="F436" s="4"/>
      <c r="G436" s="4"/>
      <c r="H436" s="4"/>
      <c r="I436" s="4"/>
      <c r="J436" s="4"/>
      <c r="K436" s="4"/>
      <c r="L436" s="4"/>
      <c r="M436" s="4"/>
      <c r="N436" s="4"/>
      <c r="O436" s="4"/>
      <c r="P436" s="4"/>
      <c r="Q436" s="4"/>
      <c r="R436" s="4"/>
      <c r="S436" s="4"/>
      <c r="T436" s="4"/>
      <c r="U436" s="4"/>
      <c r="V436" s="4"/>
      <c r="W436" s="4"/>
      <c r="X436" s="4"/>
      <c r="Y436" s="4"/>
      <c r="Z436" s="4"/>
    </row>
    <row r="437">
      <c r="A437" s="13"/>
      <c r="B437" s="161"/>
      <c r="C437" s="13"/>
      <c r="D437" s="4"/>
      <c r="E437" s="4"/>
      <c r="F437" s="4"/>
      <c r="G437" s="4"/>
      <c r="H437" s="4"/>
      <c r="I437" s="4"/>
      <c r="J437" s="4"/>
      <c r="K437" s="4"/>
      <c r="L437" s="4"/>
      <c r="M437" s="4"/>
      <c r="N437" s="4"/>
      <c r="O437" s="4"/>
      <c r="P437" s="4"/>
      <c r="Q437" s="4"/>
      <c r="R437" s="4"/>
      <c r="S437" s="4"/>
      <c r="T437" s="4"/>
      <c r="U437" s="4"/>
      <c r="V437" s="4"/>
      <c r="W437" s="4"/>
      <c r="X437" s="4"/>
      <c r="Y437" s="4"/>
      <c r="Z437" s="4"/>
    </row>
    <row r="438">
      <c r="A438" s="13"/>
      <c r="B438" s="161"/>
      <c r="C438" s="13"/>
      <c r="D438" s="4"/>
      <c r="E438" s="4"/>
      <c r="F438" s="4"/>
      <c r="G438" s="4"/>
      <c r="H438" s="4"/>
      <c r="I438" s="4"/>
      <c r="J438" s="4"/>
      <c r="K438" s="4"/>
      <c r="L438" s="4"/>
      <c r="M438" s="4"/>
      <c r="N438" s="4"/>
      <c r="O438" s="4"/>
      <c r="P438" s="4"/>
      <c r="Q438" s="4"/>
      <c r="R438" s="4"/>
      <c r="S438" s="4"/>
      <c r="T438" s="4"/>
      <c r="U438" s="4"/>
      <c r="V438" s="4"/>
      <c r="W438" s="4"/>
      <c r="X438" s="4"/>
      <c r="Y438" s="4"/>
      <c r="Z438" s="4"/>
    </row>
    <row r="439">
      <c r="A439" s="13"/>
      <c r="B439" s="161"/>
      <c r="C439" s="13"/>
      <c r="D439" s="4"/>
      <c r="E439" s="4"/>
      <c r="F439" s="4"/>
      <c r="G439" s="4"/>
      <c r="H439" s="4"/>
      <c r="I439" s="4"/>
      <c r="J439" s="4"/>
      <c r="K439" s="4"/>
      <c r="L439" s="4"/>
      <c r="M439" s="4"/>
      <c r="N439" s="4"/>
      <c r="O439" s="4"/>
      <c r="P439" s="4"/>
      <c r="Q439" s="4"/>
      <c r="R439" s="4"/>
      <c r="S439" s="4"/>
      <c r="T439" s="4"/>
      <c r="U439" s="4"/>
      <c r="V439" s="4"/>
      <c r="W439" s="4"/>
      <c r="X439" s="4"/>
      <c r="Y439" s="4"/>
      <c r="Z439" s="4"/>
    </row>
    <row r="440">
      <c r="A440" s="13"/>
      <c r="B440" s="161"/>
      <c r="C440" s="13"/>
      <c r="D440" s="4"/>
      <c r="E440" s="4"/>
      <c r="F440" s="4"/>
      <c r="G440" s="4"/>
      <c r="H440" s="4"/>
      <c r="I440" s="4"/>
      <c r="J440" s="4"/>
      <c r="K440" s="4"/>
      <c r="L440" s="4"/>
      <c r="M440" s="4"/>
      <c r="N440" s="4"/>
      <c r="O440" s="4"/>
      <c r="P440" s="4"/>
      <c r="Q440" s="4"/>
      <c r="R440" s="4"/>
      <c r="S440" s="4"/>
      <c r="T440" s="4"/>
      <c r="U440" s="4"/>
      <c r="V440" s="4"/>
      <c r="W440" s="4"/>
      <c r="X440" s="4"/>
      <c r="Y440" s="4"/>
      <c r="Z440" s="4"/>
    </row>
    <row r="441">
      <c r="A441" s="13"/>
      <c r="B441" s="161"/>
      <c r="C441" s="13"/>
      <c r="D441" s="4"/>
      <c r="E441" s="4"/>
      <c r="F441" s="4"/>
      <c r="G441" s="4"/>
      <c r="H441" s="4"/>
      <c r="I441" s="4"/>
      <c r="J441" s="4"/>
      <c r="K441" s="4"/>
      <c r="L441" s="4"/>
      <c r="M441" s="4"/>
      <c r="N441" s="4"/>
      <c r="O441" s="4"/>
      <c r="P441" s="4"/>
      <c r="Q441" s="4"/>
      <c r="R441" s="4"/>
      <c r="S441" s="4"/>
      <c r="T441" s="4"/>
      <c r="U441" s="4"/>
      <c r="V441" s="4"/>
      <c r="W441" s="4"/>
      <c r="X441" s="4"/>
      <c r="Y441" s="4"/>
      <c r="Z441" s="4"/>
    </row>
    <row r="442">
      <c r="A442" s="13"/>
      <c r="B442" s="161"/>
      <c r="C442" s="13"/>
      <c r="D442" s="4"/>
      <c r="E442" s="4"/>
      <c r="F442" s="4"/>
      <c r="G442" s="4"/>
      <c r="H442" s="4"/>
      <c r="I442" s="4"/>
      <c r="J442" s="4"/>
      <c r="K442" s="4"/>
      <c r="L442" s="4"/>
      <c r="M442" s="4"/>
      <c r="N442" s="4"/>
      <c r="O442" s="4"/>
      <c r="P442" s="4"/>
      <c r="Q442" s="4"/>
      <c r="R442" s="4"/>
      <c r="S442" s="4"/>
      <c r="T442" s="4"/>
      <c r="U442" s="4"/>
      <c r="V442" s="4"/>
      <c r="W442" s="4"/>
      <c r="X442" s="4"/>
      <c r="Y442" s="4"/>
      <c r="Z442" s="4"/>
    </row>
    <row r="443">
      <c r="A443" s="13"/>
      <c r="B443" s="161"/>
      <c r="C443" s="13"/>
      <c r="D443" s="4"/>
      <c r="E443" s="4"/>
      <c r="F443" s="4"/>
      <c r="G443" s="4"/>
      <c r="H443" s="4"/>
      <c r="I443" s="4"/>
      <c r="J443" s="4"/>
      <c r="K443" s="4"/>
      <c r="L443" s="4"/>
      <c r="M443" s="4"/>
      <c r="N443" s="4"/>
      <c r="O443" s="4"/>
      <c r="P443" s="4"/>
      <c r="Q443" s="4"/>
      <c r="R443" s="4"/>
      <c r="S443" s="4"/>
      <c r="T443" s="4"/>
      <c r="U443" s="4"/>
      <c r="V443" s="4"/>
      <c r="W443" s="4"/>
      <c r="X443" s="4"/>
      <c r="Y443" s="4"/>
      <c r="Z443" s="4"/>
    </row>
    <row r="444">
      <c r="A444" s="13"/>
      <c r="B444" s="161"/>
      <c r="C444" s="13"/>
      <c r="D444" s="4"/>
      <c r="E444" s="4"/>
      <c r="F444" s="4"/>
      <c r="G444" s="4"/>
      <c r="H444" s="4"/>
      <c r="I444" s="4"/>
      <c r="J444" s="4"/>
      <c r="K444" s="4"/>
      <c r="L444" s="4"/>
      <c r="M444" s="4"/>
      <c r="N444" s="4"/>
      <c r="O444" s="4"/>
      <c r="P444" s="4"/>
      <c r="Q444" s="4"/>
      <c r="R444" s="4"/>
      <c r="S444" s="4"/>
      <c r="T444" s="4"/>
      <c r="U444" s="4"/>
      <c r="V444" s="4"/>
      <c r="W444" s="4"/>
      <c r="X444" s="4"/>
      <c r="Y444" s="4"/>
      <c r="Z444" s="4"/>
    </row>
    <row r="445">
      <c r="A445" s="13"/>
      <c r="B445" s="161"/>
      <c r="C445" s="13"/>
      <c r="D445" s="4"/>
      <c r="E445" s="4"/>
      <c r="F445" s="4"/>
      <c r="G445" s="4"/>
      <c r="H445" s="4"/>
      <c r="I445" s="4"/>
      <c r="J445" s="4"/>
      <c r="K445" s="4"/>
      <c r="L445" s="4"/>
      <c r="M445" s="4"/>
      <c r="N445" s="4"/>
      <c r="O445" s="4"/>
      <c r="P445" s="4"/>
      <c r="Q445" s="4"/>
      <c r="R445" s="4"/>
      <c r="S445" s="4"/>
      <c r="T445" s="4"/>
      <c r="U445" s="4"/>
      <c r="V445" s="4"/>
      <c r="W445" s="4"/>
      <c r="X445" s="4"/>
      <c r="Y445" s="4"/>
      <c r="Z445" s="4"/>
    </row>
    <row r="446">
      <c r="A446" s="13"/>
      <c r="B446" s="161"/>
      <c r="C446" s="13"/>
      <c r="D446" s="4"/>
      <c r="E446" s="4"/>
      <c r="F446" s="4"/>
      <c r="G446" s="4"/>
      <c r="H446" s="4"/>
      <c r="I446" s="4"/>
      <c r="J446" s="4"/>
      <c r="K446" s="4"/>
      <c r="L446" s="4"/>
      <c r="M446" s="4"/>
      <c r="N446" s="4"/>
      <c r="O446" s="4"/>
      <c r="P446" s="4"/>
      <c r="Q446" s="4"/>
      <c r="R446" s="4"/>
      <c r="S446" s="4"/>
      <c r="T446" s="4"/>
      <c r="U446" s="4"/>
      <c r="V446" s="4"/>
      <c r="W446" s="4"/>
      <c r="X446" s="4"/>
      <c r="Y446" s="4"/>
      <c r="Z446" s="4"/>
    </row>
    <row r="447">
      <c r="A447" s="13"/>
      <c r="B447" s="161"/>
      <c r="C447" s="13"/>
      <c r="D447" s="4"/>
      <c r="E447" s="4"/>
      <c r="F447" s="4"/>
      <c r="G447" s="4"/>
      <c r="H447" s="4"/>
      <c r="I447" s="4"/>
      <c r="J447" s="4"/>
      <c r="K447" s="4"/>
      <c r="L447" s="4"/>
      <c r="M447" s="4"/>
      <c r="N447" s="4"/>
      <c r="O447" s="4"/>
      <c r="P447" s="4"/>
      <c r="Q447" s="4"/>
      <c r="R447" s="4"/>
      <c r="S447" s="4"/>
      <c r="T447" s="4"/>
      <c r="U447" s="4"/>
      <c r="V447" s="4"/>
      <c r="W447" s="4"/>
      <c r="X447" s="4"/>
      <c r="Y447" s="4"/>
      <c r="Z447" s="4"/>
    </row>
    <row r="448">
      <c r="A448" s="13"/>
      <c r="B448" s="161"/>
      <c r="C448" s="13"/>
      <c r="D448" s="4"/>
      <c r="E448" s="4"/>
      <c r="F448" s="4"/>
      <c r="G448" s="4"/>
      <c r="H448" s="4"/>
      <c r="I448" s="4"/>
      <c r="J448" s="4"/>
      <c r="K448" s="4"/>
      <c r="L448" s="4"/>
      <c r="M448" s="4"/>
      <c r="N448" s="4"/>
      <c r="O448" s="4"/>
      <c r="P448" s="4"/>
      <c r="Q448" s="4"/>
      <c r="R448" s="4"/>
      <c r="S448" s="4"/>
      <c r="T448" s="4"/>
      <c r="U448" s="4"/>
      <c r="V448" s="4"/>
      <c r="W448" s="4"/>
      <c r="X448" s="4"/>
      <c r="Y448" s="4"/>
      <c r="Z448" s="4"/>
    </row>
    <row r="449">
      <c r="A449" s="13"/>
      <c r="B449" s="161"/>
      <c r="C449" s="13"/>
      <c r="D449" s="4"/>
      <c r="E449" s="4"/>
      <c r="F449" s="4"/>
      <c r="G449" s="4"/>
      <c r="H449" s="4"/>
      <c r="I449" s="4"/>
      <c r="J449" s="4"/>
      <c r="K449" s="4"/>
      <c r="L449" s="4"/>
      <c r="M449" s="4"/>
      <c r="N449" s="4"/>
      <c r="O449" s="4"/>
      <c r="P449" s="4"/>
      <c r="Q449" s="4"/>
      <c r="R449" s="4"/>
      <c r="S449" s="4"/>
      <c r="T449" s="4"/>
      <c r="U449" s="4"/>
      <c r="V449" s="4"/>
      <c r="W449" s="4"/>
      <c r="X449" s="4"/>
      <c r="Y449" s="4"/>
      <c r="Z449" s="4"/>
    </row>
    <row r="450">
      <c r="A450" s="13"/>
      <c r="B450" s="161"/>
      <c r="C450" s="13"/>
      <c r="D450" s="4"/>
      <c r="E450" s="4"/>
      <c r="F450" s="4"/>
      <c r="G450" s="4"/>
      <c r="H450" s="4"/>
      <c r="I450" s="4"/>
      <c r="J450" s="4"/>
      <c r="K450" s="4"/>
      <c r="L450" s="4"/>
      <c r="M450" s="4"/>
      <c r="N450" s="4"/>
      <c r="O450" s="4"/>
      <c r="P450" s="4"/>
      <c r="Q450" s="4"/>
      <c r="R450" s="4"/>
      <c r="S450" s="4"/>
      <c r="T450" s="4"/>
      <c r="U450" s="4"/>
      <c r="V450" s="4"/>
      <c r="W450" s="4"/>
      <c r="X450" s="4"/>
      <c r="Y450" s="4"/>
      <c r="Z450" s="4"/>
    </row>
    <row r="451">
      <c r="A451" s="13"/>
      <c r="B451" s="161"/>
      <c r="C451" s="13"/>
      <c r="D451" s="4"/>
      <c r="E451" s="4"/>
      <c r="F451" s="4"/>
      <c r="G451" s="4"/>
      <c r="H451" s="4"/>
      <c r="I451" s="4"/>
      <c r="J451" s="4"/>
      <c r="K451" s="4"/>
      <c r="L451" s="4"/>
      <c r="M451" s="4"/>
      <c r="N451" s="4"/>
      <c r="O451" s="4"/>
      <c r="P451" s="4"/>
      <c r="Q451" s="4"/>
      <c r="R451" s="4"/>
      <c r="S451" s="4"/>
      <c r="T451" s="4"/>
      <c r="U451" s="4"/>
      <c r="V451" s="4"/>
      <c r="W451" s="4"/>
      <c r="X451" s="4"/>
      <c r="Y451" s="4"/>
      <c r="Z451" s="4"/>
    </row>
    <row r="452">
      <c r="A452" s="13"/>
      <c r="B452" s="161"/>
      <c r="C452" s="13"/>
      <c r="D452" s="4"/>
      <c r="E452" s="4"/>
      <c r="F452" s="4"/>
      <c r="G452" s="4"/>
      <c r="H452" s="4"/>
      <c r="I452" s="4"/>
      <c r="J452" s="4"/>
      <c r="K452" s="4"/>
      <c r="L452" s="4"/>
      <c r="M452" s="4"/>
      <c r="N452" s="4"/>
      <c r="O452" s="4"/>
      <c r="P452" s="4"/>
      <c r="Q452" s="4"/>
      <c r="R452" s="4"/>
      <c r="S452" s="4"/>
      <c r="T452" s="4"/>
      <c r="U452" s="4"/>
      <c r="V452" s="4"/>
      <c r="W452" s="4"/>
      <c r="X452" s="4"/>
      <c r="Y452" s="4"/>
      <c r="Z452" s="4"/>
    </row>
    <row r="453">
      <c r="A453" s="13"/>
      <c r="B453" s="161"/>
      <c r="C453" s="13"/>
      <c r="D453" s="4"/>
      <c r="E453" s="4"/>
      <c r="F453" s="4"/>
      <c r="G453" s="4"/>
      <c r="H453" s="4"/>
      <c r="I453" s="4"/>
      <c r="J453" s="4"/>
      <c r="K453" s="4"/>
      <c r="L453" s="4"/>
      <c r="M453" s="4"/>
      <c r="N453" s="4"/>
      <c r="O453" s="4"/>
      <c r="P453" s="4"/>
      <c r="Q453" s="4"/>
      <c r="R453" s="4"/>
      <c r="S453" s="4"/>
      <c r="T453" s="4"/>
      <c r="U453" s="4"/>
      <c r="V453" s="4"/>
      <c r="W453" s="4"/>
      <c r="X453" s="4"/>
      <c r="Y453" s="4"/>
      <c r="Z453" s="4"/>
    </row>
    <row r="454">
      <c r="A454" s="13"/>
      <c r="B454" s="161"/>
      <c r="C454" s="13"/>
      <c r="D454" s="4"/>
      <c r="E454" s="4"/>
      <c r="F454" s="4"/>
      <c r="G454" s="4"/>
      <c r="H454" s="4"/>
      <c r="I454" s="4"/>
      <c r="J454" s="4"/>
      <c r="K454" s="4"/>
      <c r="L454" s="4"/>
      <c r="M454" s="4"/>
      <c r="N454" s="4"/>
      <c r="O454" s="4"/>
      <c r="P454" s="4"/>
      <c r="Q454" s="4"/>
      <c r="R454" s="4"/>
      <c r="S454" s="4"/>
      <c r="T454" s="4"/>
      <c r="U454" s="4"/>
      <c r="V454" s="4"/>
      <c r="W454" s="4"/>
      <c r="X454" s="4"/>
      <c r="Y454" s="4"/>
      <c r="Z454" s="4"/>
    </row>
    <row r="455">
      <c r="A455" s="13"/>
      <c r="B455" s="161"/>
      <c r="C455" s="13"/>
      <c r="D455" s="4"/>
      <c r="E455" s="4"/>
      <c r="F455" s="4"/>
      <c r="G455" s="4"/>
      <c r="H455" s="4"/>
      <c r="I455" s="4"/>
      <c r="J455" s="4"/>
      <c r="K455" s="4"/>
      <c r="L455" s="4"/>
      <c r="M455" s="4"/>
      <c r="N455" s="4"/>
      <c r="O455" s="4"/>
      <c r="P455" s="4"/>
      <c r="Q455" s="4"/>
      <c r="R455" s="4"/>
      <c r="S455" s="4"/>
      <c r="T455" s="4"/>
      <c r="U455" s="4"/>
      <c r="V455" s="4"/>
      <c r="W455" s="4"/>
      <c r="X455" s="4"/>
      <c r="Y455" s="4"/>
      <c r="Z455" s="4"/>
    </row>
    <row r="456">
      <c r="A456" s="13"/>
      <c r="B456" s="161"/>
      <c r="C456" s="13"/>
      <c r="D456" s="4"/>
      <c r="E456" s="4"/>
      <c r="F456" s="4"/>
      <c r="G456" s="4"/>
      <c r="H456" s="4"/>
      <c r="I456" s="4"/>
      <c r="J456" s="4"/>
      <c r="K456" s="4"/>
      <c r="L456" s="4"/>
      <c r="M456" s="4"/>
      <c r="N456" s="4"/>
      <c r="O456" s="4"/>
      <c r="P456" s="4"/>
      <c r="Q456" s="4"/>
      <c r="R456" s="4"/>
      <c r="S456" s="4"/>
      <c r="T456" s="4"/>
      <c r="U456" s="4"/>
      <c r="V456" s="4"/>
      <c r="W456" s="4"/>
      <c r="X456" s="4"/>
      <c r="Y456" s="4"/>
      <c r="Z456" s="4"/>
    </row>
    <row r="457">
      <c r="A457" s="13"/>
      <c r="B457" s="161"/>
      <c r="C457" s="13"/>
      <c r="D457" s="4"/>
      <c r="E457" s="4"/>
      <c r="F457" s="4"/>
      <c r="G457" s="4"/>
      <c r="H457" s="4"/>
      <c r="I457" s="4"/>
      <c r="J457" s="4"/>
      <c r="K457" s="4"/>
      <c r="L457" s="4"/>
      <c r="M457" s="4"/>
      <c r="N457" s="4"/>
      <c r="O457" s="4"/>
      <c r="P457" s="4"/>
      <c r="Q457" s="4"/>
      <c r="R457" s="4"/>
      <c r="S457" s="4"/>
      <c r="T457" s="4"/>
      <c r="U457" s="4"/>
      <c r="V457" s="4"/>
      <c r="W457" s="4"/>
      <c r="X457" s="4"/>
      <c r="Y457" s="4"/>
      <c r="Z457" s="4"/>
    </row>
    <row r="458">
      <c r="A458" s="13"/>
      <c r="B458" s="161"/>
      <c r="C458" s="13"/>
      <c r="D458" s="4"/>
      <c r="E458" s="4"/>
      <c r="F458" s="4"/>
      <c r="G458" s="4"/>
      <c r="H458" s="4"/>
      <c r="I458" s="4"/>
      <c r="J458" s="4"/>
      <c r="K458" s="4"/>
      <c r="L458" s="4"/>
      <c r="M458" s="4"/>
      <c r="N458" s="4"/>
      <c r="O458" s="4"/>
      <c r="P458" s="4"/>
      <c r="Q458" s="4"/>
      <c r="R458" s="4"/>
      <c r="S458" s="4"/>
      <c r="T458" s="4"/>
      <c r="U458" s="4"/>
      <c r="V458" s="4"/>
      <c r="W458" s="4"/>
      <c r="X458" s="4"/>
      <c r="Y458" s="4"/>
      <c r="Z458" s="4"/>
    </row>
    <row r="459">
      <c r="A459" s="13"/>
      <c r="B459" s="161"/>
      <c r="C459" s="13"/>
      <c r="D459" s="4"/>
      <c r="E459" s="4"/>
      <c r="F459" s="4"/>
      <c r="G459" s="4"/>
      <c r="H459" s="4"/>
      <c r="I459" s="4"/>
      <c r="J459" s="4"/>
      <c r="K459" s="4"/>
      <c r="L459" s="4"/>
      <c r="M459" s="4"/>
      <c r="N459" s="4"/>
      <c r="O459" s="4"/>
      <c r="P459" s="4"/>
      <c r="Q459" s="4"/>
      <c r="R459" s="4"/>
      <c r="S459" s="4"/>
      <c r="T459" s="4"/>
      <c r="U459" s="4"/>
      <c r="V459" s="4"/>
      <c r="W459" s="4"/>
      <c r="X459" s="4"/>
      <c r="Y459" s="4"/>
      <c r="Z459" s="4"/>
    </row>
    <row r="460">
      <c r="A460" s="13"/>
      <c r="B460" s="161"/>
      <c r="C460" s="13"/>
      <c r="D460" s="4"/>
      <c r="E460" s="4"/>
      <c r="F460" s="4"/>
      <c r="G460" s="4"/>
      <c r="H460" s="4"/>
      <c r="I460" s="4"/>
      <c r="J460" s="4"/>
      <c r="K460" s="4"/>
      <c r="L460" s="4"/>
      <c r="M460" s="4"/>
      <c r="N460" s="4"/>
      <c r="O460" s="4"/>
      <c r="P460" s="4"/>
      <c r="Q460" s="4"/>
      <c r="R460" s="4"/>
      <c r="S460" s="4"/>
      <c r="T460" s="4"/>
      <c r="U460" s="4"/>
      <c r="V460" s="4"/>
      <c r="W460" s="4"/>
      <c r="X460" s="4"/>
      <c r="Y460" s="4"/>
      <c r="Z460" s="4"/>
    </row>
    <row r="461">
      <c r="A461" s="13"/>
      <c r="B461" s="161"/>
      <c r="C461" s="13"/>
      <c r="D461" s="4"/>
      <c r="E461" s="4"/>
      <c r="F461" s="4"/>
      <c r="G461" s="4"/>
      <c r="H461" s="4"/>
      <c r="I461" s="4"/>
      <c r="J461" s="4"/>
      <c r="K461" s="4"/>
      <c r="L461" s="4"/>
      <c r="M461" s="4"/>
      <c r="N461" s="4"/>
      <c r="O461" s="4"/>
      <c r="P461" s="4"/>
      <c r="Q461" s="4"/>
      <c r="R461" s="4"/>
      <c r="S461" s="4"/>
      <c r="T461" s="4"/>
      <c r="U461" s="4"/>
      <c r="V461" s="4"/>
      <c r="W461" s="4"/>
      <c r="X461" s="4"/>
      <c r="Y461" s="4"/>
      <c r="Z461" s="4"/>
    </row>
    <row r="462">
      <c r="A462" s="13"/>
      <c r="B462" s="161"/>
      <c r="C462" s="13"/>
      <c r="D462" s="4"/>
      <c r="E462" s="4"/>
      <c r="F462" s="4"/>
      <c r="G462" s="4"/>
      <c r="H462" s="4"/>
      <c r="I462" s="4"/>
      <c r="J462" s="4"/>
      <c r="K462" s="4"/>
      <c r="L462" s="4"/>
      <c r="M462" s="4"/>
      <c r="N462" s="4"/>
      <c r="O462" s="4"/>
      <c r="P462" s="4"/>
      <c r="Q462" s="4"/>
      <c r="R462" s="4"/>
      <c r="S462" s="4"/>
      <c r="T462" s="4"/>
      <c r="U462" s="4"/>
      <c r="V462" s="4"/>
      <c r="W462" s="4"/>
      <c r="X462" s="4"/>
      <c r="Y462" s="4"/>
      <c r="Z462" s="4"/>
    </row>
    <row r="463">
      <c r="A463" s="13"/>
      <c r="B463" s="161"/>
      <c r="C463" s="13"/>
      <c r="D463" s="4"/>
      <c r="E463" s="4"/>
      <c r="F463" s="4"/>
      <c r="G463" s="4"/>
      <c r="H463" s="4"/>
      <c r="I463" s="4"/>
      <c r="J463" s="4"/>
      <c r="K463" s="4"/>
      <c r="L463" s="4"/>
      <c r="M463" s="4"/>
      <c r="N463" s="4"/>
      <c r="O463" s="4"/>
      <c r="P463" s="4"/>
      <c r="Q463" s="4"/>
      <c r="R463" s="4"/>
      <c r="S463" s="4"/>
      <c r="T463" s="4"/>
      <c r="U463" s="4"/>
      <c r="V463" s="4"/>
      <c r="W463" s="4"/>
      <c r="X463" s="4"/>
      <c r="Y463" s="4"/>
      <c r="Z463" s="4"/>
    </row>
    <row r="464">
      <c r="A464" s="13"/>
      <c r="B464" s="161"/>
      <c r="C464" s="13"/>
      <c r="D464" s="4"/>
      <c r="E464" s="4"/>
      <c r="F464" s="4"/>
      <c r="G464" s="4"/>
      <c r="H464" s="4"/>
      <c r="I464" s="4"/>
      <c r="J464" s="4"/>
      <c r="K464" s="4"/>
      <c r="L464" s="4"/>
      <c r="M464" s="4"/>
      <c r="N464" s="4"/>
      <c r="O464" s="4"/>
      <c r="P464" s="4"/>
      <c r="Q464" s="4"/>
      <c r="R464" s="4"/>
      <c r="S464" s="4"/>
      <c r="T464" s="4"/>
      <c r="U464" s="4"/>
      <c r="V464" s="4"/>
      <c r="W464" s="4"/>
      <c r="X464" s="4"/>
      <c r="Y464" s="4"/>
      <c r="Z464" s="4"/>
    </row>
    <row r="465">
      <c r="A465" s="13"/>
      <c r="B465" s="161"/>
      <c r="C465" s="13"/>
      <c r="D465" s="4"/>
      <c r="E465" s="4"/>
      <c r="F465" s="4"/>
      <c r="G465" s="4"/>
      <c r="H465" s="4"/>
      <c r="I465" s="4"/>
      <c r="J465" s="4"/>
      <c r="K465" s="4"/>
      <c r="L465" s="4"/>
      <c r="M465" s="4"/>
      <c r="N465" s="4"/>
      <c r="O465" s="4"/>
      <c r="P465" s="4"/>
      <c r="Q465" s="4"/>
      <c r="R465" s="4"/>
      <c r="S465" s="4"/>
      <c r="T465" s="4"/>
      <c r="U465" s="4"/>
      <c r="V465" s="4"/>
      <c r="W465" s="4"/>
      <c r="X465" s="4"/>
      <c r="Y465" s="4"/>
      <c r="Z465" s="4"/>
    </row>
    <row r="466">
      <c r="A466" s="13"/>
      <c r="B466" s="161"/>
      <c r="C466" s="13"/>
      <c r="D466" s="4"/>
      <c r="E466" s="4"/>
      <c r="F466" s="4"/>
      <c r="G466" s="4"/>
      <c r="H466" s="4"/>
      <c r="I466" s="4"/>
      <c r="J466" s="4"/>
      <c r="K466" s="4"/>
      <c r="L466" s="4"/>
      <c r="M466" s="4"/>
      <c r="N466" s="4"/>
      <c r="O466" s="4"/>
      <c r="P466" s="4"/>
      <c r="Q466" s="4"/>
      <c r="R466" s="4"/>
      <c r="S466" s="4"/>
      <c r="T466" s="4"/>
      <c r="U466" s="4"/>
      <c r="V466" s="4"/>
      <c r="W466" s="4"/>
      <c r="X466" s="4"/>
      <c r="Y466" s="4"/>
      <c r="Z466" s="4"/>
    </row>
    <row r="467">
      <c r="A467" s="13"/>
      <c r="B467" s="161"/>
      <c r="C467" s="13"/>
      <c r="D467" s="4"/>
      <c r="E467" s="4"/>
      <c r="F467" s="4"/>
      <c r="G467" s="4"/>
      <c r="H467" s="4"/>
      <c r="I467" s="4"/>
      <c r="J467" s="4"/>
      <c r="K467" s="4"/>
      <c r="L467" s="4"/>
      <c r="M467" s="4"/>
      <c r="N467" s="4"/>
      <c r="O467" s="4"/>
      <c r="P467" s="4"/>
      <c r="Q467" s="4"/>
      <c r="R467" s="4"/>
      <c r="S467" s="4"/>
      <c r="T467" s="4"/>
      <c r="U467" s="4"/>
      <c r="V467" s="4"/>
      <c r="W467" s="4"/>
      <c r="X467" s="4"/>
      <c r="Y467" s="4"/>
      <c r="Z467" s="4"/>
    </row>
    <row r="468">
      <c r="A468" s="13"/>
      <c r="B468" s="161"/>
      <c r="C468" s="13"/>
      <c r="D468" s="4"/>
      <c r="E468" s="4"/>
      <c r="F468" s="4"/>
      <c r="G468" s="4"/>
      <c r="H468" s="4"/>
      <c r="I468" s="4"/>
      <c r="J468" s="4"/>
      <c r="K468" s="4"/>
      <c r="L468" s="4"/>
      <c r="M468" s="4"/>
      <c r="N468" s="4"/>
      <c r="O468" s="4"/>
      <c r="P468" s="4"/>
      <c r="Q468" s="4"/>
      <c r="R468" s="4"/>
      <c r="S468" s="4"/>
      <c r="T468" s="4"/>
      <c r="U468" s="4"/>
      <c r="V468" s="4"/>
      <c r="W468" s="4"/>
      <c r="X468" s="4"/>
      <c r="Y468" s="4"/>
      <c r="Z468" s="4"/>
    </row>
    <row r="469">
      <c r="A469" s="13"/>
      <c r="B469" s="161"/>
      <c r="C469" s="13"/>
      <c r="D469" s="4"/>
      <c r="E469" s="4"/>
      <c r="F469" s="4"/>
      <c r="G469" s="4"/>
      <c r="H469" s="4"/>
      <c r="I469" s="4"/>
      <c r="J469" s="4"/>
      <c r="K469" s="4"/>
      <c r="L469" s="4"/>
      <c r="M469" s="4"/>
      <c r="N469" s="4"/>
      <c r="O469" s="4"/>
      <c r="P469" s="4"/>
      <c r="Q469" s="4"/>
      <c r="R469" s="4"/>
      <c r="S469" s="4"/>
      <c r="T469" s="4"/>
      <c r="U469" s="4"/>
      <c r="V469" s="4"/>
      <c r="W469" s="4"/>
      <c r="X469" s="4"/>
      <c r="Y469" s="4"/>
      <c r="Z469" s="4"/>
    </row>
    <row r="470">
      <c r="A470" s="13"/>
      <c r="B470" s="161"/>
      <c r="C470" s="13"/>
      <c r="D470" s="4"/>
      <c r="E470" s="4"/>
      <c r="F470" s="4"/>
      <c r="G470" s="4"/>
      <c r="H470" s="4"/>
      <c r="I470" s="4"/>
      <c r="J470" s="4"/>
      <c r="K470" s="4"/>
      <c r="L470" s="4"/>
      <c r="M470" s="4"/>
      <c r="N470" s="4"/>
      <c r="O470" s="4"/>
      <c r="P470" s="4"/>
      <c r="Q470" s="4"/>
      <c r="R470" s="4"/>
      <c r="S470" s="4"/>
      <c r="T470" s="4"/>
      <c r="U470" s="4"/>
      <c r="V470" s="4"/>
      <c r="W470" s="4"/>
      <c r="X470" s="4"/>
      <c r="Y470" s="4"/>
      <c r="Z470" s="4"/>
    </row>
    <row r="471">
      <c r="A471" s="13"/>
      <c r="B471" s="161"/>
      <c r="C471" s="13"/>
      <c r="D471" s="4"/>
      <c r="E471" s="4"/>
      <c r="F471" s="4"/>
      <c r="G471" s="4"/>
      <c r="H471" s="4"/>
      <c r="I471" s="4"/>
      <c r="J471" s="4"/>
      <c r="K471" s="4"/>
      <c r="L471" s="4"/>
      <c r="M471" s="4"/>
      <c r="N471" s="4"/>
      <c r="O471" s="4"/>
      <c r="P471" s="4"/>
      <c r="Q471" s="4"/>
      <c r="R471" s="4"/>
      <c r="S471" s="4"/>
      <c r="T471" s="4"/>
      <c r="U471" s="4"/>
      <c r="V471" s="4"/>
      <c r="W471" s="4"/>
      <c r="X471" s="4"/>
      <c r="Y471" s="4"/>
      <c r="Z471" s="4"/>
    </row>
    <row r="472">
      <c r="A472" s="13"/>
      <c r="B472" s="161"/>
      <c r="C472" s="13"/>
      <c r="D472" s="4"/>
      <c r="E472" s="4"/>
      <c r="F472" s="4"/>
      <c r="G472" s="4"/>
      <c r="H472" s="4"/>
      <c r="I472" s="4"/>
      <c r="J472" s="4"/>
      <c r="K472" s="4"/>
      <c r="L472" s="4"/>
      <c r="M472" s="4"/>
      <c r="N472" s="4"/>
      <c r="O472" s="4"/>
      <c r="P472" s="4"/>
      <c r="Q472" s="4"/>
      <c r="R472" s="4"/>
      <c r="S472" s="4"/>
      <c r="T472" s="4"/>
      <c r="U472" s="4"/>
      <c r="V472" s="4"/>
      <c r="W472" s="4"/>
      <c r="X472" s="4"/>
      <c r="Y472" s="4"/>
      <c r="Z472" s="4"/>
    </row>
    <row r="473">
      <c r="A473" s="13"/>
      <c r="B473" s="161"/>
      <c r="C473" s="13"/>
      <c r="D473" s="4"/>
      <c r="E473" s="4"/>
      <c r="F473" s="4"/>
      <c r="G473" s="4"/>
      <c r="H473" s="4"/>
      <c r="I473" s="4"/>
      <c r="J473" s="4"/>
      <c r="K473" s="4"/>
      <c r="L473" s="4"/>
      <c r="M473" s="4"/>
      <c r="N473" s="4"/>
      <c r="O473" s="4"/>
      <c r="P473" s="4"/>
      <c r="Q473" s="4"/>
      <c r="R473" s="4"/>
      <c r="S473" s="4"/>
      <c r="T473" s="4"/>
      <c r="U473" s="4"/>
      <c r="V473" s="4"/>
      <c r="W473" s="4"/>
      <c r="X473" s="4"/>
      <c r="Y473" s="4"/>
      <c r="Z473" s="4"/>
    </row>
    <row r="474">
      <c r="A474" s="13"/>
      <c r="B474" s="161"/>
      <c r="C474" s="13"/>
      <c r="D474" s="4"/>
      <c r="E474" s="4"/>
      <c r="F474" s="4"/>
      <c r="G474" s="4"/>
      <c r="H474" s="4"/>
      <c r="I474" s="4"/>
      <c r="J474" s="4"/>
      <c r="K474" s="4"/>
      <c r="L474" s="4"/>
      <c r="M474" s="4"/>
      <c r="N474" s="4"/>
      <c r="O474" s="4"/>
      <c r="P474" s="4"/>
      <c r="Q474" s="4"/>
      <c r="R474" s="4"/>
      <c r="S474" s="4"/>
      <c r="T474" s="4"/>
      <c r="U474" s="4"/>
      <c r="V474" s="4"/>
      <c r="W474" s="4"/>
      <c r="X474" s="4"/>
      <c r="Y474" s="4"/>
      <c r="Z474" s="4"/>
    </row>
    <row r="475">
      <c r="A475" s="13"/>
      <c r="B475" s="161"/>
      <c r="C475" s="13"/>
      <c r="D475" s="4"/>
      <c r="E475" s="4"/>
      <c r="F475" s="4"/>
      <c r="G475" s="4"/>
      <c r="H475" s="4"/>
      <c r="I475" s="4"/>
      <c r="J475" s="4"/>
      <c r="K475" s="4"/>
      <c r="L475" s="4"/>
      <c r="M475" s="4"/>
      <c r="N475" s="4"/>
      <c r="O475" s="4"/>
      <c r="P475" s="4"/>
      <c r="Q475" s="4"/>
      <c r="R475" s="4"/>
      <c r="S475" s="4"/>
      <c r="T475" s="4"/>
      <c r="U475" s="4"/>
      <c r="V475" s="4"/>
      <c r="W475" s="4"/>
      <c r="X475" s="4"/>
      <c r="Y475" s="4"/>
      <c r="Z475" s="4"/>
    </row>
    <row r="476">
      <c r="A476" s="13"/>
      <c r="B476" s="161"/>
      <c r="C476" s="13"/>
      <c r="D476" s="4"/>
      <c r="E476" s="4"/>
      <c r="F476" s="4"/>
      <c r="G476" s="4"/>
      <c r="H476" s="4"/>
      <c r="I476" s="4"/>
      <c r="J476" s="4"/>
      <c r="K476" s="4"/>
      <c r="L476" s="4"/>
      <c r="M476" s="4"/>
      <c r="N476" s="4"/>
      <c r="O476" s="4"/>
      <c r="P476" s="4"/>
      <c r="Q476" s="4"/>
      <c r="R476" s="4"/>
      <c r="S476" s="4"/>
      <c r="T476" s="4"/>
      <c r="U476" s="4"/>
      <c r="V476" s="4"/>
      <c r="W476" s="4"/>
      <c r="X476" s="4"/>
      <c r="Y476" s="4"/>
      <c r="Z476" s="4"/>
    </row>
    <row r="477">
      <c r="A477" s="13"/>
      <c r="B477" s="161"/>
      <c r="C477" s="13"/>
      <c r="D477" s="4"/>
      <c r="E477" s="4"/>
      <c r="F477" s="4"/>
      <c r="G477" s="4"/>
      <c r="H477" s="4"/>
      <c r="I477" s="4"/>
      <c r="J477" s="4"/>
      <c r="K477" s="4"/>
      <c r="L477" s="4"/>
      <c r="M477" s="4"/>
      <c r="N477" s="4"/>
      <c r="O477" s="4"/>
      <c r="P477" s="4"/>
      <c r="Q477" s="4"/>
      <c r="R477" s="4"/>
      <c r="S477" s="4"/>
      <c r="T477" s="4"/>
      <c r="U477" s="4"/>
      <c r="V477" s="4"/>
      <c r="W477" s="4"/>
      <c r="X477" s="4"/>
      <c r="Y477" s="4"/>
      <c r="Z477" s="4"/>
    </row>
    <row r="478">
      <c r="A478" s="13"/>
      <c r="B478" s="161"/>
      <c r="C478" s="13"/>
      <c r="D478" s="4"/>
      <c r="E478" s="4"/>
      <c r="F478" s="4"/>
      <c r="G478" s="4"/>
      <c r="H478" s="4"/>
      <c r="I478" s="4"/>
      <c r="J478" s="4"/>
      <c r="K478" s="4"/>
      <c r="L478" s="4"/>
      <c r="M478" s="4"/>
      <c r="N478" s="4"/>
      <c r="O478" s="4"/>
      <c r="P478" s="4"/>
      <c r="Q478" s="4"/>
      <c r="R478" s="4"/>
      <c r="S478" s="4"/>
      <c r="T478" s="4"/>
      <c r="U478" s="4"/>
      <c r="V478" s="4"/>
      <c r="W478" s="4"/>
      <c r="X478" s="4"/>
      <c r="Y478" s="4"/>
      <c r="Z478" s="4"/>
    </row>
    <row r="479">
      <c r="A479" s="13"/>
      <c r="B479" s="161"/>
      <c r="C479" s="13"/>
      <c r="D479" s="4"/>
      <c r="E479" s="4"/>
      <c r="F479" s="4"/>
      <c r="G479" s="4"/>
      <c r="H479" s="4"/>
      <c r="I479" s="4"/>
      <c r="J479" s="4"/>
      <c r="K479" s="4"/>
      <c r="L479" s="4"/>
      <c r="M479" s="4"/>
      <c r="N479" s="4"/>
      <c r="O479" s="4"/>
      <c r="P479" s="4"/>
      <c r="Q479" s="4"/>
      <c r="R479" s="4"/>
      <c r="S479" s="4"/>
      <c r="T479" s="4"/>
      <c r="U479" s="4"/>
      <c r="V479" s="4"/>
      <c r="W479" s="4"/>
      <c r="X479" s="4"/>
      <c r="Y479" s="4"/>
      <c r="Z479" s="4"/>
    </row>
    <row r="480">
      <c r="A480" s="13"/>
      <c r="B480" s="161"/>
      <c r="C480" s="13"/>
      <c r="D480" s="4"/>
      <c r="E480" s="4"/>
      <c r="F480" s="4"/>
      <c r="G480" s="4"/>
      <c r="H480" s="4"/>
      <c r="I480" s="4"/>
      <c r="J480" s="4"/>
      <c r="K480" s="4"/>
      <c r="L480" s="4"/>
      <c r="M480" s="4"/>
      <c r="N480" s="4"/>
      <c r="O480" s="4"/>
      <c r="P480" s="4"/>
      <c r="Q480" s="4"/>
      <c r="R480" s="4"/>
      <c r="S480" s="4"/>
      <c r="T480" s="4"/>
      <c r="U480" s="4"/>
      <c r="V480" s="4"/>
      <c r="W480" s="4"/>
      <c r="X480" s="4"/>
      <c r="Y480" s="4"/>
      <c r="Z480" s="4"/>
    </row>
    <row r="481">
      <c r="A481" s="13"/>
      <c r="B481" s="161"/>
      <c r="C481" s="13"/>
      <c r="D481" s="4"/>
      <c r="E481" s="4"/>
      <c r="F481" s="4"/>
      <c r="G481" s="4"/>
      <c r="H481" s="4"/>
      <c r="I481" s="4"/>
      <c r="J481" s="4"/>
      <c r="K481" s="4"/>
      <c r="L481" s="4"/>
      <c r="M481" s="4"/>
      <c r="N481" s="4"/>
      <c r="O481" s="4"/>
      <c r="P481" s="4"/>
      <c r="Q481" s="4"/>
      <c r="R481" s="4"/>
      <c r="S481" s="4"/>
      <c r="T481" s="4"/>
      <c r="U481" s="4"/>
      <c r="V481" s="4"/>
      <c r="W481" s="4"/>
      <c r="X481" s="4"/>
      <c r="Y481" s="4"/>
      <c r="Z481" s="4"/>
    </row>
    <row r="482">
      <c r="A482" s="13"/>
      <c r="B482" s="161"/>
      <c r="C482" s="13"/>
      <c r="D482" s="4"/>
      <c r="E482" s="4"/>
      <c r="F482" s="4"/>
      <c r="G482" s="4"/>
      <c r="H482" s="4"/>
      <c r="I482" s="4"/>
      <c r="J482" s="4"/>
      <c r="K482" s="4"/>
      <c r="L482" s="4"/>
      <c r="M482" s="4"/>
      <c r="N482" s="4"/>
      <c r="O482" s="4"/>
      <c r="P482" s="4"/>
      <c r="Q482" s="4"/>
      <c r="R482" s="4"/>
      <c r="S482" s="4"/>
      <c r="T482" s="4"/>
      <c r="U482" s="4"/>
      <c r="V482" s="4"/>
      <c r="W482" s="4"/>
      <c r="X482" s="4"/>
      <c r="Y482" s="4"/>
      <c r="Z482" s="4"/>
    </row>
    <row r="483">
      <c r="A483" s="13"/>
      <c r="B483" s="161"/>
      <c r="C483" s="13"/>
      <c r="D483" s="4"/>
      <c r="E483" s="4"/>
      <c r="F483" s="4"/>
      <c r="G483" s="4"/>
      <c r="H483" s="4"/>
      <c r="I483" s="4"/>
      <c r="J483" s="4"/>
      <c r="K483" s="4"/>
      <c r="L483" s="4"/>
      <c r="M483" s="4"/>
      <c r="N483" s="4"/>
      <c r="O483" s="4"/>
      <c r="P483" s="4"/>
      <c r="Q483" s="4"/>
      <c r="R483" s="4"/>
      <c r="S483" s="4"/>
      <c r="T483" s="4"/>
      <c r="U483" s="4"/>
      <c r="V483" s="4"/>
      <c r="W483" s="4"/>
      <c r="X483" s="4"/>
      <c r="Y483" s="4"/>
      <c r="Z483" s="4"/>
    </row>
    <row r="484">
      <c r="A484" s="13"/>
      <c r="B484" s="161"/>
      <c r="C484" s="13"/>
      <c r="D484" s="4"/>
      <c r="E484" s="4"/>
      <c r="F484" s="4"/>
      <c r="G484" s="4"/>
      <c r="H484" s="4"/>
      <c r="I484" s="4"/>
      <c r="J484" s="4"/>
      <c r="K484" s="4"/>
      <c r="L484" s="4"/>
      <c r="M484" s="4"/>
      <c r="N484" s="4"/>
      <c r="O484" s="4"/>
      <c r="P484" s="4"/>
      <c r="Q484" s="4"/>
      <c r="R484" s="4"/>
      <c r="S484" s="4"/>
      <c r="T484" s="4"/>
      <c r="U484" s="4"/>
      <c r="V484" s="4"/>
      <c r="W484" s="4"/>
      <c r="X484" s="4"/>
      <c r="Y484" s="4"/>
      <c r="Z484" s="4"/>
    </row>
    <row r="485">
      <c r="A485" s="13"/>
      <c r="B485" s="161"/>
      <c r="C485" s="13"/>
      <c r="D485" s="4"/>
      <c r="E485" s="4"/>
      <c r="F485" s="4"/>
      <c r="G485" s="4"/>
      <c r="H485" s="4"/>
      <c r="I485" s="4"/>
      <c r="J485" s="4"/>
      <c r="K485" s="4"/>
      <c r="L485" s="4"/>
      <c r="M485" s="4"/>
      <c r="N485" s="4"/>
      <c r="O485" s="4"/>
      <c r="P485" s="4"/>
      <c r="Q485" s="4"/>
      <c r="R485" s="4"/>
      <c r="S485" s="4"/>
      <c r="T485" s="4"/>
      <c r="U485" s="4"/>
      <c r="V485" s="4"/>
      <c r="W485" s="4"/>
      <c r="X485" s="4"/>
      <c r="Y485" s="4"/>
      <c r="Z485" s="4"/>
    </row>
    <row r="486">
      <c r="A486" s="13"/>
      <c r="B486" s="161"/>
      <c r="C486" s="13"/>
      <c r="D486" s="4"/>
      <c r="E486" s="4"/>
      <c r="F486" s="4"/>
      <c r="G486" s="4"/>
      <c r="H486" s="4"/>
      <c r="I486" s="4"/>
      <c r="J486" s="4"/>
      <c r="K486" s="4"/>
      <c r="L486" s="4"/>
      <c r="M486" s="4"/>
      <c r="N486" s="4"/>
      <c r="O486" s="4"/>
      <c r="P486" s="4"/>
      <c r="Q486" s="4"/>
      <c r="R486" s="4"/>
      <c r="S486" s="4"/>
      <c r="T486" s="4"/>
      <c r="U486" s="4"/>
      <c r="V486" s="4"/>
      <c r="W486" s="4"/>
      <c r="X486" s="4"/>
      <c r="Y486" s="4"/>
      <c r="Z486" s="4"/>
    </row>
    <row r="487">
      <c r="A487" s="13"/>
      <c r="B487" s="161"/>
      <c r="C487" s="13"/>
      <c r="D487" s="4"/>
      <c r="E487" s="4"/>
      <c r="F487" s="4"/>
      <c r="G487" s="4"/>
      <c r="H487" s="4"/>
      <c r="I487" s="4"/>
      <c r="J487" s="4"/>
      <c r="K487" s="4"/>
      <c r="L487" s="4"/>
      <c r="M487" s="4"/>
      <c r="N487" s="4"/>
      <c r="O487" s="4"/>
      <c r="P487" s="4"/>
      <c r="Q487" s="4"/>
      <c r="R487" s="4"/>
      <c r="S487" s="4"/>
      <c r="T487" s="4"/>
      <c r="U487" s="4"/>
      <c r="V487" s="4"/>
      <c r="W487" s="4"/>
      <c r="X487" s="4"/>
      <c r="Y487" s="4"/>
      <c r="Z487" s="4"/>
    </row>
    <row r="488">
      <c r="A488" s="13"/>
      <c r="B488" s="161"/>
      <c r="C488" s="13"/>
      <c r="D488" s="4"/>
      <c r="E488" s="4"/>
      <c r="F488" s="4"/>
      <c r="G488" s="4"/>
      <c r="H488" s="4"/>
      <c r="I488" s="4"/>
      <c r="J488" s="4"/>
      <c r="K488" s="4"/>
      <c r="L488" s="4"/>
      <c r="M488" s="4"/>
      <c r="N488" s="4"/>
      <c r="O488" s="4"/>
      <c r="P488" s="4"/>
      <c r="Q488" s="4"/>
      <c r="R488" s="4"/>
      <c r="S488" s="4"/>
      <c r="T488" s="4"/>
      <c r="U488" s="4"/>
      <c r="V488" s="4"/>
      <c r="W488" s="4"/>
      <c r="X488" s="4"/>
      <c r="Y488" s="4"/>
      <c r="Z488" s="4"/>
    </row>
    <row r="489">
      <c r="A489" s="13"/>
      <c r="B489" s="161"/>
      <c r="C489" s="13"/>
      <c r="D489" s="4"/>
      <c r="E489" s="4"/>
      <c r="F489" s="4"/>
      <c r="G489" s="4"/>
      <c r="H489" s="4"/>
      <c r="I489" s="4"/>
      <c r="J489" s="4"/>
      <c r="K489" s="4"/>
      <c r="L489" s="4"/>
      <c r="M489" s="4"/>
      <c r="N489" s="4"/>
      <c r="O489" s="4"/>
      <c r="P489" s="4"/>
      <c r="Q489" s="4"/>
      <c r="R489" s="4"/>
      <c r="S489" s="4"/>
      <c r="T489" s="4"/>
      <c r="U489" s="4"/>
      <c r="V489" s="4"/>
      <c r="W489" s="4"/>
      <c r="X489" s="4"/>
      <c r="Y489" s="4"/>
      <c r="Z489" s="4"/>
    </row>
    <row r="490">
      <c r="A490" s="13"/>
      <c r="B490" s="161"/>
      <c r="C490" s="13"/>
      <c r="D490" s="4"/>
      <c r="E490" s="4"/>
      <c r="F490" s="4"/>
      <c r="G490" s="4"/>
      <c r="H490" s="4"/>
      <c r="I490" s="4"/>
      <c r="J490" s="4"/>
      <c r="K490" s="4"/>
      <c r="L490" s="4"/>
      <c r="M490" s="4"/>
      <c r="N490" s="4"/>
      <c r="O490" s="4"/>
      <c r="P490" s="4"/>
      <c r="Q490" s="4"/>
      <c r="R490" s="4"/>
      <c r="S490" s="4"/>
      <c r="T490" s="4"/>
      <c r="U490" s="4"/>
      <c r="V490" s="4"/>
      <c r="W490" s="4"/>
      <c r="X490" s="4"/>
      <c r="Y490" s="4"/>
      <c r="Z490" s="4"/>
    </row>
    <row r="491">
      <c r="A491" s="13"/>
      <c r="B491" s="161"/>
      <c r="C491" s="13"/>
      <c r="D491" s="4"/>
      <c r="E491" s="4"/>
      <c r="F491" s="4"/>
      <c r="G491" s="4"/>
      <c r="H491" s="4"/>
      <c r="I491" s="4"/>
      <c r="J491" s="4"/>
      <c r="K491" s="4"/>
      <c r="L491" s="4"/>
      <c r="M491" s="4"/>
      <c r="N491" s="4"/>
      <c r="O491" s="4"/>
      <c r="P491" s="4"/>
      <c r="Q491" s="4"/>
      <c r="R491" s="4"/>
      <c r="S491" s="4"/>
      <c r="T491" s="4"/>
      <c r="U491" s="4"/>
      <c r="V491" s="4"/>
      <c r="W491" s="4"/>
      <c r="X491" s="4"/>
      <c r="Y491" s="4"/>
      <c r="Z491" s="4"/>
    </row>
    <row r="492">
      <c r="A492" s="13"/>
      <c r="B492" s="161"/>
      <c r="C492" s="13"/>
      <c r="D492" s="4"/>
      <c r="E492" s="4"/>
      <c r="F492" s="4"/>
      <c r="G492" s="4"/>
      <c r="H492" s="4"/>
      <c r="I492" s="4"/>
      <c r="J492" s="4"/>
      <c r="K492" s="4"/>
      <c r="L492" s="4"/>
      <c r="M492" s="4"/>
      <c r="N492" s="4"/>
      <c r="O492" s="4"/>
      <c r="P492" s="4"/>
      <c r="Q492" s="4"/>
      <c r="R492" s="4"/>
      <c r="S492" s="4"/>
      <c r="T492" s="4"/>
      <c r="U492" s="4"/>
      <c r="V492" s="4"/>
      <c r="W492" s="4"/>
      <c r="X492" s="4"/>
      <c r="Y492" s="4"/>
      <c r="Z492" s="4"/>
    </row>
    <row r="493">
      <c r="A493" s="13"/>
      <c r="B493" s="161"/>
      <c r="C493" s="13"/>
      <c r="D493" s="4"/>
      <c r="E493" s="4"/>
      <c r="F493" s="4"/>
      <c r="G493" s="4"/>
      <c r="H493" s="4"/>
      <c r="I493" s="4"/>
      <c r="J493" s="4"/>
      <c r="K493" s="4"/>
      <c r="L493" s="4"/>
      <c r="M493" s="4"/>
      <c r="N493" s="4"/>
      <c r="O493" s="4"/>
      <c r="P493" s="4"/>
      <c r="Q493" s="4"/>
      <c r="R493" s="4"/>
      <c r="S493" s="4"/>
      <c r="T493" s="4"/>
      <c r="U493" s="4"/>
      <c r="V493" s="4"/>
      <c r="W493" s="4"/>
      <c r="X493" s="4"/>
      <c r="Y493" s="4"/>
      <c r="Z493" s="4"/>
    </row>
    <row r="494">
      <c r="A494" s="13"/>
      <c r="B494" s="161"/>
      <c r="C494" s="13"/>
      <c r="D494" s="4"/>
      <c r="E494" s="4"/>
      <c r="F494" s="4"/>
      <c r="G494" s="4"/>
      <c r="H494" s="4"/>
      <c r="I494" s="4"/>
      <c r="J494" s="4"/>
      <c r="K494" s="4"/>
      <c r="L494" s="4"/>
      <c r="M494" s="4"/>
      <c r="N494" s="4"/>
      <c r="O494" s="4"/>
      <c r="P494" s="4"/>
      <c r="Q494" s="4"/>
      <c r="R494" s="4"/>
      <c r="S494" s="4"/>
      <c r="T494" s="4"/>
      <c r="U494" s="4"/>
      <c r="V494" s="4"/>
      <c r="W494" s="4"/>
      <c r="X494" s="4"/>
      <c r="Y494" s="4"/>
      <c r="Z494" s="4"/>
    </row>
    <row r="495">
      <c r="A495" s="13"/>
      <c r="B495" s="161"/>
      <c r="C495" s="13"/>
      <c r="D495" s="4"/>
      <c r="E495" s="4"/>
      <c r="F495" s="4"/>
      <c r="G495" s="4"/>
      <c r="H495" s="4"/>
      <c r="I495" s="4"/>
      <c r="J495" s="4"/>
      <c r="K495" s="4"/>
      <c r="L495" s="4"/>
      <c r="M495" s="4"/>
      <c r="N495" s="4"/>
      <c r="O495" s="4"/>
      <c r="P495" s="4"/>
      <c r="Q495" s="4"/>
      <c r="R495" s="4"/>
      <c r="S495" s="4"/>
      <c r="T495" s="4"/>
      <c r="U495" s="4"/>
      <c r="V495" s="4"/>
      <c r="W495" s="4"/>
      <c r="X495" s="4"/>
      <c r="Y495" s="4"/>
      <c r="Z495" s="4"/>
    </row>
    <row r="496">
      <c r="A496" s="13"/>
      <c r="B496" s="161"/>
      <c r="C496" s="13"/>
      <c r="D496" s="4"/>
      <c r="E496" s="4"/>
      <c r="F496" s="4"/>
      <c r="G496" s="4"/>
      <c r="H496" s="4"/>
      <c r="I496" s="4"/>
      <c r="J496" s="4"/>
      <c r="K496" s="4"/>
      <c r="L496" s="4"/>
      <c r="M496" s="4"/>
      <c r="N496" s="4"/>
      <c r="O496" s="4"/>
      <c r="P496" s="4"/>
      <c r="Q496" s="4"/>
      <c r="R496" s="4"/>
      <c r="S496" s="4"/>
      <c r="T496" s="4"/>
      <c r="U496" s="4"/>
      <c r="V496" s="4"/>
      <c r="W496" s="4"/>
      <c r="X496" s="4"/>
      <c r="Y496" s="4"/>
      <c r="Z496" s="4"/>
    </row>
    <row r="497">
      <c r="A497" s="13"/>
      <c r="B497" s="161"/>
      <c r="C497" s="13"/>
      <c r="D497" s="4"/>
      <c r="E497" s="4"/>
      <c r="F497" s="4"/>
      <c r="G497" s="4"/>
      <c r="H497" s="4"/>
      <c r="I497" s="4"/>
      <c r="J497" s="4"/>
      <c r="K497" s="4"/>
      <c r="L497" s="4"/>
      <c r="M497" s="4"/>
      <c r="N497" s="4"/>
      <c r="O497" s="4"/>
      <c r="P497" s="4"/>
      <c r="Q497" s="4"/>
      <c r="R497" s="4"/>
      <c r="S497" s="4"/>
      <c r="T497" s="4"/>
      <c r="U497" s="4"/>
      <c r="V497" s="4"/>
      <c r="W497" s="4"/>
      <c r="X497" s="4"/>
      <c r="Y497" s="4"/>
      <c r="Z497" s="4"/>
    </row>
    <row r="498">
      <c r="A498" s="13"/>
      <c r="B498" s="161"/>
      <c r="C498" s="13"/>
      <c r="D498" s="4"/>
      <c r="E498" s="4"/>
      <c r="F498" s="4"/>
      <c r="G498" s="4"/>
      <c r="H498" s="4"/>
      <c r="I498" s="4"/>
      <c r="J498" s="4"/>
      <c r="K498" s="4"/>
      <c r="L498" s="4"/>
      <c r="M498" s="4"/>
      <c r="N498" s="4"/>
      <c r="O498" s="4"/>
      <c r="P498" s="4"/>
      <c r="Q498" s="4"/>
      <c r="R498" s="4"/>
      <c r="S498" s="4"/>
      <c r="T498" s="4"/>
      <c r="U498" s="4"/>
      <c r="V498" s="4"/>
      <c r="W498" s="4"/>
      <c r="X498" s="4"/>
      <c r="Y498" s="4"/>
      <c r="Z498" s="4"/>
    </row>
    <row r="499">
      <c r="A499" s="13"/>
      <c r="B499" s="161"/>
      <c r="C499" s="13"/>
      <c r="D499" s="4"/>
      <c r="E499" s="4"/>
      <c r="F499" s="4"/>
      <c r="G499" s="4"/>
      <c r="H499" s="4"/>
      <c r="I499" s="4"/>
      <c r="J499" s="4"/>
      <c r="K499" s="4"/>
      <c r="L499" s="4"/>
      <c r="M499" s="4"/>
      <c r="N499" s="4"/>
      <c r="O499" s="4"/>
      <c r="P499" s="4"/>
      <c r="Q499" s="4"/>
      <c r="R499" s="4"/>
      <c r="S499" s="4"/>
      <c r="T499" s="4"/>
      <c r="U499" s="4"/>
      <c r="V499" s="4"/>
      <c r="W499" s="4"/>
      <c r="X499" s="4"/>
      <c r="Y499" s="4"/>
      <c r="Z499" s="4"/>
    </row>
    <row r="500">
      <c r="A500" s="13"/>
      <c r="B500" s="161"/>
      <c r="C500" s="13"/>
      <c r="D500" s="4"/>
      <c r="E500" s="4"/>
      <c r="F500" s="4"/>
      <c r="G500" s="4"/>
      <c r="H500" s="4"/>
      <c r="I500" s="4"/>
      <c r="J500" s="4"/>
      <c r="K500" s="4"/>
      <c r="L500" s="4"/>
      <c r="M500" s="4"/>
      <c r="N500" s="4"/>
      <c r="O500" s="4"/>
      <c r="P500" s="4"/>
      <c r="Q500" s="4"/>
      <c r="R500" s="4"/>
      <c r="S500" s="4"/>
      <c r="T500" s="4"/>
      <c r="U500" s="4"/>
      <c r="V500" s="4"/>
      <c r="W500" s="4"/>
      <c r="X500" s="4"/>
      <c r="Y500" s="4"/>
      <c r="Z500" s="4"/>
    </row>
    <row r="501">
      <c r="A501" s="13"/>
      <c r="B501" s="161"/>
      <c r="C501" s="13"/>
      <c r="D501" s="4"/>
      <c r="E501" s="4"/>
      <c r="F501" s="4"/>
      <c r="G501" s="4"/>
      <c r="H501" s="4"/>
      <c r="I501" s="4"/>
      <c r="J501" s="4"/>
      <c r="K501" s="4"/>
      <c r="L501" s="4"/>
      <c r="M501" s="4"/>
      <c r="N501" s="4"/>
      <c r="O501" s="4"/>
      <c r="P501" s="4"/>
      <c r="Q501" s="4"/>
      <c r="R501" s="4"/>
      <c r="S501" s="4"/>
      <c r="T501" s="4"/>
      <c r="U501" s="4"/>
      <c r="V501" s="4"/>
      <c r="W501" s="4"/>
      <c r="X501" s="4"/>
      <c r="Y501" s="4"/>
      <c r="Z501" s="4"/>
    </row>
    <row r="502">
      <c r="A502" s="13"/>
      <c r="B502" s="161"/>
      <c r="C502" s="13"/>
      <c r="D502" s="4"/>
      <c r="E502" s="4"/>
      <c r="F502" s="4"/>
      <c r="G502" s="4"/>
      <c r="H502" s="4"/>
      <c r="I502" s="4"/>
      <c r="J502" s="4"/>
      <c r="K502" s="4"/>
      <c r="L502" s="4"/>
      <c r="M502" s="4"/>
      <c r="N502" s="4"/>
      <c r="O502" s="4"/>
      <c r="P502" s="4"/>
      <c r="Q502" s="4"/>
      <c r="R502" s="4"/>
      <c r="S502" s="4"/>
      <c r="T502" s="4"/>
      <c r="U502" s="4"/>
      <c r="V502" s="4"/>
      <c r="W502" s="4"/>
      <c r="X502" s="4"/>
      <c r="Y502" s="4"/>
      <c r="Z502" s="4"/>
    </row>
    <row r="503">
      <c r="A503" s="13"/>
      <c r="B503" s="161"/>
      <c r="C503" s="13"/>
      <c r="D503" s="4"/>
      <c r="E503" s="4"/>
      <c r="F503" s="4"/>
      <c r="G503" s="4"/>
      <c r="H503" s="4"/>
      <c r="I503" s="4"/>
      <c r="J503" s="4"/>
      <c r="K503" s="4"/>
      <c r="L503" s="4"/>
      <c r="M503" s="4"/>
      <c r="N503" s="4"/>
      <c r="O503" s="4"/>
      <c r="P503" s="4"/>
      <c r="Q503" s="4"/>
      <c r="R503" s="4"/>
      <c r="S503" s="4"/>
      <c r="T503" s="4"/>
      <c r="U503" s="4"/>
      <c r="V503" s="4"/>
      <c r="W503" s="4"/>
      <c r="X503" s="4"/>
      <c r="Y503" s="4"/>
      <c r="Z503" s="4"/>
    </row>
    <row r="504">
      <c r="A504" s="13"/>
      <c r="B504" s="161"/>
      <c r="C504" s="13"/>
      <c r="D504" s="4"/>
      <c r="E504" s="4"/>
      <c r="F504" s="4"/>
      <c r="G504" s="4"/>
      <c r="H504" s="4"/>
      <c r="I504" s="4"/>
      <c r="J504" s="4"/>
      <c r="K504" s="4"/>
      <c r="L504" s="4"/>
      <c r="M504" s="4"/>
      <c r="N504" s="4"/>
      <c r="O504" s="4"/>
      <c r="P504" s="4"/>
      <c r="Q504" s="4"/>
      <c r="R504" s="4"/>
      <c r="S504" s="4"/>
      <c r="T504" s="4"/>
      <c r="U504" s="4"/>
      <c r="V504" s="4"/>
      <c r="W504" s="4"/>
      <c r="X504" s="4"/>
      <c r="Y504" s="4"/>
      <c r="Z504" s="4"/>
    </row>
    <row r="505">
      <c r="A505" s="13"/>
      <c r="B505" s="161"/>
      <c r="C505" s="13"/>
      <c r="D505" s="4"/>
      <c r="E505" s="4"/>
      <c r="F505" s="4"/>
      <c r="G505" s="4"/>
      <c r="H505" s="4"/>
      <c r="I505" s="4"/>
      <c r="J505" s="4"/>
      <c r="K505" s="4"/>
      <c r="L505" s="4"/>
      <c r="M505" s="4"/>
      <c r="N505" s="4"/>
      <c r="O505" s="4"/>
      <c r="P505" s="4"/>
      <c r="Q505" s="4"/>
      <c r="R505" s="4"/>
      <c r="S505" s="4"/>
      <c r="T505" s="4"/>
      <c r="U505" s="4"/>
      <c r="V505" s="4"/>
      <c r="W505" s="4"/>
      <c r="X505" s="4"/>
      <c r="Y505" s="4"/>
      <c r="Z505" s="4"/>
    </row>
    <row r="506">
      <c r="A506" s="13"/>
      <c r="B506" s="161"/>
      <c r="C506" s="13"/>
      <c r="D506" s="4"/>
      <c r="E506" s="4"/>
      <c r="F506" s="4"/>
      <c r="G506" s="4"/>
      <c r="H506" s="4"/>
      <c r="I506" s="4"/>
      <c r="J506" s="4"/>
      <c r="K506" s="4"/>
      <c r="L506" s="4"/>
      <c r="M506" s="4"/>
      <c r="N506" s="4"/>
      <c r="O506" s="4"/>
      <c r="P506" s="4"/>
      <c r="Q506" s="4"/>
      <c r="R506" s="4"/>
      <c r="S506" s="4"/>
      <c r="T506" s="4"/>
      <c r="U506" s="4"/>
      <c r="V506" s="4"/>
      <c r="W506" s="4"/>
      <c r="X506" s="4"/>
      <c r="Y506" s="4"/>
      <c r="Z506" s="4"/>
    </row>
    <row r="507">
      <c r="A507" s="13"/>
      <c r="B507" s="161"/>
      <c r="C507" s="13"/>
      <c r="D507" s="4"/>
      <c r="E507" s="4"/>
      <c r="F507" s="4"/>
      <c r="G507" s="4"/>
      <c r="H507" s="4"/>
      <c r="I507" s="4"/>
      <c r="J507" s="4"/>
      <c r="K507" s="4"/>
      <c r="L507" s="4"/>
      <c r="M507" s="4"/>
      <c r="N507" s="4"/>
      <c r="O507" s="4"/>
      <c r="P507" s="4"/>
      <c r="Q507" s="4"/>
      <c r="R507" s="4"/>
      <c r="S507" s="4"/>
      <c r="T507" s="4"/>
      <c r="U507" s="4"/>
      <c r="V507" s="4"/>
      <c r="W507" s="4"/>
      <c r="X507" s="4"/>
      <c r="Y507" s="4"/>
      <c r="Z507" s="4"/>
    </row>
    <row r="508">
      <c r="A508" s="13"/>
      <c r="B508" s="161"/>
      <c r="C508" s="13"/>
      <c r="D508" s="4"/>
      <c r="E508" s="4"/>
      <c r="F508" s="4"/>
      <c r="G508" s="4"/>
      <c r="H508" s="4"/>
      <c r="I508" s="4"/>
      <c r="J508" s="4"/>
      <c r="K508" s="4"/>
      <c r="L508" s="4"/>
      <c r="M508" s="4"/>
      <c r="N508" s="4"/>
      <c r="O508" s="4"/>
      <c r="P508" s="4"/>
      <c r="Q508" s="4"/>
      <c r="R508" s="4"/>
      <c r="S508" s="4"/>
      <c r="T508" s="4"/>
      <c r="U508" s="4"/>
      <c r="V508" s="4"/>
      <c r="W508" s="4"/>
      <c r="X508" s="4"/>
      <c r="Y508" s="4"/>
      <c r="Z508" s="4"/>
    </row>
    <row r="509">
      <c r="A509" s="13"/>
      <c r="B509" s="161"/>
      <c r="C509" s="13"/>
      <c r="D509" s="4"/>
      <c r="E509" s="4"/>
      <c r="F509" s="4"/>
      <c r="G509" s="4"/>
      <c r="H509" s="4"/>
      <c r="I509" s="4"/>
      <c r="J509" s="4"/>
      <c r="K509" s="4"/>
      <c r="L509" s="4"/>
      <c r="M509" s="4"/>
      <c r="N509" s="4"/>
      <c r="O509" s="4"/>
      <c r="P509" s="4"/>
      <c r="Q509" s="4"/>
      <c r="R509" s="4"/>
      <c r="S509" s="4"/>
      <c r="T509" s="4"/>
      <c r="U509" s="4"/>
      <c r="V509" s="4"/>
      <c r="W509" s="4"/>
      <c r="X509" s="4"/>
      <c r="Y509" s="4"/>
      <c r="Z509" s="4"/>
    </row>
    <row r="510">
      <c r="A510" s="13"/>
      <c r="B510" s="161"/>
      <c r="C510" s="13"/>
      <c r="D510" s="4"/>
      <c r="E510" s="4"/>
      <c r="F510" s="4"/>
      <c r="G510" s="4"/>
      <c r="H510" s="4"/>
      <c r="I510" s="4"/>
      <c r="J510" s="4"/>
      <c r="K510" s="4"/>
      <c r="L510" s="4"/>
      <c r="M510" s="4"/>
      <c r="N510" s="4"/>
      <c r="O510" s="4"/>
      <c r="P510" s="4"/>
      <c r="Q510" s="4"/>
      <c r="R510" s="4"/>
      <c r="S510" s="4"/>
      <c r="T510" s="4"/>
      <c r="U510" s="4"/>
      <c r="V510" s="4"/>
      <c r="W510" s="4"/>
      <c r="X510" s="4"/>
      <c r="Y510" s="4"/>
      <c r="Z510" s="4"/>
    </row>
    <row r="511">
      <c r="A511" s="13"/>
      <c r="B511" s="161"/>
      <c r="C511" s="13"/>
      <c r="D511" s="4"/>
      <c r="E511" s="4"/>
      <c r="F511" s="4"/>
      <c r="G511" s="4"/>
      <c r="H511" s="4"/>
      <c r="I511" s="4"/>
      <c r="J511" s="4"/>
      <c r="K511" s="4"/>
      <c r="L511" s="4"/>
      <c r="M511" s="4"/>
      <c r="N511" s="4"/>
      <c r="O511" s="4"/>
      <c r="P511" s="4"/>
      <c r="Q511" s="4"/>
      <c r="R511" s="4"/>
      <c r="S511" s="4"/>
      <c r="T511" s="4"/>
      <c r="U511" s="4"/>
      <c r="V511" s="4"/>
      <c r="W511" s="4"/>
      <c r="X511" s="4"/>
      <c r="Y511" s="4"/>
      <c r="Z511" s="4"/>
    </row>
    <row r="512">
      <c r="A512" s="13"/>
      <c r="B512" s="161"/>
      <c r="C512" s="13"/>
      <c r="D512" s="4"/>
      <c r="E512" s="4"/>
      <c r="F512" s="4"/>
      <c r="G512" s="4"/>
      <c r="H512" s="4"/>
      <c r="I512" s="4"/>
      <c r="J512" s="4"/>
      <c r="K512" s="4"/>
      <c r="L512" s="4"/>
      <c r="M512" s="4"/>
      <c r="N512" s="4"/>
      <c r="O512" s="4"/>
      <c r="P512" s="4"/>
      <c r="Q512" s="4"/>
      <c r="R512" s="4"/>
      <c r="S512" s="4"/>
      <c r="T512" s="4"/>
      <c r="U512" s="4"/>
      <c r="V512" s="4"/>
      <c r="W512" s="4"/>
      <c r="X512" s="4"/>
      <c r="Y512" s="4"/>
      <c r="Z512" s="4"/>
    </row>
    <row r="513">
      <c r="A513" s="13"/>
      <c r="B513" s="161"/>
      <c r="C513" s="13"/>
      <c r="D513" s="4"/>
      <c r="E513" s="4"/>
      <c r="F513" s="4"/>
      <c r="G513" s="4"/>
      <c r="H513" s="4"/>
      <c r="I513" s="4"/>
      <c r="J513" s="4"/>
      <c r="K513" s="4"/>
      <c r="L513" s="4"/>
      <c r="M513" s="4"/>
      <c r="N513" s="4"/>
      <c r="O513" s="4"/>
      <c r="P513" s="4"/>
      <c r="Q513" s="4"/>
      <c r="R513" s="4"/>
      <c r="S513" s="4"/>
      <c r="T513" s="4"/>
      <c r="U513" s="4"/>
      <c r="V513" s="4"/>
      <c r="W513" s="4"/>
      <c r="X513" s="4"/>
      <c r="Y513" s="4"/>
      <c r="Z513" s="4"/>
    </row>
    <row r="514">
      <c r="A514" s="13"/>
      <c r="B514" s="161"/>
      <c r="C514" s="13"/>
      <c r="D514" s="4"/>
      <c r="E514" s="4"/>
      <c r="F514" s="4"/>
      <c r="G514" s="4"/>
      <c r="H514" s="4"/>
      <c r="I514" s="4"/>
      <c r="J514" s="4"/>
      <c r="K514" s="4"/>
      <c r="L514" s="4"/>
      <c r="M514" s="4"/>
      <c r="N514" s="4"/>
      <c r="O514" s="4"/>
      <c r="P514" s="4"/>
      <c r="Q514" s="4"/>
      <c r="R514" s="4"/>
      <c r="S514" s="4"/>
      <c r="T514" s="4"/>
      <c r="U514" s="4"/>
      <c r="V514" s="4"/>
      <c r="W514" s="4"/>
      <c r="X514" s="4"/>
      <c r="Y514" s="4"/>
      <c r="Z514" s="4"/>
    </row>
    <row r="515">
      <c r="A515" s="13"/>
      <c r="B515" s="161"/>
      <c r="C515" s="13"/>
      <c r="D515" s="4"/>
      <c r="E515" s="4"/>
      <c r="F515" s="4"/>
      <c r="G515" s="4"/>
      <c r="H515" s="4"/>
      <c r="I515" s="4"/>
      <c r="J515" s="4"/>
      <c r="K515" s="4"/>
      <c r="L515" s="4"/>
      <c r="M515" s="4"/>
      <c r="N515" s="4"/>
      <c r="O515" s="4"/>
      <c r="P515" s="4"/>
      <c r="Q515" s="4"/>
      <c r="R515" s="4"/>
      <c r="S515" s="4"/>
      <c r="T515" s="4"/>
      <c r="U515" s="4"/>
      <c r="V515" s="4"/>
      <c r="W515" s="4"/>
      <c r="X515" s="4"/>
      <c r="Y515" s="4"/>
      <c r="Z515" s="4"/>
    </row>
    <row r="516">
      <c r="A516" s="13"/>
      <c r="B516" s="161"/>
      <c r="C516" s="13"/>
      <c r="D516" s="4"/>
      <c r="E516" s="4"/>
      <c r="F516" s="4"/>
      <c r="G516" s="4"/>
      <c r="H516" s="4"/>
      <c r="I516" s="4"/>
      <c r="J516" s="4"/>
      <c r="K516" s="4"/>
      <c r="L516" s="4"/>
      <c r="M516" s="4"/>
      <c r="N516" s="4"/>
      <c r="O516" s="4"/>
      <c r="P516" s="4"/>
      <c r="Q516" s="4"/>
      <c r="R516" s="4"/>
      <c r="S516" s="4"/>
      <c r="T516" s="4"/>
      <c r="U516" s="4"/>
      <c r="V516" s="4"/>
      <c r="W516" s="4"/>
      <c r="X516" s="4"/>
      <c r="Y516" s="4"/>
      <c r="Z516" s="4"/>
    </row>
    <row r="517">
      <c r="A517" s="13"/>
      <c r="B517" s="161"/>
      <c r="C517" s="13"/>
      <c r="D517" s="4"/>
      <c r="E517" s="4"/>
      <c r="F517" s="4"/>
      <c r="G517" s="4"/>
      <c r="H517" s="4"/>
      <c r="I517" s="4"/>
      <c r="J517" s="4"/>
      <c r="K517" s="4"/>
      <c r="L517" s="4"/>
      <c r="M517" s="4"/>
      <c r="N517" s="4"/>
      <c r="O517" s="4"/>
      <c r="P517" s="4"/>
      <c r="Q517" s="4"/>
      <c r="R517" s="4"/>
      <c r="S517" s="4"/>
      <c r="T517" s="4"/>
      <c r="U517" s="4"/>
      <c r="V517" s="4"/>
      <c r="W517" s="4"/>
      <c r="X517" s="4"/>
      <c r="Y517" s="4"/>
      <c r="Z517" s="4"/>
    </row>
    <row r="518">
      <c r="A518" s="13"/>
      <c r="B518" s="161"/>
      <c r="C518" s="13"/>
      <c r="D518" s="4"/>
      <c r="E518" s="4"/>
      <c r="F518" s="4"/>
      <c r="G518" s="4"/>
      <c r="H518" s="4"/>
      <c r="I518" s="4"/>
      <c r="J518" s="4"/>
      <c r="K518" s="4"/>
      <c r="L518" s="4"/>
      <c r="M518" s="4"/>
      <c r="N518" s="4"/>
      <c r="O518" s="4"/>
      <c r="P518" s="4"/>
      <c r="Q518" s="4"/>
      <c r="R518" s="4"/>
      <c r="S518" s="4"/>
      <c r="T518" s="4"/>
      <c r="U518" s="4"/>
      <c r="V518" s="4"/>
      <c r="W518" s="4"/>
      <c r="X518" s="4"/>
      <c r="Y518" s="4"/>
      <c r="Z518" s="4"/>
    </row>
    <row r="519">
      <c r="A519" s="13"/>
      <c r="B519" s="161"/>
      <c r="C519" s="13"/>
      <c r="D519" s="4"/>
      <c r="E519" s="4"/>
      <c r="F519" s="4"/>
      <c r="G519" s="4"/>
      <c r="H519" s="4"/>
      <c r="I519" s="4"/>
      <c r="J519" s="4"/>
      <c r="K519" s="4"/>
      <c r="L519" s="4"/>
      <c r="M519" s="4"/>
      <c r="N519" s="4"/>
      <c r="O519" s="4"/>
      <c r="P519" s="4"/>
      <c r="Q519" s="4"/>
      <c r="R519" s="4"/>
      <c r="S519" s="4"/>
      <c r="T519" s="4"/>
      <c r="U519" s="4"/>
      <c r="V519" s="4"/>
      <c r="W519" s="4"/>
      <c r="X519" s="4"/>
      <c r="Y519" s="4"/>
      <c r="Z519" s="4"/>
    </row>
    <row r="520">
      <c r="A520" s="13"/>
      <c r="B520" s="161"/>
      <c r="C520" s="13"/>
      <c r="D520" s="4"/>
      <c r="E520" s="4"/>
      <c r="F520" s="4"/>
      <c r="G520" s="4"/>
      <c r="H520" s="4"/>
      <c r="I520" s="4"/>
      <c r="J520" s="4"/>
      <c r="K520" s="4"/>
      <c r="L520" s="4"/>
      <c r="M520" s="4"/>
      <c r="N520" s="4"/>
      <c r="O520" s="4"/>
      <c r="P520" s="4"/>
      <c r="Q520" s="4"/>
      <c r="R520" s="4"/>
      <c r="S520" s="4"/>
      <c r="T520" s="4"/>
      <c r="U520" s="4"/>
      <c r="V520" s="4"/>
      <c r="W520" s="4"/>
      <c r="X520" s="4"/>
      <c r="Y520" s="4"/>
      <c r="Z520" s="4"/>
    </row>
    <row r="521">
      <c r="A521" s="13"/>
      <c r="B521" s="161"/>
      <c r="C521" s="13"/>
      <c r="D521" s="4"/>
      <c r="E521" s="4"/>
      <c r="F521" s="4"/>
      <c r="G521" s="4"/>
      <c r="H521" s="4"/>
      <c r="I521" s="4"/>
      <c r="J521" s="4"/>
      <c r="K521" s="4"/>
      <c r="L521" s="4"/>
      <c r="M521" s="4"/>
      <c r="N521" s="4"/>
      <c r="O521" s="4"/>
      <c r="P521" s="4"/>
      <c r="Q521" s="4"/>
      <c r="R521" s="4"/>
      <c r="S521" s="4"/>
      <c r="T521" s="4"/>
      <c r="U521" s="4"/>
      <c r="V521" s="4"/>
      <c r="W521" s="4"/>
      <c r="X521" s="4"/>
      <c r="Y521" s="4"/>
      <c r="Z521" s="4"/>
    </row>
    <row r="522">
      <c r="A522" s="13"/>
      <c r="B522" s="161"/>
      <c r="C522" s="13"/>
      <c r="D522" s="4"/>
      <c r="E522" s="4"/>
      <c r="F522" s="4"/>
      <c r="G522" s="4"/>
      <c r="H522" s="4"/>
      <c r="I522" s="4"/>
      <c r="J522" s="4"/>
      <c r="K522" s="4"/>
      <c r="L522" s="4"/>
      <c r="M522" s="4"/>
      <c r="N522" s="4"/>
      <c r="O522" s="4"/>
      <c r="P522" s="4"/>
      <c r="Q522" s="4"/>
      <c r="R522" s="4"/>
      <c r="S522" s="4"/>
      <c r="T522" s="4"/>
      <c r="U522" s="4"/>
      <c r="V522" s="4"/>
      <c r="W522" s="4"/>
      <c r="X522" s="4"/>
      <c r="Y522" s="4"/>
      <c r="Z522" s="4"/>
    </row>
    <row r="523">
      <c r="A523" s="13"/>
      <c r="B523" s="161"/>
      <c r="C523" s="13"/>
      <c r="D523" s="4"/>
      <c r="E523" s="4"/>
      <c r="F523" s="4"/>
      <c r="G523" s="4"/>
      <c r="H523" s="4"/>
      <c r="I523" s="4"/>
      <c r="J523" s="4"/>
      <c r="K523" s="4"/>
      <c r="L523" s="4"/>
      <c r="M523" s="4"/>
      <c r="N523" s="4"/>
      <c r="O523" s="4"/>
      <c r="P523" s="4"/>
      <c r="Q523" s="4"/>
      <c r="R523" s="4"/>
      <c r="S523" s="4"/>
      <c r="T523" s="4"/>
      <c r="U523" s="4"/>
      <c r="V523" s="4"/>
      <c r="W523" s="4"/>
      <c r="X523" s="4"/>
      <c r="Y523" s="4"/>
      <c r="Z523" s="4"/>
    </row>
    <row r="524">
      <c r="A524" s="13"/>
      <c r="B524" s="161"/>
      <c r="C524" s="13"/>
      <c r="D524" s="4"/>
      <c r="E524" s="4"/>
      <c r="F524" s="4"/>
      <c r="G524" s="4"/>
      <c r="H524" s="4"/>
      <c r="I524" s="4"/>
      <c r="J524" s="4"/>
      <c r="K524" s="4"/>
      <c r="L524" s="4"/>
      <c r="M524" s="4"/>
      <c r="N524" s="4"/>
      <c r="O524" s="4"/>
      <c r="P524" s="4"/>
      <c r="Q524" s="4"/>
      <c r="R524" s="4"/>
      <c r="S524" s="4"/>
      <c r="T524" s="4"/>
      <c r="U524" s="4"/>
      <c r="V524" s="4"/>
      <c r="W524" s="4"/>
      <c r="X524" s="4"/>
      <c r="Y524" s="4"/>
      <c r="Z524" s="4"/>
    </row>
    <row r="525">
      <c r="A525" s="13"/>
      <c r="B525" s="161"/>
      <c r="C525" s="13"/>
      <c r="D525" s="4"/>
      <c r="E525" s="4"/>
      <c r="F525" s="4"/>
      <c r="G525" s="4"/>
      <c r="H525" s="4"/>
      <c r="I525" s="4"/>
      <c r="J525" s="4"/>
      <c r="K525" s="4"/>
      <c r="L525" s="4"/>
      <c r="M525" s="4"/>
      <c r="N525" s="4"/>
      <c r="O525" s="4"/>
      <c r="P525" s="4"/>
      <c r="Q525" s="4"/>
      <c r="R525" s="4"/>
      <c r="S525" s="4"/>
      <c r="T525" s="4"/>
      <c r="U525" s="4"/>
      <c r="V525" s="4"/>
      <c r="W525" s="4"/>
      <c r="X525" s="4"/>
      <c r="Y525" s="4"/>
      <c r="Z525" s="4"/>
    </row>
    <row r="526">
      <c r="A526" s="13"/>
      <c r="B526" s="161"/>
      <c r="C526" s="13"/>
      <c r="D526" s="4"/>
      <c r="E526" s="4"/>
      <c r="F526" s="4"/>
      <c r="G526" s="4"/>
      <c r="H526" s="4"/>
      <c r="I526" s="4"/>
      <c r="J526" s="4"/>
      <c r="K526" s="4"/>
      <c r="L526" s="4"/>
      <c r="M526" s="4"/>
      <c r="N526" s="4"/>
      <c r="O526" s="4"/>
      <c r="P526" s="4"/>
      <c r="Q526" s="4"/>
      <c r="R526" s="4"/>
      <c r="S526" s="4"/>
      <c r="T526" s="4"/>
      <c r="U526" s="4"/>
      <c r="V526" s="4"/>
      <c r="W526" s="4"/>
      <c r="X526" s="4"/>
      <c r="Y526" s="4"/>
      <c r="Z526" s="4"/>
    </row>
    <row r="527">
      <c r="A527" s="13"/>
      <c r="B527" s="161"/>
      <c r="C527" s="13"/>
      <c r="D527" s="4"/>
      <c r="E527" s="4"/>
      <c r="F527" s="4"/>
      <c r="G527" s="4"/>
      <c r="H527" s="4"/>
      <c r="I527" s="4"/>
      <c r="J527" s="4"/>
      <c r="K527" s="4"/>
      <c r="L527" s="4"/>
      <c r="M527" s="4"/>
      <c r="N527" s="4"/>
      <c r="O527" s="4"/>
      <c r="P527" s="4"/>
      <c r="Q527" s="4"/>
      <c r="R527" s="4"/>
      <c r="S527" s="4"/>
      <c r="T527" s="4"/>
      <c r="U527" s="4"/>
      <c r="V527" s="4"/>
      <c r="W527" s="4"/>
      <c r="X527" s="4"/>
      <c r="Y527" s="4"/>
      <c r="Z527" s="4"/>
    </row>
    <row r="528">
      <c r="A528" s="13"/>
      <c r="B528" s="161"/>
      <c r="C528" s="13"/>
      <c r="D528" s="4"/>
      <c r="E528" s="4"/>
      <c r="F528" s="4"/>
      <c r="G528" s="4"/>
      <c r="H528" s="4"/>
      <c r="I528" s="4"/>
      <c r="J528" s="4"/>
      <c r="K528" s="4"/>
      <c r="L528" s="4"/>
      <c r="M528" s="4"/>
      <c r="N528" s="4"/>
      <c r="O528" s="4"/>
      <c r="P528" s="4"/>
      <c r="Q528" s="4"/>
      <c r="R528" s="4"/>
      <c r="S528" s="4"/>
      <c r="T528" s="4"/>
      <c r="U528" s="4"/>
      <c r="V528" s="4"/>
      <c r="W528" s="4"/>
      <c r="X528" s="4"/>
      <c r="Y528" s="4"/>
      <c r="Z528" s="4"/>
    </row>
    <row r="529">
      <c r="A529" s="13"/>
      <c r="B529" s="161"/>
      <c r="C529" s="13"/>
      <c r="D529" s="4"/>
      <c r="E529" s="4"/>
      <c r="F529" s="4"/>
      <c r="G529" s="4"/>
      <c r="H529" s="4"/>
      <c r="I529" s="4"/>
      <c r="J529" s="4"/>
      <c r="K529" s="4"/>
      <c r="L529" s="4"/>
      <c r="M529" s="4"/>
      <c r="N529" s="4"/>
      <c r="O529" s="4"/>
      <c r="P529" s="4"/>
      <c r="Q529" s="4"/>
      <c r="R529" s="4"/>
      <c r="S529" s="4"/>
      <c r="T529" s="4"/>
      <c r="U529" s="4"/>
      <c r="V529" s="4"/>
      <c r="W529" s="4"/>
      <c r="X529" s="4"/>
      <c r="Y529" s="4"/>
      <c r="Z529" s="4"/>
    </row>
    <row r="530">
      <c r="A530" s="13"/>
      <c r="B530" s="161"/>
      <c r="C530" s="13"/>
      <c r="D530" s="4"/>
      <c r="E530" s="4"/>
      <c r="F530" s="4"/>
      <c r="G530" s="4"/>
      <c r="H530" s="4"/>
      <c r="I530" s="4"/>
      <c r="J530" s="4"/>
      <c r="K530" s="4"/>
      <c r="L530" s="4"/>
      <c r="M530" s="4"/>
      <c r="N530" s="4"/>
      <c r="O530" s="4"/>
      <c r="P530" s="4"/>
      <c r="Q530" s="4"/>
      <c r="R530" s="4"/>
      <c r="S530" s="4"/>
      <c r="T530" s="4"/>
      <c r="U530" s="4"/>
      <c r="V530" s="4"/>
      <c r="W530" s="4"/>
      <c r="X530" s="4"/>
      <c r="Y530" s="4"/>
      <c r="Z530" s="4"/>
    </row>
    <row r="531">
      <c r="A531" s="13"/>
      <c r="B531" s="161"/>
      <c r="C531" s="13"/>
      <c r="D531" s="4"/>
      <c r="E531" s="4"/>
      <c r="F531" s="4"/>
      <c r="G531" s="4"/>
      <c r="H531" s="4"/>
      <c r="I531" s="4"/>
      <c r="J531" s="4"/>
      <c r="K531" s="4"/>
      <c r="L531" s="4"/>
      <c r="M531" s="4"/>
      <c r="N531" s="4"/>
      <c r="O531" s="4"/>
      <c r="P531" s="4"/>
      <c r="Q531" s="4"/>
      <c r="R531" s="4"/>
      <c r="S531" s="4"/>
      <c r="T531" s="4"/>
      <c r="U531" s="4"/>
      <c r="V531" s="4"/>
      <c r="W531" s="4"/>
      <c r="X531" s="4"/>
      <c r="Y531" s="4"/>
      <c r="Z531" s="4"/>
    </row>
    <row r="532">
      <c r="A532" s="13"/>
      <c r="B532" s="161"/>
      <c r="C532" s="13"/>
      <c r="D532" s="4"/>
      <c r="E532" s="4"/>
      <c r="F532" s="4"/>
      <c r="G532" s="4"/>
      <c r="H532" s="4"/>
      <c r="I532" s="4"/>
      <c r="J532" s="4"/>
      <c r="K532" s="4"/>
      <c r="L532" s="4"/>
      <c r="M532" s="4"/>
      <c r="N532" s="4"/>
      <c r="O532" s="4"/>
      <c r="P532" s="4"/>
      <c r="Q532" s="4"/>
      <c r="R532" s="4"/>
      <c r="S532" s="4"/>
      <c r="T532" s="4"/>
      <c r="U532" s="4"/>
      <c r="V532" s="4"/>
      <c r="W532" s="4"/>
      <c r="X532" s="4"/>
      <c r="Y532" s="4"/>
      <c r="Z532" s="4"/>
    </row>
    <row r="533">
      <c r="A533" s="13"/>
      <c r="B533" s="161"/>
      <c r="C533" s="13"/>
      <c r="D533" s="4"/>
      <c r="E533" s="4"/>
      <c r="F533" s="4"/>
      <c r="G533" s="4"/>
      <c r="H533" s="4"/>
      <c r="I533" s="4"/>
      <c r="J533" s="4"/>
      <c r="K533" s="4"/>
      <c r="L533" s="4"/>
      <c r="M533" s="4"/>
      <c r="N533" s="4"/>
      <c r="O533" s="4"/>
      <c r="P533" s="4"/>
      <c r="Q533" s="4"/>
      <c r="R533" s="4"/>
      <c r="S533" s="4"/>
      <c r="T533" s="4"/>
      <c r="U533" s="4"/>
      <c r="V533" s="4"/>
      <c r="W533" s="4"/>
      <c r="X533" s="4"/>
      <c r="Y533" s="4"/>
      <c r="Z533" s="4"/>
    </row>
    <row r="534">
      <c r="A534" s="13"/>
      <c r="B534" s="161"/>
      <c r="C534" s="13"/>
      <c r="D534" s="4"/>
      <c r="E534" s="4"/>
      <c r="F534" s="4"/>
      <c r="G534" s="4"/>
      <c r="H534" s="4"/>
      <c r="I534" s="4"/>
      <c r="J534" s="4"/>
      <c r="K534" s="4"/>
      <c r="L534" s="4"/>
      <c r="M534" s="4"/>
      <c r="N534" s="4"/>
      <c r="O534" s="4"/>
      <c r="P534" s="4"/>
      <c r="Q534" s="4"/>
      <c r="R534" s="4"/>
      <c r="S534" s="4"/>
      <c r="T534" s="4"/>
      <c r="U534" s="4"/>
      <c r="V534" s="4"/>
      <c r="W534" s="4"/>
      <c r="X534" s="4"/>
      <c r="Y534" s="4"/>
      <c r="Z534" s="4"/>
    </row>
    <row r="535">
      <c r="A535" s="13"/>
      <c r="B535" s="161"/>
      <c r="C535" s="13"/>
      <c r="D535" s="4"/>
      <c r="E535" s="4"/>
      <c r="F535" s="4"/>
      <c r="G535" s="4"/>
      <c r="H535" s="4"/>
      <c r="I535" s="4"/>
      <c r="J535" s="4"/>
      <c r="K535" s="4"/>
      <c r="L535" s="4"/>
      <c r="M535" s="4"/>
      <c r="N535" s="4"/>
      <c r="O535" s="4"/>
      <c r="P535" s="4"/>
      <c r="Q535" s="4"/>
      <c r="R535" s="4"/>
      <c r="S535" s="4"/>
      <c r="T535" s="4"/>
      <c r="U535" s="4"/>
      <c r="V535" s="4"/>
      <c r="W535" s="4"/>
      <c r="X535" s="4"/>
      <c r="Y535" s="4"/>
      <c r="Z535" s="4"/>
    </row>
    <row r="536">
      <c r="A536" s="13"/>
      <c r="B536" s="161"/>
      <c r="C536" s="13"/>
      <c r="D536" s="4"/>
      <c r="E536" s="4"/>
      <c r="F536" s="4"/>
      <c r="G536" s="4"/>
      <c r="H536" s="4"/>
      <c r="I536" s="4"/>
      <c r="J536" s="4"/>
      <c r="K536" s="4"/>
      <c r="L536" s="4"/>
      <c r="M536" s="4"/>
      <c r="N536" s="4"/>
      <c r="O536" s="4"/>
      <c r="P536" s="4"/>
      <c r="Q536" s="4"/>
      <c r="R536" s="4"/>
      <c r="S536" s="4"/>
      <c r="T536" s="4"/>
      <c r="U536" s="4"/>
      <c r="V536" s="4"/>
      <c r="W536" s="4"/>
      <c r="X536" s="4"/>
      <c r="Y536" s="4"/>
      <c r="Z536" s="4"/>
    </row>
    <row r="537">
      <c r="A537" s="13"/>
      <c r="B537" s="161"/>
      <c r="C537" s="13"/>
      <c r="D537" s="4"/>
      <c r="E537" s="4"/>
      <c r="F537" s="4"/>
      <c r="G537" s="4"/>
      <c r="H537" s="4"/>
      <c r="I537" s="4"/>
      <c r="J537" s="4"/>
      <c r="K537" s="4"/>
      <c r="L537" s="4"/>
      <c r="M537" s="4"/>
      <c r="N537" s="4"/>
      <c r="O537" s="4"/>
      <c r="P537" s="4"/>
      <c r="Q537" s="4"/>
      <c r="R537" s="4"/>
      <c r="S537" s="4"/>
      <c r="T537" s="4"/>
      <c r="U537" s="4"/>
      <c r="V537" s="4"/>
      <c r="W537" s="4"/>
      <c r="X537" s="4"/>
      <c r="Y537" s="4"/>
      <c r="Z537" s="4"/>
    </row>
    <row r="538">
      <c r="A538" s="13"/>
      <c r="B538" s="161"/>
      <c r="C538" s="13"/>
      <c r="D538" s="4"/>
      <c r="E538" s="4"/>
      <c r="F538" s="4"/>
      <c r="G538" s="4"/>
      <c r="H538" s="4"/>
      <c r="I538" s="4"/>
      <c r="J538" s="4"/>
      <c r="K538" s="4"/>
      <c r="L538" s="4"/>
      <c r="M538" s="4"/>
      <c r="N538" s="4"/>
      <c r="O538" s="4"/>
      <c r="P538" s="4"/>
      <c r="Q538" s="4"/>
      <c r="R538" s="4"/>
      <c r="S538" s="4"/>
      <c r="T538" s="4"/>
      <c r="U538" s="4"/>
      <c r="V538" s="4"/>
      <c r="W538" s="4"/>
      <c r="X538" s="4"/>
      <c r="Y538" s="4"/>
      <c r="Z538" s="4"/>
    </row>
    <row r="539">
      <c r="A539" s="13"/>
      <c r="B539" s="161"/>
      <c r="C539" s="13"/>
      <c r="D539" s="4"/>
      <c r="E539" s="4"/>
      <c r="F539" s="4"/>
      <c r="G539" s="4"/>
      <c r="H539" s="4"/>
      <c r="I539" s="4"/>
      <c r="J539" s="4"/>
      <c r="K539" s="4"/>
      <c r="L539" s="4"/>
      <c r="M539" s="4"/>
      <c r="N539" s="4"/>
      <c r="O539" s="4"/>
      <c r="P539" s="4"/>
      <c r="Q539" s="4"/>
      <c r="R539" s="4"/>
      <c r="S539" s="4"/>
      <c r="T539" s="4"/>
      <c r="U539" s="4"/>
      <c r="V539" s="4"/>
      <c r="W539" s="4"/>
      <c r="X539" s="4"/>
      <c r="Y539" s="4"/>
      <c r="Z539" s="4"/>
    </row>
    <row r="540">
      <c r="A540" s="13"/>
      <c r="B540" s="161"/>
      <c r="C540" s="13"/>
      <c r="D540" s="4"/>
      <c r="E540" s="4"/>
      <c r="F540" s="4"/>
      <c r="G540" s="4"/>
      <c r="H540" s="4"/>
      <c r="I540" s="4"/>
      <c r="J540" s="4"/>
      <c r="K540" s="4"/>
      <c r="L540" s="4"/>
      <c r="M540" s="4"/>
      <c r="N540" s="4"/>
      <c r="O540" s="4"/>
      <c r="P540" s="4"/>
      <c r="Q540" s="4"/>
      <c r="R540" s="4"/>
      <c r="S540" s="4"/>
      <c r="T540" s="4"/>
      <c r="U540" s="4"/>
      <c r="V540" s="4"/>
      <c r="W540" s="4"/>
      <c r="X540" s="4"/>
      <c r="Y540" s="4"/>
      <c r="Z540" s="4"/>
    </row>
    <row r="541">
      <c r="A541" s="13"/>
      <c r="B541" s="161"/>
      <c r="C541" s="13"/>
      <c r="D541" s="4"/>
      <c r="E541" s="4"/>
      <c r="F541" s="4"/>
      <c r="G541" s="4"/>
      <c r="H541" s="4"/>
      <c r="I541" s="4"/>
      <c r="J541" s="4"/>
      <c r="K541" s="4"/>
      <c r="L541" s="4"/>
      <c r="M541" s="4"/>
      <c r="N541" s="4"/>
      <c r="O541" s="4"/>
      <c r="P541" s="4"/>
      <c r="Q541" s="4"/>
      <c r="R541" s="4"/>
      <c r="S541" s="4"/>
      <c r="T541" s="4"/>
      <c r="U541" s="4"/>
      <c r="V541" s="4"/>
      <c r="W541" s="4"/>
      <c r="X541" s="4"/>
      <c r="Y541" s="4"/>
      <c r="Z541" s="4"/>
    </row>
    <row r="542">
      <c r="A542" s="13"/>
      <c r="B542" s="161"/>
      <c r="C542" s="13"/>
      <c r="D542" s="4"/>
      <c r="E542" s="4"/>
      <c r="F542" s="4"/>
      <c r="G542" s="4"/>
      <c r="H542" s="4"/>
      <c r="I542" s="4"/>
      <c r="J542" s="4"/>
      <c r="K542" s="4"/>
      <c r="L542" s="4"/>
      <c r="M542" s="4"/>
      <c r="N542" s="4"/>
      <c r="O542" s="4"/>
      <c r="P542" s="4"/>
      <c r="Q542" s="4"/>
      <c r="R542" s="4"/>
      <c r="S542" s="4"/>
      <c r="T542" s="4"/>
      <c r="U542" s="4"/>
      <c r="V542" s="4"/>
      <c r="W542" s="4"/>
      <c r="X542" s="4"/>
      <c r="Y542" s="4"/>
      <c r="Z542" s="4"/>
    </row>
    <row r="543">
      <c r="A543" s="13"/>
      <c r="B543" s="161"/>
      <c r="C543" s="13"/>
      <c r="D543" s="4"/>
      <c r="E543" s="4"/>
      <c r="F543" s="4"/>
      <c r="G543" s="4"/>
      <c r="H543" s="4"/>
      <c r="I543" s="4"/>
      <c r="J543" s="4"/>
      <c r="K543" s="4"/>
      <c r="L543" s="4"/>
      <c r="M543" s="4"/>
      <c r="N543" s="4"/>
      <c r="O543" s="4"/>
      <c r="P543" s="4"/>
      <c r="Q543" s="4"/>
      <c r="R543" s="4"/>
      <c r="S543" s="4"/>
      <c r="T543" s="4"/>
      <c r="U543" s="4"/>
      <c r="V543" s="4"/>
      <c r="W543" s="4"/>
      <c r="X543" s="4"/>
      <c r="Y543" s="4"/>
      <c r="Z543" s="4"/>
    </row>
    <row r="544">
      <c r="A544" s="13"/>
      <c r="B544" s="161"/>
      <c r="C544" s="13"/>
      <c r="D544" s="4"/>
      <c r="E544" s="4"/>
      <c r="F544" s="4"/>
      <c r="G544" s="4"/>
      <c r="H544" s="4"/>
      <c r="I544" s="4"/>
      <c r="J544" s="4"/>
      <c r="K544" s="4"/>
      <c r="L544" s="4"/>
      <c r="M544" s="4"/>
      <c r="N544" s="4"/>
      <c r="O544" s="4"/>
      <c r="P544" s="4"/>
      <c r="Q544" s="4"/>
      <c r="R544" s="4"/>
      <c r="S544" s="4"/>
      <c r="T544" s="4"/>
      <c r="U544" s="4"/>
      <c r="V544" s="4"/>
      <c r="W544" s="4"/>
      <c r="X544" s="4"/>
      <c r="Y544" s="4"/>
      <c r="Z544" s="4"/>
    </row>
    <row r="545">
      <c r="A545" s="13"/>
      <c r="B545" s="161"/>
      <c r="C545" s="13"/>
      <c r="D545" s="4"/>
      <c r="E545" s="4"/>
      <c r="F545" s="4"/>
      <c r="G545" s="4"/>
      <c r="H545" s="4"/>
      <c r="I545" s="4"/>
      <c r="J545" s="4"/>
      <c r="K545" s="4"/>
      <c r="L545" s="4"/>
      <c r="M545" s="4"/>
      <c r="N545" s="4"/>
      <c r="O545" s="4"/>
      <c r="P545" s="4"/>
      <c r="Q545" s="4"/>
      <c r="R545" s="4"/>
      <c r="S545" s="4"/>
      <c r="T545" s="4"/>
      <c r="U545" s="4"/>
      <c r="V545" s="4"/>
      <c r="W545" s="4"/>
      <c r="X545" s="4"/>
      <c r="Y545" s="4"/>
      <c r="Z545" s="4"/>
    </row>
    <row r="546">
      <c r="A546" s="13"/>
      <c r="B546" s="161"/>
      <c r="C546" s="13"/>
      <c r="D546" s="4"/>
      <c r="E546" s="4"/>
      <c r="F546" s="4"/>
      <c r="G546" s="4"/>
      <c r="H546" s="4"/>
      <c r="I546" s="4"/>
      <c r="J546" s="4"/>
      <c r="K546" s="4"/>
      <c r="L546" s="4"/>
      <c r="M546" s="4"/>
      <c r="N546" s="4"/>
      <c r="O546" s="4"/>
      <c r="P546" s="4"/>
      <c r="Q546" s="4"/>
      <c r="R546" s="4"/>
      <c r="S546" s="4"/>
      <c r="T546" s="4"/>
      <c r="U546" s="4"/>
      <c r="V546" s="4"/>
      <c r="W546" s="4"/>
      <c r="X546" s="4"/>
      <c r="Y546" s="4"/>
      <c r="Z546" s="4"/>
    </row>
    <row r="547">
      <c r="A547" s="13"/>
      <c r="B547" s="161"/>
      <c r="C547" s="13"/>
      <c r="D547" s="4"/>
      <c r="E547" s="4"/>
      <c r="F547" s="4"/>
      <c r="G547" s="4"/>
      <c r="H547" s="4"/>
      <c r="I547" s="4"/>
      <c r="J547" s="4"/>
      <c r="K547" s="4"/>
      <c r="L547" s="4"/>
      <c r="M547" s="4"/>
      <c r="N547" s="4"/>
      <c r="O547" s="4"/>
      <c r="P547" s="4"/>
      <c r="Q547" s="4"/>
      <c r="R547" s="4"/>
      <c r="S547" s="4"/>
      <c r="T547" s="4"/>
      <c r="U547" s="4"/>
      <c r="V547" s="4"/>
      <c r="W547" s="4"/>
      <c r="X547" s="4"/>
      <c r="Y547" s="4"/>
      <c r="Z547" s="4"/>
    </row>
    <row r="548">
      <c r="A548" s="13"/>
      <c r="B548" s="161"/>
      <c r="C548" s="13"/>
      <c r="D548" s="4"/>
      <c r="E548" s="4"/>
      <c r="F548" s="4"/>
      <c r="G548" s="4"/>
      <c r="H548" s="4"/>
      <c r="I548" s="4"/>
      <c r="J548" s="4"/>
      <c r="K548" s="4"/>
      <c r="L548" s="4"/>
      <c r="M548" s="4"/>
      <c r="N548" s="4"/>
      <c r="O548" s="4"/>
      <c r="P548" s="4"/>
      <c r="Q548" s="4"/>
      <c r="R548" s="4"/>
      <c r="S548" s="4"/>
      <c r="T548" s="4"/>
      <c r="U548" s="4"/>
      <c r="V548" s="4"/>
      <c r="W548" s="4"/>
      <c r="X548" s="4"/>
      <c r="Y548" s="4"/>
      <c r="Z548" s="4"/>
    </row>
    <row r="549">
      <c r="A549" s="13"/>
      <c r="B549" s="161"/>
      <c r="C549" s="13"/>
      <c r="D549" s="4"/>
      <c r="E549" s="4"/>
      <c r="F549" s="4"/>
      <c r="G549" s="4"/>
      <c r="H549" s="4"/>
      <c r="I549" s="4"/>
      <c r="J549" s="4"/>
      <c r="K549" s="4"/>
      <c r="L549" s="4"/>
      <c r="M549" s="4"/>
      <c r="N549" s="4"/>
      <c r="O549" s="4"/>
      <c r="P549" s="4"/>
      <c r="Q549" s="4"/>
      <c r="R549" s="4"/>
      <c r="S549" s="4"/>
      <c r="T549" s="4"/>
      <c r="U549" s="4"/>
      <c r="V549" s="4"/>
      <c r="W549" s="4"/>
      <c r="X549" s="4"/>
      <c r="Y549" s="4"/>
      <c r="Z549" s="4"/>
    </row>
    <row r="550">
      <c r="A550" s="13"/>
      <c r="B550" s="161"/>
      <c r="C550" s="13"/>
      <c r="D550" s="4"/>
      <c r="E550" s="4"/>
      <c r="F550" s="4"/>
      <c r="G550" s="4"/>
      <c r="H550" s="4"/>
      <c r="I550" s="4"/>
      <c r="J550" s="4"/>
      <c r="K550" s="4"/>
      <c r="L550" s="4"/>
      <c r="M550" s="4"/>
      <c r="N550" s="4"/>
      <c r="O550" s="4"/>
      <c r="P550" s="4"/>
      <c r="Q550" s="4"/>
      <c r="R550" s="4"/>
      <c r="S550" s="4"/>
      <c r="T550" s="4"/>
      <c r="U550" s="4"/>
      <c r="V550" s="4"/>
      <c r="W550" s="4"/>
      <c r="X550" s="4"/>
      <c r="Y550" s="4"/>
      <c r="Z550" s="4"/>
    </row>
    <row r="551">
      <c r="A551" s="13"/>
      <c r="B551" s="161"/>
      <c r="C551" s="13"/>
      <c r="D551" s="4"/>
      <c r="E551" s="4"/>
      <c r="F551" s="4"/>
      <c r="G551" s="4"/>
      <c r="H551" s="4"/>
      <c r="I551" s="4"/>
      <c r="J551" s="4"/>
      <c r="K551" s="4"/>
      <c r="L551" s="4"/>
      <c r="M551" s="4"/>
      <c r="N551" s="4"/>
      <c r="O551" s="4"/>
      <c r="P551" s="4"/>
      <c r="Q551" s="4"/>
      <c r="R551" s="4"/>
      <c r="S551" s="4"/>
      <c r="T551" s="4"/>
      <c r="U551" s="4"/>
      <c r="V551" s="4"/>
      <c r="W551" s="4"/>
      <c r="X551" s="4"/>
      <c r="Y551" s="4"/>
      <c r="Z551" s="4"/>
    </row>
    <row r="552">
      <c r="A552" s="13"/>
      <c r="B552" s="161"/>
      <c r="C552" s="13"/>
      <c r="D552" s="4"/>
      <c r="E552" s="4"/>
      <c r="F552" s="4"/>
      <c r="G552" s="4"/>
      <c r="H552" s="4"/>
      <c r="I552" s="4"/>
      <c r="J552" s="4"/>
      <c r="K552" s="4"/>
      <c r="L552" s="4"/>
      <c r="M552" s="4"/>
      <c r="N552" s="4"/>
      <c r="O552" s="4"/>
      <c r="P552" s="4"/>
      <c r="Q552" s="4"/>
      <c r="R552" s="4"/>
      <c r="S552" s="4"/>
      <c r="T552" s="4"/>
      <c r="U552" s="4"/>
      <c r="V552" s="4"/>
      <c r="W552" s="4"/>
      <c r="X552" s="4"/>
      <c r="Y552" s="4"/>
      <c r="Z552" s="4"/>
    </row>
    <row r="553">
      <c r="A553" s="13"/>
      <c r="B553" s="161"/>
      <c r="C553" s="13"/>
      <c r="D553" s="4"/>
      <c r="E553" s="4"/>
      <c r="F553" s="4"/>
      <c r="G553" s="4"/>
      <c r="H553" s="4"/>
      <c r="I553" s="4"/>
      <c r="J553" s="4"/>
      <c r="K553" s="4"/>
      <c r="L553" s="4"/>
      <c r="M553" s="4"/>
      <c r="N553" s="4"/>
      <c r="O553" s="4"/>
      <c r="P553" s="4"/>
      <c r="Q553" s="4"/>
      <c r="R553" s="4"/>
      <c r="S553" s="4"/>
      <c r="T553" s="4"/>
      <c r="U553" s="4"/>
      <c r="V553" s="4"/>
      <c r="W553" s="4"/>
      <c r="X553" s="4"/>
      <c r="Y553" s="4"/>
      <c r="Z553" s="4"/>
    </row>
    <row r="554">
      <c r="A554" s="13"/>
      <c r="B554" s="161"/>
      <c r="C554" s="13"/>
      <c r="D554" s="4"/>
      <c r="E554" s="4"/>
      <c r="F554" s="4"/>
      <c r="G554" s="4"/>
      <c r="H554" s="4"/>
      <c r="I554" s="4"/>
      <c r="J554" s="4"/>
      <c r="K554" s="4"/>
      <c r="L554" s="4"/>
      <c r="M554" s="4"/>
      <c r="N554" s="4"/>
      <c r="O554" s="4"/>
      <c r="P554" s="4"/>
      <c r="Q554" s="4"/>
      <c r="R554" s="4"/>
      <c r="S554" s="4"/>
      <c r="T554" s="4"/>
      <c r="U554" s="4"/>
      <c r="V554" s="4"/>
      <c r="W554" s="4"/>
      <c r="X554" s="4"/>
      <c r="Y554" s="4"/>
      <c r="Z554" s="4"/>
    </row>
    <row r="555">
      <c r="A555" s="13"/>
      <c r="B555" s="161"/>
      <c r="C555" s="13"/>
      <c r="D555" s="4"/>
      <c r="E555" s="4"/>
      <c r="F555" s="4"/>
      <c r="G555" s="4"/>
      <c r="H555" s="4"/>
      <c r="I555" s="4"/>
      <c r="J555" s="4"/>
      <c r="K555" s="4"/>
      <c r="L555" s="4"/>
      <c r="M555" s="4"/>
      <c r="N555" s="4"/>
      <c r="O555" s="4"/>
      <c r="P555" s="4"/>
      <c r="Q555" s="4"/>
      <c r="R555" s="4"/>
      <c r="S555" s="4"/>
      <c r="T555" s="4"/>
      <c r="U555" s="4"/>
      <c r="V555" s="4"/>
      <c r="W555" s="4"/>
      <c r="X555" s="4"/>
      <c r="Y555" s="4"/>
      <c r="Z555" s="4"/>
    </row>
    <row r="556">
      <c r="A556" s="13"/>
      <c r="B556" s="161"/>
      <c r="C556" s="13"/>
      <c r="D556" s="4"/>
      <c r="E556" s="4"/>
      <c r="F556" s="4"/>
      <c r="G556" s="4"/>
      <c r="H556" s="4"/>
      <c r="I556" s="4"/>
      <c r="J556" s="4"/>
      <c r="K556" s="4"/>
      <c r="L556" s="4"/>
      <c r="M556" s="4"/>
      <c r="N556" s="4"/>
      <c r="O556" s="4"/>
      <c r="P556" s="4"/>
      <c r="Q556" s="4"/>
      <c r="R556" s="4"/>
      <c r="S556" s="4"/>
      <c r="T556" s="4"/>
      <c r="U556" s="4"/>
      <c r="V556" s="4"/>
      <c r="W556" s="4"/>
      <c r="X556" s="4"/>
      <c r="Y556" s="4"/>
      <c r="Z556" s="4"/>
    </row>
    <row r="557">
      <c r="A557" s="13"/>
      <c r="B557" s="161"/>
      <c r="C557" s="13"/>
      <c r="D557" s="4"/>
      <c r="E557" s="4"/>
      <c r="F557" s="4"/>
      <c r="G557" s="4"/>
      <c r="H557" s="4"/>
      <c r="I557" s="4"/>
      <c r="J557" s="4"/>
      <c r="K557" s="4"/>
      <c r="L557" s="4"/>
      <c r="M557" s="4"/>
      <c r="N557" s="4"/>
      <c r="O557" s="4"/>
      <c r="P557" s="4"/>
      <c r="Q557" s="4"/>
      <c r="R557" s="4"/>
      <c r="S557" s="4"/>
      <c r="T557" s="4"/>
      <c r="U557" s="4"/>
      <c r="V557" s="4"/>
      <c r="W557" s="4"/>
      <c r="X557" s="4"/>
      <c r="Y557" s="4"/>
      <c r="Z557" s="4"/>
    </row>
    <row r="558">
      <c r="A558" s="13"/>
      <c r="B558" s="161"/>
      <c r="C558" s="13"/>
      <c r="D558" s="4"/>
      <c r="E558" s="4"/>
      <c r="F558" s="4"/>
      <c r="G558" s="4"/>
      <c r="H558" s="4"/>
      <c r="I558" s="4"/>
      <c r="J558" s="4"/>
      <c r="K558" s="4"/>
      <c r="L558" s="4"/>
      <c r="M558" s="4"/>
      <c r="N558" s="4"/>
      <c r="O558" s="4"/>
      <c r="P558" s="4"/>
      <c r="Q558" s="4"/>
      <c r="R558" s="4"/>
      <c r="S558" s="4"/>
      <c r="T558" s="4"/>
      <c r="U558" s="4"/>
      <c r="V558" s="4"/>
      <c r="W558" s="4"/>
      <c r="X558" s="4"/>
      <c r="Y558" s="4"/>
      <c r="Z558" s="4"/>
    </row>
    <row r="559">
      <c r="A559" s="13"/>
      <c r="B559" s="161"/>
      <c r="C559" s="13"/>
      <c r="D559" s="4"/>
      <c r="E559" s="4"/>
      <c r="F559" s="4"/>
      <c r="G559" s="4"/>
      <c r="H559" s="4"/>
      <c r="I559" s="4"/>
      <c r="J559" s="4"/>
      <c r="K559" s="4"/>
      <c r="L559" s="4"/>
      <c r="M559" s="4"/>
      <c r="N559" s="4"/>
      <c r="O559" s="4"/>
      <c r="P559" s="4"/>
      <c r="Q559" s="4"/>
      <c r="R559" s="4"/>
      <c r="S559" s="4"/>
      <c r="T559" s="4"/>
      <c r="U559" s="4"/>
      <c r="V559" s="4"/>
      <c r="W559" s="4"/>
      <c r="X559" s="4"/>
      <c r="Y559" s="4"/>
      <c r="Z559" s="4"/>
    </row>
    <row r="560">
      <c r="A560" s="13"/>
      <c r="B560" s="161"/>
      <c r="C560" s="13"/>
      <c r="D560" s="4"/>
      <c r="E560" s="4"/>
      <c r="F560" s="4"/>
      <c r="G560" s="4"/>
      <c r="H560" s="4"/>
      <c r="I560" s="4"/>
      <c r="J560" s="4"/>
      <c r="K560" s="4"/>
      <c r="L560" s="4"/>
      <c r="M560" s="4"/>
      <c r="N560" s="4"/>
      <c r="O560" s="4"/>
      <c r="P560" s="4"/>
      <c r="Q560" s="4"/>
      <c r="R560" s="4"/>
      <c r="S560" s="4"/>
      <c r="T560" s="4"/>
      <c r="U560" s="4"/>
      <c r="V560" s="4"/>
      <c r="W560" s="4"/>
      <c r="X560" s="4"/>
      <c r="Y560" s="4"/>
      <c r="Z560" s="4"/>
    </row>
    <row r="561">
      <c r="A561" s="13"/>
      <c r="B561" s="161"/>
      <c r="C561" s="13"/>
      <c r="D561" s="4"/>
      <c r="E561" s="4"/>
      <c r="F561" s="4"/>
      <c r="G561" s="4"/>
      <c r="H561" s="4"/>
      <c r="I561" s="4"/>
      <c r="J561" s="4"/>
      <c r="K561" s="4"/>
      <c r="L561" s="4"/>
      <c r="M561" s="4"/>
      <c r="N561" s="4"/>
      <c r="O561" s="4"/>
      <c r="P561" s="4"/>
      <c r="Q561" s="4"/>
      <c r="R561" s="4"/>
      <c r="S561" s="4"/>
      <c r="T561" s="4"/>
      <c r="U561" s="4"/>
      <c r="V561" s="4"/>
      <c r="W561" s="4"/>
      <c r="X561" s="4"/>
      <c r="Y561" s="4"/>
      <c r="Z561" s="4"/>
    </row>
    <row r="562">
      <c r="A562" s="13"/>
      <c r="B562" s="161"/>
      <c r="C562" s="13"/>
      <c r="D562" s="4"/>
      <c r="E562" s="4"/>
      <c r="F562" s="4"/>
      <c r="G562" s="4"/>
      <c r="H562" s="4"/>
      <c r="I562" s="4"/>
      <c r="J562" s="4"/>
      <c r="K562" s="4"/>
      <c r="L562" s="4"/>
      <c r="M562" s="4"/>
      <c r="N562" s="4"/>
      <c r="O562" s="4"/>
      <c r="P562" s="4"/>
      <c r="Q562" s="4"/>
      <c r="R562" s="4"/>
      <c r="S562" s="4"/>
      <c r="T562" s="4"/>
      <c r="U562" s="4"/>
      <c r="V562" s="4"/>
      <c r="W562" s="4"/>
      <c r="X562" s="4"/>
      <c r="Y562" s="4"/>
      <c r="Z562" s="4"/>
    </row>
    <row r="563">
      <c r="A563" s="13"/>
      <c r="B563" s="161"/>
      <c r="C563" s="13"/>
      <c r="D563" s="4"/>
      <c r="E563" s="4"/>
      <c r="F563" s="4"/>
      <c r="G563" s="4"/>
      <c r="H563" s="4"/>
      <c r="I563" s="4"/>
      <c r="J563" s="4"/>
      <c r="K563" s="4"/>
      <c r="L563" s="4"/>
      <c r="M563" s="4"/>
      <c r="N563" s="4"/>
      <c r="O563" s="4"/>
      <c r="P563" s="4"/>
      <c r="Q563" s="4"/>
      <c r="R563" s="4"/>
      <c r="S563" s="4"/>
      <c r="T563" s="4"/>
      <c r="U563" s="4"/>
      <c r="V563" s="4"/>
      <c r="W563" s="4"/>
      <c r="X563" s="4"/>
      <c r="Y563" s="4"/>
      <c r="Z563" s="4"/>
    </row>
    <row r="564">
      <c r="A564" s="13"/>
      <c r="B564" s="161"/>
      <c r="C564" s="13"/>
      <c r="D564" s="4"/>
      <c r="E564" s="4"/>
      <c r="F564" s="4"/>
      <c r="G564" s="4"/>
      <c r="H564" s="4"/>
      <c r="I564" s="4"/>
      <c r="J564" s="4"/>
      <c r="K564" s="4"/>
      <c r="L564" s="4"/>
      <c r="M564" s="4"/>
      <c r="N564" s="4"/>
      <c r="O564" s="4"/>
      <c r="P564" s="4"/>
      <c r="Q564" s="4"/>
      <c r="R564" s="4"/>
      <c r="S564" s="4"/>
      <c r="T564" s="4"/>
      <c r="U564" s="4"/>
      <c r="V564" s="4"/>
      <c r="W564" s="4"/>
      <c r="X564" s="4"/>
      <c r="Y564" s="4"/>
      <c r="Z564" s="4"/>
    </row>
    <row r="565">
      <c r="A565" s="13"/>
      <c r="B565" s="161"/>
      <c r="C565" s="13"/>
      <c r="D565" s="4"/>
      <c r="E565" s="4"/>
      <c r="F565" s="4"/>
      <c r="G565" s="4"/>
      <c r="H565" s="4"/>
      <c r="I565" s="4"/>
      <c r="J565" s="4"/>
      <c r="K565" s="4"/>
      <c r="L565" s="4"/>
      <c r="M565" s="4"/>
      <c r="N565" s="4"/>
      <c r="O565" s="4"/>
      <c r="P565" s="4"/>
      <c r="Q565" s="4"/>
      <c r="R565" s="4"/>
      <c r="S565" s="4"/>
      <c r="T565" s="4"/>
      <c r="U565" s="4"/>
      <c r="V565" s="4"/>
      <c r="W565" s="4"/>
      <c r="X565" s="4"/>
      <c r="Y565" s="4"/>
      <c r="Z565" s="4"/>
    </row>
    <row r="566">
      <c r="A566" s="13"/>
      <c r="B566" s="161"/>
      <c r="C566" s="13"/>
      <c r="D566" s="4"/>
      <c r="E566" s="4"/>
      <c r="F566" s="4"/>
      <c r="G566" s="4"/>
      <c r="H566" s="4"/>
      <c r="I566" s="4"/>
      <c r="J566" s="4"/>
      <c r="K566" s="4"/>
      <c r="L566" s="4"/>
      <c r="M566" s="4"/>
      <c r="N566" s="4"/>
      <c r="O566" s="4"/>
      <c r="P566" s="4"/>
      <c r="Q566" s="4"/>
      <c r="R566" s="4"/>
      <c r="S566" s="4"/>
      <c r="T566" s="4"/>
      <c r="U566" s="4"/>
      <c r="V566" s="4"/>
      <c r="W566" s="4"/>
      <c r="X566" s="4"/>
      <c r="Y566" s="4"/>
      <c r="Z566" s="4"/>
    </row>
    <row r="567">
      <c r="A567" s="13"/>
      <c r="B567" s="161"/>
      <c r="C567" s="13"/>
      <c r="D567" s="4"/>
      <c r="E567" s="4"/>
      <c r="F567" s="4"/>
      <c r="G567" s="4"/>
      <c r="H567" s="4"/>
      <c r="I567" s="4"/>
      <c r="J567" s="4"/>
      <c r="K567" s="4"/>
      <c r="L567" s="4"/>
      <c r="M567" s="4"/>
      <c r="N567" s="4"/>
      <c r="O567" s="4"/>
      <c r="P567" s="4"/>
      <c r="Q567" s="4"/>
      <c r="R567" s="4"/>
      <c r="S567" s="4"/>
      <c r="T567" s="4"/>
      <c r="U567" s="4"/>
      <c r="V567" s="4"/>
      <c r="W567" s="4"/>
      <c r="X567" s="4"/>
      <c r="Y567" s="4"/>
      <c r="Z567" s="4"/>
    </row>
    <row r="568">
      <c r="A568" s="13"/>
      <c r="B568" s="161"/>
      <c r="C568" s="13"/>
      <c r="D568" s="4"/>
      <c r="E568" s="4"/>
      <c r="F568" s="4"/>
      <c r="G568" s="4"/>
      <c r="H568" s="4"/>
      <c r="I568" s="4"/>
      <c r="J568" s="4"/>
      <c r="K568" s="4"/>
      <c r="L568" s="4"/>
      <c r="M568" s="4"/>
      <c r="N568" s="4"/>
      <c r="O568" s="4"/>
      <c r="P568" s="4"/>
      <c r="Q568" s="4"/>
      <c r="R568" s="4"/>
      <c r="S568" s="4"/>
      <c r="T568" s="4"/>
      <c r="U568" s="4"/>
      <c r="V568" s="4"/>
      <c r="W568" s="4"/>
      <c r="X568" s="4"/>
      <c r="Y568" s="4"/>
      <c r="Z568" s="4"/>
    </row>
    <row r="569">
      <c r="A569" s="13"/>
      <c r="B569" s="161"/>
      <c r="C569" s="13"/>
      <c r="D569" s="4"/>
      <c r="E569" s="4"/>
      <c r="F569" s="4"/>
      <c r="G569" s="4"/>
      <c r="H569" s="4"/>
      <c r="I569" s="4"/>
      <c r="J569" s="4"/>
      <c r="K569" s="4"/>
      <c r="L569" s="4"/>
      <c r="M569" s="4"/>
      <c r="N569" s="4"/>
      <c r="O569" s="4"/>
      <c r="P569" s="4"/>
      <c r="Q569" s="4"/>
      <c r="R569" s="4"/>
      <c r="S569" s="4"/>
      <c r="T569" s="4"/>
      <c r="U569" s="4"/>
      <c r="V569" s="4"/>
      <c r="W569" s="4"/>
      <c r="X569" s="4"/>
      <c r="Y569" s="4"/>
      <c r="Z569" s="4"/>
    </row>
    <row r="570">
      <c r="A570" s="13"/>
      <c r="B570" s="161"/>
      <c r="C570" s="13"/>
      <c r="D570" s="4"/>
      <c r="E570" s="4"/>
      <c r="F570" s="4"/>
      <c r="G570" s="4"/>
      <c r="H570" s="4"/>
      <c r="I570" s="4"/>
      <c r="J570" s="4"/>
      <c r="K570" s="4"/>
      <c r="L570" s="4"/>
      <c r="M570" s="4"/>
      <c r="N570" s="4"/>
      <c r="O570" s="4"/>
      <c r="P570" s="4"/>
      <c r="Q570" s="4"/>
      <c r="R570" s="4"/>
      <c r="S570" s="4"/>
      <c r="T570" s="4"/>
      <c r="U570" s="4"/>
      <c r="V570" s="4"/>
      <c r="W570" s="4"/>
      <c r="X570" s="4"/>
      <c r="Y570" s="4"/>
      <c r="Z570" s="4"/>
    </row>
    <row r="571">
      <c r="A571" s="13"/>
      <c r="B571" s="161"/>
      <c r="C571" s="13"/>
      <c r="D571" s="4"/>
      <c r="E571" s="4"/>
      <c r="F571" s="4"/>
      <c r="G571" s="4"/>
      <c r="H571" s="4"/>
      <c r="I571" s="4"/>
      <c r="J571" s="4"/>
      <c r="K571" s="4"/>
      <c r="L571" s="4"/>
      <c r="M571" s="4"/>
      <c r="N571" s="4"/>
      <c r="O571" s="4"/>
      <c r="P571" s="4"/>
      <c r="Q571" s="4"/>
      <c r="R571" s="4"/>
      <c r="S571" s="4"/>
      <c r="T571" s="4"/>
      <c r="U571" s="4"/>
      <c r="V571" s="4"/>
      <c r="W571" s="4"/>
      <c r="X571" s="4"/>
      <c r="Y571" s="4"/>
      <c r="Z571" s="4"/>
    </row>
    <row r="572">
      <c r="A572" s="13"/>
      <c r="B572" s="161"/>
      <c r="C572" s="13"/>
      <c r="D572" s="4"/>
      <c r="E572" s="4"/>
      <c r="F572" s="4"/>
      <c r="G572" s="4"/>
      <c r="H572" s="4"/>
      <c r="I572" s="4"/>
      <c r="J572" s="4"/>
      <c r="K572" s="4"/>
      <c r="L572" s="4"/>
      <c r="M572" s="4"/>
      <c r="N572" s="4"/>
      <c r="O572" s="4"/>
      <c r="P572" s="4"/>
      <c r="Q572" s="4"/>
      <c r="R572" s="4"/>
      <c r="S572" s="4"/>
      <c r="T572" s="4"/>
      <c r="U572" s="4"/>
      <c r="V572" s="4"/>
      <c r="W572" s="4"/>
      <c r="X572" s="4"/>
      <c r="Y572" s="4"/>
      <c r="Z572" s="4"/>
    </row>
    <row r="573">
      <c r="A573" s="13"/>
      <c r="B573" s="161"/>
      <c r="C573" s="13"/>
      <c r="D573" s="4"/>
      <c r="E573" s="4"/>
      <c r="F573" s="4"/>
      <c r="G573" s="4"/>
      <c r="H573" s="4"/>
      <c r="I573" s="4"/>
      <c r="J573" s="4"/>
      <c r="K573" s="4"/>
      <c r="L573" s="4"/>
      <c r="M573" s="4"/>
      <c r="N573" s="4"/>
      <c r="O573" s="4"/>
      <c r="P573" s="4"/>
      <c r="Q573" s="4"/>
      <c r="R573" s="4"/>
      <c r="S573" s="4"/>
      <c r="T573" s="4"/>
      <c r="U573" s="4"/>
      <c r="V573" s="4"/>
      <c r="W573" s="4"/>
      <c r="X573" s="4"/>
      <c r="Y573" s="4"/>
      <c r="Z573" s="4"/>
    </row>
    <row r="574">
      <c r="A574" s="13"/>
      <c r="B574" s="161"/>
      <c r="C574" s="13"/>
      <c r="D574" s="4"/>
      <c r="E574" s="4"/>
      <c r="F574" s="4"/>
      <c r="G574" s="4"/>
      <c r="H574" s="4"/>
      <c r="I574" s="4"/>
      <c r="J574" s="4"/>
      <c r="K574" s="4"/>
      <c r="L574" s="4"/>
      <c r="M574" s="4"/>
      <c r="N574" s="4"/>
      <c r="O574" s="4"/>
      <c r="P574" s="4"/>
      <c r="Q574" s="4"/>
      <c r="R574" s="4"/>
      <c r="S574" s="4"/>
      <c r="T574" s="4"/>
      <c r="U574" s="4"/>
      <c r="V574" s="4"/>
      <c r="W574" s="4"/>
      <c r="X574" s="4"/>
      <c r="Y574" s="4"/>
      <c r="Z574" s="4"/>
    </row>
    <row r="575">
      <c r="A575" s="13"/>
      <c r="B575" s="161"/>
      <c r="C575" s="13"/>
      <c r="D575" s="4"/>
      <c r="E575" s="4"/>
      <c r="F575" s="4"/>
      <c r="G575" s="4"/>
      <c r="H575" s="4"/>
      <c r="I575" s="4"/>
      <c r="J575" s="4"/>
      <c r="K575" s="4"/>
      <c r="L575" s="4"/>
      <c r="M575" s="4"/>
      <c r="N575" s="4"/>
      <c r="O575" s="4"/>
      <c r="P575" s="4"/>
      <c r="Q575" s="4"/>
      <c r="R575" s="4"/>
      <c r="S575" s="4"/>
      <c r="T575" s="4"/>
      <c r="U575" s="4"/>
      <c r="V575" s="4"/>
      <c r="W575" s="4"/>
      <c r="X575" s="4"/>
      <c r="Y575" s="4"/>
      <c r="Z575" s="4"/>
    </row>
    <row r="576">
      <c r="A576" s="13"/>
      <c r="B576" s="161"/>
      <c r="C576" s="13"/>
      <c r="D576" s="4"/>
      <c r="E576" s="4"/>
      <c r="F576" s="4"/>
      <c r="G576" s="4"/>
      <c r="H576" s="4"/>
      <c r="I576" s="4"/>
      <c r="J576" s="4"/>
      <c r="K576" s="4"/>
      <c r="L576" s="4"/>
      <c r="M576" s="4"/>
      <c r="N576" s="4"/>
      <c r="O576" s="4"/>
      <c r="P576" s="4"/>
      <c r="Q576" s="4"/>
      <c r="R576" s="4"/>
      <c r="S576" s="4"/>
      <c r="T576" s="4"/>
      <c r="U576" s="4"/>
      <c r="V576" s="4"/>
      <c r="W576" s="4"/>
      <c r="X576" s="4"/>
      <c r="Y576" s="4"/>
      <c r="Z576" s="4"/>
    </row>
    <row r="577">
      <c r="A577" s="13"/>
      <c r="B577" s="161"/>
      <c r="C577" s="13"/>
      <c r="D577" s="4"/>
      <c r="E577" s="4"/>
      <c r="F577" s="4"/>
      <c r="G577" s="4"/>
      <c r="H577" s="4"/>
      <c r="I577" s="4"/>
      <c r="J577" s="4"/>
      <c r="K577" s="4"/>
      <c r="L577" s="4"/>
      <c r="M577" s="4"/>
      <c r="N577" s="4"/>
      <c r="O577" s="4"/>
      <c r="P577" s="4"/>
      <c r="Q577" s="4"/>
      <c r="R577" s="4"/>
      <c r="S577" s="4"/>
      <c r="T577" s="4"/>
      <c r="U577" s="4"/>
      <c r="V577" s="4"/>
      <c r="W577" s="4"/>
      <c r="X577" s="4"/>
      <c r="Y577" s="4"/>
      <c r="Z577" s="4"/>
    </row>
    <row r="578">
      <c r="A578" s="13"/>
      <c r="B578" s="161"/>
      <c r="C578" s="13"/>
      <c r="D578" s="4"/>
      <c r="E578" s="4"/>
      <c r="F578" s="4"/>
      <c r="G578" s="4"/>
      <c r="H578" s="4"/>
      <c r="I578" s="4"/>
      <c r="J578" s="4"/>
      <c r="K578" s="4"/>
      <c r="L578" s="4"/>
      <c r="M578" s="4"/>
      <c r="N578" s="4"/>
      <c r="O578" s="4"/>
      <c r="P578" s="4"/>
      <c r="Q578" s="4"/>
      <c r="R578" s="4"/>
      <c r="S578" s="4"/>
      <c r="T578" s="4"/>
      <c r="U578" s="4"/>
      <c r="V578" s="4"/>
      <c r="W578" s="4"/>
      <c r="X578" s="4"/>
      <c r="Y578" s="4"/>
      <c r="Z578" s="4"/>
    </row>
    <row r="579">
      <c r="A579" s="13"/>
      <c r="B579" s="161"/>
      <c r="C579" s="13"/>
      <c r="D579" s="4"/>
      <c r="E579" s="4"/>
      <c r="F579" s="4"/>
      <c r="G579" s="4"/>
      <c r="H579" s="4"/>
      <c r="I579" s="4"/>
      <c r="J579" s="4"/>
      <c r="K579" s="4"/>
      <c r="L579" s="4"/>
      <c r="M579" s="4"/>
      <c r="N579" s="4"/>
      <c r="O579" s="4"/>
      <c r="P579" s="4"/>
      <c r="Q579" s="4"/>
      <c r="R579" s="4"/>
      <c r="S579" s="4"/>
      <c r="T579" s="4"/>
      <c r="U579" s="4"/>
      <c r="V579" s="4"/>
      <c r="W579" s="4"/>
      <c r="X579" s="4"/>
      <c r="Y579" s="4"/>
      <c r="Z579" s="4"/>
    </row>
    <row r="580">
      <c r="A580" s="13"/>
      <c r="B580" s="161"/>
      <c r="C580" s="13"/>
      <c r="D580" s="4"/>
      <c r="E580" s="4"/>
      <c r="F580" s="4"/>
      <c r="G580" s="4"/>
      <c r="H580" s="4"/>
      <c r="I580" s="4"/>
      <c r="J580" s="4"/>
      <c r="K580" s="4"/>
      <c r="L580" s="4"/>
      <c r="M580" s="4"/>
      <c r="N580" s="4"/>
      <c r="O580" s="4"/>
      <c r="P580" s="4"/>
      <c r="Q580" s="4"/>
      <c r="R580" s="4"/>
      <c r="S580" s="4"/>
      <c r="T580" s="4"/>
      <c r="U580" s="4"/>
      <c r="V580" s="4"/>
      <c r="W580" s="4"/>
      <c r="X580" s="4"/>
      <c r="Y580" s="4"/>
      <c r="Z580" s="4"/>
    </row>
    <row r="581">
      <c r="A581" s="13"/>
      <c r="B581" s="161"/>
      <c r="C581" s="13"/>
      <c r="D581" s="4"/>
      <c r="E581" s="4"/>
      <c r="F581" s="4"/>
      <c r="G581" s="4"/>
      <c r="H581" s="4"/>
      <c r="I581" s="4"/>
      <c r="J581" s="4"/>
      <c r="K581" s="4"/>
      <c r="L581" s="4"/>
      <c r="M581" s="4"/>
      <c r="N581" s="4"/>
      <c r="O581" s="4"/>
      <c r="P581" s="4"/>
      <c r="Q581" s="4"/>
      <c r="R581" s="4"/>
      <c r="S581" s="4"/>
      <c r="T581" s="4"/>
      <c r="U581" s="4"/>
      <c r="V581" s="4"/>
      <c r="W581" s="4"/>
      <c r="X581" s="4"/>
      <c r="Y581" s="4"/>
      <c r="Z581" s="4"/>
    </row>
    <row r="582">
      <c r="A582" s="13"/>
      <c r="B582" s="161"/>
      <c r="C582" s="13"/>
      <c r="D582" s="4"/>
      <c r="E582" s="4"/>
      <c r="F582" s="4"/>
      <c r="G582" s="4"/>
      <c r="H582" s="4"/>
      <c r="I582" s="4"/>
      <c r="J582" s="4"/>
      <c r="K582" s="4"/>
      <c r="L582" s="4"/>
      <c r="M582" s="4"/>
      <c r="N582" s="4"/>
      <c r="O582" s="4"/>
      <c r="P582" s="4"/>
      <c r="Q582" s="4"/>
      <c r="R582" s="4"/>
      <c r="S582" s="4"/>
      <c r="T582" s="4"/>
      <c r="U582" s="4"/>
      <c r="V582" s="4"/>
      <c r="W582" s="4"/>
      <c r="X582" s="4"/>
      <c r="Y582" s="4"/>
      <c r="Z582" s="4"/>
    </row>
    <row r="583">
      <c r="A583" s="13"/>
      <c r="B583" s="161"/>
      <c r="C583" s="13"/>
      <c r="D583" s="4"/>
      <c r="E583" s="4"/>
      <c r="F583" s="4"/>
      <c r="G583" s="4"/>
      <c r="H583" s="4"/>
      <c r="I583" s="4"/>
      <c r="J583" s="4"/>
      <c r="K583" s="4"/>
      <c r="L583" s="4"/>
      <c r="M583" s="4"/>
      <c r="N583" s="4"/>
      <c r="O583" s="4"/>
      <c r="P583" s="4"/>
      <c r="Q583" s="4"/>
      <c r="R583" s="4"/>
      <c r="S583" s="4"/>
      <c r="T583" s="4"/>
      <c r="U583" s="4"/>
      <c r="V583" s="4"/>
      <c r="W583" s="4"/>
      <c r="X583" s="4"/>
      <c r="Y583" s="4"/>
      <c r="Z583" s="4"/>
    </row>
    <row r="584">
      <c r="A584" s="13"/>
      <c r="B584" s="161"/>
      <c r="C584" s="13"/>
      <c r="D584" s="4"/>
      <c r="E584" s="4"/>
      <c r="F584" s="4"/>
      <c r="G584" s="4"/>
      <c r="H584" s="4"/>
      <c r="I584" s="4"/>
      <c r="J584" s="4"/>
      <c r="K584" s="4"/>
      <c r="L584" s="4"/>
      <c r="M584" s="4"/>
      <c r="N584" s="4"/>
      <c r="O584" s="4"/>
      <c r="P584" s="4"/>
      <c r="Q584" s="4"/>
      <c r="R584" s="4"/>
      <c r="S584" s="4"/>
      <c r="T584" s="4"/>
      <c r="U584" s="4"/>
      <c r="V584" s="4"/>
      <c r="W584" s="4"/>
      <c r="X584" s="4"/>
      <c r="Y584" s="4"/>
      <c r="Z584" s="4"/>
    </row>
    <row r="585">
      <c r="A585" s="13"/>
      <c r="B585" s="161"/>
      <c r="C585" s="13"/>
      <c r="D585" s="4"/>
      <c r="E585" s="4"/>
      <c r="F585" s="4"/>
      <c r="G585" s="4"/>
      <c r="H585" s="4"/>
      <c r="I585" s="4"/>
      <c r="J585" s="4"/>
      <c r="K585" s="4"/>
      <c r="L585" s="4"/>
      <c r="M585" s="4"/>
      <c r="N585" s="4"/>
      <c r="O585" s="4"/>
      <c r="P585" s="4"/>
      <c r="Q585" s="4"/>
      <c r="R585" s="4"/>
      <c r="S585" s="4"/>
      <c r="T585" s="4"/>
      <c r="U585" s="4"/>
      <c r="V585" s="4"/>
      <c r="W585" s="4"/>
      <c r="X585" s="4"/>
      <c r="Y585" s="4"/>
      <c r="Z585" s="4"/>
    </row>
    <row r="586">
      <c r="A586" s="13"/>
      <c r="B586" s="161"/>
      <c r="C586" s="13"/>
      <c r="D586" s="4"/>
      <c r="E586" s="4"/>
      <c r="F586" s="4"/>
      <c r="G586" s="4"/>
      <c r="H586" s="4"/>
      <c r="I586" s="4"/>
      <c r="J586" s="4"/>
      <c r="K586" s="4"/>
      <c r="L586" s="4"/>
      <c r="M586" s="4"/>
      <c r="N586" s="4"/>
      <c r="O586" s="4"/>
      <c r="P586" s="4"/>
      <c r="Q586" s="4"/>
      <c r="R586" s="4"/>
      <c r="S586" s="4"/>
      <c r="T586" s="4"/>
      <c r="U586" s="4"/>
      <c r="V586" s="4"/>
      <c r="W586" s="4"/>
      <c r="X586" s="4"/>
      <c r="Y586" s="4"/>
      <c r="Z586" s="4"/>
    </row>
    <row r="587">
      <c r="A587" s="13"/>
      <c r="B587" s="161"/>
      <c r="C587" s="13"/>
      <c r="D587" s="4"/>
      <c r="E587" s="4"/>
      <c r="F587" s="4"/>
      <c r="G587" s="4"/>
      <c r="H587" s="4"/>
      <c r="I587" s="4"/>
      <c r="J587" s="4"/>
      <c r="K587" s="4"/>
      <c r="L587" s="4"/>
      <c r="M587" s="4"/>
      <c r="N587" s="4"/>
      <c r="O587" s="4"/>
      <c r="P587" s="4"/>
      <c r="Q587" s="4"/>
      <c r="R587" s="4"/>
      <c r="S587" s="4"/>
      <c r="T587" s="4"/>
      <c r="U587" s="4"/>
      <c r="V587" s="4"/>
      <c r="W587" s="4"/>
      <c r="X587" s="4"/>
      <c r="Y587" s="4"/>
      <c r="Z587" s="4"/>
    </row>
    <row r="588">
      <c r="A588" s="13"/>
      <c r="B588" s="161"/>
      <c r="C588" s="13"/>
      <c r="D588" s="4"/>
      <c r="E588" s="4"/>
      <c r="F588" s="4"/>
      <c r="G588" s="4"/>
      <c r="H588" s="4"/>
      <c r="I588" s="4"/>
      <c r="J588" s="4"/>
      <c r="K588" s="4"/>
      <c r="L588" s="4"/>
      <c r="M588" s="4"/>
      <c r="N588" s="4"/>
      <c r="O588" s="4"/>
      <c r="P588" s="4"/>
      <c r="Q588" s="4"/>
      <c r="R588" s="4"/>
      <c r="S588" s="4"/>
      <c r="T588" s="4"/>
      <c r="U588" s="4"/>
      <c r="V588" s="4"/>
      <c r="W588" s="4"/>
      <c r="X588" s="4"/>
      <c r="Y588" s="4"/>
      <c r="Z588" s="4"/>
    </row>
    <row r="589">
      <c r="A589" s="13"/>
      <c r="B589" s="161"/>
      <c r="C589" s="13"/>
      <c r="D589" s="4"/>
      <c r="E589" s="4"/>
      <c r="F589" s="4"/>
      <c r="G589" s="4"/>
      <c r="H589" s="4"/>
      <c r="I589" s="4"/>
      <c r="J589" s="4"/>
      <c r="K589" s="4"/>
      <c r="L589" s="4"/>
      <c r="M589" s="4"/>
      <c r="N589" s="4"/>
      <c r="O589" s="4"/>
      <c r="P589" s="4"/>
      <c r="Q589" s="4"/>
      <c r="R589" s="4"/>
      <c r="S589" s="4"/>
      <c r="T589" s="4"/>
      <c r="U589" s="4"/>
      <c r="V589" s="4"/>
      <c r="W589" s="4"/>
      <c r="X589" s="4"/>
      <c r="Y589" s="4"/>
      <c r="Z589" s="4"/>
    </row>
    <row r="590">
      <c r="A590" s="13"/>
      <c r="B590" s="161"/>
      <c r="C590" s="13"/>
      <c r="D590" s="4"/>
      <c r="E590" s="4"/>
      <c r="F590" s="4"/>
      <c r="G590" s="4"/>
      <c r="H590" s="4"/>
      <c r="I590" s="4"/>
      <c r="J590" s="4"/>
      <c r="K590" s="4"/>
      <c r="L590" s="4"/>
      <c r="M590" s="4"/>
      <c r="N590" s="4"/>
      <c r="O590" s="4"/>
      <c r="P590" s="4"/>
      <c r="Q590" s="4"/>
      <c r="R590" s="4"/>
      <c r="S590" s="4"/>
      <c r="T590" s="4"/>
      <c r="U590" s="4"/>
      <c r="V590" s="4"/>
      <c r="W590" s="4"/>
      <c r="X590" s="4"/>
      <c r="Y590" s="4"/>
      <c r="Z590" s="4"/>
    </row>
    <row r="591">
      <c r="A591" s="13"/>
      <c r="B591" s="161"/>
      <c r="C591" s="13"/>
      <c r="D591" s="4"/>
      <c r="E591" s="4"/>
      <c r="F591" s="4"/>
      <c r="G591" s="4"/>
      <c r="H591" s="4"/>
      <c r="I591" s="4"/>
      <c r="J591" s="4"/>
      <c r="K591" s="4"/>
      <c r="L591" s="4"/>
      <c r="M591" s="4"/>
      <c r="N591" s="4"/>
      <c r="O591" s="4"/>
      <c r="P591" s="4"/>
      <c r="Q591" s="4"/>
      <c r="R591" s="4"/>
      <c r="S591" s="4"/>
      <c r="T591" s="4"/>
      <c r="U591" s="4"/>
      <c r="V591" s="4"/>
      <c r="W591" s="4"/>
      <c r="X591" s="4"/>
      <c r="Y591" s="4"/>
      <c r="Z591" s="4"/>
    </row>
    <row r="592">
      <c r="A592" s="13"/>
      <c r="B592" s="161"/>
      <c r="C592" s="13"/>
      <c r="D592" s="4"/>
      <c r="E592" s="4"/>
      <c r="F592" s="4"/>
      <c r="G592" s="4"/>
      <c r="H592" s="4"/>
      <c r="I592" s="4"/>
      <c r="J592" s="4"/>
      <c r="K592" s="4"/>
      <c r="L592" s="4"/>
      <c r="M592" s="4"/>
      <c r="N592" s="4"/>
      <c r="O592" s="4"/>
      <c r="P592" s="4"/>
      <c r="Q592" s="4"/>
      <c r="R592" s="4"/>
      <c r="S592" s="4"/>
      <c r="T592" s="4"/>
      <c r="U592" s="4"/>
      <c r="V592" s="4"/>
      <c r="W592" s="4"/>
      <c r="X592" s="4"/>
      <c r="Y592" s="4"/>
      <c r="Z592" s="4"/>
    </row>
    <row r="593">
      <c r="A593" s="13"/>
      <c r="B593" s="161"/>
      <c r="C593" s="13"/>
      <c r="D593" s="4"/>
      <c r="E593" s="4"/>
      <c r="F593" s="4"/>
      <c r="G593" s="4"/>
      <c r="H593" s="4"/>
      <c r="I593" s="4"/>
      <c r="J593" s="4"/>
      <c r="K593" s="4"/>
      <c r="L593" s="4"/>
      <c r="M593" s="4"/>
      <c r="N593" s="4"/>
      <c r="O593" s="4"/>
      <c r="P593" s="4"/>
      <c r="Q593" s="4"/>
      <c r="R593" s="4"/>
      <c r="S593" s="4"/>
      <c r="T593" s="4"/>
      <c r="U593" s="4"/>
      <c r="V593" s="4"/>
      <c r="W593" s="4"/>
      <c r="X593" s="4"/>
      <c r="Y593" s="4"/>
      <c r="Z593" s="4"/>
    </row>
    <row r="594">
      <c r="A594" s="13"/>
      <c r="B594" s="161"/>
      <c r="C594" s="13"/>
      <c r="D594" s="4"/>
      <c r="E594" s="4"/>
      <c r="F594" s="4"/>
      <c r="G594" s="4"/>
      <c r="H594" s="4"/>
      <c r="I594" s="4"/>
      <c r="J594" s="4"/>
      <c r="K594" s="4"/>
      <c r="L594" s="4"/>
      <c r="M594" s="4"/>
      <c r="N594" s="4"/>
      <c r="O594" s="4"/>
      <c r="P594" s="4"/>
      <c r="Q594" s="4"/>
      <c r="R594" s="4"/>
      <c r="S594" s="4"/>
      <c r="T594" s="4"/>
      <c r="U594" s="4"/>
      <c r="V594" s="4"/>
      <c r="W594" s="4"/>
      <c r="X594" s="4"/>
      <c r="Y594" s="4"/>
      <c r="Z594" s="4"/>
    </row>
    <row r="595">
      <c r="A595" s="13"/>
      <c r="B595" s="161"/>
      <c r="C595" s="13"/>
      <c r="D595" s="4"/>
      <c r="E595" s="4"/>
      <c r="F595" s="4"/>
      <c r="G595" s="4"/>
      <c r="H595" s="4"/>
      <c r="I595" s="4"/>
      <c r="J595" s="4"/>
      <c r="K595" s="4"/>
      <c r="L595" s="4"/>
      <c r="M595" s="4"/>
      <c r="N595" s="4"/>
      <c r="O595" s="4"/>
      <c r="P595" s="4"/>
      <c r="Q595" s="4"/>
      <c r="R595" s="4"/>
      <c r="S595" s="4"/>
      <c r="T595" s="4"/>
      <c r="U595" s="4"/>
      <c r="V595" s="4"/>
      <c r="W595" s="4"/>
      <c r="X595" s="4"/>
      <c r="Y595" s="4"/>
      <c r="Z595" s="4"/>
    </row>
    <row r="596">
      <c r="A596" s="13"/>
      <c r="B596" s="161"/>
      <c r="C596" s="13"/>
      <c r="D596" s="4"/>
      <c r="E596" s="4"/>
      <c r="F596" s="4"/>
      <c r="G596" s="4"/>
      <c r="H596" s="4"/>
      <c r="I596" s="4"/>
      <c r="J596" s="4"/>
      <c r="K596" s="4"/>
      <c r="L596" s="4"/>
      <c r="M596" s="4"/>
      <c r="N596" s="4"/>
      <c r="O596" s="4"/>
      <c r="P596" s="4"/>
      <c r="Q596" s="4"/>
      <c r="R596" s="4"/>
      <c r="S596" s="4"/>
      <c r="T596" s="4"/>
      <c r="U596" s="4"/>
      <c r="V596" s="4"/>
      <c r="W596" s="4"/>
      <c r="X596" s="4"/>
      <c r="Y596" s="4"/>
      <c r="Z596" s="4"/>
    </row>
    <row r="597">
      <c r="A597" s="13"/>
      <c r="B597" s="161"/>
      <c r="C597" s="13"/>
      <c r="D597" s="4"/>
      <c r="E597" s="4"/>
      <c r="F597" s="4"/>
      <c r="G597" s="4"/>
      <c r="H597" s="4"/>
      <c r="I597" s="4"/>
      <c r="J597" s="4"/>
      <c r="K597" s="4"/>
      <c r="L597" s="4"/>
      <c r="M597" s="4"/>
      <c r="N597" s="4"/>
      <c r="O597" s="4"/>
      <c r="P597" s="4"/>
      <c r="Q597" s="4"/>
      <c r="R597" s="4"/>
      <c r="S597" s="4"/>
      <c r="T597" s="4"/>
      <c r="U597" s="4"/>
      <c r="V597" s="4"/>
      <c r="W597" s="4"/>
      <c r="X597" s="4"/>
      <c r="Y597" s="4"/>
      <c r="Z597" s="4"/>
    </row>
    <row r="598">
      <c r="A598" s="13"/>
      <c r="B598" s="161"/>
      <c r="C598" s="13"/>
      <c r="D598" s="4"/>
      <c r="E598" s="4"/>
      <c r="F598" s="4"/>
      <c r="G598" s="4"/>
      <c r="H598" s="4"/>
      <c r="I598" s="4"/>
      <c r="J598" s="4"/>
      <c r="K598" s="4"/>
      <c r="L598" s="4"/>
      <c r="M598" s="4"/>
      <c r="N598" s="4"/>
      <c r="O598" s="4"/>
      <c r="P598" s="4"/>
      <c r="Q598" s="4"/>
      <c r="R598" s="4"/>
      <c r="S598" s="4"/>
      <c r="T598" s="4"/>
      <c r="U598" s="4"/>
      <c r="V598" s="4"/>
      <c r="W598" s="4"/>
      <c r="X598" s="4"/>
      <c r="Y598" s="4"/>
      <c r="Z598" s="4"/>
    </row>
    <row r="599">
      <c r="A599" s="13"/>
      <c r="B599" s="161"/>
      <c r="C599" s="13"/>
      <c r="D599" s="4"/>
      <c r="E599" s="4"/>
      <c r="F599" s="4"/>
      <c r="G599" s="4"/>
      <c r="H599" s="4"/>
      <c r="I599" s="4"/>
      <c r="J599" s="4"/>
      <c r="K599" s="4"/>
      <c r="L599" s="4"/>
      <c r="M599" s="4"/>
      <c r="N599" s="4"/>
      <c r="O599" s="4"/>
      <c r="P599" s="4"/>
      <c r="Q599" s="4"/>
      <c r="R599" s="4"/>
      <c r="S599" s="4"/>
      <c r="T599" s="4"/>
      <c r="U599" s="4"/>
      <c r="V599" s="4"/>
      <c r="W599" s="4"/>
      <c r="X599" s="4"/>
      <c r="Y599" s="4"/>
      <c r="Z599" s="4"/>
    </row>
    <row r="600">
      <c r="A600" s="13"/>
      <c r="B600" s="161"/>
      <c r="C600" s="13"/>
      <c r="D600" s="4"/>
      <c r="E600" s="4"/>
      <c r="F600" s="4"/>
      <c r="G600" s="4"/>
      <c r="H600" s="4"/>
      <c r="I600" s="4"/>
      <c r="J600" s="4"/>
      <c r="K600" s="4"/>
      <c r="L600" s="4"/>
      <c r="M600" s="4"/>
      <c r="N600" s="4"/>
      <c r="O600" s="4"/>
      <c r="P600" s="4"/>
      <c r="Q600" s="4"/>
      <c r="R600" s="4"/>
      <c r="S600" s="4"/>
      <c r="T600" s="4"/>
      <c r="U600" s="4"/>
      <c r="V600" s="4"/>
      <c r="W600" s="4"/>
      <c r="X600" s="4"/>
      <c r="Y600" s="4"/>
      <c r="Z600" s="4"/>
    </row>
    <row r="601">
      <c r="A601" s="13"/>
      <c r="B601" s="161"/>
      <c r="C601" s="13"/>
      <c r="D601" s="4"/>
      <c r="E601" s="4"/>
      <c r="F601" s="4"/>
      <c r="G601" s="4"/>
      <c r="H601" s="4"/>
      <c r="I601" s="4"/>
      <c r="J601" s="4"/>
      <c r="K601" s="4"/>
      <c r="L601" s="4"/>
      <c r="M601" s="4"/>
      <c r="N601" s="4"/>
      <c r="O601" s="4"/>
      <c r="P601" s="4"/>
      <c r="Q601" s="4"/>
      <c r="R601" s="4"/>
      <c r="S601" s="4"/>
      <c r="T601" s="4"/>
      <c r="U601" s="4"/>
      <c r="V601" s="4"/>
      <c r="W601" s="4"/>
      <c r="X601" s="4"/>
      <c r="Y601" s="4"/>
      <c r="Z601" s="4"/>
    </row>
    <row r="602">
      <c r="A602" s="13"/>
      <c r="B602" s="161"/>
      <c r="C602" s="13"/>
      <c r="D602" s="4"/>
      <c r="E602" s="4"/>
      <c r="F602" s="4"/>
      <c r="G602" s="4"/>
      <c r="H602" s="4"/>
      <c r="I602" s="4"/>
      <c r="J602" s="4"/>
      <c r="K602" s="4"/>
      <c r="L602" s="4"/>
      <c r="M602" s="4"/>
      <c r="N602" s="4"/>
      <c r="O602" s="4"/>
      <c r="P602" s="4"/>
      <c r="Q602" s="4"/>
      <c r="R602" s="4"/>
      <c r="S602" s="4"/>
      <c r="T602" s="4"/>
      <c r="U602" s="4"/>
      <c r="V602" s="4"/>
      <c r="W602" s="4"/>
      <c r="X602" s="4"/>
      <c r="Y602" s="4"/>
      <c r="Z602" s="4"/>
    </row>
    <row r="603">
      <c r="A603" s="13"/>
      <c r="B603" s="161"/>
      <c r="C603" s="13"/>
      <c r="D603" s="4"/>
      <c r="E603" s="4"/>
      <c r="F603" s="4"/>
      <c r="G603" s="4"/>
      <c r="H603" s="4"/>
      <c r="I603" s="4"/>
      <c r="J603" s="4"/>
      <c r="K603" s="4"/>
      <c r="L603" s="4"/>
      <c r="M603" s="4"/>
      <c r="N603" s="4"/>
      <c r="O603" s="4"/>
      <c r="P603" s="4"/>
      <c r="Q603" s="4"/>
      <c r="R603" s="4"/>
      <c r="S603" s="4"/>
      <c r="T603" s="4"/>
      <c r="U603" s="4"/>
      <c r="V603" s="4"/>
      <c r="W603" s="4"/>
      <c r="X603" s="4"/>
      <c r="Y603" s="4"/>
      <c r="Z603" s="4"/>
    </row>
    <row r="604">
      <c r="A604" s="13"/>
      <c r="B604" s="161"/>
      <c r="C604" s="13"/>
      <c r="D604" s="4"/>
      <c r="E604" s="4"/>
      <c r="F604" s="4"/>
      <c r="G604" s="4"/>
      <c r="H604" s="4"/>
      <c r="I604" s="4"/>
      <c r="J604" s="4"/>
      <c r="K604" s="4"/>
      <c r="L604" s="4"/>
      <c r="M604" s="4"/>
      <c r="N604" s="4"/>
      <c r="O604" s="4"/>
      <c r="P604" s="4"/>
      <c r="Q604" s="4"/>
      <c r="R604" s="4"/>
      <c r="S604" s="4"/>
      <c r="T604" s="4"/>
      <c r="U604" s="4"/>
      <c r="V604" s="4"/>
      <c r="W604" s="4"/>
      <c r="X604" s="4"/>
      <c r="Y604" s="4"/>
      <c r="Z604" s="4"/>
    </row>
    <row r="605">
      <c r="A605" s="13"/>
      <c r="B605" s="161"/>
      <c r="C605" s="13"/>
      <c r="D605" s="4"/>
      <c r="E605" s="4"/>
      <c r="F605" s="4"/>
      <c r="G605" s="4"/>
      <c r="H605" s="4"/>
      <c r="I605" s="4"/>
      <c r="J605" s="4"/>
      <c r="K605" s="4"/>
      <c r="L605" s="4"/>
      <c r="M605" s="4"/>
      <c r="N605" s="4"/>
      <c r="O605" s="4"/>
      <c r="P605" s="4"/>
      <c r="Q605" s="4"/>
      <c r="R605" s="4"/>
      <c r="S605" s="4"/>
      <c r="T605" s="4"/>
      <c r="U605" s="4"/>
      <c r="V605" s="4"/>
      <c r="W605" s="4"/>
      <c r="X605" s="4"/>
      <c r="Y605" s="4"/>
      <c r="Z605" s="4"/>
    </row>
    <row r="606">
      <c r="A606" s="13"/>
      <c r="B606" s="161"/>
      <c r="C606" s="13"/>
      <c r="D606" s="4"/>
      <c r="E606" s="4"/>
      <c r="F606" s="4"/>
      <c r="G606" s="4"/>
      <c r="H606" s="4"/>
      <c r="I606" s="4"/>
      <c r="J606" s="4"/>
      <c r="K606" s="4"/>
      <c r="L606" s="4"/>
      <c r="M606" s="4"/>
      <c r="N606" s="4"/>
      <c r="O606" s="4"/>
      <c r="P606" s="4"/>
      <c r="Q606" s="4"/>
      <c r="R606" s="4"/>
      <c r="S606" s="4"/>
      <c r="T606" s="4"/>
      <c r="U606" s="4"/>
      <c r="V606" s="4"/>
      <c r="W606" s="4"/>
      <c r="X606" s="4"/>
      <c r="Y606" s="4"/>
      <c r="Z606" s="4"/>
    </row>
    <row r="607">
      <c r="A607" s="13"/>
      <c r="B607" s="161"/>
      <c r="C607" s="13"/>
      <c r="D607" s="4"/>
      <c r="E607" s="4"/>
      <c r="F607" s="4"/>
      <c r="G607" s="4"/>
      <c r="H607" s="4"/>
      <c r="I607" s="4"/>
      <c r="J607" s="4"/>
      <c r="K607" s="4"/>
      <c r="L607" s="4"/>
      <c r="M607" s="4"/>
      <c r="N607" s="4"/>
      <c r="O607" s="4"/>
      <c r="P607" s="4"/>
      <c r="Q607" s="4"/>
      <c r="R607" s="4"/>
      <c r="S607" s="4"/>
      <c r="T607" s="4"/>
      <c r="U607" s="4"/>
      <c r="V607" s="4"/>
      <c r="W607" s="4"/>
      <c r="X607" s="4"/>
      <c r="Y607" s="4"/>
      <c r="Z607" s="4"/>
    </row>
    <row r="608">
      <c r="A608" s="13"/>
      <c r="B608" s="161"/>
      <c r="C608" s="13"/>
      <c r="D608" s="4"/>
      <c r="E608" s="4"/>
      <c r="F608" s="4"/>
      <c r="G608" s="4"/>
      <c r="H608" s="4"/>
      <c r="I608" s="4"/>
      <c r="J608" s="4"/>
      <c r="K608" s="4"/>
      <c r="L608" s="4"/>
      <c r="M608" s="4"/>
      <c r="N608" s="4"/>
      <c r="O608" s="4"/>
      <c r="P608" s="4"/>
      <c r="Q608" s="4"/>
      <c r="R608" s="4"/>
      <c r="S608" s="4"/>
      <c r="T608" s="4"/>
      <c r="U608" s="4"/>
      <c r="V608" s="4"/>
      <c r="W608" s="4"/>
      <c r="X608" s="4"/>
      <c r="Y608" s="4"/>
      <c r="Z608" s="4"/>
    </row>
    <row r="609">
      <c r="A609" s="13"/>
      <c r="B609" s="161"/>
      <c r="C609" s="13"/>
      <c r="D609" s="4"/>
      <c r="E609" s="4"/>
      <c r="F609" s="4"/>
      <c r="G609" s="4"/>
      <c r="H609" s="4"/>
      <c r="I609" s="4"/>
      <c r="J609" s="4"/>
      <c r="K609" s="4"/>
      <c r="L609" s="4"/>
      <c r="M609" s="4"/>
      <c r="N609" s="4"/>
      <c r="O609" s="4"/>
      <c r="P609" s="4"/>
      <c r="Q609" s="4"/>
      <c r="R609" s="4"/>
      <c r="S609" s="4"/>
      <c r="T609" s="4"/>
      <c r="U609" s="4"/>
      <c r="V609" s="4"/>
      <c r="W609" s="4"/>
      <c r="X609" s="4"/>
      <c r="Y609" s="4"/>
      <c r="Z609" s="4"/>
    </row>
    <row r="610">
      <c r="A610" s="13"/>
      <c r="B610" s="161"/>
      <c r="C610" s="13"/>
      <c r="D610" s="4"/>
      <c r="E610" s="4"/>
      <c r="F610" s="4"/>
      <c r="G610" s="4"/>
      <c r="H610" s="4"/>
      <c r="I610" s="4"/>
      <c r="J610" s="4"/>
      <c r="K610" s="4"/>
      <c r="L610" s="4"/>
      <c r="M610" s="4"/>
      <c r="N610" s="4"/>
      <c r="O610" s="4"/>
      <c r="P610" s="4"/>
      <c r="Q610" s="4"/>
      <c r="R610" s="4"/>
      <c r="S610" s="4"/>
      <c r="T610" s="4"/>
      <c r="U610" s="4"/>
      <c r="V610" s="4"/>
      <c r="W610" s="4"/>
      <c r="X610" s="4"/>
      <c r="Y610" s="4"/>
      <c r="Z610" s="4"/>
    </row>
    <row r="611">
      <c r="A611" s="13"/>
      <c r="B611" s="161"/>
      <c r="C611" s="13"/>
      <c r="D611" s="4"/>
      <c r="E611" s="4"/>
      <c r="F611" s="4"/>
      <c r="G611" s="4"/>
      <c r="H611" s="4"/>
      <c r="I611" s="4"/>
      <c r="J611" s="4"/>
      <c r="K611" s="4"/>
      <c r="L611" s="4"/>
      <c r="M611" s="4"/>
      <c r="N611" s="4"/>
      <c r="O611" s="4"/>
      <c r="P611" s="4"/>
      <c r="Q611" s="4"/>
      <c r="R611" s="4"/>
      <c r="S611" s="4"/>
      <c r="T611" s="4"/>
      <c r="U611" s="4"/>
      <c r="V611" s="4"/>
      <c r="W611" s="4"/>
      <c r="X611" s="4"/>
      <c r="Y611" s="4"/>
      <c r="Z611" s="4"/>
    </row>
    <row r="612">
      <c r="A612" s="13"/>
      <c r="B612" s="161"/>
      <c r="C612" s="13"/>
      <c r="D612" s="4"/>
      <c r="E612" s="4"/>
      <c r="F612" s="4"/>
      <c r="G612" s="4"/>
      <c r="H612" s="4"/>
      <c r="I612" s="4"/>
      <c r="J612" s="4"/>
      <c r="K612" s="4"/>
      <c r="L612" s="4"/>
      <c r="M612" s="4"/>
      <c r="N612" s="4"/>
      <c r="O612" s="4"/>
      <c r="P612" s="4"/>
      <c r="Q612" s="4"/>
      <c r="R612" s="4"/>
      <c r="S612" s="4"/>
      <c r="T612" s="4"/>
      <c r="U612" s="4"/>
      <c r="V612" s="4"/>
      <c r="W612" s="4"/>
      <c r="X612" s="4"/>
      <c r="Y612" s="4"/>
      <c r="Z612" s="4"/>
    </row>
    <row r="613">
      <c r="A613" s="13"/>
      <c r="B613" s="161"/>
      <c r="C613" s="13"/>
      <c r="D613" s="4"/>
      <c r="E613" s="4"/>
      <c r="F613" s="4"/>
      <c r="G613" s="4"/>
      <c r="H613" s="4"/>
      <c r="I613" s="4"/>
      <c r="J613" s="4"/>
      <c r="K613" s="4"/>
      <c r="L613" s="4"/>
      <c r="M613" s="4"/>
      <c r="N613" s="4"/>
      <c r="O613" s="4"/>
      <c r="P613" s="4"/>
      <c r="Q613" s="4"/>
      <c r="R613" s="4"/>
      <c r="S613" s="4"/>
      <c r="T613" s="4"/>
      <c r="U613" s="4"/>
      <c r="V613" s="4"/>
      <c r="W613" s="4"/>
      <c r="X613" s="4"/>
      <c r="Y613" s="4"/>
      <c r="Z613" s="4"/>
    </row>
    <row r="614">
      <c r="A614" s="13"/>
      <c r="B614" s="161"/>
      <c r="C614" s="13"/>
      <c r="D614" s="4"/>
      <c r="E614" s="4"/>
      <c r="F614" s="4"/>
      <c r="G614" s="4"/>
      <c r="H614" s="4"/>
      <c r="I614" s="4"/>
      <c r="J614" s="4"/>
      <c r="K614" s="4"/>
      <c r="L614" s="4"/>
      <c r="M614" s="4"/>
      <c r="N614" s="4"/>
      <c r="O614" s="4"/>
      <c r="P614" s="4"/>
      <c r="Q614" s="4"/>
      <c r="R614" s="4"/>
      <c r="S614" s="4"/>
      <c r="T614" s="4"/>
      <c r="U614" s="4"/>
      <c r="V614" s="4"/>
      <c r="W614" s="4"/>
      <c r="X614" s="4"/>
      <c r="Y614" s="4"/>
      <c r="Z614" s="4"/>
    </row>
    <row r="615">
      <c r="A615" s="13"/>
      <c r="B615" s="161"/>
      <c r="C615" s="13"/>
      <c r="D615" s="4"/>
      <c r="E615" s="4"/>
      <c r="F615" s="4"/>
      <c r="G615" s="4"/>
      <c r="H615" s="4"/>
      <c r="I615" s="4"/>
      <c r="J615" s="4"/>
      <c r="K615" s="4"/>
      <c r="L615" s="4"/>
      <c r="M615" s="4"/>
      <c r="N615" s="4"/>
      <c r="O615" s="4"/>
      <c r="P615" s="4"/>
      <c r="Q615" s="4"/>
      <c r="R615" s="4"/>
      <c r="S615" s="4"/>
      <c r="T615" s="4"/>
      <c r="U615" s="4"/>
      <c r="V615" s="4"/>
      <c r="W615" s="4"/>
      <c r="X615" s="4"/>
      <c r="Y615" s="4"/>
      <c r="Z615" s="4"/>
    </row>
    <row r="616">
      <c r="A616" s="13"/>
      <c r="B616" s="161"/>
      <c r="C616" s="13"/>
      <c r="D616" s="4"/>
      <c r="E616" s="4"/>
      <c r="F616" s="4"/>
      <c r="G616" s="4"/>
      <c r="H616" s="4"/>
      <c r="I616" s="4"/>
      <c r="J616" s="4"/>
      <c r="K616" s="4"/>
      <c r="L616" s="4"/>
      <c r="M616" s="4"/>
      <c r="N616" s="4"/>
      <c r="O616" s="4"/>
      <c r="P616" s="4"/>
      <c r="Q616" s="4"/>
      <c r="R616" s="4"/>
      <c r="S616" s="4"/>
      <c r="T616" s="4"/>
      <c r="U616" s="4"/>
      <c r="V616" s="4"/>
      <c r="W616" s="4"/>
      <c r="X616" s="4"/>
      <c r="Y616" s="4"/>
      <c r="Z616" s="4"/>
    </row>
    <row r="617">
      <c r="A617" s="13"/>
      <c r="B617" s="161"/>
      <c r="C617" s="13"/>
      <c r="D617" s="4"/>
      <c r="E617" s="4"/>
      <c r="F617" s="4"/>
      <c r="G617" s="4"/>
      <c r="H617" s="4"/>
      <c r="I617" s="4"/>
      <c r="J617" s="4"/>
      <c r="K617" s="4"/>
      <c r="L617" s="4"/>
      <c r="M617" s="4"/>
      <c r="N617" s="4"/>
      <c r="O617" s="4"/>
      <c r="P617" s="4"/>
      <c r="Q617" s="4"/>
      <c r="R617" s="4"/>
      <c r="S617" s="4"/>
      <c r="T617" s="4"/>
      <c r="U617" s="4"/>
      <c r="V617" s="4"/>
      <c r="W617" s="4"/>
      <c r="X617" s="4"/>
      <c r="Y617" s="4"/>
      <c r="Z617" s="4"/>
    </row>
    <row r="618">
      <c r="A618" s="13"/>
      <c r="B618" s="161"/>
      <c r="C618" s="13"/>
      <c r="D618" s="4"/>
      <c r="E618" s="4"/>
      <c r="F618" s="4"/>
      <c r="G618" s="4"/>
      <c r="H618" s="4"/>
      <c r="I618" s="4"/>
      <c r="J618" s="4"/>
      <c r="K618" s="4"/>
      <c r="L618" s="4"/>
      <c r="M618" s="4"/>
      <c r="N618" s="4"/>
      <c r="O618" s="4"/>
      <c r="P618" s="4"/>
      <c r="Q618" s="4"/>
      <c r="R618" s="4"/>
      <c r="S618" s="4"/>
      <c r="T618" s="4"/>
      <c r="U618" s="4"/>
      <c r="V618" s="4"/>
      <c r="W618" s="4"/>
      <c r="X618" s="4"/>
      <c r="Y618" s="4"/>
      <c r="Z618" s="4"/>
    </row>
    <row r="619">
      <c r="A619" s="13"/>
      <c r="B619" s="161"/>
      <c r="C619" s="13"/>
      <c r="D619" s="4"/>
      <c r="E619" s="4"/>
      <c r="F619" s="4"/>
      <c r="G619" s="4"/>
      <c r="H619" s="4"/>
      <c r="I619" s="4"/>
      <c r="J619" s="4"/>
      <c r="K619" s="4"/>
      <c r="L619" s="4"/>
      <c r="M619" s="4"/>
      <c r="N619" s="4"/>
      <c r="O619" s="4"/>
      <c r="P619" s="4"/>
      <c r="Q619" s="4"/>
      <c r="R619" s="4"/>
      <c r="S619" s="4"/>
      <c r="T619" s="4"/>
      <c r="U619" s="4"/>
      <c r="V619" s="4"/>
      <c r="W619" s="4"/>
      <c r="X619" s="4"/>
      <c r="Y619" s="4"/>
      <c r="Z619" s="4"/>
    </row>
    <row r="620">
      <c r="A620" s="13"/>
      <c r="B620" s="161"/>
      <c r="C620" s="13"/>
      <c r="D620" s="4"/>
      <c r="E620" s="4"/>
      <c r="F620" s="4"/>
      <c r="G620" s="4"/>
      <c r="H620" s="4"/>
      <c r="I620" s="4"/>
      <c r="J620" s="4"/>
      <c r="K620" s="4"/>
      <c r="L620" s="4"/>
      <c r="M620" s="4"/>
      <c r="N620" s="4"/>
      <c r="O620" s="4"/>
      <c r="P620" s="4"/>
      <c r="Q620" s="4"/>
      <c r="R620" s="4"/>
      <c r="S620" s="4"/>
      <c r="T620" s="4"/>
      <c r="U620" s="4"/>
      <c r="V620" s="4"/>
      <c r="W620" s="4"/>
      <c r="X620" s="4"/>
      <c r="Y620" s="4"/>
      <c r="Z620" s="4"/>
    </row>
    <row r="621">
      <c r="A621" s="13"/>
      <c r="B621" s="161"/>
      <c r="C621" s="13"/>
      <c r="D621" s="4"/>
      <c r="E621" s="4"/>
      <c r="F621" s="4"/>
      <c r="G621" s="4"/>
      <c r="H621" s="4"/>
      <c r="I621" s="4"/>
      <c r="J621" s="4"/>
      <c r="K621" s="4"/>
      <c r="L621" s="4"/>
      <c r="M621" s="4"/>
      <c r="N621" s="4"/>
      <c r="O621" s="4"/>
      <c r="P621" s="4"/>
      <c r="Q621" s="4"/>
      <c r="R621" s="4"/>
      <c r="S621" s="4"/>
      <c r="T621" s="4"/>
      <c r="U621" s="4"/>
      <c r="V621" s="4"/>
      <c r="W621" s="4"/>
      <c r="X621" s="4"/>
      <c r="Y621" s="4"/>
      <c r="Z621" s="4"/>
    </row>
    <row r="622">
      <c r="A622" s="13"/>
      <c r="B622" s="161"/>
      <c r="C622" s="13"/>
      <c r="D622" s="4"/>
      <c r="E622" s="4"/>
      <c r="F622" s="4"/>
      <c r="G622" s="4"/>
      <c r="H622" s="4"/>
      <c r="I622" s="4"/>
      <c r="J622" s="4"/>
      <c r="K622" s="4"/>
      <c r="L622" s="4"/>
      <c r="M622" s="4"/>
      <c r="N622" s="4"/>
      <c r="O622" s="4"/>
      <c r="P622" s="4"/>
      <c r="Q622" s="4"/>
      <c r="R622" s="4"/>
      <c r="S622" s="4"/>
      <c r="T622" s="4"/>
      <c r="U622" s="4"/>
      <c r="V622" s="4"/>
      <c r="W622" s="4"/>
      <c r="X622" s="4"/>
      <c r="Y622" s="4"/>
      <c r="Z622" s="4"/>
    </row>
    <row r="623">
      <c r="A623" s="13"/>
      <c r="B623" s="161"/>
      <c r="C623" s="13"/>
      <c r="D623" s="4"/>
      <c r="E623" s="4"/>
      <c r="F623" s="4"/>
      <c r="G623" s="4"/>
      <c r="H623" s="4"/>
      <c r="I623" s="4"/>
      <c r="J623" s="4"/>
      <c r="K623" s="4"/>
      <c r="L623" s="4"/>
      <c r="M623" s="4"/>
      <c r="N623" s="4"/>
      <c r="O623" s="4"/>
      <c r="P623" s="4"/>
      <c r="Q623" s="4"/>
      <c r="R623" s="4"/>
      <c r="S623" s="4"/>
      <c r="T623" s="4"/>
      <c r="U623" s="4"/>
      <c r="V623" s="4"/>
      <c r="W623" s="4"/>
      <c r="X623" s="4"/>
      <c r="Y623" s="4"/>
      <c r="Z623" s="4"/>
    </row>
    <row r="624">
      <c r="A624" s="13"/>
      <c r="B624" s="161"/>
      <c r="C624" s="13"/>
      <c r="D624" s="4"/>
      <c r="E624" s="4"/>
      <c r="F624" s="4"/>
      <c r="G624" s="4"/>
      <c r="H624" s="4"/>
      <c r="I624" s="4"/>
      <c r="J624" s="4"/>
      <c r="K624" s="4"/>
      <c r="L624" s="4"/>
      <c r="M624" s="4"/>
      <c r="N624" s="4"/>
      <c r="O624" s="4"/>
      <c r="P624" s="4"/>
      <c r="Q624" s="4"/>
      <c r="R624" s="4"/>
      <c r="S624" s="4"/>
      <c r="T624" s="4"/>
      <c r="U624" s="4"/>
      <c r="V624" s="4"/>
      <c r="W624" s="4"/>
      <c r="X624" s="4"/>
      <c r="Y624" s="4"/>
      <c r="Z624" s="4"/>
    </row>
    <row r="625">
      <c r="A625" s="13"/>
      <c r="B625" s="161"/>
      <c r="C625" s="13"/>
      <c r="D625" s="4"/>
      <c r="E625" s="4"/>
      <c r="F625" s="4"/>
      <c r="G625" s="4"/>
      <c r="H625" s="4"/>
      <c r="I625" s="4"/>
      <c r="J625" s="4"/>
      <c r="K625" s="4"/>
      <c r="L625" s="4"/>
      <c r="M625" s="4"/>
      <c r="N625" s="4"/>
      <c r="O625" s="4"/>
      <c r="P625" s="4"/>
      <c r="Q625" s="4"/>
      <c r="R625" s="4"/>
      <c r="S625" s="4"/>
      <c r="T625" s="4"/>
      <c r="U625" s="4"/>
      <c r="V625" s="4"/>
      <c r="W625" s="4"/>
      <c r="X625" s="4"/>
      <c r="Y625" s="4"/>
      <c r="Z625" s="4"/>
    </row>
    <row r="626">
      <c r="A626" s="13"/>
      <c r="B626" s="161"/>
      <c r="C626" s="13"/>
      <c r="D626" s="4"/>
      <c r="E626" s="4"/>
      <c r="F626" s="4"/>
      <c r="G626" s="4"/>
      <c r="H626" s="4"/>
      <c r="I626" s="4"/>
      <c r="J626" s="4"/>
      <c r="K626" s="4"/>
      <c r="L626" s="4"/>
      <c r="M626" s="4"/>
      <c r="N626" s="4"/>
      <c r="O626" s="4"/>
      <c r="P626" s="4"/>
      <c r="Q626" s="4"/>
      <c r="R626" s="4"/>
      <c r="S626" s="4"/>
      <c r="T626" s="4"/>
      <c r="U626" s="4"/>
      <c r="V626" s="4"/>
      <c r="W626" s="4"/>
      <c r="X626" s="4"/>
      <c r="Y626" s="4"/>
      <c r="Z626" s="4"/>
    </row>
    <row r="627">
      <c r="A627" s="13"/>
      <c r="B627" s="161"/>
      <c r="C627" s="13"/>
      <c r="D627" s="4"/>
      <c r="E627" s="4"/>
      <c r="F627" s="4"/>
      <c r="G627" s="4"/>
      <c r="H627" s="4"/>
      <c r="I627" s="4"/>
      <c r="J627" s="4"/>
      <c r="K627" s="4"/>
      <c r="L627" s="4"/>
      <c r="M627" s="4"/>
      <c r="N627" s="4"/>
      <c r="O627" s="4"/>
      <c r="P627" s="4"/>
      <c r="Q627" s="4"/>
      <c r="R627" s="4"/>
      <c r="S627" s="4"/>
      <c r="T627" s="4"/>
      <c r="U627" s="4"/>
      <c r="V627" s="4"/>
      <c r="W627" s="4"/>
      <c r="X627" s="4"/>
      <c r="Y627" s="4"/>
      <c r="Z627" s="4"/>
    </row>
    <row r="628">
      <c r="A628" s="13"/>
      <c r="B628" s="161"/>
      <c r="C628" s="13"/>
      <c r="D628" s="4"/>
      <c r="E628" s="4"/>
      <c r="F628" s="4"/>
      <c r="G628" s="4"/>
      <c r="H628" s="4"/>
      <c r="I628" s="4"/>
      <c r="J628" s="4"/>
      <c r="K628" s="4"/>
      <c r="L628" s="4"/>
      <c r="M628" s="4"/>
      <c r="N628" s="4"/>
      <c r="O628" s="4"/>
      <c r="P628" s="4"/>
      <c r="Q628" s="4"/>
      <c r="R628" s="4"/>
      <c r="S628" s="4"/>
      <c r="T628" s="4"/>
      <c r="U628" s="4"/>
      <c r="V628" s="4"/>
      <c r="W628" s="4"/>
      <c r="X628" s="4"/>
      <c r="Y628" s="4"/>
      <c r="Z628" s="4"/>
    </row>
    <row r="629">
      <c r="A629" s="13"/>
      <c r="B629" s="161"/>
      <c r="C629" s="13"/>
      <c r="D629" s="4"/>
      <c r="E629" s="4"/>
      <c r="F629" s="4"/>
      <c r="G629" s="4"/>
      <c r="H629" s="4"/>
      <c r="I629" s="4"/>
      <c r="J629" s="4"/>
      <c r="K629" s="4"/>
      <c r="L629" s="4"/>
      <c r="M629" s="4"/>
      <c r="N629" s="4"/>
      <c r="O629" s="4"/>
      <c r="P629" s="4"/>
      <c r="Q629" s="4"/>
      <c r="R629" s="4"/>
      <c r="S629" s="4"/>
      <c r="T629" s="4"/>
      <c r="U629" s="4"/>
      <c r="V629" s="4"/>
      <c r="W629" s="4"/>
      <c r="X629" s="4"/>
      <c r="Y629" s="4"/>
      <c r="Z629" s="4"/>
    </row>
    <row r="630">
      <c r="A630" s="13"/>
      <c r="B630" s="161"/>
      <c r="C630" s="13"/>
      <c r="D630" s="4"/>
      <c r="E630" s="4"/>
      <c r="F630" s="4"/>
      <c r="G630" s="4"/>
      <c r="H630" s="4"/>
      <c r="I630" s="4"/>
      <c r="J630" s="4"/>
      <c r="K630" s="4"/>
      <c r="L630" s="4"/>
      <c r="M630" s="4"/>
      <c r="N630" s="4"/>
      <c r="O630" s="4"/>
      <c r="P630" s="4"/>
      <c r="Q630" s="4"/>
      <c r="R630" s="4"/>
      <c r="S630" s="4"/>
      <c r="T630" s="4"/>
      <c r="U630" s="4"/>
      <c r="V630" s="4"/>
      <c r="W630" s="4"/>
      <c r="X630" s="4"/>
      <c r="Y630" s="4"/>
      <c r="Z630" s="4"/>
    </row>
    <row r="631">
      <c r="A631" s="13"/>
      <c r="B631" s="161"/>
      <c r="C631" s="13"/>
      <c r="D631" s="4"/>
      <c r="E631" s="4"/>
      <c r="F631" s="4"/>
      <c r="G631" s="4"/>
      <c r="H631" s="4"/>
      <c r="I631" s="4"/>
      <c r="J631" s="4"/>
      <c r="K631" s="4"/>
      <c r="L631" s="4"/>
      <c r="M631" s="4"/>
      <c r="N631" s="4"/>
      <c r="O631" s="4"/>
      <c r="P631" s="4"/>
      <c r="Q631" s="4"/>
      <c r="R631" s="4"/>
      <c r="S631" s="4"/>
      <c r="T631" s="4"/>
      <c r="U631" s="4"/>
      <c r="V631" s="4"/>
      <c r="W631" s="4"/>
      <c r="X631" s="4"/>
      <c r="Y631" s="4"/>
      <c r="Z631" s="4"/>
    </row>
    <row r="632">
      <c r="A632" s="13"/>
      <c r="B632" s="161"/>
      <c r="C632" s="13"/>
      <c r="D632" s="4"/>
      <c r="E632" s="4"/>
      <c r="F632" s="4"/>
      <c r="G632" s="4"/>
      <c r="H632" s="4"/>
      <c r="I632" s="4"/>
      <c r="J632" s="4"/>
      <c r="K632" s="4"/>
      <c r="L632" s="4"/>
      <c r="M632" s="4"/>
      <c r="N632" s="4"/>
      <c r="O632" s="4"/>
      <c r="P632" s="4"/>
      <c r="Q632" s="4"/>
      <c r="R632" s="4"/>
      <c r="S632" s="4"/>
      <c r="T632" s="4"/>
      <c r="U632" s="4"/>
      <c r="V632" s="4"/>
      <c r="W632" s="4"/>
      <c r="X632" s="4"/>
      <c r="Y632" s="4"/>
      <c r="Z632" s="4"/>
    </row>
    <row r="633">
      <c r="A633" s="13"/>
      <c r="B633" s="161"/>
      <c r="C633" s="13"/>
      <c r="D633" s="4"/>
      <c r="E633" s="4"/>
      <c r="F633" s="4"/>
      <c r="G633" s="4"/>
      <c r="H633" s="4"/>
      <c r="I633" s="4"/>
      <c r="J633" s="4"/>
      <c r="K633" s="4"/>
      <c r="L633" s="4"/>
      <c r="M633" s="4"/>
      <c r="N633" s="4"/>
      <c r="O633" s="4"/>
      <c r="P633" s="4"/>
      <c r="Q633" s="4"/>
      <c r="R633" s="4"/>
      <c r="S633" s="4"/>
      <c r="T633" s="4"/>
      <c r="U633" s="4"/>
      <c r="V633" s="4"/>
      <c r="W633" s="4"/>
      <c r="X633" s="4"/>
      <c r="Y633" s="4"/>
      <c r="Z633" s="4"/>
    </row>
    <row r="634">
      <c r="A634" s="13"/>
      <c r="B634" s="161"/>
      <c r="C634" s="13"/>
      <c r="D634" s="4"/>
      <c r="E634" s="4"/>
      <c r="F634" s="4"/>
      <c r="G634" s="4"/>
      <c r="H634" s="4"/>
      <c r="I634" s="4"/>
      <c r="J634" s="4"/>
      <c r="K634" s="4"/>
      <c r="L634" s="4"/>
      <c r="M634" s="4"/>
      <c r="N634" s="4"/>
      <c r="O634" s="4"/>
      <c r="P634" s="4"/>
      <c r="Q634" s="4"/>
      <c r="R634" s="4"/>
      <c r="S634" s="4"/>
      <c r="T634" s="4"/>
      <c r="U634" s="4"/>
      <c r="V634" s="4"/>
      <c r="W634" s="4"/>
      <c r="X634" s="4"/>
      <c r="Y634" s="4"/>
      <c r="Z634" s="4"/>
    </row>
    <row r="635">
      <c r="A635" s="13"/>
      <c r="B635" s="161"/>
      <c r="C635" s="13"/>
      <c r="D635" s="4"/>
      <c r="E635" s="4"/>
      <c r="F635" s="4"/>
      <c r="G635" s="4"/>
      <c r="H635" s="4"/>
      <c r="I635" s="4"/>
      <c r="J635" s="4"/>
      <c r="K635" s="4"/>
      <c r="L635" s="4"/>
      <c r="M635" s="4"/>
      <c r="N635" s="4"/>
      <c r="O635" s="4"/>
      <c r="P635" s="4"/>
      <c r="Q635" s="4"/>
      <c r="R635" s="4"/>
      <c r="S635" s="4"/>
      <c r="T635" s="4"/>
      <c r="U635" s="4"/>
      <c r="V635" s="4"/>
      <c r="W635" s="4"/>
      <c r="X635" s="4"/>
      <c r="Y635" s="4"/>
      <c r="Z635" s="4"/>
    </row>
    <row r="636">
      <c r="A636" s="13"/>
      <c r="B636" s="161"/>
      <c r="C636" s="13"/>
      <c r="D636" s="4"/>
      <c r="E636" s="4"/>
      <c r="F636" s="4"/>
      <c r="G636" s="4"/>
      <c r="H636" s="4"/>
      <c r="I636" s="4"/>
      <c r="J636" s="4"/>
      <c r="K636" s="4"/>
      <c r="L636" s="4"/>
      <c r="M636" s="4"/>
      <c r="N636" s="4"/>
      <c r="O636" s="4"/>
      <c r="P636" s="4"/>
      <c r="Q636" s="4"/>
      <c r="R636" s="4"/>
      <c r="S636" s="4"/>
      <c r="T636" s="4"/>
      <c r="U636" s="4"/>
      <c r="V636" s="4"/>
      <c r="W636" s="4"/>
      <c r="X636" s="4"/>
      <c r="Y636" s="4"/>
      <c r="Z636" s="4"/>
    </row>
    <row r="637">
      <c r="A637" s="13"/>
      <c r="B637" s="161"/>
      <c r="C637" s="13"/>
      <c r="D637" s="4"/>
      <c r="E637" s="4"/>
      <c r="F637" s="4"/>
      <c r="G637" s="4"/>
      <c r="H637" s="4"/>
      <c r="I637" s="4"/>
      <c r="J637" s="4"/>
      <c r="K637" s="4"/>
      <c r="L637" s="4"/>
      <c r="M637" s="4"/>
      <c r="N637" s="4"/>
      <c r="O637" s="4"/>
      <c r="P637" s="4"/>
      <c r="Q637" s="4"/>
      <c r="R637" s="4"/>
      <c r="S637" s="4"/>
      <c r="T637" s="4"/>
      <c r="U637" s="4"/>
      <c r="V637" s="4"/>
      <c r="W637" s="4"/>
      <c r="X637" s="4"/>
      <c r="Y637" s="4"/>
      <c r="Z637" s="4"/>
    </row>
    <row r="638">
      <c r="A638" s="13"/>
      <c r="B638" s="161"/>
      <c r="C638" s="13"/>
      <c r="D638" s="4"/>
      <c r="E638" s="4"/>
      <c r="F638" s="4"/>
      <c r="G638" s="4"/>
      <c r="H638" s="4"/>
      <c r="I638" s="4"/>
      <c r="J638" s="4"/>
      <c r="K638" s="4"/>
      <c r="L638" s="4"/>
      <c r="M638" s="4"/>
      <c r="N638" s="4"/>
      <c r="O638" s="4"/>
      <c r="P638" s="4"/>
      <c r="Q638" s="4"/>
      <c r="R638" s="4"/>
      <c r="S638" s="4"/>
      <c r="T638" s="4"/>
      <c r="U638" s="4"/>
      <c r="V638" s="4"/>
      <c r="W638" s="4"/>
      <c r="X638" s="4"/>
      <c r="Y638" s="4"/>
      <c r="Z638" s="4"/>
    </row>
    <row r="639">
      <c r="A639" s="13"/>
      <c r="B639" s="161"/>
      <c r="C639" s="13"/>
      <c r="D639" s="4"/>
      <c r="E639" s="4"/>
      <c r="F639" s="4"/>
      <c r="G639" s="4"/>
      <c r="H639" s="4"/>
      <c r="I639" s="4"/>
      <c r="J639" s="4"/>
      <c r="K639" s="4"/>
      <c r="L639" s="4"/>
      <c r="M639" s="4"/>
      <c r="N639" s="4"/>
      <c r="O639" s="4"/>
      <c r="P639" s="4"/>
      <c r="Q639" s="4"/>
      <c r="R639" s="4"/>
      <c r="S639" s="4"/>
      <c r="T639" s="4"/>
      <c r="U639" s="4"/>
      <c r="V639" s="4"/>
      <c r="W639" s="4"/>
      <c r="X639" s="4"/>
      <c r="Y639" s="4"/>
      <c r="Z639" s="4"/>
    </row>
    <row r="640">
      <c r="A640" s="13"/>
      <c r="B640" s="161"/>
      <c r="C640" s="13"/>
      <c r="D640" s="4"/>
      <c r="E640" s="4"/>
      <c r="F640" s="4"/>
      <c r="G640" s="4"/>
      <c r="H640" s="4"/>
      <c r="I640" s="4"/>
      <c r="J640" s="4"/>
      <c r="K640" s="4"/>
      <c r="L640" s="4"/>
      <c r="M640" s="4"/>
      <c r="N640" s="4"/>
      <c r="O640" s="4"/>
      <c r="P640" s="4"/>
      <c r="Q640" s="4"/>
      <c r="R640" s="4"/>
      <c r="S640" s="4"/>
      <c r="T640" s="4"/>
      <c r="U640" s="4"/>
      <c r="V640" s="4"/>
      <c r="W640" s="4"/>
      <c r="X640" s="4"/>
      <c r="Y640" s="4"/>
      <c r="Z640" s="4"/>
    </row>
    <row r="641">
      <c r="A641" s="13"/>
      <c r="B641" s="161"/>
      <c r="C641" s="13"/>
      <c r="D641" s="4"/>
      <c r="E641" s="4"/>
      <c r="F641" s="4"/>
      <c r="G641" s="4"/>
      <c r="H641" s="4"/>
      <c r="I641" s="4"/>
      <c r="J641" s="4"/>
      <c r="K641" s="4"/>
      <c r="L641" s="4"/>
      <c r="M641" s="4"/>
      <c r="N641" s="4"/>
      <c r="O641" s="4"/>
      <c r="P641" s="4"/>
      <c r="Q641" s="4"/>
      <c r="R641" s="4"/>
      <c r="S641" s="4"/>
      <c r="T641" s="4"/>
      <c r="U641" s="4"/>
      <c r="V641" s="4"/>
      <c r="W641" s="4"/>
      <c r="X641" s="4"/>
      <c r="Y641" s="4"/>
      <c r="Z641" s="4"/>
    </row>
    <row r="642">
      <c r="A642" s="13"/>
      <c r="B642" s="161"/>
      <c r="C642" s="13"/>
      <c r="D642" s="4"/>
      <c r="E642" s="4"/>
      <c r="F642" s="4"/>
      <c r="G642" s="4"/>
      <c r="H642" s="4"/>
      <c r="I642" s="4"/>
      <c r="J642" s="4"/>
      <c r="K642" s="4"/>
      <c r="L642" s="4"/>
      <c r="M642" s="4"/>
      <c r="N642" s="4"/>
      <c r="O642" s="4"/>
      <c r="P642" s="4"/>
      <c r="Q642" s="4"/>
      <c r="R642" s="4"/>
      <c r="S642" s="4"/>
      <c r="T642" s="4"/>
      <c r="U642" s="4"/>
      <c r="V642" s="4"/>
      <c r="W642" s="4"/>
      <c r="X642" s="4"/>
      <c r="Y642" s="4"/>
      <c r="Z642" s="4"/>
    </row>
    <row r="643">
      <c r="A643" s="13"/>
      <c r="B643" s="161"/>
      <c r="C643" s="13"/>
      <c r="D643" s="4"/>
      <c r="E643" s="4"/>
      <c r="F643" s="4"/>
      <c r="G643" s="4"/>
      <c r="H643" s="4"/>
      <c r="I643" s="4"/>
      <c r="J643" s="4"/>
      <c r="K643" s="4"/>
      <c r="L643" s="4"/>
      <c r="M643" s="4"/>
      <c r="N643" s="4"/>
      <c r="O643" s="4"/>
      <c r="P643" s="4"/>
      <c r="Q643" s="4"/>
      <c r="R643" s="4"/>
      <c r="S643" s="4"/>
      <c r="T643" s="4"/>
      <c r="U643" s="4"/>
      <c r="V643" s="4"/>
      <c r="W643" s="4"/>
      <c r="X643" s="4"/>
      <c r="Y643" s="4"/>
      <c r="Z643" s="4"/>
    </row>
    <row r="644">
      <c r="A644" s="13"/>
      <c r="B644" s="161"/>
      <c r="C644" s="13"/>
      <c r="D644" s="4"/>
      <c r="E644" s="4"/>
      <c r="F644" s="4"/>
      <c r="G644" s="4"/>
      <c r="H644" s="4"/>
      <c r="I644" s="4"/>
      <c r="J644" s="4"/>
      <c r="K644" s="4"/>
      <c r="L644" s="4"/>
      <c r="M644" s="4"/>
      <c r="N644" s="4"/>
      <c r="O644" s="4"/>
      <c r="P644" s="4"/>
      <c r="Q644" s="4"/>
      <c r="R644" s="4"/>
      <c r="S644" s="4"/>
      <c r="T644" s="4"/>
      <c r="U644" s="4"/>
      <c r="V644" s="4"/>
      <c r="W644" s="4"/>
      <c r="X644" s="4"/>
      <c r="Y644" s="4"/>
      <c r="Z644" s="4"/>
    </row>
    <row r="645">
      <c r="A645" s="13"/>
      <c r="B645" s="161"/>
      <c r="C645" s="13"/>
      <c r="D645" s="4"/>
      <c r="E645" s="4"/>
      <c r="F645" s="4"/>
      <c r="G645" s="4"/>
      <c r="H645" s="4"/>
      <c r="I645" s="4"/>
      <c r="J645" s="4"/>
      <c r="K645" s="4"/>
      <c r="L645" s="4"/>
      <c r="M645" s="4"/>
      <c r="N645" s="4"/>
      <c r="O645" s="4"/>
      <c r="P645" s="4"/>
      <c r="Q645" s="4"/>
      <c r="R645" s="4"/>
      <c r="S645" s="4"/>
      <c r="T645" s="4"/>
      <c r="U645" s="4"/>
      <c r="V645" s="4"/>
      <c r="W645" s="4"/>
      <c r="X645" s="4"/>
      <c r="Y645" s="4"/>
      <c r="Z645" s="4"/>
    </row>
    <row r="646">
      <c r="A646" s="13"/>
      <c r="B646" s="161"/>
      <c r="C646" s="13"/>
      <c r="D646" s="4"/>
      <c r="E646" s="4"/>
      <c r="F646" s="4"/>
      <c r="G646" s="4"/>
      <c r="H646" s="4"/>
      <c r="I646" s="4"/>
      <c r="J646" s="4"/>
      <c r="K646" s="4"/>
      <c r="L646" s="4"/>
      <c r="M646" s="4"/>
      <c r="N646" s="4"/>
      <c r="O646" s="4"/>
      <c r="P646" s="4"/>
      <c r="Q646" s="4"/>
      <c r="R646" s="4"/>
      <c r="S646" s="4"/>
      <c r="T646" s="4"/>
      <c r="U646" s="4"/>
      <c r="V646" s="4"/>
      <c r="W646" s="4"/>
      <c r="X646" s="4"/>
      <c r="Y646" s="4"/>
      <c r="Z646" s="4"/>
    </row>
    <row r="647">
      <c r="A647" s="13"/>
      <c r="B647" s="161"/>
      <c r="C647" s="13"/>
      <c r="D647" s="4"/>
      <c r="E647" s="4"/>
      <c r="F647" s="4"/>
      <c r="G647" s="4"/>
      <c r="H647" s="4"/>
      <c r="I647" s="4"/>
      <c r="J647" s="4"/>
      <c r="K647" s="4"/>
      <c r="L647" s="4"/>
      <c r="M647" s="4"/>
      <c r="N647" s="4"/>
      <c r="O647" s="4"/>
      <c r="P647" s="4"/>
      <c r="Q647" s="4"/>
      <c r="R647" s="4"/>
      <c r="S647" s="4"/>
      <c r="T647" s="4"/>
      <c r="U647" s="4"/>
      <c r="V647" s="4"/>
      <c r="W647" s="4"/>
      <c r="X647" s="4"/>
      <c r="Y647" s="4"/>
      <c r="Z647" s="4"/>
    </row>
    <row r="648">
      <c r="A648" s="13"/>
      <c r="B648" s="161"/>
      <c r="C648" s="13"/>
      <c r="D648" s="4"/>
      <c r="E648" s="4"/>
      <c r="F648" s="4"/>
      <c r="G648" s="4"/>
      <c r="H648" s="4"/>
      <c r="I648" s="4"/>
      <c r="J648" s="4"/>
      <c r="K648" s="4"/>
      <c r="L648" s="4"/>
      <c r="M648" s="4"/>
      <c r="N648" s="4"/>
      <c r="O648" s="4"/>
      <c r="P648" s="4"/>
      <c r="Q648" s="4"/>
      <c r="R648" s="4"/>
      <c r="S648" s="4"/>
      <c r="T648" s="4"/>
      <c r="U648" s="4"/>
      <c r="V648" s="4"/>
      <c r="W648" s="4"/>
      <c r="X648" s="4"/>
      <c r="Y648" s="4"/>
      <c r="Z648" s="4"/>
    </row>
    <row r="649">
      <c r="A649" s="13"/>
      <c r="B649" s="161"/>
      <c r="C649" s="13"/>
      <c r="D649" s="4"/>
      <c r="E649" s="4"/>
      <c r="F649" s="4"/>
      <c r="G649" s="4"/>
      <c r="H649" s="4"/>
      <c r="I649" s="4"/>
      <c r="J649" s="4"/>
      <c r="K649" s="4"/>
      <c r="L649" s="4"/>
      <c r="M649" s="4"/>
      <c r="N649" s="4"/>
      <c r="O649" s="4"/>
      <c r="P649" s="4"/>
      <c r="Q649" s="4"/>
      <c r="R649" s="4"/>
      <c r="S649" s="4"/>
      <c r="T649" s="4"/>
      <c r="U649" s="4"/>
      <c r="V649" s="4"/>
      <c r="W649" s="4"/>
      <c r="X649" s="4"/>
      <c r="Y649" s="4"/>
      <c r="Z649" s="4"/>
    </row>
    <row r="650">
      <c r="A650" s="13"/>
      <c r="B650" s="161"/>
      <c r="C650" s="13"/>
      <c r="D650" s="4"/>
      <c r="E650" s="4"/>
      <c r="F650" s="4"/>
      <c r="G650" s="4"/>
      <c r="H650" s="4"/>
      <c r="I650" s="4"/>
      <c r="J650" s="4"/>
      <c r="K650" s="4"/>
      <c r="L650" s="4"/>
      <c r="M650" s="4"/>
      <c r="N650" s="4"/>
      <c r="O650" s="4"/>
      <c r="P650" s="4"/>
      <c r="Q650" s="4"/>
      <c r="R650" s="4"/>
      <c r="S650" s="4"/>
      <c r="T650" s="4"/>
      <c r="U650" s="4"/>
      <c r="V650" s="4"/>
      <c r="W650" s="4"/>
      <c r="X650" s="4"/>
      <c r="Y650" s="4"/>
      <c r="Z650" s="4"/>
    </row>
    <row r="651">
      <c r="A651" s="13"/>
      <c r="B651" s="161"/>
      <c r="C651" s="13"/>
      <c r="D651" s="4"/>
      <c r="E651" s="4"/>
      <c r="F651" s="4"/>
      <c r="G651" s="4"/>
      <c r="H651" s="4"/>
      <c r="I651" s="4"/>
      <c r="J651" s="4"/>
      <c r="K651" s="4"/>
      <c r="L651" s="4"/>
      <c r="M651" s="4"/>
      <c r="N651" s="4"/>
      <c r="O651" s="4"/>
      <c r="P651" s="4"/>
      <c r="Q651" s="4"/>
      <c r="R651" s="4"/>
      <c r="S651" s="4"/>
      <c r="T651" s="4"/>
      <c r="U651" s="4"/>
      <c r="V651" s="4"/>
      <c r="W651" s="4"/>
      <c r="X651" s="4"/>
      <c r="Y651" s="4"/>
      <c r="Z651" s="4"/>
    </row>
    <row r="652">
      <c r="A652" s="13"/>
      <c r="B652" s="161"/>
      <c r="C652" s="13"/>
      <c r="D652" s="4"/>
      <c r="E652" s="4"/>
      <c r="F652" s="4"/>
      <c r="G652" s="4"/>
      <c r="H652" s="4"/>
      <c r="I652" s="4"/>
      <c r="J652" s="4"/>
      <c r="K652" s="4"/>
      <c r="L652" s="4"/>
      <c r="M652" s="4"/>
      <c r="N652" s="4"/>
      <c r="O652" s="4"/>
      <c r="P652" s="4"/>
      <c r="Q652" s="4"/>
      <c r="R652" s="4"/>
      <c r="S652" s="4"/>
      <c r="T652" s="4"/>
      <c r="U652" s="4"/>
      <c r="V652" s="4"/>
      <c r="W652" s="4"/>
      <c r="X652" s="4"/>
      <c r="Y652" s="4"/>
      <c r="Z652" s="4"/>
    </row>
    <row r="653">
      <c r="A653" s="13"/>
      <c r="B653" s="161"/>
      <c r="C653" s="13"/>
      <c r="D653" s="4"/>
      <c r="E653" s="4"/>
      <c r="F653" s="4"/>
      <c r="G653" s="4"/>
      <c r="H653" s="4"/>
      <c r="I653" s="4"/>
      <c r="J653" s="4"/>
      <c r="K653" s="4"/>
      <c r="L653" s="4"/>
      <c r="M653" s="4"/>
      <c r="N653" s="4"/>
      <c r="O653" s="4"/>
      <c r="P653" s="4"/>
      <c r="Q653" s="4"/>
      <c r="R653" s="4"/>
      <c r="S653" s="4"/>
      <c r="T653" s="4"/>
      <c r="U653" s="4"/>
      <c r="V653" s="4"/>
      <c r="W653" s="4"/>
      <c r="X653" s="4"/>
      <c r="Y653" s="4"/>
      <c r="Z653" s="4"/>
    </row>
    <row r="654">
      <c r="A654" s="13"/>
      <c r="B654" s="161"/>
      <c r="C654" s="13"/>
      <c r="D654" s="4"/>
      <c r="E654" s="4"/>
      <c r="F654" s="4"/>
      <c r="G654" s="4"/>
      <c r="H654" s="4"/>
      <c r="I654" s="4"/>
      <c r="J654" s="4"/>
      <c r="K654" s="4"/>
      <c r="L654" s="4"/>
      <c r="M654" s="4"/>
      <c r="N654" s="4"/>
      <c r="O654" s="4"/>
      <c r="P654" s="4"/>
      <c r="Q654" s="4"/>
      <c r="R654" s="4"/>
      <c r="S654" s="4"/>
      <c r="T654" s="4"/>
      <c r="U654" s="4"/>
      <c r="V654" s="4"/>
      <c r="W654" s="4"/>
      <c r="X654" s="4"/>
      <c r="Y654" s="4"/>
      <c r="Z654" s="4"/>
    </row>
    <row r="655">
      <c r="A655" s="13"/>
      <c r="B655" s="161"/>
      <c r="C655" s="13"/>
      <c r="D655" s="4"/>
      <c r="E655" s="4"/>
      <c r="F655" s="4"/>
      <c r="G655" s="4"/>
      <c r="H655" s="4"/>
      <c r="I655" s="4"/>
      <c r="J655" s="4"/>
      <c r="K655" s="4"/>
      <c r="L655" s="4"/>
      <c r="M655" s="4"/>
      <c r="N655" s="4"/>
      <c r="O655" s="4"/>
      <c r="P655" s="4"/>
      <c r="Q655" s="4"/>
      <c r="R655" s="4"/>
      <c r="S655" s="4"/>
      <c r="T655" s="4"/>
      <c r="U655" s="4"/>
      <c r="V655" s="4"/>
      <c r="W655" s="4"/>
      <c r="X655" s="4"/>
      <c r="Y655" s="4"/>
      <c r="Z655" s="4"/>
    </row>
    <row r="656">
      <c r="A656" s="13"/>
      <c r="B656" s="161"/>
      <c r="C656" s="13"/>
      <c r="D656" s="4"/>
      <c r="E656" s="4"/>
      <c r="F656" s="4"/>
      <c r="G656" s="4"/>
      <c r="H656" s="4"/>
      <c r="I656" s="4"/>
      <c r="J656" s="4"/>
      <c r="K656" s="4"/>
      <c r="L656" s="4"/>
      <c r="M656" s="4"/>
      <c r="N656" s="4"/>
      <c r="O656" s="4"/>
      <c r="P656" s="4"/>
      <c r="Q656" s="4"/>
      <c r="R656" s="4"/>
      <c r="S656" s="4"/>
      <c r="T656" s="4"/>
      <c r="U656" s="4"/>
      <c r="V656" s="4"/>
      <c r="W656" s="4"/>
      <c r="X656" s="4"/>
      <c r="Y656" s="4"/>
      <c r="Z656" s="4"/>
    </row>
    <row r="657">
      <c r="A657" s="13"/>
      <c r="B657" s="161"/>
      <c r="C657" s="13"/>
      <c r="D657" s="4"/>
      <c r="E657" s="4"/>
      <c r="F657" s="4"/>
      <c r="G657" s="4"/>
      <c r="H657" s="4"/>
      <c r="I657" s="4"/>
      <c r="J657" s="4"/>
      <c r="K657" s="4"/>
      <c r="L657" s="4"/>
      <c r="M657" s="4"/>
      <c r="N657" s="4"/>
      <c r="O657" s="4"/>
      <c r="P657" s="4"/>
      <c r="Q657" s="4"/>
      <c r="R657" s="4"/>
      <c r="S657" s="4"/>
      <c r="T657" s="4"/>
      <c r="U657" s="4"/>
      <c r="V657" s="4"/>
      <c r="W657" s="4"/>
      <c r="X657" s="4"/>
      <c r="Y657" s="4"/>
      <c r="Z657" s="4"/>
    </row>
    <row r="658">
      <c r="A658" s="13"/>
      <c r="B658" s="161"/>
      <c r="C658" s="13"/>
      <c r="D658" s="4"/>
      <c r="E658" s="4"/>
      <c r="F658" s="4"/>
      <c r="G658" s="4"/>
      <c r="H658" s="4"/>
      <c r="I658" s="4"/>
      <c r="J658" s="4"/>
      <c r="K658" s="4"/>
      <c r="L658" s="4"/>
      <c r="M658" s="4"/>
      <c r="N658" s="4"/>
      <c r="O658" s="4"/>
      <c r="P658" s="4"/>
      <c r="Q658" s="4"/>
      <c r="R658" s="4"/>
      <c r="S658" s="4"/>
      <c r="T658" s="4"/>
      <c r="U658" s="4"/>
      <c r="V658" s="4"/>
      <c r="W658" s="4"/>
      <c r="X658" s="4"/>
      <c r="Y658" s="4"/>
      <c r="Z658" s="4"/>
    </row>
    <row r="659">
      <c r="A659" s="13"/>
      <c r="B659" s="161"/>
      <c r="C659" s="13"/>
      <c r="D659" s="4"/>
      <c r="E659" s="4"/>
      <c r="F659" s="4"/>
      <c r="G659" s="4"/>
      <c r="H659" s="4"/>
      <c r="I659" s="4"/>
      <c r="J659" s="4"/>
      <c r="K659" s="4"/>
      <c r="L659" s="4"/>
      <c r="M659" s="4"/>
      <c r="N659" s="4"/>
      <c r="O659" s="4"/>
      <c r="P659" s="4"/>
      <c r="Q659" s="4"/>
      <c r="R659" s="4"/>
      <c r="S659" s="4"/>
      <c r="T659" s="4"/>
      <c r="U659" s="4"/>
      <c r="V659" s="4"/>
      <c r="W659" s="4"/>
      <c r="X659" s="4"/>
      <c r="Y659" s="4"/>
      <c r="Z659" s="4"/>
    </row>
    <row r="660">
      <c r="A660" s="13"/>
      <c r="B660" s="161"/>
      <c r="C660" s="13"/>
      <c r="D660" s="4"/>
      <c r="E660" s="4"/>
      <c r="F660" s="4"/>
      <c r="G660" s="4"/>
      <c r="H660" s="4"/>
      <c r="I660" s="4"/>
      <c r="J660" s="4"/>
      <c r="K660" s="4"/>
      <c r="L660" s="4"/>
      <c r="M660" s="4"/>
      <c r="N660" s="4"/>
      <c r="O660" s="4"/>
      <c r="P660" s="4"/>
      <c r="Q660" s="4"/>
      <c r="R660" s="4"/>
      <c r="S660" s="4"/>
      <c r="T660" s="4"/>
      <c r="U660" s="4"/>
      <c r="V660" s="4"/>
      <c r="W660" s="4"/>
      <c r="X660" s="4"/>
      <c r="Y660" s="4"/>
      <c r="Z660" s="4"/>
    </row>
    <row r="661">
      <c r="A661" s="13"/>
      <c r="B661" s="161"/>
      <c r="C661" s="13"/>
      <c r="D661" s="4"/>
      <c r="E661" s="4"/>
      <c r="F661" s="4"/>
      <c r="G661" s="4"/>
      <c r="H661" s="4"/>
      <c r="I661" s="4"/>
      <c r="J661" s="4"/>
      <c r="K661" s="4"/>
      <c r="L661" s="4"/>
      <c r="M661" s="4"/>
      <c r="N661" s="4"/>
      <c r="O661" s="4"/>
      <c r="P661" s="4"/>
      <c r="Q661" s="4"/>
      <c r="R661" s="4"/>
      <c r="S661" s="4"/>
      <c r="T661" s="4"/>
      <c r="U661" s="4"/>
      <c r="V661" s="4"/>
      <c r="W661" s="4"/>
      <c r="X661" s="4"/>
      <c r="Y661" s="4"/>
      <c r="Z661" s="4"/>
    </row>
    <row r="662">
      <c r="A662" s="13"/>
      <c r="B662" s="161"/>
      <c r="C662" s="13"/>
      <c r="D662" s="4"/>
      <c r="E662" s="4"/>
      <c r="F662" s="4"/>
      <c r="G662" s="4"/>
      <c r="H662" s="4"/>
      <c r="I662" s="4"/>
      <c r="J662" s="4"/>
      <c r="K662" s="4"/>
      <c r="L662" s="4"/>
      <c r="M662" s="4"/>
      <c r="N662" s="4"/>
      <c r="O662" s="4"/>
      <c r="P662" s="4"/>
      <c r="Q662" s="4"/>
      <c r="R662" s="4"/>
      <c r="S662" s="4"/>
      <c r="T662" s="4"/>
      <c r="U662" s="4"/>
      <c r="V662" s="4"/>
      <c r="W662" s="4"/>
      <c r="X662" s="4"/>
      <c r="Y662" s="4"/>
      <c r="Z662" s="4"/>
    </row>
    <row r="663">
      <c r="A663" s="13"/>
      <c r="B663" s="161"/>
      <c r="C663" s="13"/>
      <c r="D663" s="4"/>
      <c r="E663" s="4"/>
      <c r="F663" s="4"/>
      <c r="G663" s="4"/>
      <c r="H663" s="4"/>
      <c r="I663" s="4"/>
      <c r="J663" s="4"/>
      <c r="K663" s="4"/>
      <c r="L663" s="4"/>
      <c r="M663" s="4"/>
      <c r="N663" s="4"/>
      <c r="O663" s="4"/>
      <c r="P663" s="4"/>
      <c r="Q663" s="4"/>
      <c r="R663" s="4"/>
      <c r="S663" s="4"/>
      <c r="T663" s="4"/>
      <c r="U663" s="4"/>
      <c r="V663" s="4"/>
      <c r="W663" s="4"/>
      <c r="X663" s="4"/>
      <c r="Y663" s="4"/>
      <c r="Z663" s="4"/>
    </row>
    <row r="664">
      <c r="A664" s="13"/>
      <c r="B664" s="161"/>
      <c r="C664" s="13"/>
      <c r="D664" s="4"/>
      <c r="E664" s="4"/>
      <c r="F664" s="4"/>
      <c r="G664" s="4"/>
      <c r="H664" s="4"/>
      <c r="I664" s="4"/>
      <c r="J664" s="4"/>
      <c r="K664" s="4"/>
      <c r="L664" s="4"/>
      <c r="M664" s="4"/>
      <c r="N664" s="4"/>
      <c r="O664" s="4"/>
      <c r="P664" s="4"/>
      <c r="Q664" s="4"/>
      <c r="R664" s="4"/>
      <c r="S664" s="4"/>
      <c r="T664" s="4"/>
      <c r="U664" s="4"/>
      <c r="V664" s="4"/>
      <c r="W664" s="4"/>
      <c r="X664" s="4"/>
      <c r="Y664" s="4"/>
      <c r="Z664" s="4"/>
    </row>
    <row r="665">
      <c r="A665" s="13"/>
      <c r="B665" s="161"/>
      <c r="C665" s="13"/>
      <c r="D665" s="4"/>
      <c r="E665" s="4"/>
      <c r="F665" s="4"/>
      <c r="G665" s="4"/>
      <c r="H665" s="4"/>
      <c r="I665" s="4"/>
      <c r="J665" s="4"/>
      <c r="K665" s="4"/>
      <c r="L665" s="4"/>
      <c r="M665" s="4"/>
      <c r="N665" s="4"/>
      <c r="O665" s="4"/>
      <c r="P665" s="4"/>
      <c r="Q665" s="4"/>
      <c r="R665" s="4"/>
      <c r="S665" s="4"/>
      <c r="T665" s="4"/>
      <c r="U665" s="4"/>
      <c r="V665" s="4"/>
      <c r="W665" s="4"/>
      <c r="X665" s="4"/>
      <c r="Y665" s="4"/>
      <c r="Z665" s="4"/>
    </row>
    <row r="666">
      <c r="A666" s="13"/>
      <c r="B666" s="161"/>
      <c r="C666" s="13"/>
      <c r="D666" s="4"/>
      <c r="E666" s="4"/>
      <c r="F666" s="4"/>
      <c r="G666" s="4"/>
      <c r="H666" s="4"/>
      <c r="I666" s="4"/>
      <c r="J666" s="4"/>
      <c r="K666" s="4"/>
      <c r="L666" s="4"/>
      <c r="M666" s="4"/>
      <c r="N666" s="4"/>
      <c r="O666" s="4"/>
      <c r="P666" s="4"/>
      <c r="Q666" s="4"/>
      <c r="R666" s="4"/>
      <c r="S666" s="4"/>
      <c r="T666" s="4"/>
      <c r="U666" s="4"/>
      <c r="V666" s="4"/>
      <c r="W666" s="4"/>
      <c r="X666" s="4"/>
      <c r="Y666" s="4"/>
      <c r="Z666" s="4"/>
    </row>
    <row r="667">
      <c r="A667" s="13"/>
      <c r="B667" s="161"/>
      <c r="C667" s="13"/>
      <c r="D667" s="4"/>
      <c r="E667" s="4"/>
      <c r="F667" s="4"/>
      <c r="G667" s="4"/>
      <c r="H667" s="4"/>
      <c r="I667" s="4"/>
      <c r="J667" s="4"/>
      <c r="K667" s="4"/>
      <c r="L667" s="4"/>
      <c r="M667" s="4"/>
      <c r="N667" s="4"/>
      <c r="O667" s="4"/>
      <c r="P667" s="4"/>
      <c r="Q667" s="4"/>
      <c r="R667" s="4"/>
      <c r="S667" s="4"/>
      <c r="T667" s="4"/>
      <c r="U667" s="4"/>
      <c r="V667" s="4"/>
      <c r="W667" s="4"/>
      <c r="X667" s="4"/>
      <c r="Y667" s="4"/>
      <c r="Z667" s="4"/>
    </row>
    <row r="668">
      <c r="A668" s="13"/>
      <c r="B668" s="161"/>
      <c r="C668" s="13"/>
      <c r="D668" s="4"/>
      <c r="E668" s="4"/>
      <c r="F668" s="4"/>
      <c r="G668" s="4"/>
      <c r="H668" s="4"/>
      <c r="I668" s="4"/>
      <c r="J668" s="4"/>
      <c r="K668" s="4"/>
      <c r="L668" s="4"/>
      <c r="M668" s="4"/>
      <c r="N668" s="4"/>
      <c r="O668" s="4"/>
      <c r="P668" s="4"/>
      <c r="Q668" s="4"/>
      <c r="R668" s="4"/>
      <c r="S668" s="4"/>
      <c r="T668" s="4"/>
      <c r="U668" s="4"/>
      <c r="V668" s="4"/>
      <c r="W668" s="4"/>
      <c r="X668" s="4"/>
      <c r="Y668" s="4"/>
      <c r="Z668" s="4"/>
    </row>
    <row r="669">
      <c r="A669" s="13"/>
      <c r="B669" s="161"/>
      <c r="C669" s="13"/>
      <c r="D669" s="4"/>
      <c r="E669" s="4"/>
      <c r="F669" s="4"/>
      <c r="G669" s="4"/>
      <c r="H669" s="4"/>
      <c r="I669" s="4"/>
      <c r="J669" s="4"/>
      <c r="K669" s="4"/>
      <c r="L669" s="4"/>
      <c r="M669" s="4"/>
      <c r="N669" s="4"/>
      <c r="O669" s="4"/>
      <c r="P669" s="4"/>
      <c r="Q669" s="4"/>
      <c r="R669" s="4"/>
      <c r="S669" s="4"/>
      <c r="T669" s="4"/>
      <c r="U669" s="4"/>
      <c r="V669" s="4"/>
      <c r="W669" s="4"/>
      <c r="X669" s="4"/>
      <c r="Y669" s="4"/>
      <c r="Z669" s="4"/>
    </row>
    <row r="670">
      <c r="A670" s="13"/>
      <c r="B670" s="161"/>
      <c r="C670" s="13"/>
      <c r="D670" s="4"/>
      <c r="E670" s="4"/>
      <c r="F670" s="4"/>
      <c r="G670" s="4"/>
      <c r="H670" s="4"/>
      <c r="I670" s="4"/>
      <c r="J670" s="4"/>
      <c r="K670" s="4"/>
      <c r="L670" s="4"/>
      <c r="M670" s="4"/>
      <c r="N670" s="4"/>
      <c r="O670" s="4"/>
      <c r="P670" s="4"/>
      <c r="Q670" s="4"/>
      <c r="R670" s="4"/>
      <c r="S670" s="4"/>
      <c r="T670" s="4"/>
      <c r="U670" s="4"/>
      <c r="V670" s="4"/>
      <c r="W670" s="4"/>
      <c r="X670" s="4"/>
      <c r="Y670" s="4"/>
      <c r="Z670" s="4"/>
    </row>
    <row r="671">
      <c r="A671" s="13"/>
      <c r="B671" s="161"/>
      <c r="C671" s="13"/>
      <c r="D671" s="4"/>
      <c r="E671" s="4"/>
      <c r="F671" s="4"/>
      <c r="G671" s="4"/>
      <c r="H671" s="4"/>
      <c r="I671" s="4"/>
      <c r="J671" s="4"/>
      <c r="K671" s="4"/>
      <c r="L671" s="4"/>
      <c r="M671" s="4"/>
      <c r="N671" s="4"/>
      <c r="O671" s="4"/>
      <c r="P671" s="4"/>
      <c r="Q671" s="4"/>
      <c r="R671" s="4"/>
      <c r="S671" s="4"/>
      <c r="T671" s="4"/>
      <c r="U671" s="4"/>
      <c r="V671" s="4"/>
      <c r="W671" s="4"/>
      <c r="X671" s="4"/>
      <c r="Y671" s="4"/>
      <c r="Z671" s="4"/>
    </row>
    <row r="672">
      <c r="A672" s="13"/>
      <c r="B672" s="161"/>
      <c r="C672" s="13"/>
      <c r="D672" s="4"/>
      <c r="E672" s="4"/>
      <c r="F672" s="4"/>
      <c r="G672" s="4"/>
      <c r="H672" s="4"/>
      <c r="I672" s="4"/>
      <c r="J672" s="4"/>
      <c r="K672" s="4"/>
      <c r="L672" s="4"/>
      <c r="M672" s="4"/>
      <c r="N672" s="4"/>
      <c r="O672" s="4"/>
      <c r="P672" s="4"/>
      <c r="Q672" s="4"/>
      <c r="R672" s="4"/>
      <c r="S672" s="4"/>
      <c r="T672" s="4"/>
      <c r="U672" s="4"/>
      <c r="V672" s="4"/>
      <c r="W672" s="4"/>
      <c r="X672" s="4"/>
      <c r="Y672" s="4"/>
      <c r="Z672" s="4"/>
    </row>
    <row r="673">
      <c r="A673" s="13"/>
      <c r="B673" s="161"/>
      <c r="C673" s="13"/>
      <c r="D673" s="4"/>
      <c r="E673" s="4"/>
      <c r="F673" s="4"/>
      <c r="G673" s="4"/>
      <c r="H673" s="4"/>
      <c r="I673" s="4"/>
      <c r="J673" s="4"/>
      <c r="K673" s="4"/>
      <c r="L673" s="4"/>
      <c r="M673" s="4"/>
      <c r="N673" s="4"/>
      <c r="O673" s="4"/>
      <c r="P673" s="4"/>
      <c r="Q673" s="4"/>
      <c r="R673" s="4"/>
      <c r="S673" s="4"/>
      <c r="T673" s="4"/>
      <c r="U673" s="4"/>
      <c r="V673" s="4"/>
      <c r="W673" s="4"/>
      <c r="X673" s="4"/>
      <c r="Y673" s="4"/>
      <c r="Z673" s="4"/>
    </row>
    <row r="674">
      <c r="A674" s="13"/>
      <c r="B674" s="161"/>
      <c r="C674" s="13"/>
      <c r="D674" s="4"/>
      <c r="E674" s="4"/>
      <c r="F674" s="4"/>
      <c r="G674" s="4"/>
      <c r="H674" s="4"/>
      <c r="I674" s="4"/>
      <c r="J674" s="4"/>
      <c r="K674" s="4"/>
      <c r="L674" s="4"/>
      <c r="M674" s="4"/>
      <c r="N674" s="4"/>
      <c r="O674" s="4"/>
      <c r="P674" s="4"/>
      <c r="Q674" s="4"/>
      <c r="R674" s="4"/>
      <c r="S674" s="4"/>
      <c r="T674" s="4"/>
      <c r="U674" s="4"/>
      <c r="V674" s="4"/>
      <c r="W674" s="4"/>
      <c r="X674" s="4"/>
      <c r="Y674" s="4"/>
      <c r="Z674" s="4"/>
    </row>
    <row r="675">
      <c r="A675" s="13"/>
      <c r="B675" s="161"/>
      <c r="C675" s="13"/>
      <c r="D675" s="4"/>
      <c r="E675" s="4"/>
      <c r="F675" s="4"/>
      <c r="G675" s="4"/>
      <c r="H675" s="4"/>
      <c r="I675" s="4"/>
      <c r="J675" s="4"/>
      <c r="K675" s="4"/>
      <c r="L675" s="4"/>
      <c r="M675" s="4"/>
      <c r="N675" s="4"/>
      <c r="O675" s="4"/>
      <c r="P675" s="4"/>
      <c r="Q675" s="4"/>
      <c r="R675" s="4"/>
      <c r="S675" s="4"/>
      <c r="T675" s="4"/>
      <c r="U675" s="4"/>
      <c r="V675" s="4"/>
      <c r="W675" s="4"/>
      <c r="X675" s="4"/>
      <c r="Y675" s="4"/>
      <c r="Z675" s="4"/>
    </row>
    <row r="676">
      <c r="A676" s="13"/>
      <c r="B676" s="161"/>
      <c r="C676" s="13"/>
      <c r="D676" s="4"/>
      <c r="E676" s="4"/>
      <c r="F676" s="4"/>
      <c r="G676" s="4"/>
      <c r="H676" s="4"/>
      <c r="I676" s="4"/>
      <c r="J676" s="4"/>
      <c r="K676" s="4"/>
      <c r="L676" s="4"/>
      <c r="M676" s="4"/>
      <c r="N676" s="4"/>
      <c r="O676" s="4"/>
      <c r="P676" s="4"/>
      <c r="Q676" s="4"/>
      <c r="R676" s="4"/>
      <c r="S676" s="4"/>
      <c r="T676" s="4"/>
      <c r="U676" s="4"/>
      <c r="V676" s="4"/>
      <c r="W676" s="4"/>
      <c r="X676" s="4"/>
      <c r="Y676" s="4"/>
      <c r="Z676" s="4"/>
    </row>
    <row r="677">
      <c r="A677" s="13"/>
      <c r="B677" s="161"/>
      <c r="C677" s="13"/>
      <c r="D677" s="4"/>
      <c r="E677" s="4"/>
      <c r="F677" s="4"/>
      <c r="G677" s="4"/>
      <c r="H677" s="4"/>
      <c r="I677" s="4"/>
      <c r="J677" s="4"/>
      <c r="K677" s="4"/>
      <c r="L677" s="4"/>
      <c r="M677" s="4"/>
      <c r="N677" s="4"/>
      <c r="O677" s="4"/>
      <c r="P677" s="4"/>
      <c r="Q677" s="4"/>
      <c r="R677" s="4"/>
      <c r="S677" s="4"/>
      <c r="T677" s="4"/>
      <c r="U677" s="4"/>
      <c r="V677" s="4"/>
      <c r="W677" s="4"/>
      <c r="X677" s="4"/>
      <c r="Y677" s="4"/>
      <c r="Z677" s="4"/>
    </row>
    <row r="678">
      <c r="A678" s="13"/>
      <c r="B678" s="161"/>
      <c r="C678" s="13"/>
      <c r="D678" s="4"/>
      <c r="E678" s="4"/>
      <c r="F678" s="4"/>
      <c r="G678" s="4"/>
      <c r="H678" s="4"/>
      <c r="I678" s="4"/>
      <c r="J678" s="4"/>
      <c r="K678" s="4"/>
      <c r="L678" s="4"/>
      <c r="M678" s="4"/>
      <c r="N678" s="4"/>
      <c r="O678" s="4"/>
      <c r="P678" s="4"/>
      <c r="Q678" s="4"/>
      <c r="R678" s="4"/>
      <c r="S678" s="4"/>
      <c r="T678" s="4"/>
      <c r="U678" s="4"/>
      <c r="V678" s="4"/>
      <c r="W678" s="4"/>
      <c r="X678" s="4"/>
      <c r="Y678" s="4"/>
      <c r="Z678" s="4"/>
    </row>
    <row r="679">
      <c r="A679" s="13"/>
      <c r="B679" s="161"/>
      <c r="C679" s="13"/>
      <c r="D679" s="4"/>
      <c r="E679" s="4"/>
      <c r="F679" s="4"/>
      <c r="G679" s="4"/>
      <c r="H679" s="4"/>
      <c r="I679" s="4"/>
      <c r="J679" s="4"/>
      <c r="K679" s="4"/>
      <c r="L679" s="4"/>
      <c r="M679" s="4"/>
      <c r="N679" s="4"/>
      <c r="O679" s="4"/>
      <c r="P679" s="4"/>
      <c r="Q679" s="4"/>
      <c r="R679" s="4"/>
      <c r="S679" s="4"/>
      <c r="T679" s="4"/>
      <c r="U679" s="4"/>
      <c r="V679" s="4"/>
      <c r="W679" s="4"/>
      <c r="X679" s="4"/>
      <c r="Y679" s="4"/>
      <c r="Z679" s="4"/>
    </row>
    <row r="680">
      <c r="A680" s="13"/>
      <c r="B680" s="161"/>
      <c r="C680" s="13"/>
      <c r="D680" s="4"/>
      <c r="E680" s="4"/>
      <c r="F680" s="4"/>
      <c r="G680" s="4"/>
      <c r="H680" s="4"/>
      <c r="I680" s="4"/>
      <c r="J680" s="4"/>
      <c r="K680" s="4"/>
      <c r="L680" s="4"/>
      <c r="M680" s="4"/>
      <c r="N680" s="4"/>
      <c r="O680" s="4"/>
      <c r="P680" s="4"/>
      <c r="Q680" s="4"/>
      <c r="R680" s="4"/>
      <c r="S680" s="4"/>
      <c r="T680" s="4"/>
      <c r="U680" s="4"/>
      <c r="V680" s="4"/>
      <c r="W680" s="4"/>
      <c r="X680" s="4"/>
      <c r="Y680" s="4"/>
      <c r="Z680" s="4"/>
    </row>
    <row r="681">
      <c r="A681" s="13"/>
      <c r="B681" s="161"/>
      <c r="C681" s="13"/>
      <c r="D681" s="4"/>
      <c r="E681" s="4"/>
      <c r="F681" s="4"/>
      <c r="G681" s="4"/>
      <c r="H681" s="4"/>
      <c r="I681" s="4"/>
      <c r="J681" s="4"/>
      <c r="K681" s="4"/>
      <c r="L681" s="4"/>
      <c r="M681" s="4"/>
      <c r="N681" s="4"/>
      <c r="O681" s="4"/>
      <c r="P681" s="4"/>
      <c r="Q681" s="4"/>
      <c r="R681" s="4"/>
      <c r="S681" s="4"/>
      <c r="T681" s="4"/>
      <c r="U681" s="4"/>
      <c r="V681" s="4"/>
      <c r="W681" s="4"/>
      <c r="X681" s="4"/>
      <c r="Y681" s="4"/>
      <c r="Z681" s="4"/>
    </row>
    <row r="682">
      <c r="A682" s="13"/>
      <c r="B682" s="161"/>
      <c r="C682" s="13"/>
      <c r="D682" s="4"/>
      <c r="E682" s="4"/>
      <c r="F682" s="4"/>
      <c r="G682" s="4"/>
      <c r="H682" s="4"/>
      <c r="I682" s="4"/>
      <c r="J682" s="4"/>
      <c r="K682" s="4"/>
      <c r="L682" s="4"/>
      <c r="M682" s="4"/>
      <c r="N682" s="4"/>
      <c r="O682" s="4"/>
      <c r="P682" s="4"/>
      <c r="Q682" s="4"/>
      <c r="R682" s="4"/>
      <c r="S682" s="4"/>
      <c r="T682" s="4"/>
      <c r="U682" s="4"/>
      <c r="V682" s="4"/>
      <c r="W682" s="4"/>
      <c r="X682" s="4"/>
      <c r="Y682" s="4"/>
      <c r="Z682" s="4"/>
    </row>
    <row r="683">
      <c r="A683" s="13"/>
      <c r="B683" s="161"/>
      <c r="C683" s="13"/>
      <c r="D683" s="4"/>
      <c r="E683" s="4"/>
      <c r="F683" s="4"/>
      <c r="G683" s="4"/>
      <c r="H683" s="4"/>
      <c r="I683" s="4"/>
      <c r="J683" s="4"/>
      <c r="K683" s="4"/>
      <c r="L683" s="4"/>
      <c r="M683" s="4"/>
      <c r="N683" s="4"/>
      <c r="O683" s="4"/>
      <c r="P683" s="4"/>
      <c r="Q683" s="4"/>
      <c r="R683" s="4"/>
      <c r="S683" s="4"/>
      <c r="T683" s="4"/>
      <c r="U683" s="4"/>
      <c r="V683" s="4"/>
      <c r="W683" s="4"/>
      <c r="X683" s="4"/>
      <c r="Y683" s="4"/>
      <c r="Z683" s="4"/>
    </row>
    <row r="684">
      <c r="A684" s="13"/>
      <c r="B684" s="161"/>
      <c r="C684" s="13"/>
      <c r="D684" s="4"/>
      <c r="E684" s="4"/>
      <c r="F684" s="4"/>
      <c r="G684" s="4"/>
      <c r="H684" s="4"/>
      <c r="I684" s="4"/>
      <c r="J684" s="4"/>
      <c r="K684" s="4"/>
      <c r="L684" s="4"/>
      <c r="M684" s="4"/>
      <c r="N684" s="4"/>
      <c r="O684" s="4"/>
      <c r="P684" s="4"/>
      <c r="Q684" s="4"/>
      <c r="R684" s="4"/>
      <c r="S684" s="4"/>
      <c r="T684" s="4"/>
      <c r="U684" s="4"/>
      <c r="V684" s="4"/>
      <c r="W684" s="4"/>
      <c r="X684" s="4"/>
      <c r="Y684" s="4"/>
      <c r="Z684" s="4"/>
    </row>
    <row r="685">
      <c r="A685" s="13"/>
      <c r="B685" s="161"/>
      <c r="C685" s="13"/>
      <c r="D685" s="4"/>
      <c r="E685" s="4"/>
      <c r="F685" s="4"/>
      <c r="G685" s="4"/>
      <c r="H685" s="4"/>
      <c r="I685" s="4"/>
      <c r="J685" s="4"/>
      <c r="K685" s="4"/>
      <c r="L685" s="4"/>
      <c r="M685" s="4"/>
      <c r="N685" s="4"/>
      <c r="O685" s="4"/>
      <c r="P685" s="4"/>
      <c r="Q685" s="4"/>
      <c r="R685" s="4"/>
      <c r="S685" s="4"/>
      <c r="T685" s="4"/>
      <c r="U685" s="4"/>
      <c r="V685" s="4"/>
      <c r="W685" s="4"/>
      <c r="X685" s="4"/>
      <c r="Y685" s="4"/>
      <c r="Z685" s="4"/>
    </row>
    <row r="686">
      <c r="A686" s="13"/>
      <c r="B686" s="161"/>
      <c r="C686" s="13"/>
      <c r="D686" s="4"/>
      <c r="E686" s="4"/>
      <c r="F686" s="4"/>
      <c r="G686" s="4"/>
      <c r="H686" s="4"/>
      <c r="I686" s="4"/>
      <c r="J686" s="4"/>
      <c r="K686" s="4"/>
      <c r="L686" s="4"/>
      <c r="M686" s="4"/>
      <c r="N686" s="4"/>
      <c r="O686" s="4"/>
      <c r="P686" s="4"/>
      <c r="Q686" s="4"/>
      <c r="R686" s="4"/>
      <c r="S686" s="4"/>
      <c r="T686" s="4"/>
      <c r="U686" s="4"/>
      <c r="V686" s="4"/>
      <c r="W686" s="4"/>
      <c r="X686" s="4"/>
      <c r="Y686" s="4"/>
      <c r="Z686" s="4"/>
    </row>
    <row r="687">
      <c r="A687" s="13"/>
      <c r="B687" s="161"/>
      <c r="C687" s="13"/>
      <c r="D687" s="4"/>
      <c r="E687" s="4"/>
      <c r="F687" s="4"/>
      <c r="G687" s="4"/>
      <c r="H687" s="4"/>
      <c r="I687" s="4"/>
      <c r="J687" s="4"/>
      <c r="K687" s="4"/>
      <c r="L687" s="4"/>
      <c r="M687" s="4"/>
      <c r="N687" s="4"/>
      <c r="O687" s="4"/>
      <c r="P687" s="4"/>
      <c r="Q687" s="4"/>
      <c r="R687" s="4"/>
      <c r="S687" s="4"/>
      <c r="T687" s="4"/>
      <c r="U687" s="4"/>
      <c r="V687" s="4"/>
      <c r="W687" s="4"/>
      <c r="X687" s="4"/>
      <c r="Y687" s="4"/>
      <c r="Z687" s="4"/>
    </row>
    <row r="688">
      <c r="A688" s="13"/>
      <c r="B688" s="161"/>
      <c r="C688" s="13"/>
      <c r="D688" s="4"/>
      <c r="E688" s="4"/>
      <c r="F688" s="4"/>
      <c r="G688" s="4"/>
      <c r="H688" s="4"/>
      <c r="I688" s="4"/>
      <c r="J688" s="4"/>
      <c r="K688" s="4"/>
      <c r="L688" s="4"/>
      <c r="M688" s="4"/>
      <c r="N688" s="4"/>
      <c r="O688" s="4"/>
      <c r="P688" s="4"/>
      <c r="Q688" s="4"/>
      <c r="R688" s="4"/>
      <c r="S688" s="4"/>
      <c r="T688" s="4"/>
      <c r="U688" s="4"/>
      <c r="V688" s="4"/>
      <c r="W688" s="4"/>
      <c r="X688" s="4"/>
      <c r="Y688" s="4"/>
      <c r="Z688" s="4"/>
    </row>
    <row r="689">
      <c r="A689" s="13"/>
      <c r="B689" s="161"/>
      <c r="C689" s="13"/>
      <c r="D689" s="4"/>
      <c r="E689" s="4"/>
      <c r="F689" s="4"/>
      <c r="G689" s="4"/>
      <c r="H689" s="4"/>
      <c r="I689" s="4"/>
      <c r="J689" s="4"/>
      <c r="K689" s="4"/>
      <c r="L689" s="4"/>
      <c r="M689" s="4"/>
      <c r="N689" s="4"/>
      <c r="O689" s="4"/>
      <c r="P689" s="4"/>
      <c r="Q689" s="4"/>
      <c r="R689" s="4"/>
      <c r="S689" s="4"/>
      <c r="T689" s="4"/>
      <c r="U689" s="4"/>
      <c r="V689" s="4"/>
      <c r="W689" s="4"/>
      <c r="X689" s="4"/>
      <c r="Y689" s="4"/>
      <c r="Z689" s="4"/>
    </row>
    <row r="690">
      <c r="A690" s="13"/>
      <c r="B690" s="161"/>
      <c r="C690" s="13"/>
      <c r="D690" s="4"/>
      <c r="E690" s="4"/>
      <c r="F690" s="4"/>
      <c r="G690" s="4"/>
      <c r="H690" s="4"/>
      <c r="I690" s="4"/>
      <c r="J690" s="4"/>
      <c r="K690" s="4"/>
      <c r="L690" s="4"/>
      <c r="M690" s="4"/>
      <c r="N690" s="4"/>
      <c r="O690" s="4"/>
      <c r="P690" s="4"/>
      <c r="Q690" s="4"/>
      <c r="R690" s="4"/>
      <c r="S690" s="4"/>
      <c r="T690" s="4"/>
      <c r="U690" s="4"/>
      <c r="V690" s="4"/>
      <c r="W690" s="4"/>
      <c r="X690" s="4"/>
      <c r="Y690" s="4"/>
      <c r="Z690" s="4"/>
    </row>
    <row r="691">
      <c r="A691" s="13"/>
      <c r="B691" s="161"/>
      <c r="C691" s="13"/>
      <c r="D691" s="4"/>
      <c r="E691" s="4"/>
      <c r="F691" s="4"/>
      <c r="G691" s="4"/>
      <c r="H691" s="4"/>
      <c r="I691" s="4"/>
      <c r="J691" s="4"/>
      <c r="K691" s="4"/>
      <c r="L691" s="4"/>
      <c r="M691" s="4"/>
      <c r="N691" s="4"/>
      <c r="O691" s="4"/>
      <c r="P691" s="4"/>
      <c r="Q691" s="4"/>
      <c r="R691" s="4"/>
      <c r="S691" s="4"/>
      <c r="T691" s="4"/>
      <c r="U691" s="4"/>
      <c r="V691" s="4"/>
      <c r="W691" s="4"/>
      <c r="X691" s="4"/>
      <c r="Y691" s="4"/>
      <c r="Z691" s="4"/>
    </row>
    <row r="692">
      <c r="A692" s="13"/>
      <c r="B692" s="161"/>
      <c r="C692" s="13"/>
      <c r="D692" s="4"/>
      <c r="E692" s="4"/>
      <c r="F692" s="4"/>
      <c r="G692" s="4"/>
      <c r="H692" s="4"/>
      <c r="I692" s="4"/>
      <c r="J692" s="4"/>
      <c r="K692" s="4"/>
      <c r="L692" s="4"/>
      <c r="M692" s="4"/>
      <c r="N692" s="4"/>
      <c r="O692" s="4"/>
      <c r="P692" s="4"/>
      <c r="Q692" s="4"/>
      <c r="R692" s="4"/>
      <c r="S692" s="4"/>
      <c r="T692" s="4"/>
      <c r="U692" s="4"/>
      <c r="V692" s="4"/>
      <c r="W692" s="4"/>
      <c r="X692" s="4"/>
      <c r="Y692" s="4"/>
      <c r="Z692" s="4"/>
    </row>
    <row r="693">
      <c r="A693" s="13"/>
      <c r="B693" s="161"/>
      <c r="C693" s="13"/>
      <c r="D693" s="4"/>
      <c r="E693" s="4"/>
      <c r="F693" s="4"/>
      <c r="G693" s="4"/>
      <c r="H693" s="4"/>
      <c r="I693" s="4"/>
      <c r="J693" s="4"/>
      <c r="K693" s="4"/>
      <c r="L693" s="4"/>
      <c r="M693" s="4"/>
      <c r="N693" s="4"/>
      <c r="O693" s="4"/>
      <c r="P693" s="4"/>
      <c r="Q693" s="4"/>
      <c r="R693" s="4"/>
      <c r="S693" s="4"/>
      <c r="T693" s="4"/>
      <c r="U693" s="4"/>
      <c r="V693" s="4"/>
      <c r="W693" s="4"/>
      <c r="X693" s="4"/>
      <c r="Y693" s="4"/>
      <c r="Z693" s="4"/>
    </row>
    <row r="694">
      <c r="A694" s="13"/>
      <c r="B694" s="161"/>
      <c r="C694" s="13"/>
      <c r="D694" s="4"/>
      <c r="E694" s="4"/>
      <c r="F694" s="4"/>
      <c r="G694" s="4"/>
      <c r="H694" s="4"/>
      <c r="I694" s="4"/>
      <c r="J694" s="4"/>
      <c r="K694" s="4"/>
      <c r="L694" s="4"/>
      <c r="M694" s="4"/>
      <c r="N694" s="4"/>
      <c r="O694" s="4"/>
      <c r="P694" s="4"/>
      <c r="Q694" s="4"/>
      <c r="R694" s="4"/>
      <c r="S694" s="4"/>
      <c r="T694" s="4"/>
      <c r="U694" s="4"/>
      <c r="V694" s="4"/>
      <c r="W694" s="4"/>
      <c r="X694" s="4"/>
      <c r="Y694" s="4"/>
      <c r="Z694" s="4"/>
    </row>
    <row r="695">
      <c r="A695" s="13"/>
      <c r="B695" s="161"/>
      <c r="C695" s="13"/>
      <c r="D695" s="4"/>
      <c r="E695" s="4"/>
      <c r="F695" s="4"/>
      <c r="G695" s="4"/>
      <c r="H695" s="4"/>
      <c r="I695" s="4"/>
      <c r="J695" s="4"/>
      <c r="K695" s="4"/>
      <c r="L695" s="4"/>
      <c r="M695" s="4"/>
      <c r="N695" s="4"/>
      <c r="O695" s="4"/>
      <c r="P695" s="4"/>
      <c r="Q695" s="4"/>
      <c r="R695" s="4"/>
      <c r="S695" s="4"/>
      <c r="T695" s="4"/>
      <c r="U695" s="4"/>
      <c r="V695" s="4"/>
      <c r="W695" s="4"/>
      <c r="X695" s="4"/>
      <c r="Y695" s="4"/>
      <c r="Z695" s="4"/>
    </row>
    <row r="696">
      <c r="A696" s="13"/>
      <c r="B696" s="161"/>
      <c r="C696" s="13"/>
      <c r="D696" s="4"/>
      <c r="E696" s="4"/>
      <c r="F696" s="4"/>
      <c r="G696" s="4"/>
      <c r="H696" s="4"/>
      <c r="I696" s="4"/>
      <c r="J696" s="4"/>
      <c r="K696" s="4"/>
      <c r="L696" s="4"/>
      <c r="M696" s="4"/>
      <c r="N696" s="4"/>
      <c r="O696" s="4"/>
      <c r="P696" s="4"/>
      <c r="Q696" s="4"/>
      <c r="R696" s="4"/>
      <c r="S696" s="4"/>
      <c r="T696" s="4"/>
      <c r="U696" s="4"/>
      <c r="V696" s="4"/>
      <c r="W696" s="4"/>
      <c r="X696" s="4"/>
      <c r="Y696" s="4"/>
      <c r="Z696" s="4"/>
    </row>
    <row r="697">
      <c r="A697" s="13"/>
      <c r="B697" s="161"/>
      <c r="C697" s="13"/>
      <c r="D697" s="4"/>
      <c r="E697" s="4"/>
      <c r="F697" s="4"/>
      <c r="G697" s="4"/>
      <c r="H697" s="4"/>
      <c r="I697" s="4"/>
      <c r="J697" s="4"/>
      <c r="K697" s="4"/>
      <c r="L697" s="4"/>
      <c r="M697" s="4"/>
      <c r="N697" s="4"/>
      <c r="O697" s="4"/>
      <c r="P697" s="4"/>
      <c r="Q697" s="4"/>
      <c r="R697" s="4"/>
      <c r="S697" s="4"/>
      <c r="T697" s="4"/>
      <c r="U697" s="4"/>
      <c r="V697" s="4"/>
      <c r="W697" s="4"/>
      <c r="X697" s="4"/>
      <c r="Y697" s="4"/>
      <c r="Z697" s="4"/>
    </row>
    <row r="698">
      <c r="A698" s="13"/>
      <c r="B698" s="161"/>
      <c r="C698" s="13"/>
      <c r="D698" s="4"/>
      <c r="E698" s="4"/>
      <c r="F698" s="4"/>
      <c r="G698" s="4"/>
      <c r="H698" s="4"/>
      <c r="I698" s="4"/>
      <c r="J698" s="4"/>
      <c r="K698" s="4"/>
      <c r="L698" s="4"/>
      <c r="M698" s="4"/>
      <c r="N698" s="4"/>
      <c r="O698" s="4"/>
      <c r="P698" s="4"/>
      <c r="Q698" s="4"/>
      <c r="R698" s="4"/>
      <c r="S698" s="4"/>
      <c r="T698" s="4"/>
      <c r="U698" s="4"/>
      <c r="V698" s="4"/>
      <c r="W698" s="4"/>
      <c r="X698" s="4"/>
      <c r="Y698" s="4"/>
      <c r="Z698" s="4"/>
    </row>
    <row r="699">
      <c r="A699" s="13"/>
      <c r="B699" s="161"/>
      <c r="C699" s="13"/>
      <c r="D699" s="4"/>
      <c r="E699" s="4"/>
      <c r="F699" s="4"/>
      <c r="G699" s="4"/>
      <c r="H699" s="4"/>
      <c r="I699" s="4"/>
      <c r="J699" s="4"/>
      <c r="K699" s="4"/>
      <c r="L699" s="4"/>
      <c r="M699" s="4"/>
      <c r="N699" s="4"/>
      <c r="O699" s="4"/>
      <c r="P699" s="4"/>
      <c r="Q699" s="4"/>
      <c r="R699" s="4"/>
      <c r="S699" s="4"/>
      <c r="T699" s="4"/>
      <c r="U699" s="4"/>
      <c r="V699" s="4"/>
      <c r="W699" s="4"/>
      <c r="X699" s="4"/>
      <c r="Y699" s="4"/>
      <c r="Z699" s="4"/>
    </row>
    <row r="700">
      <c r="A700" s="13"/>
      <c r="B700" s="161"/>
      <c r="C700" s="13"/>
      <c r="D700" s="4"/>
      <c r="E700" s="4"/>
      <c r="F700" s="4"/>
      <c r="G700" s="4"/>
      <c r="H700" s="4"/>
      <c r="I700" s="4"/>
      <c r="J700" s="4"/>
      <c r="K700" s="4"/>
      <c r="L700" s="4"/>
      <c r="M700" s="4"/>
      <c r="N700" s="4"/>
      <c r="O700" s="4"/>
      <c r="P700" s="4"/>
      <c r="Q700" s="4"/>
      <c r="R700" s="4"/>
      <c r="S700" s="4"/>
      <c r="T700" s="4"/>
      <c r="U700" s="4"/>
      <c r="V700" s="4"/>
      <c r="W700" s="4"/>
      <c r="X700" s="4"/>
      <c r="Y700" s="4"/>
      <c r="Z700" s="4"/>
    </row>
    <row r="701">
      <c r="A701" s="13"/>
      <c r="B701" s="161"/>
      <c r="C701" s="13"/>
      <c r="D701" s="4"/>
      <c r="E701" s="4"/>
      <c r="F701" s="4"/>
      <c r="G701" s="4"/>
      <c r="H701" s="4"/>
      <c r="I701" s="4"/>
      <c r="J701" s="4"/>
      <c r="K701" s="4"/>
      <c r="L701" s="4"/>
      <c r="M701" s="4"/>
      <c r="N701" s="4"/>
      <c r="O701" s="4"/>
      <c r="P701" s="4"/>
      <c r="Q701" s="4"/>
      <c r="R701" s="4"/>
      <c r="S701" s="4"/>
      <c r="T701" s="4"/>
      <c r="U701" s="4"/>
      <c r="V701" s="4"/>
      <c r="W701" s="4"/>
      <c r="X701" s="4"/>
      <c r="Y701" s="4"/>
      <c r="Z701" s="4"/>
    </row>
    <row r="702">
      <c r="A702" s="13"/>
      <c r="B702" s="161"/>
      <c r="C702" s="13"/>
      <c r="D702" s="4"/>
      <c r="E702" s="4"/>
      <c r="F702" s="4"/>
      <c r="G702" s="4"/>
      <c r="H702" s="4"/>
      <c r="I702" s="4"/>
      <c r="J702" s="4"/>
      <c r="K702" s="4"/>
      <c r="L702" s="4"/>
      <c r="M702" s="4"/>
      <c r="N702" s="4"/>
      <c r="O702" s="4"/>
      <c r="P702" s="4"/>
      <c r="Q702" s="4"/>
      <c r="R702" s="4"/>
      <c r="S702" s="4"/>
      <c r="T702" s="4"/>
      <c r="U702" s="4"/>
      <c r="V702" s="4"/>
      <c r="W702" s="4"/>
      <c r="X702" s="4"/>
      <c r="Y702" s="4"/>
      <c r="Z702" s="4"/>
    </row>
    <row r="703">
      <c r="A703" s="13"/>
      <c r="B703" s="161"/>
      <c r="C703" s="13"/>
      <c r="D703" s="4"/>
      <c r="E703" s="4"/>
      <c r="F703" s="4"/>
      <c r="G703" s="4"/>
      <c r="H703" s="4"/>
      <c r="I703" s="4"/>
      <c r="J703" s="4"/>
      <c r="K703" s="4"/>
      <c r="L703" s="4"/>
      <c r="M703" s="4"/>
      <c r="N703" s="4"/>
      <c r="O703" s="4"/>
      <c r="P703" s="4"/>
      <c r="Q703" s="4"/>
      <c r="R703" s="4"/>
      <c r="S703" s="4"/>
      <c r="T703" s="4"/>
      <c r="U703" s="4"/>
      <c r="V703" s="4"/>
      <c r="W703" s="4"/>
      <c r="X703" s="4"/>
      <c r="Y703" s="4"/>
      <c r="Z703" s="4"/>
    </row>
    <row r="704">
      <c r="A704" s="13"/>
      <c r="B704" s="161"/>
      <c r="C704" s="13"/>
      <c r="D704" s="4"/>
      <c r="E704" s="4"/>
      <c r="F704" s="4"/>
      <c r="G704" s="4"/>
      <c r="H704" s="4"/>
      <c r="I704" s="4"/>
      <c r="J704" s="4"/>
      <c r="K704" s="4"/>
      <c r="L704" s="4"/>
      <c r="M704" s="4"/>
      <c r="N704" s="4"/>
      <c r="O704" s="4"/>
      <c r="P704" s="4"/>
      <c r="Q704" s="4"/>
      <c r="R704" s="4"/>
      <c r="S704" s="4"/>
      <c r="T704" s="4"/>
      <c r="U704" s="4"/>
      <c r="V704" s="4"/>
      <c r="W704" s="4"/>
      <c r="X704" s="4"/>
      <c r="Y704" s="4"/>
      <c r="Z704" s="4"/>
    </row>
    <row r="705">
      <c r="A705" s="13"/>
      <c r="B705" s="161"/>
      <c r="C705" s="13"/>
      <c r="D705" s="4"/>
      <c r="E705" s="4"/>
      <c r="F705" s="4"/>
      <c r="G705" s="4"/>
      <c r="H705" s="4"/>
      <c r="I705" s="4"/>
      <c r="J705" s="4"/>
      <c r="K705" s="4"/>
      <c r="L705" s="4"/>
      <c r="M705" s="4"/>
      <c r="N705" s="4"/>
      <c r="O705" s="4"/>
      <c r="P705" s="4"/>
      <c r="Q705" s="4"/>
      <c r="R705" s="4"/>
      <c r="S705" s="4"/>
      <c r="T705" s="4"/>
      <c r="U705" s="4"/>
      <c r="V705" s="4"/>
      <c r="W705" s="4"/>
      <c r="X705" s="4"/>
      <c r="Y705" s="4"/>
      <c r="Z705" s="4"/>
    </row>
    <row r="706">
      <c r="A706" s="13"/>
      <c r="B706" s="161"/>
      <c r="C706" s="13"/>
      <c r="D706" s="4"/>
      <c r="E706" s="4"/>
      <c r="F706" s="4"/>
      <c r="G706" s="4"/>
      <c r="H706" s="4"/>
      <c r="I706" s="4"/>
      <c r="J706" s="4"/>
      <c r="K706" s="4"/>
      <c r="L706" s="4"/>
      <c r="M706" s="4"/>
      <c r="N706" s="4"/>
      <c r="O706" s="4"/>
      <c r="P706" s="4"/>
      <c r="Q706" s="4"/>
      <c r="R706" s="4"/>
      <c r="S706" s="4"/>
      <c r="T706" s="4"/>
      <c r="U706" s="4"/>
      <c r="V706" s="4"/>
      <c r="W706" s="4"/>
      <c r="X706" s="4"/>
      <c r="Y706" s="4"/>
      <c r="Z706" s="4"/>
    </row>
    <row r="707">
      <c r="A707" s="13"/>
      <c r="B707" s="161"/>
      <c r="C707" s="13"/>
      <c r="D707" s="4"/>
      <c r="E707" s="4"/>
      <c r="F707" s="4"/>
      <c r="G707" s="4"/>
      <c r="H707" s="4"/>
      <c r="I707" s="4"/>
      <c r="J707" s="4"/>
      <c r="K707" s="4"/>
      <c r="L707" s="4"/>
      <c r="M707" s="4"/>
      <c r="N707" s="4"/>
      <c r="O707" s="4"/>
      <c r="P707" s="4"/>
      <c r="Q707" s="4"/>
      <c r="R707" s="4"/>
      <c r="S707" s="4"/>
      <c r="T707" s="4"/>
      <c r="U707" s="4"/>
      <c r="V707" s="4"/>
      <c r="W707" s="4"/>
      <c r="X707" s="4"/>
      <c r="Y707" s="4"/>
      <c r="Z707" s="4"/>
    </row>
    <row r="708">
      <c r="A708" s="13"/>
      <c r="B708" s="161"/>
      <c r="C708" s="13"/>
      <c r="D708" s="4"/>
      <c r="E708" s="4"/>
      <c r="F708" s="4"/>
      <c r="G708" s="4"/>
      <c r="H708" s="4"/>
      <c r="I708" s="4"/>
      <c r="J708" s="4"/>
      <c r="K708" s="4"/>
      <c r="L708" s="4"/>
      <c r="M708" s="4"/>
      <c r="N708" s="4"/>
      <c r="O708" s="4"/>
      <c r="P708" s="4"/>
      <c r="Q708" s="4"/>
      <c r="R708" s="4"/>
      <c r="S708" s="4"/>
      <c r="T708" s="4"/>
      <c r="U708" s="4"/>
      <c r="V708" s="4"/>
      <c r="W708" s="4"/>
      <c r="X708" s="4"/>
      <c r="Y708" s="4"/>
      <c r="Z708" s="4"/>
    </row>
    <row r="709">
      <c r="A709" s="13"/>
      <c r="B709" s="161"/>
      <c r="C709" s="13"/>
      <c r="D709" s="4"/>
      <c r="E709" s="4"/>
      <c r="F709" s="4"/>
      <c r="G709" s="4"/>
      <c r="H709" s="4"/>
      <c r="I709" s="4"/>
      <c r="J709" s="4"/>
      <c r="K709" s="4"/>
      <c r="L709" s="4"/>
      <c r="M709" s="4"/>
      <c r="N709" s="4"/>
      <c r="O709" s="4"/>
      <c r="P709" s="4"/>
      <c r="Q709" s="4"/>
      <c r="R709" s="4"/>
      <c r="S709" s="4"/>
      <c r="T709" s="4"/>
      <c r="U709" s="4"/>
      <c r="V709" s="4"/>
      <c r="W709" s="4"/>
      <c r="X709" s="4"/>
      <c r="Y709" s="4"/>
      <c r="Z709" s="4"/>
    </row>
    <row r="710">
      <c r="A710" s="13"/>
      <c r="B710" s="161"/>
      <c r="C710" s="13"/>
      <c r="D710" s="4"/>
      <c r="E710" s="4"/>
      <c r="F710" s="4"/>
      <c r="G710" s="4"/>
      <c r="H710" s="4"/>
      <c r="I710" s="4"/>
      <c r="J710" s="4"/>
      <c r="K710" s="4"/>
      <c r="L710" s="4"/>
      <c r="M710" s="4"/>
      <c r="N710" s="4"/>
      <c r="O710" s="4"/>
      <c r="P710" s="4"/>
      <c r="Q710" s="4"/>
      <c r="R710" s="4"/>
      <c r="S710" s="4"/>
      <c r="T710" s="4"/>
      <c r="U710" s="4"/>
      <c r="V710" s="4"/>
      <c r="W710" s="4"/>
      <c r="X710" s="4"/>
      <c r="Y710" s="4"/>
      <c r="Z710" s="4"/>
    </row>
    <row r="711">
      <c r="A711" s="13"/>
      <c r="B711" s="161"/>
      <c r="C711" s="13"/>
      <c r="D711" s="4"/>
      <c r="E711" s="4"/>
      <c r="F711" s="4"/>
      <c r="G711" s="4"/>
      <c r="H711" s="4"/>
      <c r="I711" s="4"/>
      <c r="J711" s="4"/>
      <c r="K711" s="4"/>
      <c r="L711" s="4"/>
      <c r="M711" s="4"/>
      <c r="N711" s="4"/>
      <c r="O711" s="4"/>
      <c r="P711" s="4"/>
      <c r="Q711" s="4"/>
      <c r="R711" s="4"/>
      <c r="S711" s="4"/>
      <c r="T711" s="4"/>
      <c r="U711" s="4"/>
      <c r="V711" s="4"/>
      <c r="W711" s="4"/>
      <c r="X711" s="4"/>
      <c r="Y711" s="4"/>
      <c r="Z711" s="4"/>
    </row>
    <row r="712">
      <c r="A712" s="13"/>
      <c r="B712" s="161"/>
      <c r="C712" s="13"/>
      <c r="D712" s="4"/>
      <c r="E712" s="4"/>
      <c r="F712" s="4"/>
      <c r="G712" s="4"/>
      <c r="H712" s="4"/>
      <c r="I712" s="4"/>
      <c r="J712" s="4"/>
      <c r="K712" s="4"/>
      <c r="L712" s="4"/>
      <c r="M712" s="4"/>
      <c r="N712" s="4"/>
      <c r="O712" s="4"/>
      <c r="P712" s="4"/>
      <c r="Q712" s="4"/>
      <c r="R712" s="4"/>
      <c r="S712" s="4"/>
      <c r="T712" s="4"/>
      <c r="U712" s="4"/>
      <c r="V712" s="4"/>
      <c r="W712" s="4"/>
      <c r="X712" s="4"/>
      <c r="Y712" s="4"/>
      <c r="Z712" s="4"/>
    </row>
    <row r="713">
      <c r="A713" s="13"/>
      <c r="B713" s="161"/>
      <c r="C713" s="13"/>
      <c r="D713" s="4"/>
      <c r="E713" s="4"/>
      <c r="F713" s="4"/>
      <c r="G713" s="4"/>
      <c r="H713" s="4"/>
      <c r="I713" s="4"/>
      <c r="J713" s="4"/>
      <c r="K713" s="4"/>
      <c r="L713" s="4"/>
      <c r="M713" s="4"/>
      <c r="N713" s="4"/>
      <c r="O713" s="4"/>
      <c r="P713" s="4"/>
      <c r="Q713" s="4"/>
      <c r="R713" s="4"/>
      <c r="S713" s="4"/>
      <c r="T713" s="4"/>
      <c r="U713" s="4"/>
      <c r="V713" s="4"/>
      <c r="W713" s="4"/>
      <c r="X713" s="4"/>
      <c r="Y713" s="4"/>
      <c r="Z713" s="4"/>
    </row>
    <row r="714">
      <c r="A714" s="13"/>
      <c r="B714" s="161"/>
      <c r="C714" s="13"/>
      <c r="D714" s="4"/>
      <c r="E714" s="4"/>
      <c r="F714" s="4"/>
      <c r="G714" s="4"/>
      <c r="H714" s="4"/>
      <c r="I714" s="4"/>
      <c r="J714" s="4"/>
      <c r="K714" s="4"/>
      <c r="L714" s="4"/>
      <c r="M714" s="4"/>
      <c r="N714" s="4"/>
      <c r="O714" s="4"/>
      <c r="P714" s="4"/>
      <c r="Q714" s="4"/>
      <c r="R714" s="4"/>
      <c r="S714" s="4"/>
      <c r="T714" s="4"/>
      <c r="U714" s="4"/>
      <c r="V714" s="4"/>
      <c r="W714" s="4"/>
      <c r="X714" s="4"/>
      <c r="Y714" s="4"/>
      <c r="Z714" s="4"/>
    </row>
    <row r="715">
      <c r="A715" s="13"/>
      <c r="B715" s="161"/>
      <c r="C715" s="13"/>
      <c r="D715" s="4"/>
      <c r="E715" s="4"/>
      <c r="F715" s="4"/>
      <c r="G715" s="4"/>
      <c r="H715" s="4"/>
      <c r="I715" s="4"/>
      <c r="J715" s="4"/>
      <c r="K715" s="4"/>
      <c r="L715" s="4"/>
      <c r="M715" s="4"/>
      <c r="N715" s="4"/>
      <c r="O715" s="4"/>
      <c r="P715" s="4"/>
      <c r="Q715" s="4"/>
      <c r="R715" s="4"/>
      <c r="S715" s="4"/>
      <c r="T715" s="4"/>
      <c r="U715" s="4"/>
      <c r="V715" s="4"/>
      <c r="W715" s="4"/>
      <c r="X715" s="4"/>
      <c r="Y715" s="4"/>
      <c r="Z715" s="4"/>
    </row>
    <row r="716">
      <c r="A716" s="13"/>
      <c r="B716" s="161"/>
      <c r="C716" s="13"/>
      <c r="D716" s="4"/>
      <c r="E716" s="4"/>
      <c r="F716" s="4"/>
      <c r="G716" s="4"/>
      <c r="H716" s="4"/>
      <c r="I716" s="4"/>
      <c r="J716" s="4"/>
      <c r="K716" s="4"/>
      <c r="L716" s="4"/>
      <c r="M716" s="4"/>
      <c r="N716" s="4"/>
      <c r="O716" s="4"/>
      <c r="P716" s="4"/>
      <c r="Q716" s="4"/>
      <c r="R716" s="4"/>
      <c r="S716" s="4"/>
      <c r="T716" s="4"/>
      <c r="U716" s="4"/>
      <c r="V716" s="4"/>
      <c r="W716" s="4"/>
      <c r="X716" s="4"/>
      <c r="Y716" s="4"/>
      <c r="Z716" s="4"/>
    </row>
    <row r="717">
      <c r="A717" s="13"/>
      <c r="B717" s="161"/>
      <c r="C717" s="13"/>
      <c r="D717" s="4"/>
      <c r="E717" s="4"/>
      <c r="F717" s="4"/>
      <c r="G717" s="4"/>
      <c r="H717" s="4"/>
      <c r="I717" s="4"/>
      <c r="J717" s="4"/>
      <c r="K717" s="4"/>
      <c r="L717" s="4"/>
      <c r="M717" s="4"/>
      <c r="N717" s="4"/>
      <c r="O717" s="4"/>
      <c r="P717" s="4"/>
      <c r="Q717" s="4"/>
      <c r="R717" s="4"/>
      <c r="S717" s="4"/>
      <c r="T717" s="4"/>
      <c r="U717" s="4"/>
      <c r="V717" s="4"/>
      <c r="W717" s="4"/>
      <c r="X717" s="4"/>
      <c r="Y717" s="4"/>
      <c r="Z717" s="4"/>
    </row>
    <row r="718">
      <c r="A718" s="13"/>
      <c r="B718" s="161"/>
      <c r="C718" s="13"/>
      <c r="D718" s="4"/>
      <c r="E718" s="4"/>
      <c r="F718" s="4"/>
      <c r="G718" s="4"/>
      <c r="H718" s="4"/>
      <c r="I718" s="4"/>
      <c r="J718" s="4"/>
      <c r="K718" s="4"/>
      <c r="L718" s="4"/>
      <c r="M718" s="4"/>
      <c r="N718" s="4"/>
      <c r="O718" s="4"/>
      <c r="P718" s="4"/>
      <c r="Q718" s="4"/>
      <c r="R718" s="4"/>
      <c r="S718" s="4"/>
      <c r="T718" s="4"/>
      <c r="U718" s="4"/>
      <c r="V718" s="4"/>
      <c r="W718" s="4"/>
      <c r="X718" s="4"/>
      <c r="Y718" s="4"/>
      <c r="Z718" s="4"/>
    </row>
    <row r="719">
      <c r="A719" s="13"/>
      <c r="B719" s="161"/>
      <c r="C719" s="13"/>
      <c r="D719" s="4"/>
      <c r="E719" s="4"/>
      <c r="F719" s="4"/>
      <c r="G719" s="4"/>
      <c r="H719" s="4"/>
      <c r="I719" s="4"/>
      <c r="J719" s="4"/>
      <c r="K719" s="4"/>
      <c r="L719" s="4"/>
      <c r="M719" s="4"/>
      <c r="N719" s="4"/>
      <c r="O719" s="4"/>
      <c r="P719" s="4"/>
      <c r="Q719" s="4"/>
      <c r="R719" s="4"/>
      <c r="S719" s="4"/>
      <c r="T719" s="4"/>
      <c r="U719" s="4"/>
      <c r="V719" s="4"/>
      <c r="W719" s="4"/>
      <c r="X719" s="4"/>
      <c r="Y719" s="4"/>
      <c r="Z719" s="4"/>
    </row>
    <row r="720">
      <c r="A720" s="13"/>
      <c r="B720" s="161"/>
      <c r="C720" s="13"/>
      <c r="D720" s="4"/>
      <c r="E720" s="4"/>
      <c r="F720" s="4"/>
      <c r="G720" s="4"/>
      <c r="H720" s="4"/>
      <c r="I720" s="4"/>
      <c r="J720" s="4"/>
      <c r="K720" s="4"/>
      <c r="L720" s="4"/>
      <c r="M720" s="4"/>
      <c r="N720" s="4"/>
      <c r="O720" s="4"/>
      <c r="P720" s="4"/>
      <c r="Q720" s="4"/>
      <c r="R720" s="4"/>
      <c r="S720" s="4"/>
      <c r="T720" s="4"/>
      <c r="U720" s="4"/>
      <c r="V720" s="4"/>
      <c r="W720" s="4"/>
      <c r="X720" s="4"/>
      <c r="Y720" s="4"/>
      <c r="Z720" s="4"/>
    </row>
    <row r="721">
      <c r="A721" s="13"/>
      <c r="B721" s="161"/>
      <c r="C721" s="13"/>
      <c r="D721" s="4"/>
      <c r="E721" s="4"/>
      <c r="F721" s="4"/>
      <c r="G721" s="4"/>
      <c r="H721" s="4"/>
      <c r="I721" s="4"/>
      <c r="J721" s="4"/>
      <c r="K721" s="4"/>
      <c r="L721" s="4"/>
      <c r="M721" s="4"/>
      <c r="N721" s="4"/>
      <c r="O721" s="4"/>
      <c r="P721" s="4"/>
      <c r="Q721" s="4"/>
      <c r="R721" s="4"/>
      <c r="S721" s="4"/>
      <c r="T721" s="4"/>
      <c r="U721" s="4"/>
      <c r="V721" s="4"/>
      <c r="W721" s="4"/>
      <c r="X721" s="4"/>
      <c r="Y721" s="4"/>
      <c r="Z721" s="4"/>
    </row>
    <row r="722">
      <c r="A722" s="13"/>
      <c r="B722" s="161"/>
      <c r="C722" s="13"/>
      <c r="D722" s="4"/>
      <c r="E722" s="4"/>
      <c r="F722" s="4"/>
      <c r="G722" s="4"/>
      <c r="H722" s="4"/>
      <c r="I722" s="4"/>
      <c r="J722" s="4"/>
      <c r="K722" s="4"/>
      <c r="L722" s="4"/>
      <c r="M722" s="4"/>
      <c r="N722" s="4"/>
      <c r="O722" s="4"/>
      <c r="P722" s="4"/>
      <c r="Q722" s="4"/>
      <c r="R722" s="4"/>
      <c r="S722" s="4"/>
      <c r="T722" s="4"/>
      <c r="U722" s="4"/>
      <c r="V722" s="4"/>
      <c r="W722" s="4"/>
      <c r="X722" s="4"/>
      <c r="Y722" s="4"/>
      <c r="Z722" s="4"/>
    </row>
    <row r="723">
      <c r="A723" s="13"/>
      <c r="B723" s="161"/>
      <c r="C723" s="13"/>
      <c r="D723" s="4"/>
      <c r="E723" s="4"/>
      <c r="F723" s="4"/>
      <c r="G723" s="4"/>
      <c r="H723" s="4"/>
      <c r="I723" s="4"/>
      <c r="J723" s="4"/>
      <c r="K723" s="4"/>
      <c r="L723" s="4"/>
      <c r="M723" s="4"/>
      <c r="N723" s="4"/>
      <c r="O723" s="4"/>
      <c r="P723" s="4"/>
      <c r="Q723" s="4"/>
      <c r="R723" s="4"/>
      <c r="S723" s="4"/>
      <c r="T723" s="4"/>
      <c r="U723" s="4"/>
      <c r="V723" s="4"/>
      <c r="W723" s="4"/>
      <c r="X723" s="4"/>
      <c r="Y723" s="4"/>
      <c r="Z723" s="4"/>
    </row>
    <row r="724">
      <c r="A724" s="13"/>
      <c r="B724" s="161"/>
      <c r="C724" s="13"/>
      <c r="D724" s="4"/>
      <c r="E724" s="4"/>
      <c r="F724" s="4"/>
      <c r="G724" s="4"/>
      <c r="H724" s="4"/>
      <c r="I724" s="4"/>
      <c r="J724" s="4"/>
      <c r="K724" s="4"/>
      <c r="L724" s="4"/>
      <c r="M724" s="4"/>
      <c r="N724" s="4"/>
      <c r="O724" s="4"/>
      <c r="P724" s="4"/>
      <c r="Q724" s="4"/>
      <c r="R724" s="4"/>
      <c r="S724" s="4"/>
      <c r="T724" s="4"/>
      <c r="U724" s="4"/>
      <c r="V724" s="4"/>
      <c r="W724" s="4"/>
      <c r="X724" s="4"/>
      <c r="Y724" s="4"/>
      <c r="Z724" s="4"/>
    </row>
    <row r="725">
      <c r="A725" s="13"/>
      <c r="B725" s="161"/>
      <c r="C725" s="13"/>
      <c r="D725" s="4"/>
      <c r="E725" s="4"/>
      <c r="F725" s="4"/>
      <c r="G725" s="4"/>
      <c r="H725" s="4"/>
      <c r="I725" s="4"/>
      <c r="J725" s="4"/>
      <c r="K725" s="4"/>
      <c r="L725" s="4"/>
      <c r="M725" s="4"/>
      <c r="N725" s="4"/>
      <c r="O725" s="4"/>
      <c r="P725" s="4"/>
      <c r="Q725" s="4"/>
      <c r="R725" s="4"/>
      <c r="S725" s="4"/>
      <c r="T725" s="4"/>
      <c r="U725" s="4"/>
      <c r="V725" s="4"/>
      <c r="W725" s="4"/>
      <c r="X725" s="4"/>
      <c r="Y725" s="4"/>
      <c r="Z725" s="4"/>
    </row>
    <row r="726">
      <c r="A726" s="13"/>
      <c r="B726" s="161"/>
      <c r="C726" s="13"/>
      <c r="D726" s="4"/>
      <c r="E726" s="4"/>
      <c r="F726" s="4"/>
      <c r="G726" s="4"/>
      <c r="H726" s="4"/>
      <c r="I726" s="4"/>
      <c r="J726" s="4"/>
      <c r="K726" s="4"/>
      <c r="L726" s="4"/>
      <c r="M726" s="4"/>
      <c r="N726" s="4"/>
      <c r="O726" s="4"/>
      <c r="P726" s="4"/>
      <c r="Q726" s="4"/>
      <c r="R726" s="4"/>
      <c r="S726" s="4"/>
      <c r="T726" s="4"/>
      <c r="U726" s="4"/>
      <c r="V726" s="4"/>
      <c r="W726" s="4"/>
      <c r="X726" s="4"/>
      <c r="Y726" s="4"/>
      <c r="Z726" s="4"/>
    </row>
    <row r="727">
      <c r="A727" s="13"/>
      <c r="B727" s="161"/>
      <c r="C727" s="13"/>
      <c r="D727" s="4"/>
      <c r="E727" s="4"/>
      <c r="F727" s="4"/>
      <c r="G727" s="4"/>
      <c r="H727" s="4"/>
      <c r="I727" s="4"/>
      <c r="J727" s="4"/>
      <c r="K727" s="4"/>
      <c r="L727" s="4"/>
      <c r="M727" s="4"/>
      <c r="N727" s="4"/>
      <c r="O727" s="4"/>
      <c r="P727" s="4"/>
      <c r="Q727" s="4"/>
      <c r="R727" s="4"/>
      <c r="S727" s="4"/>
      <c r="T727" s="4"/>
      <c r="U727" s="4"/>
      <c r="V727" s="4"/>
      <c r="W727" s="4"/>
      <c r="X727" s="4"/>
      <c r="Y727" s="4"/>
      <c r="Z727" s="4"/>
    </row>
    <row r="728">
      <c r="A728" s="13"/>
      <c r="B728" s="161"/>
      <c r="C728" s="13"/>
      <c r="D728" s="4"/>
      <c r="E728" s="4"/>
      <c r="F728" s="4"/>
      <c r="G728" s="4"/>
      <c r="H728" s="4"/>
      <c r="I728" s="4"/>
      <c r="J728" s="4"/>
      <c r="K728" s="4"/>
      <c r="L728" s="4"/>
      <c r="M728" s="4"/>
      <c r="N728" s="4"/>
      <c r="O728" s="4"/>
      <c r="P728" s="4"/>
      <c r="Q728" s="4"/>
      <c r="R728" s="4"/>
      <c r="S728" s="4"/>
      <c r="T728" s="4"/>
      <c r="U728" s="4"/>
      <c r="V728" s="4"/>
      <c r="W728" s="4"/>
      <c r="X728" s="4"/>
      <c r="Y728" s="4"/>
      <c r="Z728" s="4"/>
    </row>
    <row r="729">
      <c r="A729" s="13"/>
      <c r="B729" s="161"/>
      <c r="C729" s="13"/>
      <c r="D729" s="4"/>
      <c r="E729" s="4"/>
      <c r="F729" s="4"/>
      <c r="G729" s="4"/>
      <c r="H729" s="4"/>
      <c r="I729" s="4"/>
      <c r="J729" s="4"/>
      <c r="K729" s="4"/>
      <c r="L729" s="4"/>
      <c r="M729" s="4"/>
      <c r="N729" s="4"/>
      <c r="O729" s="4"/>
      <c r="P729" s="4"/>
      <c r="Q729" s="4"/>
      <c r="R729" s="4"/>
      <c r="S729" s="4"/>
      <c r="T729" s="4"/>
      <c r="U729" s="4"/>
      <c r="V729" s="4"/>
      <c r="W729" s="4"/>
      <c r="X729" s="4"/>
      <c r="Y729" s="4"/>
      <c r="Z729" s="4"/>
    </row>
    <row r="730">
      <c r="A730" s="13"/>
      <c r="B730" s="161"/>
      <c r="C730" s="13"/>
      <c r="D730" s="4"/>
      <c r="E730" s="4"/>
      <c r="F730" s="4"/>
      <c r="G730" s="4"/>
      <c r="H730" s="4"/>
      <c r="I730" s="4"/>
      <c r="J730" s="4"/>
      <c r="K730" s="4"/>
      <c r="L730" s="4"/>
      <c r="M730" s="4"/>
      <c r="N730" s="4"/>
      <c r="O730" s="4"/>
      <c r="P730" s="4"/>
      <c r="Q730" s="4"/>
      <c r="R730" s="4"/>
      <c r="S730" s="4"/>
      <c r="T730" s="4"/>
      <c r="U730" s="4"/>
      <c r="V730" s="4"/>
      <c r="W730" s="4"/>
      <c r="X730" s="4"/>
      <c r="Y730" s="4"/>
      <c r="Z730" s="4"/>
    </row>
    <row r="731">
      <c r="A731" s="13"/>
      <c r="B731" s="161"/>
      <c r="C731" s="13"/>
      <c r="D731" s="4"/>
      <c r="E731" s="4"/>
      <c r="F731" s="4"/>
      <c r="G731" s="4"/>
      <c r="H731" s="4"/>
      <c r="I731" s="4"/>
      <c r="J731" s="4"/>
      <c r="K731" s="4"/>
      <c r="L731" s="4"/>
      <c r="M731" s="4"/>
      <c r="N731" s="4"/>
      <c r="O731" s="4"/>
      <c r="P731" s="4"/>
      <c r="Q731" s="4"/>
      <c r="R731" s="4"/>
      <c r="S731" s="4"/>
      <c r="T731" s="4"/>
      <c r="U731" s="4"/>
      <c r="V731" s="4"/>
      <c r="W731" s="4"/>
      <c r="X731" s="4"/>
      <c r="Y731" s="4"/>
      <c r="Z731" s="4"/>
    </row>
    <row r="732">
      <c r="A732" s="13"/>
      <c r="B732" s="161"/>
      <c r="C732" s="13"/>
      <c r="D732" s="4"/>
      <c r="E732" s="4"/>
      <c r="F732" s="4"/>
      <c r="G732" s="4"/>
      <c r="H732" s="4"/>
      <c r="I732" s="4"/>
      <c r="J732" s="4"/>
      <c r="K732" s="4"/>
      <c r="L732" s="4"/>
      <c r="M732" s="4"/>
      <c r="N732" s="4"/>
      <c r="O732" s="4"/>
      <c r="P732" s="4"/>
      <c r="Q732" s="4"/>
      <c r="R732" s="4"/>
      <c r="S732" s="4"/>
      <c r="T732" s="4"/>
      <c r="U732" s="4"/>
      <c r="V732" s="4"/>
      <c r="W732" s="4"/>
      <c r="X732" s="4"/>
      <c r="Y732" s="4"/>
      <c r="Z732" s="4"/>
    </row>
    <row r="733">
      <c r="A733" s="13"/>
      <c r="B733" s="161"/>
      <c r="C733" s="13"/>
      <c r="D733" s="4"/>
      <c r="E733" s="4"/>
      <c r="F733" s="4"/>
      <c r="G733" s="4"/>
      <c r="H733" s="4"/>
      <c r="I733" s="4"/>
      <c r="J733" s="4"/>
      <c r="K733" s="4"/>
      <c r="L733" s="4"/>
      <c r="M733" s="4"/>
      <c r="N733" s="4"/>
      <c r="O733" s="4"/>
      <c r="P733" s="4"/>
      <c r="Q733" s="4"/>
      <c r="R733" s="4"/>
      <c r="S733" s="4"/>
      <c r="T733" s="4"/>
      <c r="U733" s="4"/>
      <c r="V733" s="4"/>
      <c r="W733" s="4"/>
      <c r="X733" s="4"/>
      <c r="Y733" s="4"/>
      <c r="Z733" s="4"/>
    </row>
    <row r="734">
      <c r="A734" s="13"/>
      <c r="B734" s="161"/>
      <c r="C734" s="13"/>
      <c r="D734" s="4"/>
      <c r="E734" s="4"/>
      <c r="F734" s="4"/>
      <c r="G734" s="4"/>
      <c r="H734" s="4"/>
      <c r="I734" s="4"/>
      <c r="J734" s="4"/>
      <c r="K734" s="4"/>
      <c r="L734" s="4"/>
      <c r="M734" s="4"/>
      <c r="N734" s="4"/>
      <c r="O734" s="4"/>
      <c r="P734" s="4"/>
      <c r="Q734" s="4"/>
      <c r="R734" s="4"/>
      <c r="S734" s="4"/>
      <c r="T734" s="4"/>
      <c r="U734" s="4"/>
      <c r="V734" s="4"/>
      <c r="W734" s="4"/>
      <c r="X734" s="4"/>
      <c r="Y734" s="4"/>
      <c r="Z734" s="4"/>
    </row>
    <row r="735">
      <c r="A735" s="13"/>
      <c r="B735" s="161"/>
      <c r="C735" s="13"/>
      <c r="D735" s="4"/>
      <c r="E735" s="4"/>
      <c r="F735" s="4"/>
      <c r="G735" s="4"/>
      <c r="H735" s="4"/>
      <c r="I735" s="4"/>
      <c r="J735" s="4"/>
      <c r="K735" s="4"/>
      <c r="L735" s="4"/>
      <c r="M735" s="4"/>
      <c r="N735" s="4"/>
      <c r="O735" s="4"/>
      <c r="P735" s="4"/>
      <c r="Q735" s="4"/>
      <c r="R735" s="4"/>
      <c r="S735" s="4"/>
      <c r="T735" s="4"/>
      <c r="U735" s="4"/>
      <c r="V735" s="4"/>
      <c r="W735" s="4"/>
      <c r="X735" s="4"/>
      <c r="Y735" s="4"/>
      <c r="Z735" s="4"/>
    </row>
    <row r="736">
      <c r="A736" s="13"/>
      <c r="B736" s="161"/>
      <c r="C736" s="13"/>
      <c r="D736" s="4"/>
      <c r="E736" s="4"/>
      <c r="F736" s="4"/>
      <c r="G736" s="4"/>
      <c r="H736" s="4"/>
      <c r="I736" s="4"/>
      <c r="J736" s="4"/>
      <c r="K736" s="4"/>
      <c r="L736" s="4"/>
      <c r="M736" s="4"/>
      <c r="N736" s="4"/>
      <c r="O736" s="4"/>
      <c r="P736" s="4"/>
      <c r="Q736" s="4"/>
      <c r="R736" s="4"/>
      <c r="S736" s="4"/>
      <c r="T736" s="4"/>
      <c r="U736" s="4"/>
      <c r="V736" s="4"/>
      <c r="W736" s="4"/>
      <c r="X736" s="4"/>
      <c r="Y736" s="4"/>
      <c r="Z736" s="4"/>
    </row>
    <row r="737">
      <c r="A737" s="13"/>
      <c r="B737" s="161"/>
      <c r="C737" s="13"/>
      <c r="D737" s="4"/>
      <c r="E737" s="4"/>
      <c r="F737" s="4"/>
      <c r="G737" s="4"/>
      <c r="H737" s="4"/>
      <c r="I737" s="4"/>
      <c r="J737" s="4"/>
      <c r="K737" s="4"/>
      <c r="L737" s="4"/>
      <c r="M737" s="4"/>
      <c r="N737" s="4"/>
      <c r="O737" s="4"/>
      <c r="P737" s="4"/>
      <c r="Q737" s="4"/>
      <c r="R737" s="4"/>
      <c r="S737" s="4"/>
      <c r="T737" s="4"/>
      <c r="U737" s="4"/>
      <c r="V737" s="4"/>
      <c r="W737" s="4"/>
      <c r="X737" s="4"/>
      <c r="Y737" s="4"/>
      <c r="Z737" s="4"/>
    </row>
    <row r="738">
      <c r="A738" s="13"/>
      <c r="B738" s="161"/>
      <c r="C738" s="13"/>
      <c r="D738" s="4"/>
      <c r="E738" s="4"/>
      <c r="F738" s="4"/>
      <c r="G738" s="4"/>
      <c r="H738" s="4"/>
      <c r="I738" s="4"/>
      <c r="J738" s="4"/>
      <c r="K738" s="4"/>
      <c r="L738" s="4"/>
      <c r="M738" s="4"/>
      <c r="N738" s="4"/>
      <c r="O738" s="4"/>
      <c r="P738" s="4"/>
      <c r="Q738" s="4"/>
      <c r="R738" s="4"/>
      <c r="S738" s="4"/>
      <c r="T738" s="4"/>
      <c r="U738" s="4"/>
      <c r="V738" s="4"/>
      <c r="W738" s="4"/>
      <c r="X738" s="4"/>
      <c r="Y738" s="4"/>
      <c r="Z738" s="4"/>
    </row>
    <row r="739">
      <c r="A739" s="13"/>
      <c r="B739" s="161"/>
      <c r="C739" s="13"/>
      <c r="D739" s="4"/>
      <c r="E739" s="4"/>
      <c r="F739" s="4"/>
      <c r="G739" s="4"/>
      <c r="H739" s="4"/>
      <c r="I739" s="4"/>
      <c r="J739" s="4"/>
      <c r="K739" s="4"/>
      <c r="L739" s="4"/>
      <c r="M739" s="4"/>
      <c r="N739" s="4"/>
      <c r="O739" s="4"/>
      <c r="P739" s="4"/>
      <c r="Q739" s="4"/>
      <c r="R739" s="4"/>
      <c r="S739" s="4"/>
      <c r="T739" s="4"/>
      <c r="U739" s="4"/>
      <c r="V739" s="4"/>
      <c r="W739" s="4"/>
      <c r="X739" s="4"/>
      <c r="Y739" s="4"/>
      <c r="Z739" s="4"/>
    </row>
    <row r="740">
      <c r="A740" s="13"/>
      <c r="B740" s="161"/>
      <c r="C740" s="13"/>
      <c r="D740" s="4"/>
      <c r="E740" s="4"/>
      <c r="F740" s="4"/>
      <c r="G740" s="4"/>
      <c r="H740" s="4"/>
      <c r="I740" s="4"/>
      <c r="J740" s="4"/>
      <c r="K740" s="4"/>
      <c r="L740" s="4"/>
      <c r="M740" s="4"/>
      <c r="N740" s="4"/>
      <c r="O740" s="4"/>
      <c r="P740" s="4"/>
      <c r="Q740" s="4"/>
      <c r="R740" s="4"/>
      <c r="S740" s="4"/>
      <c r="T740" s="4"/>
      <c r="U740" s="4"/>
      <c r="V740" s="4"/>
      <c r="W740" s="4"/>
      <c r="X740" s="4"/>
      <c r="Y740" s="4"/>
      <c r="Z740" s="4"/>
    </row>
    <row r="741">
      <c r="A741" s="13"/>
      <c r="B741" s="161"/>
      <c r="C741" s="13"/>
      <c r="D741" s="4"/>
      <c r="E741" s="4"/>
      <c r="F741" s="4"/>
      <c r="G741" s="4"/>
      <c r="H741" s="4"/>
      <c r="I741" s="4"/>
      <c r="J741" s="4"/>
      <c r="K741" s="4"/>
      <c r="L741" s="4"/>
      <c r="M741" s="4"/>
      <c r="N741" s="4"/>
      <c r="O741" s="4"/>
      <c r="P741" s="4"/>
      <c r="Q741" s="4"/>
      <c r="R741" s="4"/>
      <c r="S741" s="4"/>
      <c r="T741" s="4"/>
      <c r="U741" s="4"/>
      <c r="V741" s="4"/>
      <c r="W741" s="4"/>
      <c r="X741" s="4"/>
      <c r="Y741" s="4"/>
      <c r="Z741" s="4"/>
    </row>
    <row r="742">
      <c r="A742" s="13"/>
      <c r="B742" s="161"/>
      <c r="C742" s="13"/>
      <c r="D742" s="4"/>
      <c r="E742" s="4"/>
      <c r="F742" s="4"/>
      <c r="G742" s="4"/>
      <c r="H742" s="4"/>
      <c r="I742" s="4"/>
      <c r="J742" s="4"/>
      <c r="K742" s="4"/>
      <c r="L742" s="4"/>
      <c r="M742" s="4"/>
      <c r="N742" s="4"/>
      <c r="O742" s="4"/>
      <c r="P742" s="4"/>
      <c r="Q742" s="4"/>
      <c r="R742" s="4"/>
      <c r="S742" s="4"/>
      <c r="T742" s="4"/>
      <c r="U742" s="4"/>
      <c r="V742" s="4"/>
      <c r="W742" s="4"/>
      <c r="X742" s="4"/>
      <c r="Y742" s="4"/>
      <c r="Z742" s="4"/>
    </row>
    <row r="743">
      <c r="A743" s="13"/>
      <c r="B743" s="161"/>
      <c r="C743" s="13"/>
      <c r="D743" s="4"/>
      <c r="E743" s="4"/>
      <c r="F743" s="4"/>
      <c r="G743" s="4"/>
      <c r="H743" s="4"/>
      <c r="I743" s="4"/>
      <c r="J743" s="4"/>
      <c r="K743" s="4"/>
      <c r="L743" s="4"/>
      <c r="M743" s="4"/>
      <c r="N743" s="4"/>
      <c r="O743" s="4"/>
      <c r="P743" s="4"/>
      <c r="Q743" s="4"/>
      <c r="R743" s="4"/>
      <c r="S743" s="4"/>
      <c r="T743" s="4"/>
      <c r="U743" s="4"/>
      <c r="V743" s="4"/>
      <c r="W743" s="4"/>
      <c r="X743" s="4"/>
      <c r="Y743" s="4"/>
      <c r="Z743" s="4"/>
    </row>
    <row r="744">
      <c r="A744" s="13"/>
      <c r="B744" s="161"/>
      <c r="C744" s="13"/>
      <c r="D744" s="4"/>
      <c r="E744" s="4"/>
      <c r="F744" s="4"/>
      <c r="G744" s="4"/>
      <c r="H744" s="4"/>
      <c r="I744" s="4"/>
      <c r="J744" s="4"/>
      <c r="K744" s="4"/>
      <c r="L744" s="4"/>
      <c r="M744" s="4"/>
      <c r="N744" s="4"/>
      <c r="O744" s="4"/>
      <c r="P744" s="4"/>
      <c r="Q744" s="4"/>
      <c r="R744" s="4"/>
      <c r="S744" s="4"/>
      <c r="T744" s="4"/>
      <c r="U744" s="4"/>
      <c r="V744" s="4"/>
      <c r="W744" s="4"/>
      <c r="X744" s="4"/>
      <c r="Y744" s="4"/>
      <c r="Z744" s="4"/>
    </row>
    <row r="745">
      <c r="A745" s="13"/>
      <c r="B745" s="161"/>
      <c r="C745" s="13"/>
      <c r="D745" s="4"/>
      <c r="E745" s="4"/>
      <c r="F745" s="4"/>
      <c r="G745" s="4"/>
      <c r="H745" s="4"/>
      <c r="I745" s="4"/>
      <c r="J745" s="4"/>
      <c r="K745" s="4"/>
      <c r="L745" s="4"/>
      <c r="M745" s="4"/>
      <c r="N745" s="4"/>
      <c r="O745" s="4"/>
      <c r="P745" s="4"/>
      <c r="Q745" s="4"/>
      <c r="R745" s="4"/>
      <c r="S745" s="4"/>
      <c r="T745" s="4"/>
      <c r="U745" s="4"/>
      <c r="V745" s="4"/>
      <c r="W745" s="4"/>
      <c r="X745" s="4"/>
      <c r="Y745" s="4"/>
      <c r="Z745" s="4"/>
    </row>
    <row r="746">
      <c r="A746" s="13"/>
      <c r="B746" s="161"/>
      <c r="C746" s="13"/>
      <c r="D746" s="4"/>
      <c r="E746" s="4"/>
      <c r="F746" s="4"/>
      <c r="G746" s="4"/>
      <c r="H746" s="4"/>
      <c r="I746" s="4"/>
      <c r="J746" s="4"/>
      <c r="K746" s="4"/>
      <c r="L746" s="4"/>
      <c r="M746" s="4"/>
      <c r="N746" s="4"/>
      <c r="O746" s="4"/>
      <c r="P746" s="4"/>
      <c r="Q746" s="4"/>
      <c r="R746" s="4"/>
      <c r="S746" s="4"/>
      <c r="T746" s="4"/>
      <c r="U746" s="4"/>
      <c r="V746" s="4"/>
      <c r="W746" s="4"/>
      <c r="X746" s="4"/>
      <c r="Y746" s="4"/>
      <c r="Z746" s="4"/>
    </row>
    <row r="747">
      <c r="A747" s="13"/>
      <c r="B747" s="161"/>
      <c r="C747" s="13"/>
      <c r="D747" s="4"/>
      <c r="E747" s="4"/>
      <c r="F747" s="4"/>
      <c r="G747" s="4"/>
      <c r="H747" s="4"/>
      <c r="I747" s="4"/>
      <c r="J747" s="4"/>
      <c r="K747" s="4"/>
      <c r="L747" s="4"/>
      <c r="M747" s="4"/>
      <c r="N747" s="4"/>
      <c r="O747" s="4"/>
      <c r="P747" s="4"/>
      <c r="Q747" s="4"/>
      <c r="R747" s="4"/>
      <c r="S747" s="4"/>
      <c r="T747" s="4"/>
      <c r="U747" s="4"/>
      <c r="V747" s="4"/>
      <c r="W747" s="4"/>
      <c r="X747" s="4"/>
      <c r="Y747" s="4"/>
      <c r="Z747" s="4"/>
    </row>
    <row r="748">
      <c r="A748" s="13"/>
      <c r="B748" s="161"/>
      <c r="C748" s="13"/>
      <c r="D748" s="4"/>
      <c r="E748" s="4"/>
      <c r="F748" s="4"/>
      <c r="G748" s="4"/>
      <c r="H748" s="4"/>
      <c r="I748" s="4"/>
      <c r="J748" s="4"/>
      <c r="K748" s="4"/>
      <c r="L748" s="4"/>
      <c r="M748" s="4"/>
      <c r="N748" s="4"/>
      <c r="O748" s="4"/>
      <c r="P748" s="4"/>
      <c r="Q748" s="4"/>
      <c r="R748" s="4"/>
      <c r="S748" s="4"/>
      <c r="T748" s="4"/>
      <c r="U748" s="4"/>
      <c r="V748" s="4"/>
      <c r="W748" s="4"/>
      <c r="X748" s="4"/>
      <c r="Y748" s="4"/>
      <c r="Z748" s="4"/>
    </row>
    <row r="749">
      <c r="A749" s="13"/>
      <c r="B749" s="161"/>
      <c r="C749" s="13"/>
      <c r="D749" s="4"/>
      <c r="E749" s="4"/>
      <c r="F749" s="4"/>
      <c r="G749" s="4"/>
      <c r="H749" s="4"/>
      <c r="I749" s="4"/>
      <c r="J749" s="4"/>
      <c r="K749" s="4"/>
      <c r="L749" s="4"/>
      <c r="M749" s="4"/>
      <c r="N749" s="4"/>
      <c r="O749" s="4"/>
      <c r="P749" s="4"/>
      <c r="Q749" s="4"/>
      <c r="R749" s="4"/>
      <c r="S749" s="4"/>
      <c r="T749" s="4"/>
      <c r="U749" s="4"/>
      <c r="V749" s="4"/>
      <c r="W749" s="4"/>
      <c r="X749" s="4"/>
      <c r="Y749" s="4"/>
      <c r="Z749" s="4"/>
    </row>
    <row r="750">
      <c r="A750" s="13"/>
      <c r="B750" s="161"/>
      <c r="C750" s="13"/>
      <c r="D750" s="4"/>
      <c r="E750" s="4"/>
      <c r="F750" s="4"/>
      <c r="G750" s="4"/>
      <c r="H750" s="4"/>
      <c r="I750" s="4"/>
      <c r="J750" s="4"/>
      <c r="K750" s="4"/>
      <c r="L750" s="4"/>
      <c r="M750" s="4"/>
      <c r="N750" s="4"/>
      <c r="O750" s="4"/>
      <c r="P750" s="4"/>
      <c r="Q750" s="4"/>
      <c r="R750" s="4"/>
      <c r="S750" s="4"/>
      <c r="T750" s="4"/>
      <c r="U750" s="4"/>
      <c r="V750" s="4"/>
      <c r="W750" s="4"/>
      <c r="X750" s="4"/>
      <c r="Y750" s="4"/>
      <c r="Z750" s="4"/>
    </row>
    <row r="751">
      <c r="A751" s="13"/>
      <c r="B751" s="161"/>
      <c r="C751" s="13"/>
      <c r="D751" s="4"/>
      <c r="E751" s="4"/>
      <c r="F751" s="4"/>
      <c r="G751" s="4"/>
      <c r="H751" s="4"/>
      <c r="I751" s="4"/>
      <c r="J751" s="4"/>
      <c r="K751" s="4"/>
      <c r="L751" s="4"/>
      <c r="M751" s="4"/>
      <c r="N751" s="4"/>
      <c r="O751" s="4"/>
      <c r="P751" s="4"/>
      <c r="Q751" s="4"/>
      <c r="R751" s="4"/>
      <c r="S751" s="4"/>
      <c r="T751" s="4"/>
      <c r="U751" s="4"/>
      <c r="V751" s="4"/>
      <c r="W751" s="4"/>
      <c r="X751" s="4"/>
      <c r="Y751" s="4"/>
      <c r="Z751" s="4"/>
    </row>
    <row r="752">
      <c r="A752" s="13"/>
      <c r="B752" s="161"/>
      <c r="C752" s="13"/>
      <c r="D752" s="4"/>
      <c r="E752" s="4"/>
      <c r="F752" s="4"/>
      <c r="G752" s="4"/>
      <c r="H752" s="4"/>
      <c r="I752" s="4"/>
      <c r="J752" s="4"/>
      <c r="K752" s="4"/>
      <c r="L752" s="4"/>
      <c r="M752" s="4"/>
      <c r="N752" s="4"/>
      <c r="O752" s="4"/>
      <c r="P752" s="4"/>
      <c r="Q752" s="4"/>
      <c r="R752" s="4"/>
      <c r="S752" s="4"/>
      <c r="T752" s="4"/>
      <c r="U752" s="4"/>
      <c r="V752" s="4"/>
      <c r="W752" s="4"/>
      <c r="X752" s="4"/>
      <c r="Y752" s="4"/>
      <c r="Z752" s="4"/>
    </row>
    <row r="753">
      <c r="A753" s="13"/>
      <c r="B753" s="161"/>
      <c r="C753" s="13"/>
      <c r="D753" s="4"/>
      <c r="E753" s="4"/>
      <c r="F753" s="4"/>
      <c r="G753" s="4"/>
      <c r="H753" s="4"/>
      <c r="I753" s="4"/>
      <c r="J753" s="4"/>
      <c r="K753" s="4"/>
      <c r="L753" s="4"/>
      <c r="M753" s="4"/>
      <c r="N753" s="4"/>
      <c r="O753" s="4"/>
      <c r="P753" s="4"/>
      <c r="Q753" s="4"/>
      <c r="R753" s="4"/>
      <c r="S753" s="4"/>
      <c r="T753" s="4"/>
      <c r="U753" s="4"/>
      <c r="V753" s="4"/>
      <c r="W753" s="4"/>
      <c r="X753" s="4"/>
      <c r="Y753" s="4"/>
      <c r="Z753" s="4"/>
    </row>
    <row r="754">
      <c r="A754" s="13"/>
      <c r="B754" s="161"/>
      <c r="C754" s="13"/>
      <c r="D754" s="4"/>
      <c r="E754" s="4"/>
      <c r="F754" s="4"/>
      <c r="G754" s="4"/>
      <c r="H754" s="4"/>
      <c r="I754" s="4"/>
      <c r="J754" s="4"/>
      <c r="K754" s="4"/>
      <c r="L754" s="4"/>
      <c r="M754" s="4"/>
      <c r="N754" s="4"/>
      <c r="O754" s="4"/>
      <c r="P754" s="4"/>
      <c r="Q754" s="4"/>
      <c r="R754" s="4"/>
      <c r="S754" s="4"/>
      <c r="T754" s="4"/>
      <c r="U754" s="4"/>
      <c r="V754" s="4"/>
      <c r="W754" s="4"/>
      <c r="X754" s="4"/>
      <c r="Y754" s="4"/>
      <c r="Z754" s="4"/>
    </row>
    <row r="755">
      <c r="A755" s="13"/>
      <c r="B755" s="161"/>
      <c r="C755" s="13"/>
      <c r="D755" s="4"/>
      <c r="E755" s="4"/>
      <c r="F755" s="4"/>
      <c r="G755" s="4"/>
      <c r="H755" s="4"/>
      <c r="I755" s="4"/>
      <c r="J755" s="4"/>
      <c r="K755" s="4"/>
      <c r="L755" s="4"/>
      <c r="M755" s="4"/>
      <c r="N755" s="4"/>
      <c r="O755" s="4"/>
      <c r="P755" s="4"/>
      <c r="Q755" s="4"/>
      <c r="R755" s="4"/>
      <c r="S755" s="4"/>
      <c r="T755" s="4"/>
      <c r="U755" s="4"/>
      <c r="V755" s="4"/>
      <c r="W755" s="4"/>
      <c r="X755" s="4"/>
      <c r="Y755" s="4"/>
      <c r="Z755" s="4"/>
    </row>
    <row r="756">
      <c r="A756" s="13"/>
      <c r="B756" s="161"/>
      <c r="C756" s="13"/>
      <c r="D756" s="4"/>
      <c r="E756" s="4"/>
      <c r="F756" s="4"/>
      <c r="G756" s="4"/>
      <c r="H756" s="4"/>
      <c r="I756" s="4"/>
      <c r="J756" s="4"/>
      <c r="K756" s="4"/>
      <c r="L756" s="4"/>
      <c r="M756" s="4"/>
      <c r="N756" s="4"/>
      <c r="O756" s="4"/>
      <c r="P756" s="4"/>
      <c r="Q756" s="4"/>
      <c r="R756" s="4"/>
      <c r="S756" s="4"/>
      <c r="T756" s="4"/>
      <c r="U756" s="4"/>
      <c r="V756" s="4"/>
      <c r="W756" s="4"/>
      <c r="X756" s="4"/>
      <c r="Y756" s="4"/>
      <c r="Z756" s="4"/>
    </row>
    <row r="757">
      <c r="A757" s="13"/>
      <c r="B757" s="161"/>
      <c r="C757" s="13"/>
      <c r="D757" s="4"/>
      <c r="E757" s="4"/>
      <c r="F757" s="4"/>
      <c r="G757" s="4"/>
      <c r="H757" s="4"/>
      <c r="I757" s="4"/>
      <c r="J757" s="4"/>
      <c r="K757" s="4"/>
      <c r="L757" s="4"/>
      <c r="M757" s="4"/>
      <c r="N757" s="4"/>
      <c r="O757" s="4"/>
      <c r="P757" s="4"/>
      <c r="Q757" s="4"/>
      <c r="R757" s="4"/>
      <c r="S757" s="4"/>
      <c r="T757" s="4"/>
      <c r="U757" s="4"/>
      <c r="V757" s="4"/>
      <c r="W757" s="4"/>
      <c r="X757" s="4"/>
      <c r="Y757" s="4"/>
      <c r="Z757" s="4"/>
    </row>
    <row r="758">
      <c r="A758" s="13"/>
      <c r="B758" s="161"/>
      <c r="C758" s="13"/>
      <c r="D758" s="4"/>
      <c r="E758" s="4"/>
      <c r="F758" s="4"/>
      <c r="G758" s="4"/>
      <c r="H758" s="4"/>
      <c r="I758" s="4"/>
      <c r="J758" s="4"/>
      <c r="K758" s="4"/>
      <c r="L758" s="4"/>
      <c r="M758" s="4"/>
      <c r="N758" s="4"/>
      <c r="O758" s="4"/>
      <c r="P758" s="4"/>
      <c r="Q758" s="4"/>
      <c r="R758" s="4"/>
      <c r="S758" s="4"/>
      <c r="T758" s="4"/>
      <c r="U758" s="4"/>
      <c r="V758" s="4"/>
      <c r="W758" s="4"/>
      <c r="X758" s="4"/>
      <c r="Y758" s="4"/>
      <c r="Z758" s="4"/>
    </row>
    <row r="759">
      <c r="A759" s="13"/>
      <c r="B759" s="161"/>
      <c r="C759" s="13"/>
      <c r="D759" s="4"/>
      <c r="E759" s="4"/>
      <c r="F759" s="4"/>
      <c r="G759" s="4"/>
      <c r="H759" s="4"/>
      <c r="I759" s="4"/>
      <c r="J759" s="4"/>
      <c r="K759" s="4"/>
      <c r="L759" s="4"/>
      <c r="M759" s="4"/>
      <c r="N759" s="4"/>
      <c r="O759" s="4"/>
      <c r="P759" s="4"/>
      <c r="Q759" s="4"/>
      <c r="R759" s="4"/>
      <c r="S759" s="4"/>
      <c r="T759" s="4"/>
      <c r="U759" s="4"/>
      <c r="V759" s="4"/>
      <c r="W759" s="4"/>
      <c r="X759" s="4"/>
      <c r="Y759" s="4"/>
      <c r="Z759" s="4"/>
    </row>
    <row r="760">
      <c r="A760" s="13"/>
      <c r="B760" s="161"/>
      <c r="C760" s="13"/>
      <c r="D760" s="4"/>
      <c r="E760" s="4"/>
      <c r="F760" s="4"/>
      <c r="G760" s="4"/>
      <c r="H760" s="4"/>
      <c r="I760" s="4"/>
      <c r="J760" s="4"/>
      <c r="K760" s="4"/>
      <c r="L760" s="4"/>
      <c r="M760" s="4"/>
      <c r="N760" s="4"/>
      <c r="O760" s="4"/>
      <c r="P760" s="4"/>
      <c r="Q760" s="4"/>
      <c r="R760" s="4"/>
      <c r="S760" s="4"/>
      <c r="T760" s="4"/>
      <c r="U760" s="4"/>
      <c r="V760" s="4"/>
      <c r="W760" s="4"/>
      <c r="X760" s="4"/>
      <c r="Y760" s="4"/>
      <c r="Z760" s="4"/>
    </row>
    <row r="761">
      <c r="A761" s="13"/>
      <c r="B761" s="161"/>
      <c r="C761" s="13"/>
      <c r="D761" s="4"/>
      <c r="E761" s="4"/>
      <c r="F761" s="4"/>
      <c r="G761" s="4"/>
      <c r="H761" s="4"/>
      <c r="I761" s="4"/>
      <c r="J761" s="4"/>
      <c r="K761" s="4"/>
      <c r="L761" s="4"/>
      <c r="M761" s="4"/>
      <c r="N761" s="4"/>
      <c r="O761" s="4"/>
      <c r="P761" s="4"/>
      <c r="Q761" s="4"/>
      <c r="R761" s="4"/>
      <c r="S761" s="4"/>
      <c r="T761" s="4"/>
      <c r="U761" s="4"/>
      <c r="V761" s="4"/>
      <c r="W761" s="4"/>
      <c r="X761" s="4"/>
      <c r="Y761" s="4"/>
      <c r="Z761" s="4"/>
    </row>
    <row r="762">
      <c r="A762" s="13"/>
      <c r="B762" s="161"/>
      <c r="C762" s="13"/>
      <c r="D762" s="4"/>
      <c r="E762" s="4"/>
      <c r="F762" s="4"/>
      <c r="G762" s="4"/>
      <c r="H762" s="4"/>
      <c r="I762" s="4"/>
      <c r="J762" s="4"/>
      <c r="K762" s="4"/>
      <c r="L762" s="4"/>
      <c r="M762" s="4"/>
      <c r="N762" s="4"/>
      <c r="O762" s="4"/>
      <c r="P762" s="4"/>
      <c r="Q762" s="4"/>
      <c r="R762" s="4"/>
      <c r="S762" s="4"/>
      <c r="T762" s="4"/>
      <c r="U762" s="4"/>
      <c r="V762" s="4"/>
      <c r="W762" s="4"/>
      <c r="X762" s="4"/>
      <c r="Y762" s="4"/>
      <c r="Z762" s="4"/>
    </row>
    <row r="763">
      <c r="A763" s="13"/>
      <c r="B763" s="161"/>
      <c r="C763" s="13"/>
      <c r="D763" s="4"/>
      <c r="E763" s="4"/>
      <c r="F763" s="4"/>
      <c r="G763" s="4"/>
      <c r="H763" s="4"/>
      <c r="I763" s="4"/>
      <c r="J763" s="4"/>
      <c r="K763" s="4"/>
      <c r="L763" s="4"/>
      <c r="M763" s="4"/>
      <c r="N763" s="4"/>
      <c r="O763" s="4"/>
      <c r="P763" s="4"/>
      <c r="Q763" s="4"/>
      <c r="R763" s="4"/>
      <c r="S763" s="4"/>
      <c r="T763" s="4"/>
      <c r="U763" s="4"/>
      <c r="V763" s="4"/>
      <c r="W763" s="4"/>
      <c r="X763" s="4"/>
      <c r="Y763" s="4"/>
      <c r="Z763" s="4"/>
    </row>
    <row r="764">
      <c r="A764" s="13"/>
      <c r="B764" s="161"/>
      <c r="C764" s="13"/>
      <c r="D764" s="4"/>
      <c r="E764" s="4"/>
      <c r="F764" s="4"/>
      <c r="G764" s="4"/>
      <c r="H764" s="4"/>
      <c r="I764" s="4"/>
      <c r="J764" s="4"/>
      <c r="K764" s="4"/>
      <c r="L764" s="4"/>
      <c r="M764" s="4"/>
      <c r="N764" s="4"/>
      <c r="O764" s="4"/>
      <c r="P764" s="4"/>
      <c r="Q764" s="4"/>
      <c r="R764" s="4"/>
      <c r="S764" s="4"/>
      <c r="T764" s="4"/>
      <c r="U764" s="4"/>
      <c r="V764" s="4"/>
      <c r="W764" s="4"/>
      <c r="X764" s="4"/>
      <c r="Y764" s="4"/>
      <c r="Z764" s="4"/>
    </row>
    <row r="765">
      <c r="A765" s="13"/>
      <c r="B765" s="161"/>
      <c r="C765" s="13"/>
      <c r="D765" s="4"/>
      <c r="E765" s="4"/>
      <c r="F765" s="4"/>
      <c r="G765" s="4"/>
      <c r="H765" s="4"/>
      <c r="I765" s="4"/>
      <c r="J765" s="4"/>
      <c r="K765" s="4"/>
      <c r="L765" s="4"/>
      <c r="M765" s="4"/>
      <c r="N765" s="4"/>
      <c r="O765" s="4"/>
      <c r="P765" s="4"/>
      <c r="Q765" s="4"/>
      <c r="R765" s="4"/>
      <c r="S765" s="4"/>
      <c r="T765" s="4"/>
      <c r="U765" s="4"/>
      <c r="V765" s="4"/>
      <c r="W765" s="4"/>
      <c r="X765" s="4"/>
      <c r="Y765" s="4"/>
      <c r="Z765" s="4"/>
    </row>
    <row r="766">
      <c r="A766" s="13"/>
      <c r="B766" s="161"/>
      <c r="C766" s="13"/>
      <c r="D766" s="4"/>
      <c r="E766" s="4"/>
      <c r="F766" s="4"/>
      <c r="G766" s="4"/>
      <c r="H766" s="4"/>
      <c r="I766" s="4"/>
      <c r="J766" s="4"/>
      <c r="K766" s="4"/>
      <c r="L766" s="4"/>
      <c r="M766" s="4"/>
      <c r="N766" s="4"/>
      <c r="O766" s="4"/>
      <c r="P766" s="4"/>
      <c r="Q766" s="4"/>
      <c r="R766" s="4"/>
      <c r="S766" s="4"/>
      <c r="T766" s="4"/>
      <c r="U766" s="4"/>
      <c r="V766" s="4"/>
      <c r="W766" s="4"/>
      <c r="X766" s="4"/>
      <c r="Y766" s="4"/>
      <c r="Z766" s="4"/>
    </row>
    <row r="767">
      <c r="A767" s="13"/>
      <c r="B767" s="161"/>
      <c r="C767" s="13"/>
      <c r="D767" s="4"/>
      <c r="E767" s="4"/>
      <c r="F767" s="4"/>
      <c r="G767" s="4"/>
      <c r="H767" s="4"/>
      <c r="I767" s="4"/>
      <c r="J767" s="4"/>
      <c r="K767" s="4"/>
      <c r="L767" s="4"/>
      <c r="M767" s="4"/>
      <c r="N767" s="4"/>
      <c r="O767" s="4"/>
      <c r="P767" s="4"/>
      <c r="Q767" s="4"/>
      <c r="R767" s="4"/>
      <c r="S767" s="4"/>
      <c r="T767" s="4"/>
      <c r="U767" s="4"/>
      <c r="V767" s="4"/>
      <c r="W767" s="4"/>
      <c r="X767" s="4"/>
      <c r="Y767" s="4"/>
      <c r="Z767" s="4"/>
    </row>
    <row r="768">
      <c r="A768" s="13"/>
      <c r="B768" s="161"/>
      <c r="C768" s="13"/>
      <c r="D768" s="4"/>
      <c r="E768" s="4"/>
      <c r="F768" s="4"/>
      <c r="G768" s="4"/>
      <c r="H768" s="4"/>
      <c r="I768" s="4"/>
      <c r="J768" s="4"/>
      <c r="K768" s="4"/>
      <c r="L768" s="4"/>
      <c r="M768" s="4"/>
      <c r="N768" s="4"/>
      <c r="O768" s="4"/>
      <c r="P768" s="4"/>
      <c r="Q768" s="4"/>
      <c r="R768" s="4"/>
      <c r="S768" s="4"/>
      <c r="T768" s="4"/>
      <c r="U768" s="4"/>
      <c r="V768" s="4"/>
      <c r="W768" s="4"/>
      <c r="X768" s="4"/>
      <c r="Y768" s="4"/>
      <c r="Z768" s="4"/>
    </row>
    <row r="769">
      <c r="A769" s="13"/>
      <c r="B769" s="161"/>
      <c r="C769" s="13"/>
      <c r="D769" s="4"/>
      <c r="E769" s="4"/>
      <c r="F769" s="4"/>
      <c r="G769" s="4"/>
      <c r="H769" s="4"/>
      <c r="I769" s="4"/>
      <c r="J769" s="4"/>
      <c r="K769" s="4"/>
      <c r="L769" s="4"/>
      <c r="M769" s="4"/>
      <c r="N769" s="4"/>
      <c r="O769" s="4"/>
      <c r="P769" s="4"/>
      <c r="Q769" s="4"/>
      <c r="R769" s="4"/>
      <c r="S769" s="4"/>
      <c r="T769" s="4"/>
      <c r="U769" s="4"/>
      <c r="V769" s="4"/>
      <c r="W769" s="4"/>
      <c r="X769" s="4"/>
      <c r="Y769" s="4"/>
      <c r="Z769" s="4"/>
    </row>
    <row r="770">
      <c r="A770" s="13"/>
      <c r="B770" s="161"/>
      <c r="C770" s="13"/>
      <c r="D770" s="4"/>
      <c r="E770" s="4"/>
      <c r="F770" s="4"/>
      <c r="G770" s="4"/>
      <c r="H770" s="4"/>
      <c r="I770" s="4"/>
      <c r="J770" s="4"/>
      <c r="K770" s="4"/>
      <c r="L770" s="4"/>
      <c r="M770" s="4"/>
      <c r="N770" s="4"/>
      <c r="O770" s="4"/>
      <c r="P770" s="4"/>
      <c r="Q770" s="4"/>
      <c r="R770" s="4"/>
      <c r="S770" s="4"/>
      <c r="T770" s="4"/>
      <c r="U770" s="4"/>
      <c r="V770" s="4"/>
      <c r="W770" s="4"/>
      <c r="X770" s="4"/>
      <c r="Y770" s="4"/>
      <c r="Z770" s="4"/>
    </row>
    <row r="771">
      <c r="A771" s="13"/>
      <c r="B771" s="161"/>
      <c r="C771" s="13"/>
      <c r="D771" s="4"/>
      <c r="E771" s="4"/>
      <c r="F771" s="4"/>
      <c r="G771" s="4"/>
      <c r="H771" s="4"/>
      <c r="I771" s="4"/>
      <c r="J771" s="4"/>
      <c r="K771" s="4"/>
      <c r="L771" s="4"/>
      <c r="M771" s="4"/>
      <c r="N771" s="4"/>
      <c r="O771" s="4"/>
      <c r="P771" s="4"/>
      <c r="Q771" s="4"/>
      <c r="R771" s="4"/>
      <c r="S771" s="4"/>
      <c r="T771" s="4"/>
      <c r="U771" s="4"/>
      <c r="V771" s="4"/>
      <c r="W771" s="4"/>
      <c r="X771" s="4"/>
      <c r="Y771" s="4"/>
      <c r="Z771" s="4"/>
    </row>
    <row r="772">
      <c r="A772" s="13"/>
      <c r="B772" s="161"/>
      <c r="C772" s="13"/>
      <c r="D772" s="4"/>
      <c r="E772" s="4"/>
      <c r="F772" s="4"/>
      <c r="G772" s="4"/>
      <c r="H772" s="4"/>
      <c r="I772" s="4"/>
      <c r="J772" s="4"/>
      <c r="K772" s="4"/>
      <c r="L772" s="4"/>
      <c r="M772" s="4"/>
      <c r="N772" s="4"/>
      <c r="O772" s="4"/>
      <c r="P772" s="4"/>
      <c r="Q772" s="4"/>
      <c r="R772" s="4"/>
      <c r="S772" s="4"/>
      <c r="T772" s="4"/>
      <c r="U772" s="4"/>
      <c r="V772" s="4"/>
      <c r="W772" s="4"/>
      <c r="X772" s="4"/>
      <c r="Y772" s="4"/>
      <c r="Z772" s="4"/>
    </row>
    <row r="773">
      <c r="A773" s="13"/>
      <c r="B773" s="161"/>
      <c r="C773" s="13"/>
      <c r="D773" s="4"/>
      <c r="E773" s="4"/>
      <c r="F773" s="4"/>
      <c r="G773" s="4"/>
      <c r="H773" s="4"/>
      <c r="I773" s="4"/>
      <c r="J773" s="4"/>
      <c r="K773" s="4"/>
      <c r="L773" s="4"/>
      <c r="M773" s="4"/>
      <c r="N773" s="4"/>
      <c r="O773" s="4"/>
      <c r="P773" s="4"/>
      <c r="Q773" s="4"/>
      <c r="R773" s="4"/>
      <c r="S773" s="4"/>
      <c r="T773" s="4"/>
      <c r="U773" s="4"/>
      <c r="V773" s="4"/>
      <c r="W773" s="4"/>
      <c r="X773" s="4"/>
      <c r="Y773" s="4"/>
      <c r="Z773" s="4"/>
    </row>
    <row r="774">
      <c r="A774" s="13"/>
      <c r="B774" s="161"/>
      <c r="C774" s="13"/>
      <c r="D774" s="4"/>
      <c r="E774" s="4"/>
      <c r="F774" s="4"/>
      <c r="G774" s="4"/>
      <c r="H774" s="4"/>
      <c r="I774" s="4"/>
      <c r="J774" s="4"/>
      <c r="K774" s="4"/>
      <c r="L774" s="4"/>
      <c r="M774" s="4"/>
      <c r="N774" s="4"/>
      <c r="O774" s="4"/>
      <c r="P774" s="4"/>
      <c r="Q774" s="4"/>
      <c r="R774" s="4"/>
      <c r="S774" s="4"/>
      <c r="T774" s="4"/>
      <c r="U774" s="4"/>
      <c r="V774" s="4"/>
      <c r="W774" s="4"/>
      <c r="X774" s="4"/>
      <c r="Y774" s="4"/>
      <c r="Z774" s="4"/>
    </row>
    <row r="775">
      <c r="A775" s="13"/>
      <c r="B775" s="161"/>
      <c r="C775" s="13"/>
      <c r="D775" s="4"/>
      <c r="E775" s="4"/>
      <c r="F775" s="4"/>
      <c r="G775" s="4"/>
      <c r="H775" s="4"/>
      <c r="I775" s="4"/>
      <c r="J775" s="4"/>
      <c r="K775" s="4"/>
      <c r="L775" s="4"/>
      <c r="M775" s="4"/>
      <c r="N775" s="4"/>
      <c r="O775" s="4"/>
      <c r="P775" s="4"/>
      <c r="Q775" s="4"/>
      <c r="R775" s="4"/>
      <c r="S775" s="4"/>
      <c r="T775" s="4"/>
      <c r="U775" s="4"/>
      <c r="V775" s="4"/>
      <c r="W775" s="4"/>
      <c r="X775" s="4"/>
      <c r="Y775" s="4"/>
      <c r="Z775" s="4"/>
    </row>
    <row r="776">
      <c r="A776" s="13"/>
      <c r="B776" s="161"/>
      <c r="C776" s="13"/>
      <c r="D776" s="4"/>
      <c r="E776" s="4"/>
      <c r="F776" s="4"/>
      <c r="G776" s="4"/>
      <c r="H776" s="4"/>
      <c r="I776" s="4"/>
      <c r="J776" s="4"/>
      <c r="K776" s="4"/>
      <c r="L776" s="4"/>
      <c r="M776" s="4"/>
      <c r="N776" s="4"/>
      <c r="O776" s="4"/>
      <c r="P776" s="4"/>
      <c r="Q776" s="4"/>
      <c r="R776" s="4"/>
      <c r="S776" s="4"/>
      <c r="T776" s="4"/>
      <c r="U776" s="4"/>
      <c r="V776" s="4"/>
      <c r="W776" s="4"/>
      <c r="X776" s="4"/>
      <c r="Y776" s="4"/>
      <c r="Z776" s="4"/>
    </row>
    <row r="777">
      <c r="A777" s="13"/>
      <c r="B777" s="161"/>
      <c r="C777" s="13"/>
      <c r="D777" s="4"/>
      <c r="E777" s="4"/>
      <c r="F777" s="4"/>
      <c r="G777" s="4"/>
      <c r="H777" s="4"/>
      <c r="I777" s="4"/>
      <c r="J777" s="4"/>
      <c r="K777" s="4"/>
      <c r="L777" s="4"/>
      <c r="M777" s="4"/>
      <c r="N777" s="4"/>
      <c r="O777" s="4"/>
      <c r="P777" s="4"/>
      <c r="Q777" s="4"/>
      <c r="R777" s="4"/>
      <c r="S777" s="4"/>
      <c r="T777" s="4"/>
      <c r="U777" s="4"/>
      <c r="V777" s="4"/>
      <c r="W777" s="4"/>
      <c r="X777" s="4"/>
      <c r="Y777" s="4"/>
      <c r="Z777" s="4"/>
    </row>
    <row r="778">
      <c r="A778" s="13"/>
      <c r="B778" s="161"/>
      <c r="C778" s="13"/>
      <c r="D778" s="4"/>
      <c r="E778" s="4"/>
      <c r="F778" s="4"/>
      <c r="G778" s="4"/>
      <c r="H778" s="4"/>
      <c r="I778" s="4"/>
      <c r="J778" s="4"/>
      <c r="K778" s="4"/>
      <c r="L778" s="4"/>
      <c r="M778" s="4"/>
      <c r="N778" s="4"/>
      <c r="O778" s="4"/>
      <c r="P778" s="4"/>
      <c r="Q778" s="4"/>
      <c r="R778" s="4"/>
      <c r="S778" s="4"/>
      <c r="T778" s="4"/>
      <c r="U778" s="4"/>
      <c r="V778" s="4"/>
      <c r="W778" s="4"/>
      <c r="X778" s="4"/>
      <c r="Y778" s="4"/>
      <c r="Z778" s="4"/>
    </row>
    <row r="779">
      <c r="A779" s="13"/>
      <c r="B779" s="161"/>
      <c r="C779" s="13"/>
      <c r="D779" s="4"/>
      <c r="E779" s="4"/>
      <c r="F779" s="4"/>
      <c r="G779" s="4"/>
      <c r="H779" s="4"/>
      <c r="I779" s="4"/>
      <c r="J779" s="4"/>
      <c r="K779" s="4"/>
      <c r="L779" s="4"/>
      <c r="M779" s="4"/>
      <c r="N779" s="4"/>
      <c r="O779" s="4"/>
      <c r="P779" s="4"/>
      <c r="Q779" s="4"/>
      <c r="R779" s="4"/>
      <c r="S779" s="4"/>
      <c r="T779" s="4"/>
      <c r="U779" s="4"/>
      <c r="V779" s="4"/>
      <c r="W779" s="4"/>
      <c r="X779" s="4"/>
      <c r="Y779" s="4"/>
      <c r="Z779" s="4"/>
    </row>
    <row r="780">
      <c r="A780" s="13"/>
      <c r="B780" s="161"/>
      <c r="C780" s="13"/>
      <c r="D780" s="4"/>
      <c r="E780" s="4"/>
      <c r="F780" s="4"/>
      <c r="G780" s="4"/>
      <c r="H780" s="4"/>
      <c r="I780" s="4"/>
      <c r="J780" s="4"/>
      <c r="K780" s="4"/>
      <c r="L780" s="4"/>
      <c r="M780" s="4"/>
      <c r="N780" s="4"/>
      <c r="O780" s="4"/>
      <c r="P780" s="4"/>
      <c r="Q780" s="4"/>
      <c r="R780" s="4"/>
      <c r="S780" s="4"/>
      <c r="T780" s="4"/>
      <c r="U780" s="4"/>
      <c r="V780" s="4"/>
      <c r="W780" s="4"/>
      <c r="X780" s="4"/>
      <c r="Y780" s="4"/>
      <c r="Z780" s="4"/>
    </row>
    <row r="781">
      <c r="A781" s="13"/>
      <c r="B781" s="161"/>
      <c r="C781" s="13"/>
      <c r="D781" s="4"/>
      <c r="E781" s="4"/>
      <c r="F781" s="4"/>
      <c r="G781" s="4"/>
      <c r="H781" s="4"/>
      <c r="I781" s="4"/>
      <c r="J781" s="4"/>
      <c r="K781" s="4"/>
      <c r="L781" s="4"/>
      <c r="M781" s="4"/>
      <c r="N781" s="4"/>
      <c r="O781" s="4"/>
      <c r="P781" s="4"/>
      <c r="Q781" s="4"/>
      <c r="R781" s="4"/>
      <c r="S781" s="4"/>
      <c r="T781" s="4"/>
      <c r="U781" s="4"/>
      <c r="V781" s="4"/>
      <c r="W781" s="4"/>
      <c r="X781" s="4"/>
      <c r="Y781" s="4"/>
      <c r="Z781" s="4"/>
    </row>
    <row r="782">
      <c r="A782" s="13"/>
      <c r="B782" s="161"/>
      <c r="C782" s="13"/>
      <c r="D782" s="4"/>
      <c r="E782" s="4"/>
      <c r="F782" s="4"/>
      <c r="G782" s="4"/>
      <c r="H782" s="4"/>
      <c r="I782" s="4"/>
      <c r="J782" s="4"/>
      <c r="K782" s="4"/>
      <c r="L782" s="4"/>
      <c r="M782" s="4"/>
      <c r="N782" s="4"/>
      <c r="O782" s="4"/>
      <c r="P782" s="4"/>
      <c r="Q782" s="4"/>
      <c r="R782" s="4"/>
      <c r="S782" s="4"/>
      <c r="T782" s="4"/>
      <c r="U782" s="4"/>
      <c r="V782" s="4"/>
      <c r="W782" s="4"/>
      <c r="X782" s="4"/>
      <c r="Y782" s="4"/>
      <c r="Z782" s="4"/>
    </row>
    <row r="783">
      <c r="A783" s="13"/>
      <c r="B783" s="161"/>
      <c r="C783" s="13"/>
      <c r="D783" s="4"/>
      <c r="E783" s="4"/>
      <c r="F783" s="4"/>
      <c r="G783" s="4"/>
      <c r="H783" s="4"/>
      <c r="I783" s="4"/>
      <c r="J783" s="4"/>
      <c r="K783" s="4"/>
      <c r="L783" s="4"/>
      <c r="M783" s="4"/>
      <c r="N783" s="4"/>
      <c r="O783" s="4"/>
      <c r="P783" s="4"/>
      <c r="Q783" s="4"/>
      <c r="R783" s="4"/>
      <c r="S783" s="4"/>
      <c r="T783" s="4"/>
      <c r="U783" s="4"/>
      <c r="V783" s="4"/>
      <c r="W783" s="4"/>
      <c r="X783" s="4"/>
      <c r="Y783" s="4"/>
      <c r="Z783" s="4"/>
    </row>
    <row r="784">
      <c r="A784" s="13"/>
      <c r="B784" s="161"/>
      <c r="C784" s="13"/>
      <c r="D784" s="4"/>
      <c r="E784" s="4"/>
      <c r="F784" s="4"/>
      <c r="G784" s="4"/>
      <c r="H784" s="4"/>
      <c r="I784" s="4"/>
      <c r="J784" s="4"/>
      <c r="K784" s="4"/>
      <c r="L784" s="4"/>
      <c r="M784" s="4"/>
      <c r="N784" s="4"/>
      <c r="O784" s="4"/>
      <c r="P784" s="4"/>
      <c r="Q784" s="4"/>
      <c r="R784" s="4"/>
      <c r="S784" s="4"/>
      <c r="T784" s="4"/>
      <c r="U784" s="4"/>
      <c r="V784" s="4"/>
      <c r="W784" s="4"/>
      <c r="X784" s="4"/>
      <c r="Y784" s="4"/>
      <c r="Z784" s="4"/>
    </row>
    <row r="785">
      <c r="A785" s="13"/>
      <c r="B785" s="161"/>
      <c r="C785" s="13"/>
      <c r="D785" s="4"/>
      <c r="E785" s="4"/>
      <c r="F785" s="4"/>
      <c r="G785" s="4"/>
      <c r="H785" s="4"/>
      <c r="I785" s="4"/>
      <c r="J785" s="4"/>
      <c r="K785" s="4"/>
      <c r="L785" s="4"/>
      <c r="M785" s="4"/>
      <c r="N785" s="4"/>
      <c r="O785" s="4"/>
      <c r="P785" s="4"/>
      <c r="Q785" s="4"/>
      <c r="R785" s="4"/>
      <c r="S785" s="4"/>
      <c r="T785" s="4"/>
      <c r="U785" s="4"/>
      <c r="V785" s="4"/>
      <c r="W785" s="4"/>
      <c r="X785" s="4"/>
      <c r="Y785" s="4"/>
      <c r="Z785" s="4"/>
    </row>
    <row r="786">
      <c r="A786" s="13"/>
      <c r="B786" s="161"/>
      <c r="C786" s="13"/>
      <c r="D786" s="4"/>
      <c r="E786" s="4"/>
      <c r="F786" s="4"/>
      <c r="G786" s="4"/>
      <c r="H786" s="4"/>
      <c r="I786" s="4"/>
      <c r="J786" s="4"/>
      <c r="K786" s="4"/>
      <c r="L786" s="4"/>
      <c r="M786" s="4"/>
      <c r="N786" s="4"/>
      <c r="O786" s="4"/>
      <c r="P786" s="4"/>
      <c r="Q786" s="4"/>
      <c r="R786" s="4"/>
      <c r="S786" s="4"/>
      <c r="T786" s="4"/>
      <c r="U786" s="4"/>
      <c r="V786" s="4"/>
      <c r="W786" s="4"/>
      <c r="X786" s="4"/>
      <c r="Y786" s="4"/>
      <c r="Z786" s="4"/>
    </row>
    <row r="787">
      <c r="A787" s="13"/>
      <c r="B787" s="161"/>
      <c r="C787" s="13"/>
      <c r="D787" s="4"/>
      <c r="E787" s="4"/>
      <c r="F787" s="4"/>
      <c r="G787" s="4"/>
      <c r="H787" s="4"/>
      <c r="I787" s="4"/>
      <c r="J787" s="4"/>
      <c r="K787" s="4"/>
      <c r="L787" s="4"/>
      <c r="M787" s="4"/>
      <c r="N787" s="4"/>
      <c r="O787" s="4"/>
      <c r="P787" s="4"/>
      <c r="Q787" s="4"/>
      <c r="R787" s="4"/>
      <c r="S787" s="4"/>
      <c r="T787" s="4"/>
      <c r="U787" s="4"/>
      <c r="V787" s="4"/>
      <c r="W787" s="4"/>
      <c r="X787" s="4"/>
      <c r="Y787" s="4"/>
      <c r="Z787" s="4"/>
    </row>
    <row r="788">
      <c r="A788" s="13"/>
      <c r="B788" s="161"/>
      <c r="C788" s="13"/>
      <c r="D788" s="4"/>
      <c r="E788" s="4"/>
      <c r="F788" s="4"/>
      <c r="G788" s="4"/>
      <c r="H788" s="4"/>
      <c r="I788" s="4"/>
      <c r="J788" s="4"/>
      <c r="K788" s="4"/>
      <c r="L788" s="4"/>
      <c r="M788" s="4"/>
      <c r="N788" s="4"/>
      <c r="O788" s="4"/>
      <c r="P788" s="4"/>
      <c r="Q788" s="4"/>
      <c r="R788" s="4"/>
      <c r="S788" s="4"/>
      <c r="T788" s="4"/>
      <c r="U788" s="4"/>
      <c r="V788" s="4"/>
      <c r="W788" s="4"/>
      <c r="X788" s="4"/>
      <c r="Y788" s="4"/>
      <c r="Z788" s="4"/>
    </row>
    <row r="789">
      <c r="A789" s="13"/>
      <c r="B789" s="161"/>
      <c r="C789" s="13"/>
      <c r="D789" s="4"/>
      <c r="E789" s="4"/>
      <c r="F789" s="4"/>
      <c r="G789" s="4"/>
      <c r="H789" s="4"/>
      <c r="I789" s="4"/>
      <c r="J789" s="4"/>
      <c r="K789" s="4"/>
      <c r="L789" s="4"/>
      <c r="M789" s="4"/>
      <c r="N789" s="4"/>
      <c r="O789" s="4"/>
      <c r="P789" s="4"/>
      <c r="Q789" s="4"/>
      <c r="R789" s="4"/>
      <c r="S789" s="4"/>
      <c r="T789" s="4"/>
      <c r="U789" s="4"/>
      <c r="V789" s="4"/>
      <c r="W789" s="4"/>
      <c r="X789" s="4"/>
      <c r="Y789" s="4"/>
      <c r="Z789" s="4"/>
    </row>
    <row r="790">
      <c r="A790" s="13"/>
      <c r="B790" s="161"/>
      <c r="C790" s="13"/>
      <c r="D790" s="4"/>
      <c r="E790" s="4"/>
      <c r="F790" s="4"/>
      <c r="G790" s="4"/>
      <c r="H790" s="4"/>
      <c r="I790" s="4"/>
      <c r="J790" s="4"/>
      <c r="K790" s="4"/>
      <c r="L790" s="4"/>
      <c r="M790" s="4"/>
      <c r="N790" s="4"/>
      <c r="O790" s="4"/>
      <c r="P790" s="4"/>
      <c r="Q790" s="4"/>
      <c r="R790" s="4"/>
      <c r="S790" s="4"/>
      <c r="T790" s="4"/>
      <c r="U790" s="4"/>
      <c r="V790" s="4"/>
      <c r="W790" s="4"/>
      <c r="X790" s="4"/>
      <c r="Y790" s="4"/>
      <c r="Z790" s="4"/>
    </row>
    <row r="791">
      <c r="A791" s="13"/>
      <c r="B791" s="161"/>
      <c r="C791" s="13"/>
      <c r="D791" s="4"/>
      <c r="E791" s="4"/>
      <c r="F791" s="4"/>
      <c r="G791" s="4"/>
      <c r="H791" s="4"/>
      <c r="I791" s="4"/>
      <c r="J791" s="4"/>
      <c r="K791" s="4"/>
      <c r="L791" s="4"/>
      <c r="M791" s="4"/>
      <c r="N791" s="4"/>
      <c r="O791" s="4"/>
      <c r="P791" s="4"/>
      <c r="Q791" s="4"/>
      <c r="R791" s="4"/>
      <c r="S791" s="4"/>
      <c r="T791" s="4"/>
      <c r="U791" s="4"/>
      <c r="V791" s="4"/>
      <c r="W791" s="4"/>
      <c r="X791" s="4"/>
      <c r="Y791" s="4"/>
      <c r="Z791" s="4"/>
    </row>
    <row r="792">
      <c r="A792" s="13"/>
      <c r="B792" s="161"/>
      <c r="C792" s="13"/>
      <c r="D792" s="4"/>
      <c r="E792" s="4"/>
      <c r="F792" s="4"/>
      <c r="G792" s="4"/>
      <c r="H792" s="4"/>
      <c r="I792" s="4"/>
      <c r="J792" s="4"/>
      <c r="K792" s="4"/>
      <c r="L792" s="4"/>
      <c r="M792" s="4"/>
      <c r="N792" s="4"/>
      <c r="O792" s="4"/>
      <c r="P792" s="4"/>
      <c r="Q792" s="4"/>
      <c r="R792" s="4"/>
      <c r="S792" s="4"/>
      <c r="T792" s="4"/>
      <c r="U792" s="4"/>
      <c r="V792" s="4"/>
      <c r="W792" s="4"/>
      <c r="X792" s="4"/>
      <c r="Y792" s="4"/>
      <c r="Z792" s="4"/>
    </row>
    <row r="793">
      <c r="A793" s="13"/>
      <c r="B793" s="161"/>
      <c r="C793" s="13"/>
      <c r="D793" s="4"/>
      <c r="E793" s="4"/>
      <c r="F793" s="4"/>
      <c r="G793" s="4"/>
      <c r="H793" s="4"/>
      <c r="I793" s="4"/>
      <c r="J793" s="4"/>
      <c r="K793" s="4"/>
      <c r="L793" s="4"/>
      <c r="M793" s="4"/>
      <c r="N793" s="4"/>
      <c r="O793" s="4"/>
      <c r="P793" s="4"/>
      <c r="Q793" s="4"/>
      <c r="R793" s="4"/>
      <c r="S793" s="4"/>
      <c r="T793" s="4"/>
      <c r="U793" s="4"/>
      <c r="V793" s="4"/>
      <c r="W793" s="4"/>
      <c r="X793" s="4"/>
      <c r="Y793" s="4"/>
      <c r="Z793" s="4"/>
    </row>
    <row r="794">
      <c r="A794" s="13"/>
      <c r="B794" s="161"/>
      <c r="C794" s="13"/>
      <c r="D794" s="4"/>
      <c r="E794" s="4"/>
      <c r="F794" s="4"/>
      <c r="G794" s="4"/>
      <c r="H794" s="4"/>
      <c r="I794" s="4"/>
      <c r="J794" s="4"/>
      <c r="K794" s="4"/>
      <c r="L794" s="4"/>
      <c r="M794" s="4"/>
      <c r="N794" s="4"/>
      <c r="O794" s="4"/>
      <c r="P794" s="4"/>
      <c r="Q794" s="4"/>
      <c r="R794" s="4"/>
      <c r="S794" s="4"/>
      <c r="T794" s="4"/>
      <c r="U794" s="4"/>
      <c r="V794" s="4"/>
      <c r="W794" s="4"/>
      <c r="X794" s="4"/>
      <c r="Y794" s="4"/>
      <c r="Z794" s="4"/>
    </row>
    <row r="795">
      <c r="A795" s="13"/>
      <c r="B795" s="161"/>
      <c r="C795" s="13"/>
      <c r="D795" s="4"/>
      <c r="E795" s="4"/>
      <c r="F795" s="4"/>
      <c r="G795" s="4"/>
      <c r="H795" s="4"/>
      <c r="I795" s="4"/>
      <c r="J795" s="4"/>
      <c r="K795" s="4"/>
      <c r="L795" s="4"/>
      <c r="M795" s="4"/>
      <c r="N795" s="4"/>
      <c r="O795" s="4"/>
      <c r="P795" s="4"/>
      <c r="Q795" s="4"/>
      <c r="R795" s="4"/>
      <c r="S795" s="4"/>
      <c r="T795" s="4"/>
      <c r="U795" s="4"/>
      <c r="V795" s="4"/>
      <c r="W795" s="4"/>
      <c r="X795" s="4"/>
      <c r="Y795" s="4"/>
      <c r="Z795" s="4"/>
    </row>
    <row r="796">
      <c r="A796" s="13"/>
      <c r="B796" s="161"/>
      <c r="C796" s="13"/>
      <c r="D796" s="4"/>
      <c r="E796" s="4"/>
      <c r="F796" s="4"/>
      <c r="G796" s="4"/>
      <c r="H796" s="4"/>
      <c r="I796" s="4"/>
      <c r="J796" s="4"/>
      <c r="K796" s="4"/>
      <c r="L796" s="4"/>
      <c r="M796" s="4"/>
      <c r="N796" s="4"/>
      <c r="O796" s="4"/>
      <c r="P796" s="4"/>
      <c r="Q796" s="4"/>
      <c r="R796" s="4"/>
      <c r="S796" s="4"/>
      <c r="T796" s="4"/>
      <c r="U796" s="4"/>
      <c r="V796" s="4"/>
      <c r="W796" s="4"/>
      <c r="X796" s="4"/>
      <c r="Y796" s="4"/>
      <c r="Z796" s="4"/>
    </row>
    <row r="797">
      <c r="A797" s="13"/>
      <c r="B797" s="161"/>
      <c r="C797" s="13"/>
      <c r="D797" s="4"/>
      <c r="E797" s="4"/>
      <c r="F797" s="4"/>
      <c r="G797" s="4"/>
      <c r="H797" s="4"/>
      <c r="I797" s="4"/>
      <c r="J797" s="4"/>
      <c r="K797" s="4"/>
      <c r="L797" s="4"/>
      <c r="M797" s="4"/>
      <c r="N797" s="4"/>
      <c r="O797" s="4"/>
      <c r="P797" s="4"/>
      <c r="Q797" s="4"/>
      <c r="R797" s="4"/>
      <c r="S797" s="4"/>
      <c r="T797" s="4"/>
      <c r="U797" s="4"/>
      <c r="V797" s="4"/>
      <c r="W797" s="4"/>
      <c r="X797" s="4"/>
      <c r="Y797" s="4"/>
      <c r="Z797" s="4"/>
    </row>
    <row r="798">
      <c r="A798" s="13"/>
      <c r="B798" s="161"/>
      <c r="C798" s="13"/>
      <c r="D798" s="4"/>
      <c r="E798" s="4"/>
      <c r="F798" s="4"/>
      <c r="G798" s="4"/>
      <c r="H798" s="4"/>
      <c r="I798" s="4"/>
      <c r="J798" s="4"/>
      <c r="K798" s="4"/>
      <c r="L798" s="4"/>
      <c r="M798" s="4"/>
      <c r="N798" s="4"/>
      <c r="O798" s="4"/>
      <c r="P798" s="4"/>
      <c r="Q798" s="4"/>
      <c r="R798" s="4"/>
      <c r="S798" s="4"/>
      <c r="T798" s="4"/>
      <c r="U798" s="4"/>
      <c r="V798" s="4"/>
      <c r="W798" s="4"/>
      <c r="X798" s="4"/>
      <c r="Y798" s="4"/>
      <c r="Z798" s="4"/>
    </row>
    <row r="799">
      <c r="A799" s="13"/>
      <c r="B799" s="161"/>
      <c r="C799" s="13"/>
      <c r="D799" s="4"/>
      <c r="E799" s="4"/>
      <c r="F799" s="4"/>
      <c r="G799" s="4"/>
      <c r="H799" s="4"/>
      <c r="I799" s="4"/>
      <c r="J799" s="4"/>
      <c r="K799" s="4"/>
      <c r="L799" s="4"/>
      <c r="M799" s="4"/>
      <c r="N799" s="4"/>
      <c r="O799" s="4"/>
      <c r="P799" s="4"/>
      <c r="Q799" s="4"/>
      <c r="R799" s="4"/>
      <c r="S799" s="4"/>
      <c r="T799" s="4"/>
      <c r="U799" s="4"/>
      <c r="V799" s="4"/>
      <c r="W799" s="4"/>
      <c r="X799" s="4"/>
      <c r="Y799" s="4"/>
      <c r="Z799" s="4"/>
    </row>
    <row r="800">
      <c r="A800" s="13"/>
      <c r="B800" s="161"/>
      <c r="C800" s="13"/>
      <c r="D800" s="4"/>
      <c r="E800" s="4"/>
      <c r="F800" s="4"/>
      <c r="G800" s="4"/>
      <c r="H800" s="4"/>
      <c r="I800" s="4"/>
      <c r="J800" s="4"/>
      <c r="K800" s="4"/>
      <c r="L800" s="4"/>
      <c r="M800" s="4"/>
      <c r="N800" s="4"/>
      <c r="O800" s="4"/>
      <c r="P800" s="4"/>
      <c r="Q800" s="4"/>
      <c r="R800" s="4"/>
      <c r="S800" s="4"/>
      <c r="T800" s="4"/>
      <c r="U800" s="4"/>
      <c r="V800" s="4"/>
      <c r="W800" s="4"/>
      <c r="X800" s="4"/>
      <c r="Y800" s="4"/>
      <c r="Z800" s="4"/>
    </row>
    <row r="801">
      <c r="A801" s="13"/>
      <c r="B801" s="161"/>
      <c r="C801" s="13"/>
      <c r="D801" s="4"/>
      <c r="E801" s="4"/>
      <c r="F801" s="4"/>
      <c r="G801" s="4"/>
      <c r="H801" s="4"/>
      <c r="I801" s="4"/>
      <c r="J801" s="4"/>
      <c r="K801" s="4"/>
      <c r="L801" s="4"/>
      <c r="M801" s="4"/>
      <c r="N801" s="4"/>
      <c r="O801" s="4"/>
      <c r="P801" s="4"/>
      <c r="Q801" s="4"/>
      <c r="R801" s="4"/>
      <c r="S801" s="4"/>
      <c r="T801" s="4"/>
      <c r="U801" s="4"/>
      <c r="V801" s="4"/>
      <c r="W801" s="4"/>
      <c r="X801" s="4"/>
      <c r="Y801" s="4"/>
      <c r="Z801" s="4"/>
    </row>
    <row r="802">
      <c r="A802" s="13"/>
      <c r="B802" s="161"/>
      <c r="C802" s="13"/>
      <c r="D802" s="4"/>
      <c r="E802" s="4"/>
      <c r="F802" s="4"/>
      <c r="G802" s="4"/>
      <c r="H802" s="4"/>
      <c r="I802" s="4"/>
      <c r="J802" s="4"/>
      <c r="K802" s="4"/>
      <c r="L802" s="4"/>
      <c r="M802" s="4"/>
      <c r="N802" s="4"/>
      <c r="O802" s="4"/>
      <c r="P802" s="4"/>
      <c r="Q802" s="4"/>
      <c r="R802" s="4"/>
      <c r="S802" s="4"/>
      <c r="T802" s="4"/>
      <c r="U802" s="4"/>
      <c r="V802" s="4"/>
      <c r="W802" s="4"/>
      <c r="X802" s="4"/>
      <c r="Y802" s="4"/>
      <c r="Z802" s="4"/>
    </row>
    <row r="803">
      <c r="A803" s="13"/>
      <c r="B803" s="161"/>
      <c r="C803" s="13"/>
      <c r="D803" s="4"/>
      <c r="E803" s="4"/>
      <c r="F803" s="4"/>
      <c r="G803" s="4"/>
      <c r="H803" s="4"/>
      <c r="I803" s="4"/>
      <c r="J803" s="4"/>
      <c r="K803" s="4"/>
      <c r="L803" s="4"/>
      <c r="M803" s="4"/>
      <c r="N803" s="4"/>
      <c r="O803" s="4"/>
      <c r="P803" s="4"/>
      <c r="Q803" s="4"/>
      <c r="R803" s="4"/>
      <c r="S803" s="4"/>
      <c r="T803" s="4"/>
      <c r="U803" s="4"/>
      <c r="V803" s="4"/>
      <c r="W803" s="4"/>
      <c r="X803" s="4"/>
      <c r="Y803" s="4"/>
      <c r="Z803" s="4"/>
    </row>
    <row r="804">
      <c r="A804" s="13"/>
      <c r="B804" s="161"/>
      <c r="C804" s="13"/>
      <c r="D804" s="4"/>
      <c r="E804" s="4"/>
      <c r="F804" s="4"/>
      <c r="G804" s="4"/>
      <c r="H804" s="4"/>
      <c r="I804" s="4"/>
      <c r="J804" s="4"/>
      <c r="K804" s="4"/>
      <c r="L804" s="4"/>
      <c r="M804" s="4"/>
      <c r="N804" s="4"/>
      <c r="O804" s="4"/>
      <c r="P804" s="4"/>
      <c r="Q804" s="4"/>
      <c r="R804" s="4"/>
      <c r="S804" s="4"/>
      <c r="T804" s="4"/>
      <c r="U804" s="4"/>
      <c r="V804" s="4"/>
      <c r="W804" s="4"/>
      <c r="X804" s="4"/>
      <c r="Y804" s="4"/>
      <c r="Z804" s="4"/>
    </row>
    <row r="805">
      <c r="A805" s="13"/>
      <c r="B805" s="161"/>
      <c r="C805" s="13"/>
      <c r="D805" s="4"/>
      <c r="E805" s="4"/>
      <c r="F805" s="4"/>
      <c r="G805" s="4"/>
      <c r="H805" s="4"/>
      <c r="I805" s="4"/>
      <c r="J805" s="4"/>
      <c r="K805" s="4"/>
      <c r="L805" s="4"/>
      <c r="M805" s="4"/>
      <c r="N805" s="4"/>
      <c r="O805" s="4"/>
      <c r="P805" s="4"/>
      <c r="Q805" s="4"/>
      <c r="R805" s="4"/>
      <c r="S805" s="4"/>
      <c r="T805" s="4"/>
      <c r="U805" s="4"/>
      <c r="V805" s="4"/>
      <c r="W805" s="4"/>
      <c r="X805" s="4"/>
      <c r="Y805" s="4"/>
      <c r="Z805" s="4"/>
    </row>
    <row r="806">
      <c r="A806" s="13"/>
      <c r="B806" s="161"/>
      <c r="C806" s="13"/>
      <c r="D806" s="4"/>
      <c r="E806" s="4"/>
      <c r="F806" s="4"/>
      <c r="G806" s="4"/>
      <c r="H806" s="4"/>
      <c r="I806" s="4"/>
      <c r="J806" s="4"/>
      <c r="K806" s="4"/>
      <c r="L806" s="4"/>
      <c r="M806" s="4"/>
      <c r="N806" s="4"/>
      <c r="O806" s="4"/>
      <c r="P806" s="4"/>
      <c r="Q806" s="4"/>
      <c r="R806" s="4"/>
      <c r="S806" s="4"/>
      <c r="T806" s="4"/>
      <c r="U806" s="4"/>
      <c r="V806" s="4"/>
      <c r="W806" s="4"/>
      <c r="X806" s="4"/>
      <c r="Y806" s="4"/>
      <c r="Z806" s="4"/>
    </row>
    <row r="807">
      <c r="A807" s="13"/>
      <c r="B807" s="161"/>
      <c r="C807" s="13"/>
      <c r="D807" s="4"/>
      <c r="E807" s="4"/>
      <c r="F807" s="4"/>
      <c r="G807" s="4"/>
      <c r="H807" s="4"/>
      <c r="I807" s="4"/>
      <c r="J807" s="4"/>
      <c r="K807" s="4"/>
      <c r="L807" s="4"/>
      <c r="M807" s="4"/>
      <c r="N807" s="4"/>
      <c r="O807" s="4"/>
      <c r="P807" s="4"/>
      <c r="Q807" s="4"/>
      <c r="R807" s="4"/>
      <c r="S807" s="4"/>
      <c r="T807" s="4"/>
      <c r="U807" s="4"/>
      <c r="V807" s="4"/>
      <c r="W807" s="4"/>
      <c r="X807" s="4"/>
      <c r="Y807" s="4"/>
      <c r="Z807" s="4"/>
    </row>
    <row r="808">
      <c r="A808" s="13"/>
      <c r="B808" s="161"/>
      <c r="C808" s="13"/>
      <c r="D808" s="4"/>
      <c r="E808" s="4"/>
      <c r="F808" s="4"/>
      <c r="G808" s="4"/>
      <c r="H808" s="4"/>
      <c r="I808" s="4"/>
      <c r="J808" s="4"/>
      <c r="K808" s="4"/>
      <c r="L808" s="4"/>
      <c r="M808" s="4"/>
      <c r="N808" s="4"/>
      <c r="O808" s="4"/>
      <c r="P808" s="4"/>
      <c r="Q808" s="4"/>
      <c r="R808" s="4"/>
      <c r="S808" s="4"/>
      <c r="T808" s="4"/>
      <c r="U808" s="4"/>
      <c r="V808" s="4"/>
      <c r="W808" s="4"/>
      <c r="X808" s="4"/>
      <c r="Y808" s="4"/>
      <c r="Z808" s="4"/>
    </row>
    <row r="809">
      <c r="A809" s="13"/>
      <c r="B809" s="161"/>
      <c r="C809" s="13"/>
      <c r="D809" s="4"/>
      <c r="E809" s="4"/>
      <c r="F809" s="4"/>
      <c r="G809" s="4"/>
      <c r="H809" s="4"/>
      <c r="I809" s="4"/>
      <c r="J809" s="4"/>
      <c r="K809" s="4"/>
      <c r="L809" s="4"/>
      <c r="M809" s="4"/>
      <c r="N809" s="4"/>
      <c r="O809" s="4"/>
      <c r="P809" s="4"/>
      <c r="Q809" s="4"/>
      <c r="R809" s="4"/>
      <c r="S809" s="4"/>
      <c r="T809" s="4"/>
      <c r="U809" s="4"/>
      <c r="V809" s="4"/>
      <c r="W809" s="4"/>
      <c r="X809" s="4"/>
      <c r="Y809" s="4"/>
      <c r="Z809" s="4"/>
    </row>
    <row r="810">
      <c r="A810" s="13"/>
      <c r="B810" s="161"/>
      <c r="C810" s="13"/>
      <c r="D810" s="4"/>
      <c r="E810" s="4"/>
      <c r="F810" s="4"/>
      <c r="G810" s="4"/>
      <c r="H810" s="4"/>
      <c r="I810" s="4"/>
      <c r="J810" s="4"/>
      <c r="K810" s="4"/>
      <c r="L810" s="4"/>
      <c r="M810" s="4"/>
      <c r="N810" s="4"/>
      <c r="O810" s="4"/>
      <c r="P810" s="4"/>
      <c r="Q810" s="4"/>
      <c r="R810" s="4"/>
      <c r="S810" s="4"/>
      <c r="T810" s="4"/>
      <c r="U810" s="4"/>
      <c r="V810" s="4"/>
      <c r="W810" s="4"/>
      <c r="X810" s="4"/>
      <c r="Y810" s="4"/>
      <c r="Z810" s="4"/>
    </row>
    <row r="811">
      <c r="A811" s="13"/>
      <c r="B811" s="161"/>
      <c r="C811" s="13"/>
      <c r="D811" s="4"/>
      <c r="E811" s="4"/>
      <c r="F811" s="4"/>
      <c r="G811" s="4"/>
      <c r="H811" s="4"/>
      <c r="I811" s="4"/>
      <c r="J811" s="4"/>
      <c r="K811" s="4"/>
      <c r="L811" s="4"/>
      <c r="M811" s="4"/>
      <c r="N811" s="4"/>
      <c r="O811" s="4"/>
      <c r="P811" s="4"/>
      <c r="Q811" s="4"/>
      <c r="R811" s="4"/>
      <c r="S811" s="4"/>
      <c r="T811" s="4"/>
      <c r="U811" s="4"/>
      <c r="V811" s="4"/>
      <c r="W811" s="4"/>
      <c r="X811" s="4"/>
      <c r="Y811" s="4"/>
      <c r="Z811" s="4"/>
    </row>
    <row r="812">
      <c r="A812" s="13"/>
      <c r="B812" s="161"/>
      <c r="C812" s="13"/>
      <c r="D812" s="4"/>
      <c r="E812" s="4"/>
      <c r="F812" s="4"/>
      <c r="G812" s="4"/>
      <c r="H812" s="4"/>
      <c r="I812" s="4"/>
      <c r="J812" s="4"/>
      <c r="K812" s="4"/>
      <c r="L812" s="4"/>
      <c r="M812" s="4"/>
      <c r="N812" s="4"/>
      <c r="O812" s="4"/>
      <c r="P812" s="4"/>
      <c r="Q812" s="4"/>
      <c r="R812" s="4"/>
      <c r="S812" s="4"/>
      <c r="T812" s="4"/>
      <c r="U812" s="4"/>
      <c r="V812" s="4"/>
      <c r="W812" s="4"/>
      <c r="X812" s="4"/>
      <c r="Y812" s="4"/>
      <c r="Z812" s="4"/>
    </row>
    <row r="813">
      <c r="A813" s="13"/>
      <c r="B813" s="161"/>
      <c r="C813" s="13"/>
      <c r="D813" s="4"/>
      <c r="E813" s="4"/>
      <c r="F813" s="4"/>
      <c r="G813" s="4"/>
      <c r="H813" s="4"/>
      <c r="I813" s="4"/>
      <c r="J813" s="4"/>
      <c r="K813" s="4"/>
      <c r="L813" s="4"/>
      <c r="M813" s="4"/>
      <c r="N813" s="4"/>
      <c r="O813" s="4"/>
      <c r="P813" s="4"/>
      <c r="Q813" s="4"/>
      <c r="R813" s="4"/>
      <c r="S813" s="4"/>
      <c r="T813" s="4"/>
      <c r="U813" s="4"/>
      <c r="V813" s="4"/>
      <c r="W813" s="4"/>
      <c r="X813" s="4"/>
      <c r="Y813" s="4"/>
      <c r="Z813" s="4"/>
    </row>
    <row r="814">
      <c r="A814" s="13"/>
      <c r="B814" s="161"/>
      <c r="C814" s="13"/>
      <c r="D814" s="4"/>
      <c r="E814" s="4"/>
      <c r="F814" s="4"/>
      <c r="G814" s="4"/>
      <c r="H814" s="4"/>
      <c r="I814" s="4"/>
      <c r="J814" s="4"/>
      <c r="K814" s="4"/>
      <c r="L814" s="4"/>
      <c r="M814" s="4"/>
      <c r="N814" s="4"/>
      <c r="O814" s="4"/>
      <c r="P814" s="4"/>
      <c r="Q814" s="4"/>
      <c r="R814" s="4"/>
      <c r="S814" s="4"/>
      <c r="T814" s="4"/>
      <c r="U814" s="4"/>
      <c r="V814" s="4"/>
      <c r="W814" s="4"/>
      <c r="X814" s="4"/>
      <c r="Y814" s="4"/>
      <c r="Z814" s="4"/>
    </row>
    <row r="815">
      <c r="A815" s="13"/>
      <c r="B815" s="161"/>
      <c r="C815" s="13"/>
      <c r="D815" s="4"/>
      <c r="E815" s="4"/>
      <c r="F815" s="4"/>
      <c r="G815" s="4"/>
      <c r="H815" s="4"/>
      <c r="I815" s="4"/>
      <c r="J815" s="4"/>
      <c r="K815" s="4"/>
      <c r="L815" s="4"/>
      <c r="M815" s="4"/>
      <c r="N815" s="4"/>
      <c r="O815" s="4"/>
      <c r="P815" s="4"/>
      <c r="Q815" s="4"/>
      <c r="R815" s="4"/>
      <c r="S815" s="4"/>
      <c r="T815" s="4"/>
      <c r="U815" s="4"/>
      <c r="V815" s="4"/>
      <c r="W815" s="4"/>
      <c r="X815" s="4"/>
      <c r="Y815" s="4"/>
      <c r="Z815" s="4"/>
    </row>
    <row r="816">
      <c r="A816" s="13"/>
      <c r="B816" s="161"/>
      <c r="C816" s="13"/>
      <c r="D816" s="4"/>
      <c r="E816" s="4"/>
      <c r="F816" s="4"/>
      <c r="G816" s="4"/>
      <c r="H816" s="4"/>
      <c r="I816" s="4"/>
      <c r="J816" s="4"/>
      <c r="K816" s="4"/>
      <c r="L816" s="4"/>
      <c r="M816" s="4"/>
      <c r="N816" s="4"/>
      <c r="O816" s="4"/>
      <c r="P816" s="4"/>
      <c r="Q816" s="4"/>
      <c r="R816" s="4"/>
      <c r="S816" s="4"/>
      <c r="T816" s="4"/>
      <c r="U816" s="4"/>
      <c r="V816" s="4"/>
      <c r="W816" s="4"/>
      <c r="X816" s="4"/>
      <c r="Y816" s="4"/>
      <c r="Z816" s="4"/>
    </row>
    <row r="817">
      <c r="A817" s="13"/>
      <c r="B817" s="161"/>
      <c r="C817" s="13"/>
      <c r="D817" s="4"/>
      <c r="E817" s="4"/>
      <c r="F817" s="4"/>
      <c r="G817" s="4"/>
      <c r="H817" s="4"/>
      <c r="I817" s="4"/>
      <c r="J817" s="4"/>
      <c r="K817" s="4"/>
      <c r="L817" s="4"/>
      <c r="M817" s="4"/>
      <c r="N817" s="4"/>
      <c r="O817" s="4"/>
      <c r="P817" s="4"/>
      <c r="Q817" s="4"/>
      <c r="R817" s="4"/>
      <c r="S817" s="4"/>
      <c r="T817" s="4"/>
      <c r="U817" s="4"/>
      <c r="V817" s="4"/>
      <c r="W817" s="4"/>
      <c r="X817" s="4"/>
      <c r="Y817" s="4"/>
      <c r="Z817" s="4"/>
    </row>
    <row r="818">
      <c r="A818" s="13"/>
      <c r="B818" s="161"/>
      <c r="C818" s="13"/>
      <c r="D818" s="4"/>
      <c r="E818" s="4"/>
      <c r="F818" s="4"/>
      <c r="G818" s="4"/>
      <c r="H818" s="4"/>
      <c r="I818" s="4"/>
      <c r="J818" s="4"/>
      <c r="K818" s="4"/>
      <c r="L818" s="4"/>
      <c r="M818" s="4"/>
      <c r="N818" s="4"/>
      <c r="O818" s="4"/>
      <c r="P818" s="4"/>
      <c r="Q818" s="4"/>
      <c r="R818" s="4"/>
      <c r="S818" s="4"/>
      <c r="T818" s="4"/>
      <c r="U818" s="4"/>
      <c r="V818" s="4"/>
      <c r="W818" s="4"/>
      <c r="X818" s="4"/>
      <c r="Y818" s="4"/>
      <c r="Z818" s="4"/>
    </row>
    <row r="819">
      <c r="A819" s="13"/>
      <c r="B819" s="161"/>
      <c r="C819" s="13"/>
      <c r="D819" s="4"/>
      <c r="E819" s="4"/>
      <c r="F819" s="4"/>
      <c r="G819" s="4"/>
      <c r="H819" s="4"/>
      <c r="I819" s="4"/>
      <c r="J819" s="4"/>
      <c r="K819" s="4"/>
      <c r="L819" s="4"/>
      <c r="M819" s="4"/>
      <c r="N819" s="4"/>
      <c r="O819" s="4"/>
      <c r="P819" s="4"/>
      <c r="Q819" s="4"/>
      <c r="R819" s="4"/>
      <c r="S819" s="4"/>
      <c r="T819" s="4"/>
      <c r="U819" s="4"/>
      <c r="V819" s="4"/>
      <c r="W819" s="4"/>
      <c r="X819" s="4"/>
      <c r="Y819" s="4"/>
      <c r="Z819" s="4"/>
    </row>
    <row r="820">
      <c r="A820" s="13"/>
      <c r="B820" s="161"/>
      <c r="C820" s="13"/>
      <c r="D820" s="4"/>
      <c r="E820" s="4"/>
      <c r="F820" s="4"/>
      <c r="G820" s="4"/>
      <c r="H820" s="4"/>
      <c r="I820" s="4"/>
      <c r="J820" s="4"/>
      <c r="K820" s="4"/>
      <c r="L820" s="4"/>
      <c r="M820" s="4"/>
      <c r="N820" s="4"/>
      <c r="O820" s="4"/>
      <c r="P820" s="4"/>
      <c r="Q820" s="4"/>
      <c r="R820" s="4"/>
      <c r="S820" s="4"/>
      <c r="T820" s="4"/>
      <c r="U820" s="4"/>
      <c r="V820" s="4"/>
      <c r="W820" s="4"/>
      <c r="X820" s="4"/>
      <c r="Y820" s="4"/>
      <c r="Z820" s="4"/>
    </row>
    <row r="821">
      <c r="A821" s="13"/>
      <c r="B821" s="161"/>
      <c r="C821" s="13"/>
      <c r="D821" s="4"/>
      <c r="E821" s="4"/>
      <c r="F821" s="4"/>
      <c r="G821" s="4"/>
      <c r="H821" s="4"/>
      <c r="I821" s="4"/>
      <c r="J821" s="4"/>
      <c r="K821" s="4"/>
      <c r="L821" s="4"/>
      <c r="M821" s="4"/>
      <c r="N821" s="4"/>
      <c r="O821" s="4"/>
      <c r="P821" s="4"/>
      <c r="Q821" s="4"/>
      <c r="R821" s="4"/>
      <c r="S821" s="4"/>
      <c r="T821" s="4"/>
      <c r="U821" s="4"/>
      <c r="V821" s="4"/>
      <c r="W821" s="4"/>
      <c r="X821" s="4"/>
      <c r="Y821" s="4"/>
      <c r="Z821" s="4"/>
    </row>
    <row r="822">
      <c r="A822" s="13"/>
      <c r="B822" s="161"/>
      <c r="C822" s="13"/>
      <c r="D822" s="4"/>
      <c r="E822" s="4"/>
      <c r="F822" s="4"/>
      <c r="G822" s="4"/>
      <c r="H822" s="4"/>
      <c r="I822" s="4"/>
      <c r="J822" s="4"/>
      <c r="K822" s="4"/>
      <c r="L822" s="4"/>
      <c r="M822" s="4"/>
      <c r="N822" s="4"/>
      <c r="O822" s="4"/>
      <c r="P822" s="4"/>
      <c r="Q822" s="4"/>
      <c r="R822" s="4"/>
      <c r="S822" s="4"/>
      <c r="T822" s="4"/>
      <c r="U822" s="4"/>
      <c r="V822" s="4"/>
      <c r="W822" s="4"/>
      <c r="X822" s="4"/>
      <c r="Y822" s="4"/>
      <c r="Z822" s="4"/>
    </row>
    <row r="823">
      <c r="A823" s="13"/>
      <c r="B823" s="161"/>
      <c r="C823" s="13"/>
      <c r="D823" s="4"/>
      <c r="E823" s="4"/>
      <c r="F823" s="4"/>
      <c r="G823" s="4"/>
      <c r="H823" s="4"/>
      <c r="I823" s="4"/>
      <c r="J823" s="4"/>
      <c r="K823" s="4"/>
      <c r="L823" s="4"/>
      <c r="M823" s="4"/>
      <c r="N823" s="4"/>
      <c r="O823" s="4"/>
      <c r="P823" s="4"/>
      <c r="Q823" s="4"/>
      <c r="R823" s="4"/>
      <c r="S823" s="4"/>
      <c r="T823" s="4"/>
      <c r="U823" s="4"/>
      <c r="V823" s="4"/>
      <c r="W823" s="4"/>
      <c r="X823" s="4"/>
      <c r="Y823" s="4"/>
      <c r="Z823" s="4"/>
    </row>
    <row r="824">
      <c r="A824" s="13"/>
      <c r="B824" s="161"/>
      <c r="C824" s="13"/>
      <c r="D824" s="4"/>
      <c r="E824" s="4"/>
      <c r="F824" s="4"/>
      <c r="G824" s="4"/>
      <c r="H824" s="4"/>
      <c r="I824" s="4"/>
      <c r="J824" s="4"/>
      <c r="K824" s="4"/>
      <c r="L824" s="4"/>
      <c r="M824" s="4"/>
      <c r="N824" s="4"/>
      <c r="O824" s="4"/>
      <c r="P824" s="4"/>
      <c r="Q824" s="4"/>
      <c r="R824" s="4"/>
      <c r="S824" s="4"/>
      <c r="T824" s="4"/>
      <c r="U824" s="4"/>
      <c r="V824" s="4"/>
      <c r="W824" s="4"/>
      <c r="X824" s="4"/>
      <c r="Y824" s="4"/>
      <c r="Z824" s="4"/>
    </row>
    <row r="825">
      <c r="A825" s="13"/>
      <c r="B825" s="161"/>
      <c r="C825" s="13"/>
      <c r="D825" s="4"/>
      <c r="E825" s="4"/>
      <c r="F825" s="4"/>
      <c r="G825" s="4"/>
      <c r="H825" s="4"/>
      <c r="I825" s="4"/>
      <c r="J825" s="4"/>
      <c r="K825" s="4"/>
      <c r="L825" s="4"/>
      <c r="M825" s="4"/>
      <c r="N825" s="4"/>
      <c r="O825" s="4"/>
      <c r="P825" s="4"/>
      <c r="Q825" s="4"/>
      <c r="R825" s="4"/>
      <c r="S825" s="4"/>
      <c r="T825" s="4"/>
      <c r="U825" s="4"/>
      <c r="V825" s="4"/>
      <c r="W825" s="4"/>
      <c r="X825" s="4"/>
      <c r="Y825" s="4"/>
      <c r="Z825" s="4"/>
    </row>
    <row r="826">
      <c r="A826" s="13"/>
      <c r="B826" s="161"/>
      <c r="C826" s="13"/>
      <c r="D826" s="4"/>
      <c r="E826" s="4"/>
      <c r="F826" s="4"/>
      <c r="G826" s="4"/>
      <c r="H826" s="4"/>
      <c r="I826" s="4"/>
      <c r="J826" s="4"/>
      <c r="K826" s="4"/>
      <c r="L826" s="4"/>
      <c r="M826" s="4"/>
      <c r="N826" s="4"/>
      <c r="O826" s="4"/>
      <c r="P826" s="4"/>
      <c r="Q826" s="4"/>
      <c r="R826" s="4"/>
      <c r="S826" s="4"/>
      <c r="T826" s="4"/>
      <c r="U826" s="4"/>
      <c r="V826" s="4"/>
      <c r="W826" s="4"/>
      <c r="X826" s="4"/>
      <c r="Y826" s="4"/>
      <c r="Z826" s="4"/>
    </row>
    <row r="827">
      <c r="A827" s="13"/>
      <c r="B827" s="161"/>
      <c r="C827" s="13"/>
      <c r="D827" s="4"/>
      <c r="E827" s="4"/>
      <c r="F827" s="4"/>
      <c r="G827" s="4"/>
      <c r="H827" s="4"/>
      <c r="I827" s="4"/>
      <c r="J827" s="4"/>
      <c r="K827" s="4"/>
      <c r="L827" s="4"/>
      <c r="M827" s="4"/>
      <c r="N827" s="4"/>
      <c r="O827" s="4"/>
      <c r="P827" s="4"/>
      <c r="Q827" s="4"/>
      <c r="R827" s="4"/>
      <c r="S827" s="4"/>
      <c r="T827" s="4"/>
      <c r="U827" s="4"/>
      <c r="V827" s="4"/>
      <c r="W827" s="4"/>
      <c r="X827" s="4"/>
      <c r="Y827" s="4"/>
      <c r="Z827" s="4"/>
    </row>
    <row r="828">
      <c r="A828" s="13"/>
      <c r="B828" s="161"/>
      <c r="C828" s="13"/>
      <c r="D828" s="4"/>
      <c r="E828" s="4"/>
      <c r="F828" s="4"/>
      <c r="G828" s="4"/>
      <c r="H828" s="4"/>
      <c r="I828" s="4"/>
      <c r="J828" s="4"/>
      <c r="K828" s="4"/>
      <c r="L828" s="4"/>
      <c r="M828" s="4"/>
      <c r="N828" s="4"/>
      <c r="O828" s="4"/>
      <c r="P828" s="4"/>
      <c r="Q828" s="4"/>
      <c r="R828" s="4"/>
      <c r="S828" s="4"/>
      <c r="T828" s="4"/>
      <c r="U828" s="4"/>
      <c r="V828" s="4"/>
      <c r="W828" s="4"/>
      <c r="X828" s="4"/>
      <c r="Y828" s="4"/>
      <c r="Z828" s="4"/>
    </row>
    <row r="829">
      <c r="A829" s="13"/>
      <c r="B829" s="161"/>
      <c r="C829" s="13"/>
      <c r="D829" s="4"/>
      <c r="E829" s="4"/>
      <c r="F829" s="4"/>
      <c r="G829" s="4"/>
      <c r="H829" s="4"/>
      <c r="I829" s="4"/>
      <c r="J829" s="4"/>
      <c r="K829" s="4"/>
      <c r="L829" s="4"/>
      <c r="M829" s="4"/>
      <c r="N829" s="4"/>
      <c r="O829" s="4"/>
      <c r="P829" s="4"/>
      <c r="Q829" s="4"/>
      <c r="R829" s="4"/>
      <c r="S829" s="4"/>
      <c r="T829" s="4"/>
      <c r="U829" s="4"/>
      <c r="V829" s="4"/>
      <c r="W829" s="4"/>
      <c r="X829" s="4"/>
      <c r="Y829" s="4"/>
      <c r="Z829" s="4"/>
    </row>
    <row r="830">
      <c r="A830" s="13"/>
      <c r="B830" s="161"/>
      <c r="C830" s="13"/>
      <c r="D830" s="4"/>
      <c r="E830" s="4"/>
      <c r="F830" s="4"/>
      <c r="G830" s="4"/>
      <c r="H830" s="4"/>
      <c r="I830" s="4"/>
      <c r="J830" s="4"/>
      <c r="K830" s="4"/>
      <c r="L830" s="4"/>
      <c r="M830" s="4"/>
      <c r="N830" s="4"/>
      <c r="O830" s="4"/>
      <c r="P830" s="4"/>
      <c r="Q830" s="4"/>
      <c r="R830" s="4"/>
      <c r="S830" s="4"/>
      <c r="T830" s="4"/>
      <c r="U830" s="4"/>
      <c r="V830" s="4"/>
      <c r="W830" s="4"/>
      <c r="X830" s="4"/>
      <c r="Y830" s="4"/>
      <c r="Z830" s="4"/>
    </row>
    <row r="831">
      <c r="A831" s="13"/>
      <c r="B831" s="161"/>
      <c r="C831" s="13"/>
      <c r="D831" s="4"/>
      <c r="E831" s="4"/>
      <c r="F831" s="4"/>
      <c r="G831" s="4"/>
      <c r="H831" s="4"/>
      <c r="I831" s="4"/>
      <c r="J831" s="4"/>
      <c r="K831" s="4"/>
      <c r="L831" s="4"/>
      <c r="M831" s="4"/>
      <c r="N831" s="4"/>
      <c r="O831" s="4"/>
      <c r="P831" s="4"/>
      <c r="Q831" s="4"/>
      <c r="R831" s="4"/>
      <c r="S831" s="4"/>
      <c r="T831" s="4"/>
      <c r="U831" s="4"/>
      <c r="V831" s="4"/>
      <c r="W831" s="4"/>
      <c r="X831" s="4"/>
      <c r="Y831" s="4"/>
      <c r="Z831" s="4"/>
    </row>
    <row r="832">
      <c r="A832" s="13"/>
      <c r="B832" s="161"/>
      <c r="C832" s="13"/>
      <c r="D832" s="4"/>
      <c r="E832" s="4"/>
      <c r="F832" s="4"/>
      <c r="G832" s="4"/>
      <c r="H832" s="4"/>
      <c r="I832" s="4"/>
      <c r="J832" s="4"/>
      <c r="K832" s="4"/>
      <c r="L832" s="4"/>
      <c r="M832" s="4"/>
      <c r="N832" s="4"/>
      <c r="O832" s="4"/>
      <c r="P832" s="4"/>
      <c r="Q832" s="4"/>
      <c r="R832" s="4"/>
      <c r="S832" s="4"/>
      <c r="T832" s="4"/>
      <c r="U832" s="4"/>
      <c r="V832" s="4"/>
      <c r="W832" s="4"/>
      <c r="X832" s="4"/>
      <c r="Y832" s="4"/>
      <c r="Z832" s="4"/>
    </row>
    <row r="833">
      <c r="A833" s="13"/>
      <c r="B833" s="161"/>
      <c r="C833" s="13"/>
      <c r="D833" s="4"/>
      <c r="E833" s="4"/>
      <c r="F833" s="4"/>
      <c r="G833" s="4"/>
      <c r="H833" s="4"/>
      <c r="I833" s="4"/>
      <c r="J833" s="4"/>
      <c r="K833" s="4"/>
      <c r="L833" s="4"/>
      <c r="M833" s="4"/>
      <c r="N833" s="4"/>
      <c r="O833" s="4"/>
      <c r="P833" s="4"/>
      <c r="Q833" s="4"/>
      <c r="R833" s="4"/>
      <c r="S833" s="4"/>
      <c r="T833" s="4"/>
      <c r="U833" s="4"/>
      <c r="V833" s="4"/>
      <c r="W833" s="4"/>
      <c r="X833" s="4"/>
      <c r="Y833" s="4"/>
      <c r="Z833" s="4"/>
    </row>
    <row r="834">
      <c r="A834" s="13"/>
      <c r="B834" s="161"/>
      <c r="C834" s="13"/>
      <c r="D834" s="4"/>
      <c r="E834" s="4"/>
      <c r="F834" s="4"/>
      <c r="G834" s="4"/>
      <c r="H834" s="4"/>
      <c r="I834" s="4"/>
      <c r="J834" s="4"/>
      <c r="K834" s="4"/>
      <c r="L834" s="4"/>
      <c r="M834" s="4"/>
      <c r="N834" s="4"/>
      <c r="O834" s="4"/>
      <c r="P834" s="4"/>
      <c r="Q834" s="4"/>
      <c r="R834" s="4"/>
      <c r="S834" s="4"/>
      <c r="T834" s="4"/>
      <c r="U834" s="4"/>
      <c r="V834" s="4"/>
      <c r="W834" s="4"/>
      <c r="X834" s="4"/>
      <c r="Y834" s="4"/>
      <c r="Z834" s="4"/>
    </row>
    <row r="835">
      <c r="A835" s="13"/>
      <c r="B835" s="161"/>
      <c r="C835" s="13"/>
      <c r="D835" s="4"/>
      <c r="E835" s="4"/>
      <c r="F835" s="4"/>
      <c r="G835" s="4"/>
      <c r="H835" s="4"/>
      <c r="I835" s="4"/>
      <c r="J835" s="4"/>
      <c r="K835" s="4"/>
      <c r="L835" s="4"/>
      <c r="M835" s="4"/>
      <c r="N835" s="4"/>
      <c r="O835" s="4"/>
      <c r="P835" s="4"/>
      <c r="Q835" s="4"/>
      <c r="R835" s="4"/>
      <c r="S835" s="4"/>
      <c r="T835" s="4"/>
      <c r="U835" s="4"/>
      <c r="V835" s="4"/>
      <c r="W835" s="4"/>
      <c r="X835" s="4"/>
      <c r="Y835" s="4"/>
      <c r="Z835" s="4"/>
    </row>
    <row r="836">
      <c r="A836" s="13"/>
      <c r="B836" s="161"/>
      <c r="C836" s="13"/>
      <c r="D836" s="4"/>
      <c r="E836" s="4"/>
      <c r="F836" s="4"/>
      <c r="G836" s="4"/>
      <c r="H836" s="4"/>
      <c r="I836" s="4"/>
      <c r="J836" s="4"/>
      <c r="K836" s="4"/>
      <c r="L836" s="4"/>
      <c r="M836" s="4"/>
      <c r="N836" s="4"/>
      <c r="O836" s="4"/>
      <c r="P836" s="4"/>
      <c r="Q836" s="4"/>
      <c r="R836" s="4"/>
      <c r="S836" s="4"/>
      <c r="T836" s="4"/>
      <c r="U836" s="4"/>
      <c r="V836" s="4"/>
      <c r="W836" s="4"/>
      <c r="X836" s="4"/>
      <c r="Y836" s="4"/>
      <c r="Z836" s="4"/>
    </row>
    <row r="837">
      <c r="A837" s="13"/>
      <c r="B837" s="161"/>
      <c r="C837" s="13"/>
      <c r="D837" s="4"/>
      <c r="E837" s="4"/>
      <c r="F837" s="4"/>
      <c r="G837" s="4"/>
      <c r="H837" s="4"/>
      <c r="I837" s="4"/>
      <c r="J837" s="4"/>
      <c r="K837" s="4"/>
      <c r="L837" s="4"/>
      <c r="M837" s="4"/>
      <c r="N837" s="4"/>
      <c r="O837" s="4"/>
      <c r="P837" s="4"/>
      <c r="Q837" s="4"/>
      <c r="R837" s="4"/>
      <c r="S837" s="4"/>
      <c r="T837" s="4"/>
      <c r="U837" s="4"/>
      <c r="V837" s="4"/>
      <c r="W837" s="4"/>
      <c r="X837" s="4"/>
      <c r="Y837" s="4"/>
      <c r="Z837" s="4"/>
    </row>
    <row r="838">
      <c r="A838" s="13"/>
      <c r="B838" s="161"/>
      <c r="C838" s="13"/>
      <c r="D838" s="4"/>
      <c r="E838" s="4"/>
      <c r="F838" s="4"/>
      <c r="G838" s="4"/>
      <c r="H838" s="4"/>
      <c r="I838" s="4"/>
      <c r="J838" s="4"/>
      <c r="K838" s="4"/>
      <c r="L838" s="4"/>
      <c r="M838" s="4"/>
      <c r="N838" s="4"/>
      <c r="O838" s="4"/>
      <c r="P838" s="4"/>
      <c r="Q838" s="4"/>
      <c r="R838" s="4"/>
      <c r="S838" s="4"/>
      <c r="T838" s="4"/>
      <c r="U838" s="4"/>
      <c r="V838" s="4"/>
      <c r="W838" s="4"/>
      <c r="X838" s="4"/>
      <c r="Y838" s="4"/>
      <c r="Z838" s="4"/>
    </row>
    <row r="839">
      <c r="A839" s="13"/>
      <c r="B839" s="161"/>
      <c r="C839" s="13"/>
      <c r="D839" s="4"/>
      <c r="E839" s="4"/>
      <c r="F839" s="4"/>
      <c r="G839" s="4"/>
      <c r="H839" s="4"/>
      <c r="I839" s="4"/>
      <c r="J839" s="4"/>
      <c r="K839" s="4"/>
      <c r="L839" s="4"/>
      <c r="M839" s="4"/>
      <c r="N839" s="4"/>
      <c r="O839" s="4"/>
      <c r="P839" s="4"/>
      <c r="Q839" s="4"/>
      <c r="R839" s="4"/>
      <c r="S839" s="4"/>
      <c r="T839" s="4"/>
      <c r="U839" s="4"/>
      <c r="V839" s="4"/>
      <c r="W839" s="4"/>
      <c r="X839" s="4"/>
      <c r="Y839" s="4"/>
      <c r="Z839" s="4"/>
    </row>
    <row r="840">
      <c r="A840" s="13"/>
      <c r="B840" s="161"/>
      <c r="C840" s="13"/>
      <c r="D840" s="4"/>
      <c r="E840" s="4"/>
      <c r="F840" s="4"/>
      <c r="G840" s="4"/>
      <c r="H840" s="4"/>
      <c r="I840" s="4"/>
      <c r="J840" s="4"/>
      <c r="K840" s="4"/>
      <c r="L840" s="4"/>
      <c r="M840" s="4"/>
      <c r="N840" s="4"/>
      <c r="O840" s="4"/>
      <c r="P840" s="4"/>
      <c r="Q840" s="4"/>
      <c r="R840" s="4"/>
      <c r="S840" s="4"/>
      <c r="T840" s="4"/>
      <c r="U840" s="4"/>
      <c r="V840" s="4"/>
      <c r="W840" s="4"/>
      <c r="X840" s="4"/>
      <c r="Y840" s="4"/>
      <c r="Z840" s="4"/>
    </row>
    <row r="841">
      <c r="A841" s="13"/>
      <c r="B841" s="161"/>
      <c r="C841" s="13"/>
      <c r="D841" s="4"/>
      <c r="E841" s="4"/>
      <c r="F841" s="4"/>
      <c r="G841" s="4"/>
      <c r="H841" s="4"/>
      <c r="I841" s="4"/>
      <c r="J841" s="4"/>
      <c r="K841" s="4"/>
      <c r="L841" s="4"/>
      <c r="M841" s="4"/>
      <c r="N841" s="4"/>
      <c r="O841" s="4"/>
      <c r="P841" s="4"/>
      <c r="Q841" s="4"/>
      <c r="R841" s="4"/>
      <c r="S841" s="4"/>
      <c r="T841" s="4"/>
      <c r="U841" s="4"/>
      <c r="V841" s="4"/>
      <c r="W841" s="4"/>
      <c r="X841" s="4"/>
      <c r="Y841" s="4"/>
      <c r="Z841" s="4"/>
    </row>
    <row r="842">
      <c r="A842" s="13"/>
      <c r="B842" s="161"/>
      <c r="C842" s="13"/>
      <c r="D842" s="4"/>
      <c r="E842" s="4"/>
      <c r="F842" s="4"/>
      <c r="G842" s="4"/>
      <c r="H842" s="4"/>
      <c r="I842" s="4"/>
      <c r="J842" s="4"/>
      <c r="K842" s="4"/>
      <c r="L842" s="4"/>
      <c r="M842" s="4"/>
      <c r="N842" s="4"/>
      <c r="O842" s="4"/>
      <c r="P842" s="4"/>
      <c r="Q842" s="4"/>
      <c r="R842" s="4"/>
      <c r="S842" s="4"/>
      <c r="T842" s="4"/>
      <c r="U842" s="4"/>
      <c r="V842" s="4"/>
      <c r="W842" s="4"/>
      <c r="X842" s="4"/>
      <c r="Y842" s="4"/>
      <c r="Z842" s="4"/>
    </row>
    <row r="843">
      <c r="A843" s="13"/>
      <c r="B843" s="161"/>
      <c r="C843" s="13"/>
      <c r="D843" s="4"/>
      <c r="E843" s="4"/>
      <c r="F843" s="4"/>
      <c r="G843" s="4"/>
      <c r="H843" s="4"/>
      <c r="I843" s="4"/>
      <c r="J843" s="4"/>
      <c r="K843" s="4"/>
      <c r="L843" s="4"/>
      <c r="M843" s="4"/>
      <c r="N843" s="4"/>
      <c r="O843" s="4"/>
      <c r="P843" s="4"/>
      <c r="Q843" s="4"/>
      <c r="R843" s="4"/>
      <c r="S843" s="4"/>
      <c r="T843" s="4"/>
      <c r="U843" s="4"/>
      <c r="V843" s="4"/>
      <c r="W843" s="4"/>
      <c r="X843" s="4"/>
      <c r="Y843" s="4"/>
      <c r="Z843" s="4"/>
    </row>
    <row r="844">
      <c r="A844" s="13"/>
      <c r="B844" s="161"/>
      <c r="C844" s="13"/>
      <c r="D844" s="4"/>
      <c r="E844" s="4"/>
      <c r="F844" s="4"/>
      <c r="G844" s="4"/>
      <c r="H844" s="4"/>
      <c r="I844" s="4"/>
      <c r="J844" s="4"/>
      <c r="K844" s="4"/>
      <c r="L844" s="4"/>
      <c r="M844" s="4"/>
      <c r="N844" s="4"/>
      <c r="O844" s="4"/>
      <c r="P844" s="4"/>
      <c r="Q844" s="4"/>
      <c r="R844" s="4"/>
      <c r="S844" s="4"/>
      <c r="T844" s="4"/>
      <c r="U844" s="4"/>
      <c r="V844" s="4"/>
      <c r="W844" s="4"/>
      <c r="X844" s="4"/>
      <c r="Y844" s="4"/>
      <c r="Z844" s="4"/>
    </row>
    <row r="845">
      <c r="A845" s="13"/>
      <c r="B845" s="161"/>
      <c r="C845" s="13"/>
      <c r="D845" s="4"/>
      <c r="E845" s="4"/>
      <c r="F845" s="4"/>
      <c r="G845" s="4"/>
      <c r="H845" s="4"/>
      <c r="I845" s="4"/>
      <c r="J845" s="4"/>
      <c r="K845" s="4"/>
      <c r="L845" s="4"/>
      <c r="M845" s="4"/>
      <c r="N845" s="4"/>
      <c r="O845" s="4"/>
      <c r="P845" s="4"/>
      <c r="Q845" s="4"/>
      <c r="R845" s="4"/>
      <c r="S845" s="4"/>
      <c r="T845" s="4"/>
      <c r="U845" s="4"/>
      <c r="V845" s="4"/>
      <c r="W845" s="4"/>
      <c r="X845" s="4"/>
      <c r="Y845" s="4"/>
      <c r="Z845" s="4"/>
    </row>
    <row r="846">
      <c r="A846" s="13"/>
      <c r="B846" s="161"/>
      <c r="C846" s="13"/>
      <c r="D846" s="4"/>
      <c r="E846" s="4"/>
      <c r="F846" s="4"/>
      <c r="G846" s="4"/>
      <c r="H846" s="4"/>
      <c r="I846" s="4"/>
      <c r="J846" s="4"/>
      <c r="K846" s="4"/>
      <c r="L846" s="4"/>
      <c r="M846" s="4"/>
      <c r="N846" s="4"/>
      <c r="O846" s="4"/>
      <c r="P846" s="4"/>
      <c r="Q846" s="4"/>
      <c r="R846" s="4"/>
      <c r="S846" s="4"/>
      <c r="T846" s="4"/>
      <c r="U846" s="4"/>
      <c r="V846" s="4"/>
      <c r="W846" s="4"/>
      <c r="X846" s="4"/>
      <c r="Y846" s="4"/>
      <c r="Z846" s="4"/>
    </row>
    <row r="847">
      <c r="A847" s="13"/>
      <c r="B847" s="161"/>
      <c r="C847" s="13"/>
      <c r="D847" s="4"/>
      <c r="E847" s="4"/>
      <c r="F847" s="4"/>
      <c r="G847" s="4"/>
      <c r="H847" s="4"/>
      <c r="I847" s="4"/>
      <c r="J847" s="4"/>
      <c r="K847" s="4"/>
      <c r="L847" s="4"/>
      <c r="M847" s="4"/>
      <c r="N847" s="4"/>
      <c r="O847" s="4"/>
      <c r="P847" s="4"/>
      <c r="Q847" s="4"/>
      <c r="R847" s="4"/>
      <c r="S847" s="4"/>
      <c r="T847" s="4"/>
      <c r="U847" s="4"/>
      <c r="V847" s="4"/>
      <c r="W847" s="4"/>
      <c r="X847" s="4"/>
      <c r="Y847" s="4"/>
      <c r="Z847" s="4"/>
    </row>
    <row r="848">
      <c r="A848" s="13"/>
      <c r="B848" s="161"/>
      <c r="C848" s="13"/>
      <c r="D848" s="4"/>
      <c r="E848" s="4"/>
      <c r="F848" s="4"/>
      <c r="G848" s="4"/>
      <c r="H848" s="4"/>
      <c r="I848" s="4"/>
      <c r="J848" s="4"/>
      <c r="K848" s="4"/>
      <c r="L848" s="4"/>
      <c r="M848" s="4"/>
      <c r="N848" s="4"/>
      <c r="O848" s="4"/>
      <c r="P848" s="4"/>
      <c r="Q848" s="4"/>
      <c r="R848" s="4"/>
      <c r="S848" s="4"/>
      <c r="T848" s="4"/>
      <c r="U848" s="4"/>
      <c r="V848" s="4"/>
      <c r="W848" s="4"/>
      <c r="X848" s="4"/>
      <c r="Y848" s="4"/>
      <c r="Z848" s="4"/>
    </row>
    <row r="849">
      <c r="A849" s="13"/>
      <c r="B849" s="161"/>
      <c r="C849" s="13"/>
      <c r="D849" s="4"/>
      <c r="E849" s="4"/>
      <c r="F849" s="4"/>
      <c r="G849" s="4"/>
      <c r="H849" s="4"/>
      <c r="I849" s="4"/>
      <c r="J849" s="4"/>
      <c r="K849" s="4"/>
      <c r="L849" s="4"/>
      <c r="M849" s="4"/>
      <c r="N849" s="4"/>
      <c r="O849" s="4"/>
      <c r="P849" s="4"/>
      <c r="Q849" s="4"/>
      <c r="R849" s="4"/>
      <c r="S849" s="4"/>
      <c r="T849" s="4"/>
      <c r="U849" s="4"/>
      <c r="V849" s="4"/>
      <c r="W849" s="4"/>
      <c r="X849" s="4"/>
      <c r="Y849" s="4"/>
      <c r="Z849" s="4"/>
    </row>
    <row r="850">
      <c r="A850" s="13"/>
      <c r="B850" s="161"/>
      <c r="C850" s="13"/>
      <c r="D850" s="4"/>
      <c r="E850" s="4"/>
      <c r="F850" s="4"/>
      <c r="G850" s="4"/>
      <c r="H850" s="4"/>
      <c r="I850" s="4"/>
      <c r="J850" s="4"/>
      <c r="K850" s="4"/>
      <c r="L850" s="4"/>
      <c r="M850" s="4"/>
      <c r="N850" s="4"/>
      <c r="O850" s="4"/>
      <c r="P850" s="4"/>
      <c r="Q850" s="4"/>
      <c r="R850" s="4"/>
      <c r="S850" s="4"/>
      <c r="T850" s="4"/>
      <c r="U850" s="4"/>
      <c r="V850" s="4"/>
      <c r="W850" s="4"/>
      <c r="X850" s="4"/>
      <c r="Y850" s="4"/>
      <c r="Z850" s="4"/>
    </row>
    <row r="851">
      <c r="A851" s="13"/>
      <c r="B851" s="161"/>
      <c r="C851" s="13"/>
      <c r="D851" s="4"/>
      <c r="E851" s="4"/>
      <c r="F851" s="4"/>
      <c r="G851" s="4"/>
      <c r="H851" s="4"/>
      <c r="I851" s="4"/>
      <c r="J851" s="4"/>
      <c r="K851" s="4"/>
      <c r="L851" s="4"/>
      <c r="M851" s="4"/>
      <c r="N851" s="4"/>
      <c r="O851" s="4"/>
      <c r="P851" s="4"/>
      <c r="Q851" s="4"/>
      <c r="R851" s="4"/>
      <c r="S851" s="4"/>
      <c r="T851" s="4"/>
      <c r="U851" s="4"/>
      <c r="V851" s="4"/>
      <c r="W851" s="4"/>
      <c r="X851" s="4"/>
      <c r="Y851" s="4"/>
      <c r="Z851" s="4"/>
    </row>
    <row r="852">
      <c r="A852" s="13"/>
      <c r="B852" s="161"/>
      <c r="C852" s="13"/>
      <c r="D852" s="4"/>
      <c r="E852" s="4"/>
      <c r="F852" s="4"/>
      <c r="G852" s="4"/>
      <c r="H852" s="4"/>
      <c r="I852" s="4"/>
      <c r="J852" s="4"/>
      <c r="K852" s="4"/>
      <c r="L852" s="4"/>
      <c r="M852" s="4"/>
      <c r="N852" s="4"/>
      <c r="O852" s="4"/>
      <c r="P852" s="4"/>
      <c r="Q852" s="4"/>
      <c r="R852" s="4"/>
      <c r="S852" s="4"/>
      <c r="T852" s="4"/>
      <c r="U852" s="4"/>
      <c r="V852" s="4"/>
      <c r="W852" s="4"/>
      <c r="X852" s="4"/>
      <c r="Y852" s="4"/>
      <c r="Z852" s="4"/>
    </row>
    <row r="853">
      <c r="A853" s="13"/>
      <c r="B853" s="161"/>
      <c r="C853" s="13"/>
      <c r="D853" s="4"/>
      <c r="E853" s="4"/>
      <c r="F853" s="4"/>
      <c r="G853" s="4"/>
      <c r="H853" s="4"/>
      <c r="I853" s="4"/>
      <c r="J853" s="4"/>
      <c r="K853" s="4"/>
      <c r="L853" s="4"/>
      <c r="M853" s="4"/>
      <c r="N853" s="4"/>
      <c r="O853" s="4"/>
      <c r="P853" s="4"/>
      <c r="Q853" s="4"/>
      <c r="R853" s="4"/>
      <c r="S853" s="4"/>
      <c r="T853" s="4"/>
      <c r="U853" s="4"/>
      <c r="V853" s="4"/>
      <c r="W853" s="4"/>
      <c r="X853" s="4"/>
      <c r="Y853" s="4"/>
      <c r="Z853" s="4"/>
    </row>
    <row r="854">
      <c r="A854" s="13"/>
      <c r="B854" s="161"/>
      <c r="C854" s="13"/>
      <c r="D854" s="4"/>
      <c r="E854" s="4"/>
      <c r="F854" s="4"/>
      <c r="G854" s="4"/>
      <c r="H854" s="4"/>
      <c r="I854" s="4"/>
      <c r="J854" s="4"/>
      <c r="K854" s="4"/>
      <c r="L854" s="4"/>
      <c r="M854" s="4"/>
      <c r="N854" s="4"/>
      <c r="O854" s="4"/>
      <c r="P854" s="4"/>
      <c r="Q854" s="4"/>
      <c r="R854" s="4"/>
      <c r="S854" s="4"/>
      <c r="T854" s="4"/>
      <c r="U854" s="4"/>
      <c r="V854" s="4"/>
      <c r="W854" s="4"/>
      <c r="X854" s="4"/>
      <c r="Y854" s="4"/>
      <c r="Z854" s="4"/>
    </row>
    <row r="855">
      <c r="A855" s="13"/>
      <c r="B855" s="161"/>
      <c r="C855" s="13"/>
      <c r="D855" s="4"/>
      <c r="E855" s="4"/>
      <c r="F855" s="4"/>
      <c r="G855" s="4"/>
      <c r="H855" s="4"/>
      <c r="I855" s="4"/>
      <c r="J855" s="4"/>
      <c r="K855" s="4"/>
      <c r="L855" s="4"/>
      <c r="M855" s="4"/>
      <c r="N855" s="4"/>
      <c r="O855" s="4"/>
      <c r="P855" s="4"/>
      <c r="Q855" s="4"/>
      <c r="R855" s="4"/>
      <c r="S855" s="4"/>
      <c r="T855" s="4"/>
      <c r="U855" s="4"/>
      <c r="V855" s="4"/>
      <c r="W855" s="4"/>
      <c r="X855" s="4"/>
      <c r="Y855" s="4"/>
      <c r="Z855" s="4"/>
    </row>
    <row r="856">
      <c r="A856" s="13"/>
      <c r="B856" s="161"/>
      <c r="C856" s="13"/>
      <c r="D856" s="4"/>
      <c r="E856" s="4"/>
      <c r="F856" s="4"/>
      <c r="G856" s="4"/>
      <c r="H856" s="4"/>
      <c r="I856" s="4"/>
      <c r="J856" s="4"/>
      <c r="K856" s="4"/>
      <c r="L856" s="4"/>
      <c r="M856" s="4"/>
      <c r="N856" s="4"/>
      <c r="O856" s="4"/>
      <c r="P856" s="4"/>
      <c r="Q856" s="4"/>
      <c r="R856" s="4"/>
      <c r="S856" s="4"/>
      <c r="T856" s="4"/>
      <c r="U856" s="4"/>
      <c r="V856" s="4"/>
      <c r="W856" s="4"/>
      <c r="X856" s="4"/>
      <c r="Y856" s="4"/>
      <c r="Z856" s="4"/>
    </row>
    <row r="857">
      <c r="A857" s="13"/>
      <c r="B857" s="161"/>
      <c r="C857" s="13"/>
      <c r="D857" s="4"/>
      <c r="E857" s="4"/>
      <c r="F857" s="4"/>
      <c r="G857" s="4"/>
      <c r="H857" s="4"/>
      <c r="I857" s="4"/>
      <c r="J857" s="4"/>
      <c r="K857" s="4"/>
      <c r="L857" s="4"/>
      <c r="M857" s="4"/>
      <c r="N857" s="4"/>
      <c r="O857" s="4"/>
      <c r="P857" s="4"/>
      <c r="Q857" s="4"/>
      <c r="R857" s="4"/>
      <c r="S857" s="4"/>
      <c r="T857" s="4"/>
      <c r="U857" s="4"/>
      <c r="V857" s="4"/>
      <c r="W857" s="4"/>
      <c r="X857" s="4"/>
      <c r="Y857" s="4"/>
      <c r="Z857" s="4"/>
    </row>
    <row r="858">
      <c r="A858" s="13"/>
      <c r="B858" s="161"/>
      <c r="C858" s="13"/>
      <c r="D858" s="4"/>
      <c r="E858" s="4"/>
      <c r="F858" s="4"/>
      <c r="G858" s="4"/>
      <c r="H858" s="4"/>
      <c r="I858" s="4"/>
      <c r="J858" s="4"/>
      <c r="K858" s="4"/>
      <c r="L858" s="4"/>
      <c r="M858" s="4"/>
      <c r="N858" s="4"/>
      <c r="O858" s="4"/>
      <c r="P858" s="4"/>
      <c r="Q858" s="4"/>
      <c r="R858" s="4"/>
      <c r="S858" s="4"/>
      <c r="T858" s="4"/>
      <c r="U858" s="4"/>
      <c r="V858" s="4"/>
      <c r="W858" s="4"/>
      <c r="X858" s="4"/>
      <c r="Y858" s="4"/>
      <c r="Z858" s="4"/>
    </row>
    <row r="859">
      <c r="A859" s="13"/>
      <c r="B859" s="161"/>
      <c r="C859" s="13"/>
      <c r="D859" s="4"/>
      <c r="E859" s="4"/>
      <c r="F859" s="4"/>
      <c r="G859" s="4"/>
      <c r="H859" s="4"/>
      <c r="I859" s="4"/>
      <c r="J859" s="4"/>
      <c r="K859" s="4"/>
      <c r="L859" s="4"/>
      <c r="M859" s="4"/>
      <c r="N859" s="4"/>
      <c r="O859" s="4"/>
      <c r="P859" s="4"/>
      <c r="Q859" s="4"/>
      <c r="R859" s="4"/>
      <c r="S859" s="4"/>
      <c r="T859" s="4"/>
      <c r="U859" s="4"/>
      <c r="V859" s="4"/>
      <c r="W859" s="4"/>
      <c r="X859" s="4"/>
      <c r="Y859" s="4"/>
      <c r="Z859" s="4"/>
    </row>
    <row r="860">
      <c r="A860" s="13"/>
      <c r="B860" s="161"/>
      <c r="C860" s="13"/>
      <c r="D860" s="4"/>
      <c r="E860" s="4"/>
      <c r="F860" s="4"/>
      <c r="G860" s="4"/>
      <c r="H860" s="4"/>
      <c r="I860" s="4"/>
      <c r="J860" s="4"/>
      <c r="K860" s="4"/>
      <c r="L860" s="4"/>
      <c r="M860" s="4"/>
      <c r="N860" s="4"/>
      <c r="O860" s="4"/>
      <c r="P860" s="4"/>
      <c r="Q860" s="4"/>
      <c r="R860" s="4"/>
      <c r="S860" s="4"/>
      <c r="T860" s="4"/>
      <c r="U860" s="4"/>
      <c r="V860" s="4"/>
      <c r="W860" s="4"/>
      <c r="X860" s="4"/>
      <c r="Y860" s="4"/>
      <c r="Z860" s="4"/>
    </row>
    <row r="861">
      <c r="A861" s="13"/>
      <c r="B861" s="161"/>
      <c r="C861" s="13"/>
      <c r="D861" s="4"/>
      <c r="E861" s="4"/>
      <c r="F861" s="4"/>
      <c r="G861" s="4"/>
      <c r="H861" s="4"/>
      <c r="I861" s="4"/>
      <c r="J861" s="4"/>
      <c r="K861" s="4"/>
      <c r="L861" s="4"/>
      <c r="M861" s="4"/>
      <c r="N861" s="4"/>
      <c r="O861" s="4"/>
      <c r="P861" s="4"/>
      <c r="Q861" s="4"/>
      <c r="R861" s="4"/>
      <c r="S861" s="4"/>
      <c r="T861" s="4"/>
      <c r="U861" s="4"/>
      <c r="V861" s="4"/>
      <c r="W861" s="4"/>
      <c r="X861" s="4"/>
      <c r="Y861" s="4"/>
      <c r="Z861" s="4"/>
    </row>
    <row r="862">
      <c r="A862" s="13"/>
      <c r="B862" s="161"/>
      <c r="C862" s="13"/>
      <c r="D862" s="4"/>
      <c r="E862" s="4"/>
      <c r="F862" s="4"/>
      <c r="G862" s="4"/>
      <c r="H862" s="4"/>
      <c r="I862" s="4"/>
      <c r="J862" s="4"/>
      <c r="K862" s="4"/>
      <c r="L862" s="4"/>
      <c r="M862" s="4"/>
      <c r="N862" s="4"/>
      <c r="O862" s="4"/>
      <c r="P862" s="4"/>
      <c r="Q862" s="4"/>
      <c r="R862" s="4"/>
      <c r="S862" s="4"/>
      <c r="T862" s="4"/>
      <c r="U862" s="4"/>
      <c r="V862" s="4"/>
      <c r="W862" s="4"/>
      <c r="X862" s="4"/>
      <c r="Y862" s="4"/>
      <c r="Z862" s="4"/>
    </row>
    <row r="863">
      <c r="A863" s="13"/>
      <c r="B863" s="161"/>
      <c r="C863" s="13"/>
      <c r="D863" s="4"/>
      <c r="E863" s="4"/>
      <c r="F863" s="4"/>
      <c r="G863" s="4"/>
      <c r="H863" s="4"/>
      <c r="I863" s="4"/>
      <c r="J863" s="4"/>
      <c r="K863" s="4"/>
      <c r="L863" s="4"/>
      <c r="M863" s="4"/>
      <c r="N863" s="4"/>
      <c r="O863" s="4"/>
      <c r="P863" s="4"/>
      <c r="Q863" s="4"/>
      <c r="R863" s="4"/>
      <c r="S863" s="4"/>
      <c r="T863" s="4"/>
      <c r="U863" s="4"/>
      <c r="V863" s="4"/>
      <c r="W863" s="4"/>
      <c r="X863" s="4"/>
      <c r="Y863" s="4"/>
      <c r="Z863" s="4"/>
    </row>
    <row r="864">
      <c r="A864" s="13"/>
      <c r="B864" s="161"/>
      <c r="C864" s="13"/>
      <c r="D864" s="4"/>
      <c r="E864" s="4"/>
      <c r="F864" s="4"/>
      <c r="G864" s="4"/>
      <c r="H864" s="4"/>
      <c r="I864" s="4"/>
      <c r="J864" s="4"/>
      <c r="K864" s="4"/>
      <c r="L864" s="4"/>
      <c r="M864" s="4"/>
      <c r="N864" s="4"/>
      <c r="O864" s="4"/>
      <c r="P864" s="4"/>
      <c r="Q864" s="4"/>
      <c r="R864" s="4"/>
      <c r="S864" s="4"/>
      <c r="T864" s="4"/>
      <c r="U864" s="4"/>
      <c r="V864" s="4"/>
      <c r="W864" s="4"/>
      <c r="X864" s="4"/>
      <c r="Y864" s="4"/>
      <c r="Z864" s="4"/>
    </row>
    <row r="865">
      <c r="A865" s="13"/>
      <c r="B865" s="161"/>
      <c r="C865" s="13"/>
      <c r="D865" s="4"/>
      <c r="E865" s="4"/>
      <c r="F865" s="4"/>
      <c r="G865" s="4"/>
      <c r="H865" s="4"/>
      <c r="I865" s="4"/>
      <c r="J865" s="4"/>
      <c r="K865" s="4"/>
      <c r="L865" s="4"/>
      <c r="M865" s="4"/>
      <c r="N865" s="4"/>
      <c r="O865" s="4"/>
      <c r="P865" s="4"/>
      <c r="Q865" s="4"/>
      <c r="R865" s="4"/>
      <c r="S865" s="4"/>
      <c r="T865" s="4"/>
      <c r="U865" s="4"/>
      <c r="V865" s="4"/>
      <c r="W865" s="4"/>
      <c r="X865" s="4"/>
      <c r="Y865" s="4"/>
      <c r="Z865" s="4"/>
    </row>
    <row r="866">
      <c r="A866" s="13"/>
      <c r="B866" s="161"/>
      <c r="C866" s="13"/>
      <c r="D866" s="4"/>
      <c r="E866" s="4"/>
      <c r="F866" s="4"/>
      <c r="G866" s="4"/>
      <c r="H866" s="4"/>
      <c r="I866" s="4"/>
      <c r="J866" s="4"/>
      <c r="K866" s="4"/>
      <c r="L866" s="4"/>
      <c r="M866" s="4"/>
      <c r="N866" s="4"/>
      <c r="O866" s="4"/>
      <c r="P866" s="4"/>
      <c r="Q866" s="4"/>
      <c r="R866" s="4"/>
      <c r="S866" s="4"/>
      <c r="T866" s="4"/>
      <c r="U866" s="4"/>
      <c r="V866" s="4"/>
      <c r="W866" s="4"/>
      <c r="X866" s="4"/>
      <c r="Y866" s="4"/>
      <c r="Z866" s="4"/>
    </row>
    <row r="867">
      <c r="A867" s="13"/>
      <c r="B867" s="161"/>
      <c r="C867" s="13"/>
      <c r="D867" s="4"/>
      <c r="E867" s="4"/>
      <c r="F867" s="4"/>
      <c r="G867" s="4"/>
      <c r="H867" s="4"/>
      <c r="I867" s="4"/>
      <c r="J867" s="4"/>
      <c r="K867" s="4"/>
      <c r="L867" s="4"/>
      <c r="M867" s="4"/>
      <c r="N867" s="4"/>
      <c r="O867" s="4"/>
      <c r="P867" s="4"/>
      <c r="Q867" s="4"/>
      <c r="R867" s="4"/>
      <c r="S867" s="4"/>
      <c r="T867" s="4"/>
      <c r="U867" s="4"/>
      <c r="V867" s="4"/>
      <c r="W867" s="4"/>
      <c r="X867" s="4"/>
      <c r="Y867" s="4"/>
      <c r="Z867" s="4"/>
    </row>
    <row r="868">
      <c r="A868" s="13"/>
      <c r="B868" s="161"/>
      <c r="C868" s="13"/>
      <c r="D868" s="4"/>
      <c r="E868" s="4"/>
      <c r="F868" s="4"/>
      <c r="G868" s="4"/>
      <c r="H868" s="4"/>
      <c r="I868" s="4"/>
      <c r="J868" s="4"/>
      <c r="K868" s="4"/>
      <c r="L868" s="4"/>
      <c r="M868" s="4"/>
      <c r="N868" s="4"/>
      <c r="O868" s="4"/>
      <c r="P868" s="4"/>
      <c r="Q868" s="4"/>
      <c r="R868" s="4"/>
      <c r="S868" s="4"/>
      <c r="T868" s="4"/>
      <c r="U868" s="4"/>
      <c r="V868" s="4"/>
      <c r="W868" s="4"/>
      <c r="X868" s="4"/>
      <c r="Y868" s="4"/>
      <c r="Z868" s="4"/>
    </row>
    <row r="869">
      <c r="A869" s="13"/>
      <c r="B869" s="161"/>
      <c r="C869" s="13"/>
      <c r="D869" s="4"/>
      <c r="E869" s="4"/>
      <c r="F869" s="4"/>
      <c r="G869" s="4"/>
      <c r="H869" s="4"/>
      <c r="I869" s="4"/>
      <c r="J869" s="4"/>
      <c r="K869" s="4"/>
      <c r="L869" s="4"/>
      <c r="M869" s="4"/>
      <c r="N869" s="4"/>
      <c r="O869" s="4"/>
      <c r="P869" s="4"/>
      <c r="Q869" s="4"/>
      <c r="R869" s="4"/>
      <c r="S869" s="4"/>
      <c r="T869" s="4"/>
      <c r="U869" s="4"/>
      <c r="V869" s="4"/>
      <c r="W869" s="4"/>
      <c r="X869" s="4"/>
      <c r="Y869" s="4"/>
      <c r="Z869" s="4"/>
    </row>
    <row r="870">
      <c r="A870" s="13"/>
      <c r="B870" s="161"/>
      <c r="C870" s="13"/>
      <c r="D870" s="4"/>
      <c r="E870" s="4"/>
      <c r="F870" s="4"/>
      <c r="G870" s="4"/>
      <c r="H870" s="4"/>
      <c r="I870" s="4"/>
      <c r="J870" s="4"/>
      <c r="K870" s="4"/>
      <c r="L870" s="4"/>
      <c r="M870" s="4"/>
      <c r="N870" s="4"/>
      <c r="O870" s="4"/>
      <c r="P870" s="4"/>
      <c r="Q870" s="4"/>
      <c r="R870" s="4"/>
      <c r="S870" s="4"/>
      <c r="T870" s="4"/>
      <c r="U870" s="4"/>
      <c r="V870" s="4"/>
      <c r="W870" s="4"/>
      <c r="X870" s="4"/>
      <c r="Y870" s="4"/>
      <c r="Z870" s="4"/>
    </row>
    <row r="871">
      <c r="A871" s="13"/>
      <c r="B871" s="161"/>
      <c r="C871" s="13"/>
      <c r="D871" s="4"/>
      <c r="E871" s="4"/>
      <c r="F871" s="4"/>
      <c r="G871" s="4"/>
      <c r="H871" s="4"/>
      <c r="I871" s="4"/>
      <c r="J871" s="4"/>
      <c r="K871" s="4"/>
      <c r="L871" s="4"/>
      <c r="M871" s="4"/>
      <c r="N871" s="4"/>
      <c r="O871" s="4"/>
      <c r="P871" s="4"/>
      <c r="Q871" s="4"/>
      <c r="R871" s="4"/>
      <c r="S871" s="4"/>
      <c r="T871" s="4"/>
      <c r="U871" s="4"/>
      <c r="V871" s="4"/>
      <c r="W871" s="4"/>
      <c r="X871" s="4"/>
      <c r="Y871" s="4"/>
      <c r="Z871" s="4"/>
    </row>
    <row r="872">
      <c r="A872" s="13"/>
      <c r="B872" s="161"/>
      <c r="C872" s="13"/>
      <c r="D872" s="4"/>
      <c r="E872" s="4"/>
      <c r="F872" s="4"/>
      <c r="G872" s="4"/>
      <c r="H872" s="4"/>
      <c r="I872" s="4"/>
      <c r="J872" s="4"/>
      <c r="K872" s="4"/>
      <c r="L872" s="4"/>
      <c r="M872" s="4"/>
      <c r="N872" s="4"/>
      <c r="O872" s="4"/>
      <c r="P872" s="4"/>
      <c r="Q872" s="4"/>
      <c r="R872" s="4"/>
      <c r="S872" s="4"/>
      <c r="T872" s="4"/>
      <c r="U872" s="4"/>
      <c r="V872" s="4"/>
      <c r="W872" s="4"/>
      <c r="X872" s="4"/>
      <c r="Y872" s="4"/>
      <c r="Z872" s="4"/>
    </row>
    <row r="873">
      <c r="A873" s="13"/>
      <c r="B873" s="161"/>
      <c r="C873" s="13"/>
      <c r="D873" s="4"/>
      <c r="E873" s="4"/>
      <c r="F873" s="4"/>
      <c r="G873" s="4"/>
      <c r="H873" s="4"/>
      <c r="I873" s="4"/>
      <c r="J873" s="4"/>
      <c r="K873" s="4"/>
      <c r="L873" s="4"/>
      <c r="M873" s="4"/>
      <c r="N873" s="4"/>
      <c r="O873" s="4"/>
      <c r="P873" s="4"/>
      <c r="Q873" s="4"/>
      <c r="R873" s="4"/>
      <c r="S873" s="4"/>
      <c r="T873" s="4"/>
      <c r="U873" s="4"/>
      <c r="V873" s="4"/>
      <c r="W873" s="4"/>
      <c r="X873" s="4"/>
      <c r="Y873" s="4"/>
      <c r="Z873" s="4"/>
    </row>
    <row r="874">
      <c r="A874" s="13"/>
      <c r="B874" s="161"/>
      <c r="C874" s="13"/>
      <c r="D874" s="4"/>
      <c r="E874" s="4"/>
      <c r="F874" s="4"/>
      <c r="G874" s="4"/>
      <c r="H874" s="4"/>
      <c r="I874" s="4"/>
      <c r="J874" s="4"/>
      <c r="K874" s="4"/>
      <c r="L874" s="4"/>
      <c r="M874" s="4"/>
      <c r="N874" s="4"/>
      <c r="O874" s="4"/>
      <c r="P874" s="4"/>
      <c r="Q874" s="4"/>
      <c r="R874" s="4"/>
      <c r="S874" s="4"/>
      <c r="T874" s="4"/>
      <c r="U874" s="4"/>
      <c r="V874" s="4"/>
      <c r="W874" s="4"/>
      <c r="X874" s="4"/>
      <c r="Y874" s="4"/>
      <c r="Z874" s="4"/>
    </row>
    <row r="875">
      <c r="A875" s="13"/>
      <c r="B875" s="161"/>
      <c r="C875" s="13"/>
      <c r="D875" s="4"/>
      <c r="E875" s="4"/>
      <c r="F875" s="4"/>
      <c r="G875" s="4"/>
      <c r="H875" s="4"/>
      <c r="I875" s="4"/>
      <c r="J875" s="4"/>
      <c r="K875" s="4"/>
      <c r="L875" s="4"/>
      <c r="M875" s="4"/>
      <c r="N875" s="4"/>
      <c r="O875" s="4"/>
      <c r="P875" s="4"/>
      <c r="Q875" s="4"/>
      <c r="R875" s="4"/>
      <c r="S875" s="4"/>
      <c r="T875" s="4"/>
      <c r="U875" s="4"/>
      <c r="V875" s="4"/>
      <c r="W875" s="4"/>
      <c r="X875" s="4"/>
      <c r="Y875" s="4"/>
      <c r="Z875" s="4"/>
    </row>
    <row r="876">
      <c r="A876" s="13"/>
      <c r="B876" s="161"/>
      <c r="C876" s="13"/>
      <c r="D876" s="4"/>
      <c r="E876" s="4"/>
      <c r="F876" s="4"/>
      <c r="G876" s="4"/>
      <c r="H876" s="4"/>
      <c r="I876" s="4"/>
      <c r="J876" s="4"/>
      <c r="K876" s="4"/>
      <c r="L876" s="4"/>
      <c r="M876" s="4"/>
      <c r="N876" s="4"/>
      <c r="O876" s="4"/>
      <c r="P876" s="4"/>
      <c r="Q876" s="4"/>
      <c r="R876" s="4"/>
      <c r="S876" s="4"/>
      <c r="T876" s="4"/>
      <c r="U876" s="4"/>
      <c r="V876" s="4"/>
      <c r="W876" s="4"/>
      <c r="X876" s="4"/>
      <c r="Y876" s="4"/>
      <c r="Z876" s="4"/>
    </row>
    <row r="877">
      <c r="A877" s="13"/>
      <c r="B877" s="161"/>
      <c r="C877" s="13"/>
      <c r="D877" s="4"/>
      <c r="E877" s="4"/>
      <c r="F877" s="4"/>
      <c r="G877" s="4"/>
      <c r="H877" s="4"/>
      <c r="I877" s="4"/>
      <c r="J877" s="4"/>
      <c r="K877" s="4"/>
      <c r="L877" s="4"/>
      <c r="M877" s="4"/>
      <c r="N877" s="4"/>
      <c r="O877" s="4"/>
      <c r="P877" s="4"/>
      <c r="Q877" s="4"/>
      <c r="R877" s="4"/>
      <c r="S877" s="4"/>
      <c r="T877" s="4"/>
      <c r="U877" s="4"/>
      <c r="V877" s="4"/>
      <c r="W877" s="4"/>
      <c r="X877" s="4"/>
      <c r="Y877" s="4"/>
      <c r="Z877" s="4"/>
    </row>
    <row r="878">
      <c r="A878" s="13"/>
      <c r="B878" s="161"/>
      <c r="C878" s="13"/>
      <c r="D878" s="4"/>
      <c r="E878" s="4"/>
      <c r="F878" s="4"/>
      <c r="G878" s="4"/>
      <c r="H878" s="4"/>
      <c r="I878" s="4"/>
      <c r="J878" s="4"/>
      <c r="K878" s="4"/>
      <c r="L878" s="4"/>
      <c r="M878" s="4"/>
      <c r="N878" s="4"/>
      <c r="O878" s="4"/>
      <c r="P878" s="4"/>
      <c r="Q878" s="4"/>
      <c r="R878" s="4"/>
      <c r="S878" s="4"/>
      <c r="T878" s="4"/>
      <c r="U878" s="4"/>
      <c r="V878" s="4"/>
      <c r="W878" s="4"/>
      <c r="X878" s="4"/>
      <c r="Y878" s="4"/>
      <c r="Z878" s="4"/>
    </row>
    <row r="879">
      <c r="A879" s="13"/>
      <c r="B879" s="161"/>
      <c r="C879" s="13"/>
      <c r="D879" s="4"/>
      <c r="E879" s="4"/>
      <c r="F879" s="4"/>
      <c r="G879" s="4"/>
      <c r="H879" s="4"/>
      <c r="I879" s="4"/>
      <c r="J879" s="4"/>
      <c r="K879" s="4"/>
      <c r="L879" s="4"/>
      <c r="M879" s="4"/>
      <c r="N879" s="4"/>
      <c r="O879" s="4"/>
      <c r="P879" s="4"/>
      <c r="Q879" s="4"/>
      <c r="R879" s="4"/>
      <c r="S879" s="4"/>
      <c r="T879" s="4"/>
      <c r="U879" s="4"/>
      <c r="V879" s="4"/>
      <c r="W879" s="4"/>
      <c r="X879" s="4"/>
      <c r="Y879" s="4"/>
      <c r="Z879" s="4"/>
    </row>
    <row r="880">
      <c r="A880" s="13"/>
      <c r="B880" s="161"/>
      <c r="C880" s="13"/>
      <c r="D880" s="4"/>
      <c r="E880" s="4"/>
      <c r="F880" s="4"/>
      <c r="G880" s="4"/>
      <c r="H880" s="4"/>
      <c r="I880" s="4"/>
      <c r="J880" s="4"/>
      <c r="K880" s="4"/>
      <c r="L880" s="4"/>
      <c r="M880" s="4"/>
      <c r="N880" s="4"/>
      <c r="O880" s="4"/>
      <c r="P880" s="4"/>
      <c r="Q880" s="4"/>
      <c r="R880" s="4"/>
      <c r="S880" s="4"/>
      <c r="T880" s="4"/>
      <c r="U880" s="4"/>
      <c r="V880" s="4"/>
      <c r="W880" s="4"/>
      <c r="X880" s="4"/>
      <c r="Y880" s="4"/>
      <c r="Z880" s="4"/>
    </row>
    <row r="881">
      <c r="A881" s="13"/>
      <c r="B881" s="161"/>
      <c r="C881" s="13"/>
      <c r="D881" s="4"/>
      <c r="E881" s="4"/>
      <c r="F881" s="4"/>
      <c r="G881" s="4"/>
      <c r="H881" s="4"/>
      <c r="I881" s="4"/>
      <c r="J881" s="4"/>
      <c r="K881" s="4"/>
      <c r="L881" s="4"/>
      <c r="M881" s="4"/>
      <c r="N881" s="4"/>
      <c r="O881" s="4"/>
      <c r="P881" s="4"/>
      <c r="Q881" s="4"/>
      <c r="R881" s="4"/>
      <c r="S881" s="4"/>
      <c r="T881" s="4"/>
      <c r="U881" s="4"/>
      <c r="V881" s="4"/>
      <c r="W881" s="4"/>
      <c r="X881" s="4"/>
      <c r="Y881" s="4"/>
      <c r="Z881" s="4"/>
    </row>
    <row r="882">
      <c r="A882" s="13"/>
      <c r="B882" s="161"/>
      <c r="C882" s="13"/>
      <c r="D882" s="4"/>
      <c r="E882" s="4"/>
      <c r="F882" s="4"/>
      <c r="G882" s="4"/>
      <c r="H882" s="4"/>
      <c r="I882" s="4"/>
      <c r="J882" s="4"/>
      <c r="K882" s="4"/>
      <c r="L882" s="4"/>
      <c r="M882" s="4"/>
      <c r="N882" s="4"/>
      <c r="O882" s="4"/>
      <c r="P882" s="4"/>
      <c r="Q882" s="4"/>
      <c r="R882" s="4"/>
      <c r="S882" s="4"/>
      <c r="T882" s="4"/>
      <c r="U882" s="4"/>
      <c r="V882" s="4"/>
      <c r="W882" s="4"/>
      <c r="X882" s="4"/>
      <c r="Y882" s="4"/>
      <c r="Z882" s="4"/>
    </row>
    <row r="883">
      <c r="A883" s="13"/>
      <c r="B883" s="161"/>
      <c r="C883" s="13"/>
      <c r="D883" s="4"/>
      <c r="E883" s="4"/>
      <c r="F883" s="4"/>
      <c r="G883" s="4"/>
      <c r="H883" s="4"/>
      <c r="I883" s="4"/>
      <c r="J883" s="4"/>
      <c r="K883" s="4"/>
      <c r="L883" s="4"/>
      <c r="M883" s="4"/>
      <c r="N883" s="4"/>
      <c r="O883" s="4"/>
      <c r="P883" s="4"/>
      <c r="Q883" s="4"/>
      <c r="R883" s="4"/>
      <c r="S883" s="4"/>
      <c r="T883" s="4"/>
      <c r="U883" s="4"/>
      <c r="V883" s="4"/>
      <c r="W883" s="4"/>
      <c r="X883" s="4"/>
      <c r="Y883" s="4"/>
      <c r="Z883" s="4"/>
    </row>
    <row r="884">
      <c r="A884" s="13"/>
      <c r="B884" s="161"/>
      <c r="C884" s="13"/>
      <c r="D884" s="4"/>
      <c r="E884" s="4"/>
      <c r="F884" s="4"/>
      <c r="G884" s="4"/>
      <c r="H884" s="4"/>
      <c r="I884" s="4"/>
      <c r="J884" s="4"/>
      <c r="K884" s="4"/>
      <c r="L884" s="4"/>
      <c r="M884" s="4"/>
      <c r="N884" s="4"/>
      <c r="O884" s="4"/>
      <c r="P884" s="4"/>
      <c r="Q884" s="4"/>
      <c r="R884" s="4"/>
      <c r="S884" s="4"/>
      <c r="T884" s="4"/>
      <c r="U884" s="4"/>
      <c r="V884" s="4"/>
      <c r="W884" s="4"/>
      <c r="X884" s="4"/>
      <c r="Y884" s="4"/>
      <c r="Z884" s="4"/>
    </row>
    <row r="885">
      <c r="A885" s="13"/>
      <c r="B885" s="161"/>
      <c r="C885" s="13"/>
      <c r="D885" s="4"/>
      <c r="E885" s="4"/>
      <c r="F885" s="4"/>
      <c r="G885" s="4"/>
      <c r="H885" s="4"/>
      <c r="I885" s="4"/>
      <c r="J885" s="4"/>
      <c r="K885" s="4"/>
      <c r="L885" s="4"/>
      <c r="M885" s="4"/>
      <c r="N885" s="4"/>
      <c r="O885" s="4"/>
      <c r="P885" s="4"/>
      <c r="Q885" s="4"/>
      <c r="R885" s="4"/>
      <c r="S885" s="4"/>
      <c r="T885" s="4"/>
      <c r="U885" s="4"/>
      <c r="V885" s="4"/>
      <c r="W885" s="4"/>
      <c r="X885" s="4"/>
      <c r="Y885" s="4"/>
      <c r="Z885" s="4"/>
    </row>
    <row r="886">
      <c r="A886" s="13"/>
      <c r="B886" s="161"/>
      <c r="C886" s="13"/>
      <c r="D886" s="4"/>
      <c r="E886" s="4"/>
      <c r="F886" s="4"/>
      <c r="G886" s="4"/>
      <c r="H886" s="4"/>
      <c r="I886" s="4"/>
      <c r="J886" s="4"/>
      <c r="K886" s="4"/>
      <c r="L886" s="4"/>
      <c r="M886" s="4"/>
      <c r="N886" s="4"/>
      <c r="O886" s="4"/>
      <c r="P886" s="4"/>
      <c r="Q886" s="4"/>
      <c r="R886" s="4"/>
      <c r="S886" s="4"/>
      <c r="T886" s="4"/>
      <c r="U886" s="4"/>
      <c r="V886" s="4"/>
      <c r="W886" s="4"/>
      <c r="X886" s="4"/>
      <c r="Y886" s="4"/>
      <c r="Z886" s="4"/>
    </row>
    <row r="887">
      <c r="A887" s="13"/>
      <c r="B887" s="161"/>
      <c r="C887" s="13"/>
      <c r="D887" s="4"/>
      <c r="E887" s="4"/>
      <c r="F887" s="4"/>
      <c r="G887" s="4"/>
      <c r="H887" s="4"/>
      <c r="I887" s="4"/>
      <c r="J887" s="4"/>
      <c r="K887" s="4"/>
      <c r="L887" s="4"/>
      <c r="M887" s="4"/>
      <c r="N887" s="4"/>
      <c r="O887" s="4"/>
      <c r="P887" s="4"/>
      <c r="Q887" s="4"/>
      <c r="R887" s="4"/>
      <c r="S887" s="4"/>
      <c r="T887" s="4"/>
      <c r="U887" s="4"/>
      <c r="V887" s="4"/>
      <c r="W887" s="4"/>
      <c r="X887" s="4"/>
      <c r="Y887" s="4"/>
      <c r="Z887" s="4"/>
    </row>
    <row r="888">
      <c r="A888" s="13"/>
      <c r="B888" s="161"/>
      <c r="C888" s="13"/>
      <c r="D888" s="4"/>
      <c r="E888" s="4"/>
      <c r="F888" s="4"/>
      <c r="G888" s="4"/>
      <c r="H888" s="4"/>
      <c r="I888" s="4"/>
      <c r="J888" s="4"/>
      <c r="K888" s="4"/>
      <c r="L888" s="4"/>
      <c r="M888" s="4"/>
      <c r="N888" s="4"/>
      <c r="O888" s="4"/>
      <c r="P888" s="4"/>
      <c r="Q888" s="4"/>
      <c r="R888" s="4"/>
      <c r="S888" s="4"/>
      <c r="T888" s="4"/>
      <c r="U888" s="4"/>
      <c r="V888" s="4"/>
      <c r="W888" s="4"/>
      <c r="X888" s="4"/>
      <c r="Y888" s="4"/>
      <c r="Z888" s="4"/>
    </row>
    <row r="889">
      <c r="A889" s="13"/>
      <c r="B889" s="161"/>
      <c r="C889" s="13"/>
      <c r="D889" s="4"/>
      <c r="E889" s="4"/>
      <c r="F889" s="4"/>
      <c r="G889" s="4"/>
      <c r="H889" s="4"/>
      <c r="I889" s="4"/>
      <c r="J889" s="4"/>
      <c r="K889" s="4"/>
      <c r="L889" s="4"/>
      <c r="M889" s="4"/>
      <c r="N889" s="4"/>
      <c r="O889" s="4"/>
      <c r="P889" s="4"/>
      <c r="Q889" s="4"/>
      <c r="R889" s="4"/>
      <c r="S889" s="4"/>
      <c r="T889" s="4"/>
      <c r="U889" s="4"/>
      <c r="V889" s="4"/>
      <c r="W889" s="4"/>
      <c r="X889" s="4"/>
      <c r="Y889" s="4"/>
      <c r="Z889" s="4"/>
    </row>
    <row r="890">
      <c r="A890" s="13"/>
      <c r="B890" s="161"/>
      <c r="C890" s="13"/>
      <c r="D890" s="4"/>
      <c r="E890" s="4"/>
      <c r="F890" s="4"/>
      <c r="G890" s="4"/>
      <c r="H890" s="4"/>
      <c r="I890" s="4"/>
      <c r="J890" s="4"/>
      <c r="K890" s="4"/>
      <c r="L890" s="4"/>
      <c r="M890" s="4"/>
      <c r="N890" s="4"/>
      <c r="O890" s="4"/>
      <c r="P890" s="4"/>
      <c r="Q890" s="4"/>
      <c r="R890" s="4"/>
      <c r="S890" s="4"/>
      <c r="T890" s="4"/>
      <c r="U890" s="4"/>
      <c r="V890" s="4"/>
      <c r="W890" s="4"/>
      <c r="X890" s="4"/>
      <c r="Y890" s="4"/>
      <c r="Z890" s="4"/>
    </row>
    <row r="891">
      <c r="A891" s="13"/>
      <c r="B891" s="161"/>
      <c r="C891" s="13"/>
      <c r="D891" s="4"/>
      <c r="E891" s="4"/>
      <c r="F891" s="4"/>
      <c r="G891" s="4"/>
      <c r="H891" s="4"/>
      <c r="I891" s="4"/>
      <c r="J891" s="4"/>
      <c r="K891" s="4"/>
      <c r="L891" s="4"/>
      <c r="M891" s="4"/>
      <c r="N891" s="4"/>
      <c r="O891" s="4"/>
      <c r="P891" s="4"/>
      <c r="Q891" s="4"/>
      <c r="R891" s="4"/>
      <c r="S891" s="4"/>
      <c r="T891" s="4"/>
      <c r="U891" s="4"/>
      <c r="V891" s="4"/>
      <c r="W891" s="4"/>
      <c r="X891" s="4"/>
      <c r="Y891" s="4"/>
      <c r="Z891" s="4"/>
    </row>
    <row r="892">
      <c r="A892" s="13"/>
      <c r="B892" s="161"/>
      <c r="C892" s="13"/>
      <c r="D892" s="4"/>
      <c r="E892" s="4"/>
      <c r="F892" s="4"/>
      <c r="G892" s="4"/>
      <c r="H892" s="4"/>
      <c r="I892" s="4"/>
      <c r="J892" s="4"/>
      <c r="K892" s="4"/>
      <c r="L892" s="4"/>
      <c r="M892" s="4"/>
      <c r="N892" s="4"/>
      <c r="O892" s="4"/>
      <c r="P892" s="4"/>
      <c r="Q892" s="4"/>
      <c r="R892" s="4"/>
      <c r="S892" s="4"/>
      <c r="T892" s="4"/>
      <c r="U892" s="4"/>
      <c r="V892" s="4"/>
      <c r="W892" s="4"/>
      <c r="X892" s="4"/>
      <c r="Y892" s="4"/>
      <c r="Z892" s="4"/>
    </row>
    <row r="893">
      <c r="A893" s="13"/>
      <c r="B893" s="161"/>
      <c r="C893" s="13"/>
      <c r="D893" s="4"/>
      <c r="E893" s="4"/>
      <c r="F893" s="4"/>
      <c r="G893" s="4"/>
      <c r="H893" s="4"/>
      <c r="I893" s="4"/>
      <c r="J893" s="4"/>
      <c r="K893" s="4"/>
      <c r="L893" s="4"/>
      <c r="M893" s="4"/>
      <c r="N893" s="4"/>
      <c r="O893" s="4"/>
      <c r="P893" s="4"/>
      <c r="Q893" s="4"/>
      <c r="R893" s="4"/>
      <c r="S893" s="4"/>
      <c r="T893" s="4"/>
      <c r="U893" s="4"/>
      <c r="V893" s="4"/>
      <c r="W893" s="4"/>
      <c r="X893" s="4"/>
      <c r="Y893" s="4"/>
      <c r="Z893" s="4"/>
    </row>
    <row r="894">
      <c r="A894" s="13"/>
      <c r="B894" s="161"/>
      <c r="C894" s="13"/>
      <c r="D894" s="4"/>
      <c r="E894" s="4"/>
      <c r="F894" s="4"/>
      <c r="G894" s="4"/>
      <c r="H894" s="4"/>
      <c r="I894" s="4"/>
      <c r="J894" s="4"/>
      <c r="K894" s="4"/>
      <c r="L894" s="4"/>
      <c r="M894" s="4"/>
      <c r="N894" s="4"/>
      <c r="O894" s="4"/>
      <c r="P894" s="4"/>
      <c r="Q894" s="4"/>
      <c r="R894" s="4"/>
      <c r="S894" s="4"/>
      <c r="T894" s="4"/>
      <c r="U894" s="4"/>
      <c r="V894" s="4"/>
      <c r="W894" s="4"/>
      <c r="X894" s="4"/>
      <c r="Y894" s="4"/>
      <c r="Z894" s="4"/>
    </row>
    <row r="895">
      <c r="A895" s="13"/>
      <c r="B895" s="161"/>
      <c r="C895" s="13"/>
      <c r="D895" s="4"/>
      <c r="E895" s="4"/>
      <c r="F895" s="4"/>
      <c r="G895" s="4"/>
      <c r="H895" s="4"/>
      <c r="I895" s="4"/>
      <c r="J895" s="4"/>
      <c r="K895" s="4"/>
      <c r="L895" s="4"/>
      <c r="M895" s="4"/>
      <c r="N895" s="4"/>
      <c r="O895" s="4"/>
      <c r="P895" s="4"/>
      <c r="Q895" s="4"/>
      <c r="R895" s="4"/>
      <c r="S895" s="4"/>
      <c r="T895" s="4"/>
      <c r="U895" s="4"/>
      <c r="V895" s="4"/>
      <c r="W895" s="4"/>
      <c r="X895" s="4"/>
      <c r="Y895" s="4"/>
      <c r="Z895" s="4"/>
    </row>
    <row r="896">
      <c r="A896" s="13"/>
      <c r="B896" s="161"/>
      <c r="C896" s="13"/>
      <c r="D896" s="4"/>
      <c r="E896" s="4"/>
      <c r="F896" s="4"/>
      <c r="G896" s="4"/>
      <c r="H896" s="4"/>
      <c r="I896" s="4"/>
      <c r="J896" s="4"/>
      <c r="K896" s="4"/>
      <c r="L896" s="4"/>
      <c r="M896" s="4"/>
      <c r="N896" s="4"/>
      <c r="O896" s="4"/>
      <c r="P896" s="4"/>
      <c r="Q896" s="4"/>
      <c r="R896" s="4"/>
      <c r="S896" s="4"/>
      <c r="T896" s="4"/>
      <c r="U896" s="4"/>
      <c r="V896" s="4"/>
      <c r="W896" s="4"/>
      <c r="X896" s="4"/>
      <c r="Y896" s="4"/>
      <c r="Z896" s="4"/>
    </row>
    <row r="897">
      <c r="A897" s="13"/>
      <c r="B897" s="161"/>
      <c r="C897" s="13"/>
      <c r="D897" s="4"/>
      <c r="E897" s="4"/>
      <c r="F897" s="4"/>
      <c r="G897" s="4"/>
      <c r="H897" s="4"/>
      <c r="I897" s="4"/>
      <c r="J897" s="4"/>
      <c r="K897" s="4"/>
      <c r="L897" s="4"/>
      <c r="M897" s="4"/>
      <c r="N897" s="4"/>
      <c r="O897" s="4"/>
      <c r="P897" s="4"/>
      <c r="Q897" s="4"/>
      <c r="R897" s="4"/>
      <c r="S897" s="4"/>
      <c r="T897" s="4"/>
      <c r="U897" s="4"/>
      <c r="V897" s="4"/>
      <c r="W897" s="4"/>
      <c r="X897" s="4"/>
      <c r="Y897" s="4"/>
      <c r="Z897" s="4"/>
    </row>
    <row r="898">
      <c r="A898" s="13"/>
      <c r="B898" s="161"/>
      <c r="C898" s="13"/>
      <c r="D898" s="4"/>
      <c r="E898" s="4"/>
      <c r="F898" s="4"/>
      <c r="G898" s="4"/>
      <c r="H898" s="4"/>
      <c r="I898" s="4"/>
      <c r="J898" s="4"/>
      <c r="K898" s="4"/>
      <c r="L898" s="4"/>
      <c r="M898" s="4"/>
      <c r="N898" s="4"/>
      <c r="O898" s="4"/>
      <c r="P898" s="4"/>
      <c r="Q898" s="4"/>
      <c r="R898" s="4"/>
      <c r="S898" s="4"/>
      <c r="T898" s="4"/>
      <c r="U898" s="4"/>
      <c r="V898" s="4"/>
      <c r="W898" s="4"/>
      <c r="X898" s="4"/>
      <c r="Y898" s="4"/>
      <c r="Z898" s="4"/>
    </row>
    <row r="899">
      <c r="A899" s="13"/>
      <c r="B899" s="161"/>
      <c r="C899" s="13"/>
      <c r="D899" s="4"/>
      <c r="E899" s="4"/>
      <c r="F899" s="4"/>
      <c r="G899" s="4"/>
      <c r="H899" s="4"/>
      <c r="I899" s="4"/>
      <c r="J899" s="4"/>
      <c r="K899" s="4"/>
      <c r="L899" s="4"/>
      <c r="M899" s="4"/>
      <c r="N899" s="4"/>
      <c r="O899" s="4"/>
      <c r="P899" s="4"/>
      <c r="Q899" s="4"/>
      <c r="R899" s="4"/>
      <c r="S899" s="4"/>
      <c r="T899" s="4"/>
      <c r="U899" s="4"/>
      <c r="V899" s="4"/>
      <c r="W899" s="4"/>
      <c r="X899" s="4"/>
      <c r="Y899" s="4"/>
      <c r="Z899" s="4"/>
    </row>
    <row r="900">
      <c r="A900" s="13"/>
      <c r="B900" s="161"/>
      <c r="C900" s="13"/>
      <c r="D900" s="4"/>
      <c r="E900" s="4"/>
      <c r="F900" s="4"/>
      <c r="G900" s="4"/>
      <c r="H900" s="4"/>
      <c r="I900" s="4"/>
      <c r="J900" s="4"/>
      <c r="K900" s="4"/>
      <c r="L900" s="4"/>
      <c r="M900" s="4"/>
      <c r="N900" s="4"/>
      <c r="O900" s="4"/>
      <c r="P900" s="4"/>
      <c r="Q900" s="4"/>
      <c r="R900" s="4"/>
      <c r="S900" s="4"/>
      <c r="T900" s="4"/>
      <c r="U900" s="4"/>
      <c r="V900" s="4"/>
      <c r="W900" s="4"/>
      <c r="X900" s="4"/>
      <c r="Y900" s="4"/>
      <c r="Z900" s="4"/>
    </row>
    <row r="901">
      <c r="A901" s="13"/>
      <c r="B901" s="161"/>
      <c r="C901" s="13"/>
      <c r="D901" s="4"/>
      <c r="E901" s="4"/>
      <c r="F901" s="4"/>
      <c r="G901" s="4"/>
      <c r="H901" s="4"/>
      <c r="I901" s="4"/>
      <c r="J901" s="4"/>
      <c r="K901" s="4"/>
      <c r="L901" s="4"/>
      <c r="M901" s="4"/>
      <c r="N901" s="4"/>
      <c r="O901" s="4"/>
      <c r="P901" s="4"/>
      <c r="Q901" s="4"/>
      <c r="R901" s="4"/>
      <c r="S901" s="4"/>
      <c r="T901" s="4"/>
      <c r="U901" s="4"/>
      <c r="V901" s="4"/>
      <c r="W901" s="4"/>
      <c r="X901" s="4"/>
      <c r="Y901" s="4"/>
      <c r="Z901" s="4"/>
    </row>
    <row r="902">
      <c r="A902" s="13"/>
      <c r="B902" s="161"/>
      <c r="C902" s="13"/>
      <c r="D902" s="4"/>
      <c r="E902" s="4"/>
      <c r="F902" s="4"/>
      <c r="G902" s="4"/>
      <c r="H902" s="4"/>
      <c r="I902" s="4"/>
      <c r="J902" s="4"/>
      <c r="K902" s="4"/>
      <c r="L902" s="4"/>
      <c r="M902" s="4"/>
      <c r="N902" s="4"/>
      <c r="O902" s="4"/>
      <c r="P902" s="4"/>
      <c r="Q902" s="4"/>
      <c r="R902" s="4"/>
      <c r="S902" s="4"/>
      <c r="T902" s="4"/>
      <c r="U902" s="4"/>
      <c r="V902" s="4"/>
      <c r="W902" s="4"/>
      <c r="X902" s="4"/>
      <c r="Y902" s="4"/>
      <c r="Z902" s="4"/>
    </row>
    <row r="903">
      <c r="A903" s="13"/>
      <c r="B903" s="161"/>
      <c r="C903" s="13"/>
      <c r="D903" s="4"/>
      <c r="E903" s="4"/>
      <c r="F903" s="4"/>
      <c r="G903" s="4"/>
      <c r="H903" s="4"/>
      <c r="I903" s="4"/>
      <c r="J903" s="4"/>
      <c r="K903" s="4"/>
      <c r="L903" s="4"/>
      <c r="M903" s="4"/>
      <c r="N903" s="4"/>
      <c r="O903" s="4"/>
      <c r="P903" s="4"/>
      <c r="Q903" s="4"/>
      <c r="R903" s="4"/>
      <c r="S903" s="4"/>
      <c r="T903" s="4"/>
      <c r="U903" s="4"/>
      <c r="V903" s="4"/>
      <c r="W903" s="4"/>
      <c r="X903" s="4"/>
      <c r="Y903" s="4"/>
      <c r="Z903" s="4"/>
    </row>
    <row r="904">
      <c r="A904" s="13"/>
      <c r="B904" s="161"/>
      <c r="C904" s="13"/>
      <c r="D904" s="4"/>
      <c r="E904" s="4"/>
      <c r="F904" s="4"/>
      <c r="G904" s="4"/>
      <c r="H904" s="4"/>
      <c r="I904" s="4"/>
      <c r="J904" s="4"/>
      <c r="K904" s="4"/>
      <c r="L904" s="4"/>
      <c r="M904" s="4"/>
      <c r="N904" s="4"/>
      <c r="O904" s="4"/>
      <c r="P904" s="4"/>
      <c r="Q904" s="4"/>
      <c r="R904" s="4"/>
      <c r="S904" s="4"/>
      <c r="T904" s="4"/>
      <c r="U904" s="4"/>
      <c r="V904" s="4"/>
      <c r="W904" s="4"/>
      <c r="X904" s="4"/>
      <c r="Y904" s="4"/>
      <c r="Z904" s="4"/>
    </row>
    <row r="905">
      <c r="A905" s="13"/>
      <c r="B905" s="161"/>
      <c r="C905" s="13"/>
      <c r="D905" s="4"/>
      <c r="E905" s="4"/>
      <c r="F905" s="4"/>
      <c r="G905" s="4"/>
      <c r="H905" s="4"/>
      <c r="I905" s="4"/>
      <c r="J905" s="4"/>
      <c r="K905" s="4"/>
      <c r="L905" s="4"/>
      <c r="M905" s="4"/>
      <c r="N905" s="4"/>
      <c r="O905" s="4"/>
      <c r="P905" s="4"/>
      <c r="Q905" s="4"/>
      <c r="R905" s="4"/>
      <c r="S905" s="4"/>
      <c r="T905" s="4"/>
      <c r="U905" s="4"/>
      <c r="V905" s="4"/>
      <c r="W905" s="4"/>
      <c r="X905" s="4"/>
      <c r="Y905" s="4"/>
      <c r="Z905" s="4"/>
    </row>
    <row r="906">
      <c r="A906" s="13"/>
      <c r="B906" s="161"/>
      <c r="C906" s="13"/>
      <c r="D906" s="4"/>
      <c r="E906" s="4"/>
      <c r="F906" s="4"/>
      <c r="G906" s="4"/>
      <c r="H906" s="4"/>
      <c r="I906" s="4"/>
      <c r="J906" s="4"/>
      <c r="K906" s="4"/>
      <c r="L906" s="4"/>
      <c r="M906" s="4"/>
      <c r="N906" s="4"/>
      <c r="O906" s="4"/>
      <c r="P906" s="4"/>
      <c r="Q906" s="4"/>
      <c r="R906" s="4"/>
      <c r="S906" s="4"/>
      <c r="T906" s="4"/>
      <c r="U906" s="4"/>
      <c r="V906" s="4"/>
      <c r="W906" s="4"/>
      <c r="X906" s="4"/>
      <c r="Y906" s="4"/>
      <c r="Z906" s="4"/>
    </row>
    <row r="907">
      <c r="A907" s="13"/>
      <c r="B907" s="161"/>
      <c r="C907" s="13"/>
      <c r="D907" s="4"/>
      <c r="E907" s="4"/>
      <c r="F907" s="4"/>
      <c r="G907" s="4"/>
      <c r="H907" s="4"/>
      <c r="I907" s="4"/>
      <c r="J907" s="4"/>
      <c r="K907" s="4"/>
      <c r="L907" s="4"/>
      <c r="M907" s="4"/>
      <c r="N907" s="4"/>
      <c r="O907" s="4"/>
      <c r="P907" s="4"/>
      <c r="Q907" s="4"/>
      <c r="R907" s="4"/>
      <c r="S907" s="4"/>
      <c r="T907" s="4"/>
      <c r="U907" s="4"/>
      <c r="V907" s="4"/>
      <c r="W907" s="4"/>
      <c r="X907" s="4"/>
      <c r="Y907" s="4"/>
      <c r="Z907" s="4"/>
    </row>
    <row r="908">
      <c r="A908" s="13"/>
      <c r="B908" s="161"/>
      <c r="C908" s="13"/>
      <c r="D908" s="4"/>
      <c r="E908" s="4"/>
      <c r="F908" s="4"/>
      <c r="G908" s="4"/>
      <c r="H908" s="4"/>
      <c r="I908" s="4"/>
      <c r="J908" s="4"/>
      <c r="K908" s="4"/>
      <c r="L908" s="4"/>
      <c r="M908" s="4"/>
      <c r="N908" s="4"/>
      <c r="O908" s="4"/>
      <c r="P908" s="4"/>
      <c r="Q908" s="4"/>
      <c r="R908" s="4"/>
      <c r="S908" s="4"/>
      <c r="T908" s="4"/>
      <c r="U908" s="4"/>
      <c r="V908" s="4"/>
      <c r="W908" s="4"/>
      <c r="X908" s="4"/>
      <c r="Y908" s="4"/>
      <c r="Z908" s="4"/>
    </row>
    <row r="909">
      <c r="A909" s="13"/>
      <c r="B909" s="161"/>
      <c r="C909" s="13"/>
      <c r="D909" s="4"/>
      <c r="E909" s="4"/>
      <c r="F909" s="4"/>
      <c r="G909" s="4"/>
      <c r="H909" s="4"/>
      <c r="I909" s="4"/>
      <c r="J909" s="4"/>
      <c r="K909" s="4"/>
      <c r="L909" s="4"/>
      <c r="M909" s="4"/>
      <c r="N909" s="4"/>
      <c r="O909" s="4"/>
      <c r="P909" s="4"/>
      <c r="Q909" s="4"/>
      <c r="R909" s="4"/>
      <c r="S909" s="4"/>
      <c r="T909" s="4"/>
      <c r="U909" s="4"/>
      <c r="V909" s="4"/>
      <c r="W909" s="4"/>
      <c r="X909" s="4"/>
      <c r="Y909" s="4"/>
      <c r="Z909" s="4"/>
    </row>
    <row r="910">
      <c r="A910" s="13"/>
      <c r="B910" s="161"/>
      <c r="C910" s="13"/>
      <c r="D910" s="4"/>
      <c r="E910" s="4"/>
      <c r="F910" s="4"/>
      <c r="G910" s="4"/>
      <c r="H910" s="4"/>
      <c r="I910" s="4"/>
      <c r="J910" s="4"/>
      <c r="K910" s="4"/>
      <c r="L910" s="4"/>
      <c r="M910" s="4"/>
      <c r="N910" s="4"/>
      <c r="O910" s="4"/>
      <c r="P910" s="4"/>
      <c r="Q910" s="4"/>
      <c r="R910" s="4"/>
      <c r="S910" s="4"/>
      <c r="T910" s="4"/>
      <c r="U910" s="4"/>
      <c r="V910" s="4"/>
      <c r="W910" s="4"/>
      <c r="X910" s="4"/>
      <c r="Y910" s="4"/>
      <c r="Z910" s="4"/>
    </row>
    <row r="911">
      <c r="A911" s="13"/>
      <c r="B911" s="161"/>
      <c r="C911" s="13"/>
      <c r="D911" s="4"/>
      <c r="E911" s="4"/>
      <c r="F911" s="4"/>
      <c r="G911" s="4"/>
      <c r="H911" s="4"/>
      <c r="I911" s="4"/>
      <c r="J911" s="4"/>
      <c r="K911" s="4"/>
      <c r="L911" s="4"/>
      <c r="M911" s="4"/>
      <c r="N911" s="4"/>
      <c r="O911" s="4"/>
      <c r="P911" s="4"/>
      <c r="Q911" s="4"/>
      <c r="R911" s="4"/>
      <c r="S911" s="4"/>
      <c r="T911" s="4"/>
      <c r="U911" s="4"/>
      <c r="V911" s="4"/>
      <c r="W911" s="4"/>
      <c r="X911" s="4"/>
      <c r="Y911" s="4"/>
      <c r="Z911" s="4"/>
    </row>
    <row r="912">
      <c r="A912" s="13"/>
      <c r="B912" s="161"/>
      <c r="C912" s="13"/>
      <c r="D912" s="4"/>
      <c r="E912" s="4"/>
      <c r="F912" s="4"/>
      <c r="G912" s="4"/>
      <c r="H912" s="4"/>
      <c r="I912" s="4"/>
      <c r="J912" s="4"/>
      <c r="K912" s="4"/>
      <c r="L912" s="4"/>
      <c r="M912" s="4"/>
      <c r="N912" s="4"/>
      <c r="O912" s="4"/>
      <c r="P912" s="4"/>
      <c r="Q912" s="4"/>
      <c r="R912" s="4"/>
      <c r="S912" s="4"/>
      <c r="T912" s="4"/>
      <c r="U912" s="4"/>
      <c r="V912" s="4"/>
      <c r="W912" s="4"/>
      <c r="X912" s="4"/>
      <c r="Y912" s="4"/>
      <c r="Z912" s="4"/>
    </row>
    <row r="913">
      <c r="A913" s="13"/>
      <c r="B913" s="161"/>
      <c r="C913" s="13"/>
      <c r="D913" s="4"/>
      <c r="E913" s="4"/>
      <c r="F913" s="4"/>
      <c r="G913" s="4"/>
      <c r="H913" s="4"/>
      <c r="I913" s="4"/>
      <c r="J913" s="4"/>
      <c r="K913" s="4"/>
      <c r="L913" s="4"/>
      <c r="M913" s="4"/>
      <c r="N913" s="4"/>
      <c r="O913" s="4"/>
      <c r="P913" s="4"/>
      <c r="Q913" s="4"/>
      <c r="R913" s="4"/>
      <c r="S913" s="4"/>
      <c r="T913" s="4"/>
      <c r="U913" s="4"/>
      <c r="V913" s="4"/>
      <c r="W913" s="4"/>
      <c r="X913" s="4"/>
      <c r="Y913" s="4"/>
      <c r="Z913" s="4"/>
    </row>
    <row r="914">
      <c r="A914" s="13"/>
      <c r="B914" s="161"/>
      <c r="C914" s="13"/>
      <c r="D914" s="4"/>
      <c r="E914" s="4"/>
      <c r="F914" s="4"/>
      <c r="G914" s="4"/>
      <c r="H914" s="4"/>
      <c r="I914" s="4"/>
      <c r="J914" s="4"/>
      <c r="K914" s="4"/>
      <c r="L914" s="4"/>
      <c r="M914" s="4"/>
      <c r="N914" s="4"/>
      <c r="O914" s="4"/>
      <c r="P914" s="4"/>
      <c r="Q914" s="4"/>
      <c r="R914" s="4"/>
      <c r="S914" s="4"/>
      <c r="T914" s="4"/>
      <c r="U914" s="4"/>
      <c r="V914" s="4"/>
      <c r="W914" s="4"/>
      <c r="X914" s="4"/>
      <c r="Y914" s="4"/>
      <c r="Z914" s="4"/>
    </row>
    <row r="915">
      <c r="A915" s="13"/>
      <c r="B915" s="161"/>
      <c r="C915" s="13"/>
      <c r="D915" s="4"/>
      <c r="E915" s="4"/>
      <c r="F915" s="4"/>
      <c r="G915" s="4"/>
      <c r="H915" s="4"/>
      <c r="I915" s="4"/>
      <c r="J915" s="4"/>
      <c r="K915" s="4"/>
      <c r="L915" s="4"/>
      <c r="M915" s="4"/>
      <c r="N915" s="4"/>
      <c r="O915" s="4"/>
      <c r="P915" s="4"/>
      <c r="Q915" s="4"/>
      <c r="R915" s="4"/>
      <c r="S915" s="4"/>
      <c r="T915" s="4"/>
      <c r="U915" s="4"/>
      <c r="V915" s="4"/>
      <c r="W915" s="4"/>
      <c r="X915" s="4"/>
      <c r="Y915" s="4"/>
      <c r="Z915" s="4"/>
    </row>
    <row r="916">
      <c r="A916" s="13"/>
      <c r="B916" s="161"/>
      <c r="C916" s="13"/>
      <c r="D916" s="4"/>
      <c r="E916" s="4"/>
      <c r="F916" s="4"/>
      <c r="G916" s="4"/>
      <c r="H916" s="4"/>
      <c r="I916" s="4"/>
      <c r="J916" s="4"/>
      <c r="K916" s="4"/>
      <c r="L916" s="4"/>
      <c r="M916" s="4"/>
      <c r="N916" s="4"/>
      <c r="O916" s="4"/>
      <c r="P916" s="4"/>
      <c r="Q916" s="4"/>
      <c r="R916" s="4"/>
      <c r="S916" s="4"/>
      <c r="T916" s="4"/>
      <c r="U916" s="4"/>
      <c r="V916" s="4"/>
      <c r="W916" s="4"/>
      <c r="X916" s="4"/>
      <c r="Y916" s="4"/>
      <c r="Z916" s="4"/>
    </row>
    <row r="917">
      <c r="A917" s="13"/>
      <c r="B917" s="161"/>
      <c r="C917" s="13"/>
      <c r="D917" s="4"/>
      <c r="E917" s="4"/>
      <c r="F917" s="4"/>
      <c r="G917" s="4"/>
      <c r="H917" s="4"/>
      <c r="I917" s="4"/>
      <c r="J917" s="4"/>
      <c r="K917" s="4"/>
      <c r="L917" s="4"/>
      <c r="M917" s="4"/>
      <c r="N917" s="4"/>
      <c r="O917" s="4"/>
      <c r="P917" s="4"/>
      <c r="Q917" s="4"/>
      <c r="R917" s="4"/>
      <c r="S917" s="4"/>
      <c r="T917" s="4"/>
      <c r="U917" s="4"/>
      <c r="V917" s="4"/>
      <c r="W917" s="4"/>
      <c r="X917" s="4"/>
      <c r="Y917" s="4"/>
      <c r="Z917" s="4"/>
    </row>
    <row r="918">
      <c r="A918" s="13"/>
      <c r="B918" s="161"/>
      <c r="C918" s="13"/>
      <c r="D918" s="4"/>
      <c r="E918" s="4"/>
      <c r="F918" s="4"/>
      <c r="G918" s="4"/>
      <c r="H918" s="4"/>
      <c r="I918" s="4"/>
      <c r="J918" s="4"/>
      <c r="K918" s="4"/>
      <c r="L918" s="4"/>
      <c r="M918" s="4"/>
      <c r="N918" s="4"/>
      <c r="O918" s="4"/>
      <c r="P918" s="4"/>
      <c r="Q918" s="4"/>
      <c r="R918" s="4"/>
      <c r="S918" s="4"/>
      <c r="T918" s="4"/>
      <c r="U918" s="4"/>
      <c r="V918" s="4"/>
      <c r="W918" s="4"/>
      <c r="X918" s="4"/>
      <c r="Y918" s="4"/>
      <c r="Z918" s="4"/>
    </row>
    <row r="919">
      <c r="A919" s="13"/>
      <c r="B919" s="161"/>
      <c r="C919" s="13"/>
      <c r="D919" s="4"/>
      <c r="E919" s="4"/>
      <c r="F919" s="4"/>
      <c r="G919" s="4"/>
      <c r="H919" s="4"/>
      <c r="I919" s="4"/>
      <c r="J919" s="4"/>
      <c r="K919" s="4"/>
      <c r="L919" s="4"/>
      <c r="M919" s="4"/>
      <c r="N919" s="4"/>
      <c r="O919" s="4"/>
      <c r="P919" s="4"/>
      <c r="Q919" s="4"/>
      <c r="R919" s="4"/>
      <c r="S919" s="4"/>
      <c r="T919" s="4"/>
      <c r="U919" s="4"/>
      <c r="V919" s="4"/>
      <c r="W919" s="4"/>
      <c r="X919" s="4"/>
      <c r="Y919" s="4"/>
      <c r="Z919" s="4"/>
    </row>
    <row r="920">
      <c r="A920" s="13"/>
      <c r="B920" s="161"/>
      <c r="C920" s="13"/>
      <c r="D920" s="4"/>
      <c r="E920" s="4"/>
      <c r="F920" s="4"/>
      <c r="G920" s="4"/>
      <c r="H920" s="4"/>
      <c r="I920" s="4"/>
      <c r="J920" s="4"/>
      <c r="K920" s="4"/>
      <c r="L920" s="4"/>
      <c r="M920" s="4"/>
      <c r="N920" s="4"/>
      <c r="O920" s="4"/>
      <c r="P920" s="4"/>
      <c r="Q920" s="4"/>
      <c r="R920" s="4"/>
      <c r="S920" s="4"/>
      <c r="T920" s="4"/>
      <c r="U920" s="4"/>
      <c r="V920" s="4"/>
      <c r="W920" s="4"/>
      <c r="X920" s="4"/>
      <c r="Y920" s="4"/>
      <c r="Z920" s="4"/>
    </row>
    <row r="921">
      <c r="A921" s="13"/>
      <c r="B921" s="161"/>
      <c r="C921" s="13"/>
      <c r="D921" s="4"/>
      <c r="E921" s="4"/>
      <c r="F921" s="4"/>
      <c r="G921" s="4"/>
      <c r="H921" s="4"/>
      <c r="I921" s="4"/>
      <c r="J921" s="4"/>
      <c r="K921" s="4"/>
      <c r="L921" s="4"/>
      <c r="M921" s="4"/>
      <c r="N921" s="4"/>
      <c r="O921" s="4"/>
      <c r="P921" s="4"/>
      <c r="Q921" s="4"/>
      <c r="R921" s="4"/>
      <c r="S921" s="4"/>
      <c r="T921" s="4"/>
      <c r="U921" s="4"/>
      <c r="V921" s="4"/>
      <c r="W921" s="4"/>
      <c r="X921" s="4"/>
      <c r="Y921" s="4"/>
      <c r="Z921" s="4"/>
    </row>
    <row r="922">
      <c r="A922" s="13"/>
      <c r="B922" s="161"/>
      <c r="C922" s="13"/>
      <c r="D922" s="4"/>
      <c r="E922" s="4"/>
      <c r="F922" s="4"/>
      <c r="G922" s="4"/>
      <c r="H922" s="4"/>
      <c r="I922" s="4"/>
      <c r="J922" s="4"/>
      <c r="K922" s="4"/>
      <c r="L922" s="4"/>
      <c r="M922" s="4"/>
      <c r="N922" s="4"/>
      <c r="O922" s="4"/>
      <c r="P922" s="4"/>
      <c r="Q922" s="4"/>
      <c r="R922" s="4"/>
      <c r="S922" s="4"/>
      <c r="T922" s="4"/>
      <c r="U922" s="4"/>
      <c r="V922" s="4"/>
      <c r="W922" s="4"/>
      <c r="X922" s="4"/>
      <c r="Y922" s="4"/>
      <c r="Z922" s="4"/>
    </row>
    <row r="923">
      <c r="A923" s="13"/>
      <c r="B923" s="161"/>
      <c r="C923" s="13"/>
      <c r="D923" s="4"/>
      <c r="E923" s="4"/>
      <c r="F923" s="4"/>
      <c r="G923" s="4"/>
      <c r="H923" s="4"/>
      <c r="I923" s="4"/>
      <c r="J923" s="4"/>
      <c r="K923" s="4"/>
      <c r="L923" s="4"/>
      <c r="M923" s="4"/>
      <c r="N923" s="4"/>
      <c r="O923" s="4"/>
      <c r="P923" s="4"/>
      <c r="Q923" s="4"/>
      <c r="R923" s="4"/>
      <c r="S923" s="4"/>
      <c r="T923" s="4"/>
      <c r="U923" s="4"/>
      <c r="V923" s="4"/>
      <c r="W923" s="4"/>
      <c r="X923" s="4"/>
      <c r="Y923" s="4"/>
      <c r="Z923" s="4"/>
    </row>
    <row r="924">
      <c r="A924" s="13"/>
      <c r="B924" s="161"/>
      <c r="C924" s="13"/>
      <c r="D924" s="4"/>
      <c r="E924" s="4"/>
      <c r="F924" s="4"/>
      <c r="G924" s="4"/>
      <c r="H924" s="4"/>
      <c r="I924" s="4"/>
      <c r="J924" s="4"/>
      <c r="K924" s="4"/>
      <c r="L924" s="4"/>
      <c r="M924" s="4"/>
      <c r="N924" s="4"/>
      <c r="O924" s="4"/>
      <c r="P924" s="4"/>
      <c r="Q924" s="4"/>
      <c r="R924" s="4"/>
      <c r="S924" s="4"/>
      <c r="T924" s="4"/>
      <c r="U924" s="4"/>
      <c r="V924" s="4"/>
      <c r="W924" s="4"/>
      <c r="X924" s="4"/>
      <c r="Y924" s="4"/>
      <c r="Z924" s="4"/>
    </row>
    <row r="925">
      <c r="A925" s="13"/>
      <c r="B925" s="161"/>
      <c r="C925" s="13"/>
      <c r="D925" s="4"/>
      <c r="E925" s="4"/>
      <c r="F925" s="4"/>
      <c r="G925" s="4"/>
      <c r="H925" s="4"/>
      <c r="I925" s="4"/>
      <c r="J925" s="4"/>
      <c r="K925" s="4"/>
      <c r="L925" s="4"/>
      <c r="M925" s="4"/>
      <c r="N925" s="4"/>
      <c r="O925" s="4"/>
      <c r="P925" s="4"/>
      <c r="Q925" s="4"/>
      <c r="R925" s="4"/>
      <c r="S925" s="4"/>
      <c r="T925" s="4"/>
      <c r="U925" s="4"/>
      <c r="V925" s="4"/>
      <c r="W925" s="4"/>
      <c r="X925" s="4"/>
      <c r="Y925" s="4"/>
      <c r="Z925" s="4"/>
    </row>
    <row r="926">
      <c r="A926" s="13"/>
      <c r="B926" s="161"/>
      <c r="C926" s="13"/>
      <c r="D926" s="4"/>
      <c r="E926" s="4"/>
      <c r="F926" s="4"/>
      <c r="G926" s="4"/>
      <c r="H926" s="4"/>
      <c r="I926" s="4"/>
      <c r="J926" s="4"/>
      <c r="K926" s="4"/>
      <c r="L926" s="4"/>
      <c r="M926" s="4"/>
      <c r="N926" s="4"/>
      <c r="O926" s="4"/>
      <c r="P926" s="4"/>
      <c r="Q926" s="4"/>
      <c r="R926" s="4"/>
      <c r="S926" s="4"/>
      <c r="T926" s="4"/>
      <c r="U926" s="4"/>
      <c r="V926" s="4"/>
      <c r="W926" s="4"/>
      <c r="X926" s="4"/>
      <c r="Y926" s="4"/>
      <c r="Z926" s="4"/>
    </row>
    <row r="927">
      <c r="A927" s="13"/>
      <c r="B927" s="161"/>
      <c r="C927" s="13"/>
      <c r="D927" s="4"/>
      <c r="E927" s="4"/>
      <c r="F927" s="4"/>
      <c r="G927" s="4"/>
      <c r="H927" s="4"/>
      <c r="I927" s="4"/>
      <c r="J927" s="4"/>
      <c r="K927" s="4"/>
      <c r="L927" s="4"/>
      <c r="M927" s="4"/>
      <c r="N927" s="4"/>
      <c r="O927" s="4"/>
      <c r="P927" s="4"/>
      <c r="Q927" s="4"/>
      <c r="R927" s="4"/>
      <c r="S927" s="4"/>
      <c r="T927" s="4"/>
      <c r="U927" s="4"/>
      <c r="V927" s="4"/>
      <c r="W927" s="4"/>
      <c r="X927" s="4"/>
      <c r="Y927" s="4"/>
      <c r="Z927" s="4"/>
    </row>
    <row r="928">
      <c r="A928" s="13"/>
      <c r="B928" s="161"/>
      <c r="C928" s="13"/>
      <c r="D928" s="4"/>
      <c r="E928" s="4"/>
      <c r="F928" s="4"/>
      <c r="G928" s="4"/>
      <c r="H928" s="4"/>
      <c r="I928" s="4"/>
      <c r="J928" s="4"/>
      <c r="K928" s="4"/>
      <c r="L928" s="4"/>
      <c r="M928" s="4"/>
      <c r="N928" s="4"/>
      <c r="O928" s="4"/>
      <c r="P928" s="4"/>
      <c r="Q928" s="4"/>
      <c r="R928" s="4"/>
      <c r="S928" s="4"/>
      <c r="T928" s="4"/>
      <c r="U928" s="4"/>
      <c r="V928" s="4"/>
      <c r="W928" s="4"/>
      <c r="X928" s="4"/>
      <c r="Y928" s="4"/>
      <c r="Z928" s="4"/>
    </row>
    <row r="929">
      <c r="A929" s="13"/>
      <c r="B929" s="161"/>
      <c r="C929" s="13"/>
      <c r="D929" s="4"/>
      <c r="E929" s="4"/>
      <c r="F929" s="4"/>
      <c r="G929" s="4"/>
      <c r="H929" s="4"/>
      <c r="I929" s="4"/>
      <c r="J929" s="4"/>
      <c r="K929" s="4"/>
      <c r="L929" s="4"/>
      <c r="M929" s="4"/>
      <c r="N929" s="4"/>
      <c r="O929" s="4"/>
      <c r="P929" s="4"/>
      <c r="Q929" s="4"/>
      <c r="R929" s="4"/>
      <c r="S929" s="4"/>
      <c r="T929" s="4"/>
      <c r="U929" s="4"/>
      <c r="V929" s="4"/>
      <c r="W929" s="4"/>
      <c r="X929" s="4"/>
      <c r="Y929" s="4"/>
      <c r="Z929" s="4"/>
    </row>
    <row r="930">
      <c r="A930" s="13"/>
      <c r="B930" s="161"/>
      <c r="C930" s="13"/>
      <c r="D930" s="4"/>
      <c r="E930" s="4"/>
      <c r="F930" s="4"/>
      <c r="G930" s="4"/>
      <c r="H930" s="4"/>
      <c r="I930" s="4"/>
      <c r="J930" s="4"/>
      <c r="K930" s="4"/>
      <c r="L930" s="4"/>
      <c r="M930" s="4"/>
      <c r="N930" s="4"/>
      <c r="O930" s="4"/>
      <c r="P930" s="4"/>
      <c r="Q930" s="4"/>
      <c r="R930" s="4"/>
      <c r="S930" s="4"/>
      <c r="T930" s="4"/>
      <c r="U930" s="4"/>
      <c r="V930" s="4"/>
      <c r="W930" s="4"/>
      <c r="X930" s="4"/>
      <c r="Y930" s="4"/>
      <c r="Z930" s="4"/>
    </row>
    <row r="931">
      <c r="A931" s="13"/>
      <c r="B931" s="161"/>
      <c r="C931" s="13"/>
      <c r="D931" s="4"/>
      <c r="E931" s="4"/>
      <c r="F931" s="4"/>
      <c r="G931" s="4"/>
      <c r="H931" s="4"/>
      <c r="I931" s="4"/>
      <c r="J931" s="4"/>
      <c r="K931" s="4"/>
      <c r="L931" s="4"/>
      <c r="M931" s="4"/>
      <c r="N931" s="4"/>
      <c r="O931" s="4"/>
      <c r="P931" s="4"/>
      <c r="Q931" s="4"/>
      <c r="R931" s="4"/>
      <c r="S931" s="4"/>
      <c r="T931" s="4"/>
      <c r="U931" s="4"/>
      <c r="V931" s="4"/>
      <c r="W931" s="4"/>
      <c r="X931" s="4"/>
      <c r="Y931" s="4"/>
      <c r="Z931" s="4"/>
    </row>
    <row r="932">
      <c r="A932" s="13"/>
      <c r="B932" s="161"/>
      <c r="C932" s="13"/>
      <c r="D932" s="4"/>
      <c r="E932" s="4"/>
      <c r="F932" s="4"/>
      <c r="G932" s="4"/>
      <c r="H932" s="4"/>
      <c r="I932" s="4"/>
      <c r="J932" s="4"/>
      <c r="K932" s="4"/>
      <c r="L932" s="4"/>
      <c r="M932" s="4"/>
      <c r="N932" s="4"/>
      <c r="O932" s="4"/>
      <c r="P932" s="4"/>
      <c r="Q932" s="4"/>
      <c r="R932" s="4"/>
      <c r="S932" s="4"/>
      <c r="T932" s="4"/>
      <c r="U932" s="4"/>
      <c r="V932" s="4"/>
      <c r="W932" s="4"/>
      <c r="X932" s="4"/>
      <c r="Y932" s="4"/>
      <c r="Z932" s="4"/>
    </row>
    <row r="933">
      <c r="A933" s="13"/>
      <c r="B933" s="161"/>
      <c r="C933" s="13"/>
      <c r="D933" s="4"/>
      <c r="E933" s="4"/>
      <c r="F933" s="4"/>
      <c r="G933" s="4"/>
      <c r="H933" s="4"/>
      <c r="I933" s="4"/>
      <c r="J933" s="4"/>
      <c r="K933" s="4"/>
      <c r="L933" s="4"/>
      <c r="M933" s="4"/>
      <c r="N933" s="4"/>
      <c r="O933" s="4"/>
      <c r="P933" s="4"/>
      <c r="Q933" s="4"/>
      <c r="R933" s="4"/>
      <c r="S933" s="4"/>
      <c r="T933" s="4"/>
      <c r="U933" s="4"/>
      <c r="V933" s="4"/>
      <c r="W933" s="4"/>
      <c r="X933" s="4"/>
      <c r="Y933" s="4"/>
      <c r="Z933" s="4"/>
    </row>
    <row r="934">
      <c r="A934" s="13"/>
      <c r="B934" s="161"/>
      <c r="C934" s="13"/>
      <c r="D934" s="4"/>
      <c r="E934" s="4"/>
      <c r="F934" s="4"/>
      <c r="G934" s="4"/>
      <c r="H934" s="4"/>
      <c r="I934" s="4"/>
      <c r="J934" s="4"/>
      <c r="K934" s="4"/>
      <c r="L934" s="4"/>
      <c r="M934" s="4"/>
      <c r="N934" s="4"/>
      <c r="O934" s="4"/>
      <c r="P934" s="4"/>
      <c r="Q934" s="4"/>
      <c r="R934" s="4"/>
      <c r="S934" s="4"/>
      <c r="T934" s="4"/>
      <c r="U934" s="4"/>
      <c r="V934" s="4"/>
      <c r="W934" s="4"/>
      <c r="X934" s="4"/>
      <c r="Y934" s="4"/>
      <c r="Z934" s="4"/>
    </row>
    <row r="935">
      <c r="A935" s="13"/>
      <c r="B935" s="161"/>
      <c r="C935" s="13"/>
      <c r="D935" s="4"/>
      <c r="E935" s="4"/>
      <c r="F935" s="4"/>
      <c r="G935" s="4"/>
      <c r="H935" s="4"/>
      <c r="I935" s="4"/>
      <c r="J935" s="4"/>
      <c r="K935" s="4"/>
      <c r="L935" s="4"/>
      <c r="M935" s="4"/>
      <c r="N935" s="4"/>
      <c r="O935" s="4"/>
      <c r="P935" s="4"/>
      <c r="Q935" s="4"/>
      <c r="R935" s="4"/>
      <c r="S935" s="4"/>
      <c r="T935" s="4"/>
      <c r="U935" s="4"/>
      <c r="V935" s="4"/>
      <c r="W935" s="4"/>
      <c r="X935" s="4"/>
      <c r="Y935" s="4"/>
      <c r="Z935" s="4"/>
    </row>
    <row r="936">
      <c r="A936" s="13"/>
      <c r="B936" s="161"/>
      <c r="C936" s="13"/>
      <c r="D936" s="4"/>
      <c r="E936" s="4"/>
      <c r="F936" s="4"/>
      <c r="G936" s="4"/>
      <c r="H936" s="4"/>
      <c r="I936" s="4"/>
      <c r="J936" s="4"/>
      <c r="K936" s="4"/>
      <c r="L936" s="4"/>
      <c r="M936" s="4"/>
      <c r="N936" s="4"/>
      <c r="O936" s="4"/>
      <c r="P936" s="4"/>
      <c r="Q936" s="4"/>
      <c r="R936" s="4"/>
      <c r="S936" s="4"/>
      <c r="T936" s="4"/>
      <c r="U936" s="4"/>
      <c r="V936" s="4"/>
      <c r="W936" s="4"/>
      <c r="X936" s="4"/>
      <c r="Y936" s="4"/>
      <c r="Z936" s="4"/>
    </row>
    <row r="937">
      <c r="A937" s="13"/>
      <c r="B937" s="161"/>
      <c r="C937" s="13"/>
      <c r="D937" s="4"/>
      <c r="E937" s="4"/>
      <c r="F937" s="4"/>
      <c r="G937" s="4"/>
      <c r="H937" s="4"/>
      <c r="I937" s="4"/>
      <c r="J937" s="4"/>
      <c r="K937" s="4"/>
      <c r="L937" s="4"/>
      <c r="M937" s="4"/>
      <c r="N937" s="4"/>
      <c r="O937" s="4"/>
      <c r="P937" s="4"/>
      <c r="Q937" s="4"/>
      <c r="R937" s="4"/>
      <c r="S937" s="4"/>
      <c r="T937" s="4"/>
      <c r="U937" s="4"/>
      <c r="V937" s="4"/>
      <c r="W937" s="4"/>
      <c r="X937" s="4"/>
      <c r="Y937" s="4"/>
      <c r="Z937" s="4"/>
    </row>
    <row r="938">
      <c r="A938" s="13"/>
      <c r="B938" s="161"/>
      <c r="C938" s="13"/>
      <c r="D938" s="4"/>
      <c r="E938" s="4"/>
      <c r="F938" s="4"/>
      <c r="G938" s="4"/>
      <c r="H938" s="4"/>
      <c r="I938" s="4"/>
      <c r="J938" s="4"/>
      <c r="K938" s="4"/>
      <c r="L938" s="4"/>
      <c r="M938" s="4"/>
      <c r="N938" s="4"/>
      <c r="O938" s="4"/>
      <c r="P938" s="4"/>
      <c r="Q938" s="4"/>
      <c r="R938" s="4"/>
      <c r="S938" s="4"/>
      <c r="T938" s="4"/>
      <c r="U938" s="4"/>
      <c r="V938" s="4"/>
      <c r="W938" s="4"/>
      <c r="X938" s="4"/>
      <c r="Y938" s="4"/>
      <c r="Z938" s="4"/>
    </row>
    <row r="939">
      <c r="A939" s="13"/>
      <c r="B939" s="161"/>
      <c r="C939" s="13"/>
      <c r="D939" s="4"/>
      <c r="E939" s="4"/>
      <c r="F939" s="4"/>
      <c r="G939" s="4"/>
      <c r="H939" s="4"/>
      <c r="I939" s="4"/>
      <c r="J939" s="4"/>
      <c r="K939" s="4"/>
      <c r="L939" s="4"/>
      <c r="M939" s="4"/>
      <c r="N939" s="4"/>
      <c r="O939" s="4"/>
      <c r="P939" s="4"/>
      <c r="Q939" s="4"/>
      <c r="R939" s="4"/>
      <c r="S939" s="4"/>
      <c r="T939" s="4"/>
      <c r="U939" s="4"/>
      <c r="V939" s="4"/>
      <c r="W939" s="4"/>
      <c r="X939" s="4"/>
      <c r="Y939" s="4"/>
      <c r="Z939" s="4"/>
    </row>
    <row r="940">
      <c r="A940" s="13"/>
      <c r="B940" s="161"/>
      <c r="C940" s="13"/>
      <c r="D940" s="4"/>
      <c r="E940" s="4"/>
      <c r="F940" s="4"/>
      <c r="G940" s="4"/>
      <c r="H940" s="4"/>
      <c r="I940" s="4"/>
      <c r="J940" s="4"/>
      <c r="K940" s="4"/>
      <c r="L940" s="4"/>
      <c r="M940" s="4"/>
      <c r="N940" s="4"/>
      <c r="O940" s="4"/>
      <c r="P940" s="4"/>
      <c r="Q940" s="4"/>
      <c r="R940" s="4"/>
      <c r="S940" s="4"/>
      <c r="T940" s="4"/>
      <c r="U940" s="4"/>
      <c r="V940" s="4"/>
      <c r="W940" s="4"/>
      <c r="X940" s="4"/>
      <c r="Y940" s="4"/>
      <c r="Z940" s="4"/>
    </row>
    <row r="941">
      <c r="A941" s="13"/>
      <c r="B941" s="161"/>
      <c r="C941" s="13"/>
      <c r="D941" s="4"/>
      <c r="E941" s="4"/>
      <c r="F941" s="4"/>
      <c r="G941" s="4"/>
      <c r="H941" s="4"/>
      <c r="I941" s="4"/>
      <c r="J941" s="4"/>
      <c r="K941" s="4"/>
      <c r="L941" s="4"/>
      <c r="M941" s="4"/>
      <c r="N941" s="4"/>
      <c r="O941" s="4"/>
      <c r="P941" s="4"/>
      <c r="Q941" s="4"/>
      <c r="R941" s="4"/>
      <c r="S941" s="4"/>
      <c r="T941" s="4"/>
      <c r="U941" s="4"/>
      <c r="V941" s="4"/>
      <c r="W941" s="4"/>
      <c r="X941" s="4"/>
      <c r="Y941" s="4"/>
      <c r="Z941" s="4"/>
    </row>
    <row r="942">
      <c r="A942" s="13"/>
      <c r="B942" s="161"/>
      <c r="C942" s="13"/>
      <c r="D942" s="4"/>
      <c r="E942" s="4"/>
      <c r="F942" s="4"/>
      <c r="G942" s="4"/>
      <c r="H942" s="4"/>
      <c r="I942" s="4"/>
      <c r="J942" s="4"/>
      <c r="K942" s="4"/>
      <c r="L942" s="4"/>
      <c r="M942" s="4"/>
      <c r="N942" s="4"/>
      <c r="O942" s="4"/>
      <c r="P942" s="4"/>
      <c r="Q942" s="4"/>
      <c r="R942" s="4"/>
      <c r="S942" s="4"/>
      <c r="T942" s="4"/>
      <c r="U942" s="4"/>
      <c r="V942" s="4"/>
      <c r="W942" s="4"/>
      <c r="X942" s="4"/>
      <c r="Y942" s="4"/>
      <c r="Z942" s="4"/>
    </row>
    <row r="943">
      <c r="A943" s="13"/>
      <c r="B943" s="161"/>
      <c r="C943" s="13"/>
      <c r="D943" s="4"/>
      <c r="E943" s="4"/>
      <c r="F943" s="4"/>
      <c r="G943" s="4"/>
      <c r="H943" s="4"/>
      <c r="I943" s="4"/>
      <c r="J943" s="4"/>
      <c r="K943" s="4"/>
      <c r="L943" s="4"/>
      <c r="M943" s="4"/>
      <c r="N943" s="4"/>
      <c r="O943" s="4"/>
      <c r="P943" s="4"/>
      <c r="Q943" s="4"/>
      <c r="R943" s="4"/>
      <c r="S943" s="4"/>
      <c r="T943" s="4"/>
      <c r="U943" s="4"/>
      <c r="V943" s="4"/>
      <c r="W943" s="4"/>
      <c r="X943" s="4"/>
      <c r="Y943" s="4"/>
      <c r="Z943" s="4"/>
    </row>
    <row r="944">
      <c r="A944" s="13"/>
      <c r="B944" s="161"/>
      <c r="C944" s="13"/>
      <c r="D944" s="4"/>
      <c r="E944" s="4"/>
      <c r="F944" s="4"/>
      <c r="G944" s="4"/>
      <c r="H944" s="4"/>
      <c r="I944" s="4"/>
      <c r="J944" s="4"/>
      <c r="K944" s="4"/>
      <c r="L944" s="4"/>
      <c r="M944" s="4"/>
      <c r="N944" s="4"/>
      <c r="O944" s="4"/>
      <c r="P944" s="4"/>
      <c r="Q944" s="4"/>
      <c r="R944" s="4"/>
      <c r="S944" s="4"/>
      <c r="T944" s="4"/>
      <c r="U944" s="4"/>
      <c r="V944" s="4"/>
      <c r="W944" s="4"/>
      <c r="X944" s="4"/>
      <c r="Y944" s="4"/>
      <c r="Z944" s="4"/>
    </row>
    <row r="945">
      <c r="A945" s="13"/>
      <c r="B945" s="161"/>
      <c r="C945" s="13"/>
      <c r="D945" s="4"/>
      <c r="E945" s="4"/>
      <c r="F945" s="4"/>
      <c r="G945" s="4"/>
      <c r="H945" s="4"/>
      <c r="I945" s="4"/>
      <c r="J945" s="4"/>
      <c r="K945" s="4"/>
      <c r="L945" s="4"/>
      <c r="M945" s="4"/>
      <c r="N945" s="4"/>
      <c r="O945" s="4"/>
      <c r="P945" s="4"/>
      <c r="Q945" s="4"/>
      <c r="R945" s="4"/>
      <c r="S945" s="4"/>
      <c r="T945" s="4"/>
      <c r="U945" s="4"/>
      <c r="V945" s="4"/>
      <c r="W945" s="4"/>
      <c r="X945" s="4"/>
      <c r="Y945" s="4"/>
      <c r="Z945" s="4"/>
    </row>
    <row r="946">
      <c r="A946" s="13"/>
      <c r="B946" s="161"/>
      <c r="C946" s="13"/>
      <c r="D946" s="4"/>
      <c r="E946" s="4"/>
      <c r="F946" s="4"/>
      <c r="G946" s="4"/>
      <c r="H946" s="4"/>
      <c r="I946" s="4"/>
      <c r="J946" s="4"/>
      <c r="K946" s="4"/>
      <c r="L946" s="4"/>
      <c r="M946" s="4"/>
      <c r="N946" s="4"/>
      <c r="O946" s="4"/>
      <c r="P946" s="4"/>
      <c r="Q946" s="4"/>
      <c r="R946" s="4"/>
      <c r="S946" s="4"/>
      <c r="T946" s="4"/>
      <c r="U946" s="4"/>
      <c r="V946" s="4"/>
      <c r="W946" s="4"/>
      <c r="X946" s="4"/>
      <c r="Y946" s="4"/>
      <c r="Z946" s="4"/>
    </row>
    <row r="947">
      <c r="A947" s="13"/>
      <c r="B947" s="161"/>
      <c r="C947" s="13"/>
      <c r="D947" s="4"/>
      <c r="E947" s="4"/>
      <c r="F947" s="4"/>
      <c r="G947" s="4"/>
      <c r="H947" s="4"/>
      <c r="I947" s="4"/>
      <c r="J947" s="4"/>
      <c r="K947" s="4"/>
      <c r="L947" s="4"/>
      <c r="M947" s="4"/>
      <c r="N947" s="4"/>
      <c r="O947" s="4"/>
      <c r="P947" s="4"/>
      <c r="Q947" s="4"/>
      <c r="R947" s="4"/>
      <c r="S947" s="4"/>
      <c r="T947" s="4"/>
      <c r="U947" s="4"/>
      <c r="V947" s="4"/>
      <c r="W947" s="4"/>
      <c r="X947" s="4"/>
      <c r="Y947" s="4"/>
      <c r="Z947" s="4"/>
    </row>
    <row r="948">
      <c r="A948" s="13"/>
      <c r="B948" s="161"/>
      <c r="C948" s="13"/>
      <c r="D948" s="4"/>
      <c r="E948" s="4"/>
      <c r="F948" s="4"/>
      <c r="G948" s="4"/>
      <c r="H948" s="4"/>
      <c r="I948" s="4"/>
      <c r="J948" s="4"/>
      <c r="K948" s="4"/>
      <c r="L948" s="4"/>
      <c r="M948" s="4"/>
      <c r="N948" s="4"/>
      <c r="O948" s="4"/>
      <c r="P948" s="4"/>
      <c r="Q948" s="4"/>
      <c r="R948" s="4"/>
      <c r="S948" s="4"/>
      <c r="T948" s="4"/>
      <c r="U948" s="4"/>
      <c r="V948" s="4"/>
      <c r="W948" s="4"/>
      <c r="X948" s="4"/>
      <c r="Y948" s="4"/>
      <c r="Z948" s="4"/>
    </row>
    <row r="949">
      <c r="A949" s="13"/>
      <c r="B949" s="161"/>
      <c r="C949" s="13"/>
      <c r="D949" s="4"/>
      <c r="E949" s="4"/>
      <c r="F949" s="4"/>
      <c r="G949" s="4"/>
      <c r="H949" s="4"/>
      <c r="I949" s="4"/>
      <c r="J949" s="4"/>
      <c r="K949" s="4"/>
      <c r="L949" s="4"/>
      <c r="M949" s="4"/>
      <c r="N949" s="4"/>
      <c r="O949" s="4"/>
      <c r="P949" s="4"/>
      <c r="Q949" s="4"/>
      <c r="R949" s="4"/>
      <c r="S949" s="4"/>
      <c r="T949" s="4"/>
      <c r="U949" s="4"/>
      <c r="V949" s="4"/>
      <c r="W949" s="4"/>
      <c r="X949" s="4"/>
      <c r="Y949" s="4"/>
      <c r="Z949" s="4"/>
    </row>
    <row r="950">
      <c r="A950" s="13"/>
      <c r="B950" s="161"/>
      <c r="C950" s="13"/>
      <c r="D950" s="4"/>
      <c r="E950" s="4"/>
      <c r="F950" s="4"/>
      <c r="G950" s="4"/>
      <c r="H950" s="4"/>
      <c r="I950" s="4"/>
      <c r="J950" s="4"/>
      <c r="K950" s="4"/>
      <c r="L950" s="4"/>
      <c r="M950" s="4"/>
      <c r="N950" s="4"/>
      <c r="O950" s="4"/>
      <c r="P950" s="4"/>
      <c r="Q950" s="4"/>
      <c r="R950" s="4"/>
      <c r="S950" s="4"/>
      <c r="T950" s="4"/>
      <c r="U950" s="4"/>
      <c r="V950" s="4"/>
      <c r="W950" s="4"/>
      <c r="X950" s="4"/>
      <c r="Y950" s="4"/>
      <c r="Z950" s="4"/>
    </row>
    <row r="951">
      <c r="A951" s="13"/>
      <c r="B951" s="161"/>
      <c r="C951" s="13"/>
      <c r="D951" s="4"/>
      <c r="E951" s="4"/>
      <c r="F951" s="4"/>
      <c r="G951" s="4"/>
      <c r="H951" s="4"/>
      <c r="I951" s="4"/>
      <c r="J951" s="4"/>
      <c r="K951" s="4"/>
      <c r="L951" s="4"/>
      <c r="M951" s="4"/>
      <c r="N951" s="4"/>
      <c r="O951" s="4"/>
      <c r="P951" s="4"/>
      <c r="Q951" s="4"/>
      <c r="R951" s="4"/>
      <c r="S951" s="4"/>
      <c r="T951" s="4"/>
      <c r="U951" s="4"/>
      <c r="V951" s="4"/>
      <c r="W951" s="4"/>
      <c r="X951" s="4"/>
      <c r="Y951" s="4"/>
      <c r="Z951" s="4"/>
    </row>
    <row r="952">
      <c r="A952" s="13"/>
      <c r="B952" s="161"/>
      <c r="C952" s="13"/>
      <c r="D952" s="4"/>
      <c r="E952" s="4"/>
      <c r="F952" s="4"/>
      <c r="G952" s="4"/>
      <c r="H952" s="4"/>
      <c r="I952" s="4"/>
      <c r="J952" s="4"/>
      <c r="K952" s="4"/>
      <c r="L952" s="4"/>
      <c r="M952" s="4"/>
      <c r="N952" s="4"/>
      <c r="O952" s="4"/>
      <c r="P952" s="4"/>
      <c r="Q952" s="4"/>
      <c r="R952" s="4"/>
      <c r="S952" s="4"/>
      <c r="T952" s="4"/>
      <c r="U952" s="4"/>
      <c r="V952" s="4"/>
      <c r="W952" s="4"/>
      <c r="X952" s="4"/>
      <c r="Y952" s="4"/>
      <c r="Z952" s="4"/>
    </row>
    <row r="953">
      <c r="A953" s="13"/>
      <c r="B953" s="161"/>
      <c r="C953" s="13"/>
      <c r="D953" s="4"/>
      <c r="E953" s="4"/>
      <c r="F953" s="4"/>
      <c r="G953" s="4"/>
      <c r="H953" s="4"/>
      <c r="I953" s="4"/>
      <c r="J953" s="4"/>
      <c r="K953" s="4"/>
      <c r="L953" s="4"/>
      <c r="M953" s="4"/>
      <c r="N953" s="4"/>
      <c r="O953" s="4"/>
      <c r="P953" s="4"/>
      <c r="Q953" s="4"/>
      <c r="R953" s="4"/>
      <c r="S953" s="4"/>
      <c r="T953" s="4"/>
      <c r="U953" s="4"/>
      <c r="V953" s="4"/>
      <c r="W953" s="4"/>
      <c r="X953" s="4"/>
      <c r="Y953" s="4"/>
      <c r="Z953" s="4"/>
    </row>
    <row r="954">
      <c r="A954" s="13"/>
      <c r="B954" s="161"/>
      <c r="C954" s="13"/>
      <c r="D954" s="4"/>
      <c r="E954" s="4"/>
      <c r="F954" s="4"/>
      <c r="G954" s="4"/>
      <c r="H954" s="4"/>
      <c r="I954" s="4"/>
      <c r="J954" s="4"/>
      <c r="K954" s="4"/>
      <c r="L954" s="4"/>
      <c r="M954" s="4"/>
      <c r="N954" s="4"/>
      <c r="O954" s="4"/>
      <c r="P954" s="4"/>
      <c r="Q954" s="4"/>
      <c r="R954" s="4"/>
      <c r="S954" s="4"/>
      <c r="T954" s="4"/>
      <c r="U954" s="4"/>
      <c r="V954" s="4"/>
      <c r="W954" s="4"/>
      <c r="X954" s="4"/>
      <c r="Y954" s="4"/>
      <c r="Z954" s="4"/>
    </row>
    <row r="955">
      <c r="A955" s="13"/>
      <c r="B955" s="161"/>
      <c r="C955" s="13"/>
      <c r="D955" s="4"/>
      <c r="E955" s="4"/>
      <c r="F955" s="4"/>
      <c r="G955" s="4"/>
      <c r="H955" s="4"/>
      <c r="I955" s="4"/>
      <c r="J955" s="4"/>
      <c r="K955" s="4"/>
      <c r="L955" s="4"/>
      <c r="M955" s="4"/>
      <c r="N955" s="4"/>
      <c r="O955" s="4"/>
      <c r="P955" s="4"/>
      <c r="Q955" s="4"/>
      <c r="R955" s="4"/>
      <c r="S955" s="4"/>
      <c r="T955" s="4"/>
      <c r="U955" s="4"/>
      <c r="V955" s="4"/>
      <c r="W955" s="4"/>
      <c r="X955" s="4"/>
      <c r="Y955" s="4"/>
      <c r="Z955" s="4"/>
    </row>
    <row r="956">
      <c r="A956" s="13"/>
      <c r="B956" s="161"/>
      <c r="C956" s="13"/>
      <c r="D956" s="4"/>
      <c r="E956" s="4"/>
      <c r="F956" s="4"/>
      <c r="G956" s="4"/>
      <c r="H956" s="4"/>
      <c r="I956" s="4"/>
      <c r="J956" s="4"/>
      <c r="K956" s="4"/>
      <c r="L956" s="4"/>
      <c r="M956" s="4"/>
      <c r="N956" s="4"/>
      <c r="O956" s="4"/>
      <c r="P956" s="4"/>
      <c r="Q956" s="4"/>
      <c r="R956" s="4"/>
      <c r="S956" s="4"/>
      <c r="T956" s="4"/>
      <c r="U956" s="4"/>
      <c r="V956" s="4"/>
      <c r="W956" s="4"/>
      <c r="X956" s="4"/>
      <c r="Y956" s="4"/>
      <c r="Z956" s="4"/>
    </row>
    <row r="957">
      <c r="A957" s="13"/>
      <c r="B957" s="161"/>
      <c r="C957" s="13"/>
      <c r="D957" s="4"/>
      <c r="E957" s="4"/>
      <c r="F957" s="4"/>
      <c r="G957" s="4"/>
      <c r="H957" s="4"/>
      <c r="I957" s="4"/>
      <c r="J957" s="4"/>
      <c r="K957" s="4"/>
      <c r="L957" s="4"/>
      <c r="M957" s="4"/>
      <c r="N957" s="4"/>
      <c r="O957" s="4"/>
      <c r="P957" s="4"/>
      <c r="Q957" s="4"/>
      <c r="R957" s="4"/>
      <c r="S957" s="4"/>
      <c r="T957" s="4"/>
      <c r="U957" s="4"/>
      <c r="V957" s="4"/>
      <c r="W957" s="4"/>
      <c r="X957" s="4"/>
      <c r="Y957" s="4"/>
      <c r="Z957" s="4"/>
    </row>
    <row r="958">
      <c r="A958" s="13"/>
      <c r="B958" s="161"/>
      <c r="C958" s="13"/>
      <c r="D958" s="4"/>
      <c r="E958" s="4"/>
      <c r="F958" s="4"/>
      <c r="G958" s="4"/>
      <c r="H958" s="4"/>
      <c r="I958" s="4"/>
      <c r="J958" s="4"/>
      <c r="K958" s="4"/>
      <c r="L958" s="4"/>
      <c r="M958" s="4"/>
      <c r="N958" s="4"/>
      <c r="O958" s="4"/>
      <c r="P958" s="4"/>
      <c r="Q958" s="4"/>
      <c r="R958" s="4"/>
      <c r="S958" s="4"/>
      <c r="T958" s="4"/>
      <c r="U958" s="4"/>
      <c r="V958" s="4"/>
      <c r="W958" s="4"/>
      <c r="X958" s="4"/>
      <c r="Y958" s="4"/>
      <c r="Z958" s="4"/>
    </row>
    <row r="959">
      <c r="A959" s="13"/>
      <c r="B959" s="161"/>
      <c r="C959" s="13"/>
      <c r="D959" s="4"/>
      <c r="E959" s="4"/>
      <c r="F959" s="4"/>
      <c r="G959" s="4"/>
      <c r="H959" s="4"/>
      <c r="I959" s="4"/>
      <c r="J959" s="4"/>
      <c r="K959" s="4"/>
      <c r="L959" s="4"/>
      <c r="M959" s="4"/>
      <c r="N959" s="4"/>
      <c r="O959" s="4"/>
      <c r="P959" s="4"/>
      <c r="Q959" s="4"/>
      <c r="R959" s="4"/>
      <c r="S959" s="4"/>
      <c r="T959" s="4"/>
      <c r="U959" s="4"/>
      <c r="V959" s="4"/>
      <c r="W959" s="4"/>
      <c r="X959" s="4"/>
      <c r="Y959" s="4"/>
      <c r="Z959" s="4"/>
    </row>
    <row r="960">
      <c r="A960" s="13"/>
      <c r="B960" s="161"/>
      <c r="C960" s="13"/>
      <c r="D960" s="4"/>
      <c r="E960" s="4"/>
      <c r="F960" s="4"/>
      <c r="G960" s="4"/>
      <c r="H960" s="4"/>
      <c r="I960" s="4"/>
      <c r="J960" s="4"/>
      <c r="K960" s="4"/>
      <c r="L960" s="4"/>
      <c r="M960" s="4"/>
      <c r="N960" s="4"/>
      <c r="O960" s="4"/>
      <c r="P960" s="4"/>
      <c r="Q960" s="4"/>
      <c r="R960" s="4"/>
      <c r="S960" s="4"/>
      <c r="T960" s="4"/>
      <c r="U960" s="4"/>
      <c r="V960" s="4"/>
      <c r="W960" s="4"/>
      <c r="X960" s="4"/>
      <c r="Y960" s="4"/>
      <c r="Z960" s="4"/>
    </row>
    <row r="961">
      <c r="A961" s="13"/>
      <c r="B961" s="161"/>
      <c r="C961" s="13"/>
      <c r="D961" s="4"/>
      <c r="E961" s="4"/>
      <c r="F961" s="4"/>
      <c r="G961" s="4"/>
      <c r="H961" s="4"/>
      <c r="I961" s="4"/>
      <c r="J961" s="4"/>
      <c r="K961" s="4"/>
      <c r="L961" s="4"/>
      <c r="M961" s="4"/>
      <c r="N961" s="4"/>
      <c r="O961" s="4"/>
      <c r="P961" s="4"/>
      <c r="Q961" s="4"/>
      <c r="R961" s="4"/>
      <c r="S961" s="4"/>
      <c r="T961" s="4"/>
      <c r="U961" s="4"/>
      <c r="V961" s="4"/>
      <c r="W961" s="4"/>
      <c r="X961" s="4"/>
      <c r="Y961" s="4"/>
      <c r="Z961" s="4"/>
    </row>
    <row r="962">
      <c r="A962" s="13"/>
      <c r="B962" s="161"/>
      <c r="C962" s="13"/>
      <c r="D962" s="4"/>
      <c r="E962" s="4"/>
      <c r="F962" s="4"/>
      <c r="G962" s="4"/>
      <c r="H962" s="4"/>
      <c r="I962" s="4"/>
      <c r="J962" s="4"/>
      <c r="K962" s="4"/>
      <c r="L962" s="4"/>
      <c r="M962" s="4"/>
      <c r="N962" s="4"/>
      <c r="O962" s="4"/>
      <c r="P962" s="4"/>
      <c r="Q962" s="4"/>
      <c r="R962" s="4"/>
      <c r="S962" s="4"/>
      <c r="T962" s="4"/>
      <c r="U962" s="4"/>
      <c r="V962" s="4"/>
      <c r="W962" s="4"/>
      <c r="X962" s="4"/>
      <c r="Y962" s="4"/>
      <c r="Z962" s="4"/>
    </row>
    <row r="963">
      <c r="A963" s="13"/>
      <c r="B963" s="161"/>
      <c r="C963" s="13"/>
      <c r="D963" s="4"/>
      <c r="E963" s="4"/>
      <c r="F963" s="4"/>
      <c r="G963" s="4"/>
      <c r="H963" s="4"/>
      <c r="I963" s="4"/>
      <c r="J963" s="4"/>
      <c r="K963" s="4"/>
      <c r="L963" s="4"/>
      <c r="M963" s="4"/>
      <c r="N963" s="4"/>
      <c r="O963" s="4"/>
      <c r="P963" s="4"/>
      <c r="Q963" s="4"/>
      <c r="R963" s="4"/>
      <c r="S963" s="4"/>
      <c r="T963" s="4"/>
      <c r="U963" s="4"/>
      <c r="V963" s="4"/>
      <c r="W963" s="4"/>
      <c r="X963" s="4"/>
      <c r="Y963" s="4"/>
      <c r="Z963" s="4"/>
    </row>
    <row r="964">
      <c r="A964" s="13"/>
      <c r="B964" s="161"/>
      <c r="C964" s="13"/>
      <c r="D964" s="4"/>
      <c r="E964" s="4"/>
      <c r="F964" s="4"/>
      <c r="G964" s="4"/>
      <c r="H964" s="4"/>
      <c r="I964" s="4"/>
      <c r="J964" s="4"/>
      <c r="K964" s="4"/>
      <c r="L964" s="4"/>
      <c r="M964" s="4"/>
      <c r="N964" s="4"/>
      <c r="O964" s="4"/>
      <c r="P964" s="4"/>
      <c r="Q964" s="4"/>
      <c r="R964" s="4"/>
      <c r="S964" s="4"/>
      <c r="T964" s="4"/>
      <c r="U964" s="4"/>
      <c r="V964" s="4"/>
      <c r="W964" s="4"/>
      <c r="X964" s="4"/>
      <c r="Y964" s="4"/>
      <c r="Z964" s="4"/>
    </row>
    <row r="965">
      <c r="A965" s="13"/>
      <c r="B965" s="161"/>
      <c r="C965" s="13"/>
      <c r="D965" s="4"/>
      <c r="E965" s="4"/>
      <c r="F965" s="4"/>
      <c r="G965" s="4"/>
      <c r="H965" s="4"/>
      <c r="I965" s="4"/>
      <c r="J965" s="4"/>
      <c r="K965" s="4"/>
      <c r="L965" s="4"/>
      <c r="M965" s="4"/>
      <c r="N965" s="4"/>
      <c r="O965" s="4"/>
      <c r="P965" s="4"/>
      <c r="Q965" s="4"/>
      <c r="R965" s="4"/>
      <c r="S965" s="4"/>
      <c r="T965" s="4"/>
      <c r="U965" s="4"/>
      <c r="V965" s="4"/>
      <c r="W965" s="4"/>
      <c r="X965" s="4"/>
      <c r="Y965" s="4"/>
      <c r="Z965" s="4"/>
    </row>
    <row r="966">
      <c r="A966" s="13"/>
      <c r="B966" s="161"/>
      <c r="C966" s="13"/>
      <c r="D966" s="4"/>
      <c r="E966" s="4"/>
      <c r="F966" s="4"/>
      <c r="G966" s="4"/>
      <c r="H966" s="4"/>
      <c r="I966" s="4"/>
      <c r="J966" s="4"/>
      <c r="K966" s="4"/>
      <c r="L966" s="4"/>
      <c r="M966" s="4"/>
      <c r="N966" s="4"/>
      <c r="O966" s="4"/>
      <c r="P966" s="4"/>
      <c r="Q966" s="4"/>
      <c r="R966" s="4"/>
      <c r="S966" s="4"/>
      <c r="T966" s="4"/>
      <c r="U966" s="4"/>
      <c r="V966" s="4"/>
      <c r="W966" s="4"/>
      <c r="X966" s="4"/>
      <c r="Y966" s="4"/>
      <c r="Z966" s="4"/>
    </row>
    <row r="967">
      <c r="A967" s="13"/>
      <c r="B967" s="161"/>
      <c r="C967" s="13"/>
      <c r="D967" s="4"/>
      <c r="E967" s="4"/>
      <c r="F967" s="4"/>
      <c r="G967" s="4"/>
      <c r="H967" s="4"/>
      <c r="I967" s="4"/>
      <c r="J967" s="4"/>
      <c r="K967" s="4"/>
      <c r="L967" s="4"/>
      <c r="M967" s="4"/>
      <c r="N967" s="4"/>
      <c r="O967" s="4"/>
      <c r="P967" s="4"/>
      <c r="Q967" s="4"/>
      <c r="R967" s="4"/>
      <c r="S967" s="4"/>
      <c r="T967" s="4"/>
      <c r="U967" s="4"/>
      <c r="V967" s="4"/>
      <c r="W967" s="4"/>
      <c r="X967" s="4"/>
      <c r="Y967" s="4"/>
      <c r="Z967" s="4"/>
    </row>
    <row r="968">
      <c r="A968" s="13"/>
      <c r="B968" s="161"/>
      <c r="C968" s="13"/>
      <c r="D968" s="4"/>
      <c r="E968" s="4"/>
      <c r="F968" s="4"/>
      <c r="G968" s="4"/>
      <c r="H968" s="4"/>
      <c r="I968" s="4"/>
      <c r="J968" s="4"/>
      <c r="K968" s="4"/>
      <c r="L968" s="4"/>
      <c r="M968" s="4"/>
      <c r="N968" s="4"/>
      <c r="O968" s="4"/>
      <c r="P968" s="4"/>
      <c r="Q968" s="4"/>
      <c r="R968" s="4"/>
      <c r="S968" s="4"/>
      <c r="T968" s="4"/>
      <c r="U968" s="4"/>
      <c r="V968" s="4"/>
      <c r="W968" s="4"/>
      <c r="X968" s="4"/>
      <c r="Y968" s="4"/>
      <c r="Z968" s="4"/>
    </row>
    <row r="969">
      <c r="A969" s="13"/>
      <c r="B969" s="161"/>
      <c r="C969" s="13"/>
      <c r="D969" s="4"/>
      <c r="E969" s="4"/>
      <c r="F969" s="4"/>
      <c r="G969" s="4"/>
      <c r="H969" s="4"/>
      <c r="I969" s="4"/>
      <c r="J969" s="4"/>
      <c r="K969" s="4"/>
      <c r="L969" s="4"/>
      <c r="M969" s="4"/>
      <c r="N969" s="4"/>
      <c r="O969" s="4"/>
      <c r="P969" s="4"/>
      <c r="Q969" s="4"/>
      <c r="R969" s="4"/>
      <c r="S969" s="4"/>
      <c r="T969" s="4"/>
      <c r="U969" s="4"/>
      <c r="V969" s="4"/>
      <c r="W969" s="4"/>
      <c r="X969" s="4"/>
      <c r="Y969" s="4"/>
      <c r="Z969" s="4"/>
    </row>
    <row r="970">
      <c r="A970" s="13"/>
      <c r="B970" s="161"/>
      <c r="C970" s="13"/>
      <c r="D970" s="4"/>
      <c r="E970" s="4"/>
      <c r="F970" s="4"/>
      <c r="G970" s="4"/>
      <c r="H970" s="4"/>
      <c r="I970" s="4"/>
      <c r="J970" s="4"/>
      <c r="K970" s="4"/>
      <c r="L970" s="4"/>
      <c r="M970" s="4"/>
      <c r="N970" s="4"/>
      <c r="O970" s="4"/>
      <c r="P970" s="4"/>
      <c r="Q970" s="4"/>
      <c r="R970" s="4"/>
      <c r="S970" s="4"/>
      <c r="T970" s="4"/>
      <c r="U970" s="4"/>
      <c r="V970" s="4"/>
      <c r="W970" s="4"/>
      <c r="X970" s="4"/>
      <c r="Y970" s="4"/>
      <c r="Z970" s="4"/>
    </row>
    <row r="971">
      <c r="A971" s="13"/>
      <c r="B971" s="161"/>
      <c r="C971" s="13"/>
      <c r="D971" s="4"/>
      <c r="E971" s="4"/>
      <c r="F971" s="4"/>
      <c r="G971" s="4"/>
      <c r="H971" s="4"/>
      <c r="I971" s="4"/>
      <c r="J971" s="4"/>
      <c r="K971" s="4"/>
      <c r="L971" s="4"/>
      <c r="M971" s="4"/>
      <c r="N971" s="4"/>
      <c r="O971" s="4"/>
      <c r="P971" s="4"/>
      <c r="Q971" s="4"/>
      <c r="R971" s="4"/>
      <c r="S971" s="4"/>
      <c r="T971" s="4"/>
      <c r="U971" s="4"/>
      <c r="V971" s="4"/>
      <c r="W971" s="4"/>
      <c r="X971" s="4"/>
      <c r="Y971" s="4"/>
      <c r="Z971" s="4"/>
    </row>
    <row r="972">
      <c r="A972" s="13"/>
      <c r="B972" s="161"/>
      <c r="C972" s="13"/>
      <c r="D972" s="4"/>
      <c r="E972" s="4"/>
      <c r="F972" s="4"/>
      <c r="G972" s="4"/>
      <c r="H972" s="4"/>
      <c r="I972" s="4"/>
      <c r="J972" s="4"/>
      <c r="K972" s="4"/>
      <c r="L972" s="4"/>
      <c r="M972" s="4"/>
      <c r="N972" s="4"/>
      <c r="O972" s="4"/>
      <c r="P972" s="4"/>
      <c r="Q972" s="4"/>
      <c r="R972" s="4"/>
      <c r="S972" s="4"/>
      <c r="T972" s="4"/>
      <c r="U972" s="4"/>
      <c r="V972" s="4"/>
      <c r="W972" s="4"/>
      <c r="X972" s="4"/>
      <c r="Y972" s="4"/>
      <c r="Z972" s="4"/>
    </row>
    <row r="973">
      <c r="A973" s="13"/>
      <c r="B973" s="161"/>
      <c r="C973" s="13"/>
      <c r="D973" s="4"/>
      <c r="E973" s="4"/>
      <c r="F973" s="4"/>
      <c r="G973" s="4"/>
      <c r="H973" s="4"/>
      <c r="I973" s="4"/>
      <c r="J973" s="4"/>
      <c r="K973" s="4"/>
      <c r="L973" s="4"/>
      <c r="M973" s="4"/>
      <c r="N973" s="4"/>
      <c r="O973" s="4"/>
      <c r="P973" s="4"/>
      <c r="Q973" s="4"/>
      <c r="R973" s="4"/>
      <c r="S973" s="4"/>
      <c r="T973" s="4"/>
      <c r="U973" s="4"/>
      <c r="V973" s="4"/>
      <c r="W973" s="4"/>
      <c r="X973" s="4"/>
      <c r="Y973" s="4"/>
      <c r="Z973" s="4"/>
    </row>
    <row r="974">
      <c r="A974" s="13"/>
      <c r="B974" s="161"/>
      <c r="C974" s="13"/>
      <c r="D974" s="4"/>
      <c r="E974" s="4"/>
      <c r="F974" s="4"/>
      <c r="G974" s="4"/>
      <c r="H974" s="4"/>
      <c r="I974" s="4"/>
      <c r="J974" s="4"/>
      <c r="K974" s="4"/>
      <c r="L974" s="4"/>
      <c r="M974" s="4"/>
      <c r="N974" s="4"/>
      <c r="O974" s="4"/>
      <c r="P974" s="4"/>
      <c r="Q974" s="4"/>
      <c r="R974" s="4"/>
      <c r="S974" s="4"/>
      <c r="T974" s="4"/>
      <c r="U974" s="4"/>
      <c r="V974" s="4"/>
      <c r="W974" s="4"/>
      <c r="X974" s="4"/>
      <c r="Y974" s="4"/>
      <c r="Z974" s="4"/>
    </row>
    <row r="975">
      <c r="A975" s="13"/>
      <c r="B975" s="161"/>
      <c r="C975" s="13"/>
      <c r="D975" s="4"/>
      <c r="E975" s="4"/>
      <c r="F975" s="4"/>
      <c r="G975" s="4"/>
      <c r="H975" s="4"/>
      <c r="I975" s="4"/>
      <c r="J975" s="4"/>
      <c r="K975" s="4"/>
      <c r="L975" s="4"/>
      <c r="M975" s="4"/>
      <c r="N975" s="4"/>
      <c r="O975" s="4"/>
      <c r="P975" s="4"/>
      <c r="Q975" s="4"/>
      <c r="R975" s="4"/>
      <c r="S975" s="4"/>
      <c r="T975" s="4"/>
      <c r="U975" s="4"/>
      <c r="V975" s="4"/>
      <c r="W975" s="4"/>
      <c r="X975" s="4"/>
      <c r="Y975" s="4"/>
      <c r="Z975" s="4"/>
    </row>
    <row r="976">
      <c r="A976" s="13"/>
      <c r="B976" s="161"/>
      <c r="C976" s="13"/>
      <c r="D976" s="4"/>
      <c r="E976" s="4"/>
      <c r="F976" s="4"/>
      <c r="G976" s="4"/>
      <c r="H976" s="4"/>
      <c r="I976" s="4"/>
      <c r="J976" s="4"/>
      <c r="K976" s="4"/>
      <c r="L976" s="4"/>
      <c r="M976" s="4"/>
      <c r="N976" s="4"/>
      <c r="O976" s="4"/>
      <c r="P976" s="4"/>
      <c r="Q976" s="4"/>
      <c r="R976" s="4"/>
      <c r="S976" s="4"/>
      <c r="T976" s="4"/>
      <c r="U976" s="4"/>
      <c r="V976" s="4"/>
      <c r="W976" s="4"/>
      <c r="X976" s="4"/>
      <c r="Y976" s="4"/>
      <c r="Z976" s="4"/>
    </row>
    <row r="977">
      <c r="A977" s="13"/>
      <c r="B977" s="161"/>
      <c r="C977" s="13"/>
      <c r="D977" s="4"/>
      <c r="E977" s="4"/>
      <c r="F977" s="4"/>
      <c r="G977" s="4"/>
      <c r="H977" s="4"/>
      <c r="I977" s="4"/>
      <c r="J977" s="4"/>
      <c r="K977" s="4"/>
      <c r="L977" s="4"/>
      <c r="M977" s="4"/>
      <c r="N977" s="4"/>
      <c r="O977" s="4"/>
      <c r="P977" s="4"/>
      <c r="Q977" s="4"/>
      <c r="R977" s="4"/>
      <c r="S977" s="4"/>
      <c r="T977" s="4"/>
      <c r="U977" s="4"/>
      <c r="V977" s="4"/>
      <c r="W977" s="4"/>
      <c r="X977" s="4"/>
      <c r="Y977" s="4"/>
      <c r="Z977" s="4"/>
    </row>
    <row r="978">
      <c r="A978" s="13"/>
      <c r="B978" s="161"/>
      <c r="C978" s="13"/>
      <c r="D978" s="4"/>
      <c r="E978" s="4"/>
      <c r="F978" s="4"/>
      <c r="G978" s="4"/>
      <c r="H978" s="4"/>
      <c r="I978" s="4"/>
      <c r="J978" s="4"/>
      <c r="K978" s="4"/>
      <c r="L978" s="4"/>
      <c r="M978" s="4"/>
      <c r="N978" s="4"/>
      <c r="O978" s="4"/>
      <c r="P978" s="4"/>
      <c r="Q978" s="4"/>
      <c r="R978" s="4"/>
      <c r="S978" s="4"/>
      <c r="T978" s="4"/>
      <c r="U978" s="4"/>
      <c r="V978" s="4"/>
      <c r="W978" s="4"/>
      <c r="X978" s="4"/>
      <c r="Y978" s="4"/>
      <c r="Z978" s="4"/>
    </row>
    <row r="979">
      <c r="A979" s="13"/>
      <c r="B979" s="161"/>
      <c r="C979" s="13"/>
      <c r="D979" s="4"/>
      <c r="E979" s="4"/>
      <c r="F979" s="4"/>
      <c r="G979" s="4"/>
      <c r="H979" s="4"/>
      <c r="I979" s="4"/>
      <c r="J979" s="4"/>
      <c r="K979" s="4"/>
      <c r="L979" s="4"/>
      <c r="M979" s="4"/>
      <c r="N979" s="4"/>
      <c r="O979" s="4"/>
      <c r="P979" s="4"/>
      <c r="Q979" s="4"/>
      <c r="R979" s="4"/>
      <c r="S979" s="4"/>
      <c r="T979" s="4"/>
      <c r="U979" s="4"/>
      <c r="V979" s="4"/>
      <c r="W979" s="4"/>
      <c r="X979" s="4"/>
      <c r="Y979" s="4"/>
      <c r="Z979" s="4"/>
    </row>
    <row r="980">
      <c r="A980" s="13"/>
      <c r="B980" s="161"/>
      <c r="C980" s="13"/>
      <c r="D980" s="4"/>
      <c r="E980" s="4"/>
      <c r="F980" s="4"/>
      <c r="G980" s="4"/>
      <c r="H980" s="4"/>
      <c r="I980" s="4"/>
      <c r="J980" s="4"/>
      <c r="K980" s="4"/>
      <c r="L980" s="4"/>
      <c r="M980" s="4"/>
      <c r="N980" s="4"/>
      <c r="O980" s="4"/>
      <c r="P980" s="4"/>
      <c r="Q980" s="4"/>
      <c r="R980" s="4"/>
      <c r="S980" s="4"/>
      <c r="T980" s="4"/>
      <c r="U980" s="4"/>
      <c r="V980" s="4"/>
      <c r="W980" s="4"/>
      <c r="X980" s="4"/>
      <c r="Y980" s="4"/>
      <c r="Z980" s="4"/>
    </row>
    <row r="981">
      <c r="A981" s="13"/>
      <c r="B981" s="161"/>
      <c r="C981" s="13"/>
      <c r="D981" s="4"/>
      <c r="E981" s="4"/>
      <c r="F981" s="4"/>
      <c r="G981" s="4"/>
      <c r="H981" s="4"/>
      <c r="I981" s="4"/>
      <c r="J981" s="4"/>
      <c r="K981" s="4"/>
      <c r="L981" s="4"/>
      <c r="M981" s="4"/>
      <c r="N981" s="4"/>
      <c r="O981" s="4"/>
      <c r="P981" s="4"/>
      <c r="Q981" s="4"/>
      <c r="R981" s="4"/>
      <c r="S981" s="4"/>
      <c r="T981" s="4"/>
      <c r="U981" s="4"/>
      <c r="V981" s="4"/>
      <c r="W981" s="4"/>
      <c r="X981" s="4"/>
      <c r="Y981" s="4"/>
      <c r="Z981" s="4"/>
    </row>
    <row r="982">
      <c r="A982" s="13"/>
      <c r="B982" s="161"/>
      <c r="C982" s="13"/>
      <c r="D982" s="4"/>
      <c r="E982" s="4"/>
      <c r="F982" s="4"/>
      <c r="G982" s="4"/>
      <c r="H982" s="4"/>
      <c r="I982" s="4"/>
      <c r="J982" s="4"/>
      <c r="K982" s="4"/>
      <c r="L982" s="4"/>
      <c r="M982" s="4"/>
      <c r="N982" s="4"/>
      <c r="O982" s="4"/>
      <c r="P982" s="4"/>
      <c r="Q982" s="4"/>
      <c r="R982" s="4"/>
      <c r="S982" s="4"/>
      <c r="T982" s="4"/>
      <c r="U982" s="4"/>
      <c r="V982" s="4"/>
      <c r="W982" s="4"/>
      <c r="X982" s="4"/>
      <c r="Y982" s="4"/>
      <c r="Z982" s="4"/>
    </row>
    <row r="983">
      <c r="A983" s="13"/>
      <c r="B983" s="161"/>
      <c r="C983" s="13"/>
      <c r="D983" s="4"/>
      <c r="E983" s="4"/>
      <c r="F983" s="4"/>
      <c r="G983" s="4"/>
      <c r="H983" s="4"/>
      <c r="I983" s="4"/>
      <c r="J983" s="4"/>
      <c r="K983" s="4"/>
      <c r="L983" s="4"/>
      <c r="M983" s="4"/>
      <c r="N983" s="4"/>
      <c r="O983" s="4"/>
      <c r="P983" s="4"/>
      <c r="Q983" s="4"/>
      <c r="R983" s="4"/>
      <c r="S983" s="4"/>
      <c r="T983" s="4"/>
      <c r="U983" s="4"/>
      <c r="V983" s="4"/>
      <c r="W983" s="4"/>
      <c r="X983" s="4"/>
      <c r="Y983" s="4"/>
      <c r="Z983" s="4"/>
    </row>
    <row r="984">
      <c r="A984" s="13"/>
      <c r="B984" s="161"/>
      <c r="C984" s="13"/>
      <c r="D984" s="4"/>
      <c r="E984" s="4"/>
      <c r="F984" s="4"/>
      <c r="G984" s="4"/>
      <c r="H984" s="4"/>
      <c r="I984" s="4"/>
      <c r="J984" s="4"/>
      <c r="K984" s="4"/>
      <c r="L984" s="4"/>
      <c r="M984" s="4"/>
      <c r="N984" s="4"/>
      <c r="O984" s="4"/>
      <c r="P984" s="4"/>
      <c r="Q984" s="4"/>
      <c r="R984" s="4"/>
      <c r="S984" s="4"/>
      <c r="T984" s="4"/>
      <c r="U984" s="4"/>
      <c r="V984" s="4"/>
      <c r="W984" s="4"/>
      <c r="X984" s="4"/>
      <c r="Y984" s="4"/>
      <c r="Z984" s="4"/>
    </row>
    <row r="985">
      <c r="A985" s="13"/>
      <c r="B985" s="161"/>
      <c r="C985" s="13"/>
      <c r="D985" s="4"/>
      <c r="E985" s="4"/>
      <c r="F985" s="4"/>
      <c r="G985" s="4"/>
      <c r="H985" s="4"/>
      <c r="I985" s="4"/>
      <c r="J985" s="4"/>
      <c r="K985" s="4"/>
      <c r="L985" s="4"/>
      <c r="M985" s="4"/>
      <c r="N985" s="4"/>
      <c r="O985" s="4"/>
      <c r="P985" s="4"/>
      <c r="Q985" s="4"/>
      <c r="R985" s="4"/>
      <c r="S985" s="4"/>
      <c r="T985" s="4"/>
      <c r="U985" s="4"/>
      <c r="V985" s="4"/>
      <c r="W985" s="4"/>
      <c r="X985" s="4"/>
      <c r="Y985" s="4"/>
      <c r="Z985" s="4"/>
    </row>
    <row r="986">
      <c r="A986" s="13"/>
      <c r="B986" s="161"/>
      <c r="C986" s="13"/>
      <c r="D986" s="4"/>
      <c r="E986" s="4"/>
      <c r="F986" s="4"/>
      <c r="G986" s="4"/>
      <c r="H986" s="4"/>
      <c r="I986" s="4"/>
      <c r="J986" s="4"/>
      <c r="K986" s="4"/>
      <c r="L986" s="4"/>
      <c r="M986" s="4"/>
      <c r="N986" s="4"/>
      <c r="O986" s="4"/>
      <c r="P986" s="4"/>
      <c r="Q986" s="4"/>
      <c r="R986" s="4"/>
      <c r="S986" s="4"/>
      <c r="T986" s="4"/>
      <c r="U986" s="4"/>
      <c r="V986" s="4"/>
      <c r="W986" s="4"/>
      <c r="X986" s="4"/>
      <c r="Y986" s="4"/>
      <c r="Z986" s="4"/>
    </row>
    <row r="987">
      <c r="A987" s="13"/>
      <c r="B987" s="161"/>
      <c r="C987" s="13"/>
      <c r="D987" s="4"/>
      <c r="E987" s="4"/>
      <c r="F987" s="4"/>
      <c r="G987" s="4"/>
      <c r="H987" s="4"/>
      <c r="I987" s="4"/>
      <c r="J987" s="4"/>
      <c r="K987" s="4"/>
      <c r="L987" s="4"/>
      <c r="M987" s="4"/>
      <c r="N987" s="4"/>
      <c r="O987" s="4"/>
      <c r="P987" s="4"/>
      <c r="Q987" s="4"/>
      <c r="R987" s="4"/>
      <c r="S987" s="4"/>
      <c r="T987" s="4"/>
      <c r="U987" s="4"/>
      <c r="V987" s="4"/>
      <c r="W987" s="4"/>
      <c r="X987" s="4"/>
      <c r="Y987" s="4"/>
      <c r="Z987" s="4"/>
    </row>
    <row r="988">
      <c r="A988" s="13"/>
      <c r="B988" s="161"/>
      <c r="C988" s="13"/>
      <c r="D988" s="4"/>
      <c r="E988" s="4"/>
      <c r="F988" s="4"/>
      <c r="G988" s="4"/>
      <c r="H988" s="4"/>
      <c r="I988" s="4"/>
      <c r="J988" s="4"/>
      <c r="K988" s="4"/>
      <c r="L988" s="4"/>
      <c r="M988" s="4"/>
      <c r="N988" s="4"/>
      <c r="O988" s="4"/>
      <c r="P988" s="4"/>
      <c r="Q988" s="4"/>
      <c r="R988" s="4"/>
      <c r="S988" s="4"/>
      <c r="T988" s="4"/>
      <c r="U988" s="4"/>
      <c r="V988" s="4"/>
      <c r="W988" s="4"/>
      <c r="X988" s="4"/>
      <c r="Y988" s="4"/>
      <c r="Z988" s="4"/>
    </row>
    <row r="989">
      <c r="A989" s="13"/>
      <c r="B989" s="161"/>
      <c r="C989" s="13"/>
      <c r="D989" s="4"/>
      <c r="E989" s="4"/>
      <c r="F989" s="4"/>
      <c r="G989" s="4"/>
      <c r="H989" s="4"/>
      <c r="I989" s="4"/>
      <c r="J989" s="4"/>
      <c r="K989" s="4"/>
      <c r="L989" s="4"/>
      <c r="M989" s="4"/>
      <c r="N989" s="4"/>
      <c r="O989" s="4"/>
      <c r="P989" s="4"/>
      <c r="Q989" s="4"/>
      <c r="R989" s="4"/>
      <c r="S989" s="4"/>
      <c r="T989" s="4"/>
      <c r="U989" s="4"/>
      <c r="V989" s="4"/>
      <c r="W989" s="4"/>
      <c r="X989" s="4"/>
      <c r="Y989" s="4"/>
      <c r="Z989" s="4"/>
    </row>
    <row r="990">
      <c r="A990" s="13"/>
      <c r="B990" s="161"/>
      <c r="C990" s="13"/>
      <c r="D990" s="4"/>
      <c r="E990" s="4"/>
      <c r="F990" s="4"/>
      <c r="G990" s="4"/>
      <c r="H990" s="4"/>
      <c r="I990" s="4"/>
      <c r="J990" s="4"/>
      <c r="K990" s="4"/>
      <c r="L990" s="4"/>
      <c r="M990" s="4"/>
      <c r="N990" s="4"/>
      <c r="O990" s="4"/>
      <c r="P990" s="4"/>
      <c r="Q990" s="4"/>
      <c r="R990" s="4"/>
      <c r="S990" s="4"/>
      <c r="T990" s="4"/>
      <c r="U990" s="4"/>
      <c r="V990" s="4"/>
      <c r="W990" s="4"/>
      <c r="X990" s="4"/>
      <c r="Y990" s="4"/>
      <c r="Z990" s="4"/>
    </row>
    <row r="991">
      <c r="A991" s="13"/>
      <c r="B991" s="161"/>
      <c r="C991" s="13"/>
      <c r="D991" s="4"/>
      <c r="E991" s="4"/>
      <c r="F991" s="4"/>
      <c r="G991" s="4"/>
      <c r="H991" s="4"/>
      <c r="I991" s="4"/>
      <c r="J991" s="4"/>
      <c r="K991" s="4"/>
      <c r="L991" s="4"/>
      <c r="M991" s="4"/>
      <c r="N991" s="4"/>
      <c r="O991" s="4"/>
      <c r="P991" s="4"/>
      <c r="Q991" s="4"/>
      <c r="R991" s="4"/>
      <c r="S991" s="4"/>
      <c r="T991" s="4"/>
      <c r="U991" s="4"/>
      <c r="V991" s="4"/>
      <c r="W991" s="4"/>
      <c r="X991" s="4"/>
      <c r="Y991" s="4"/>
      <c r="Z991" s="4"/>
    </row>
    <row r="992">
      <c r="A992" s="13"/>
      <c r="B992" s="161"/>
      <c r="C992" s="13"/>
      <c r="D992" s="4"/>
      <c r="E992" s="4"/>
      <c r="F992" s="4"/>
      <c r="G992" s="4"/>
      <c r="H992" s="4"/>
      <c r="I992" s="4"/>
      <c r="J992" s="4"/>
      <c r="K992" s="4"/>
      <c r="L992" s="4"/>
      <c r="M992" s="4"/>
      <c r="N992" s="4"/>
      <c r="O992" s="4"/>
      <c r="P992" s="4"/>
      <c r="Q992" s="4"/>
      <c r="R992" s="4"/>
      <c r="S992" s="4"/>
      <c r="T992" s="4"/>
      <c r="U992" s="4"/>
      <c r="V992" s="4"/>
      <c r="W992" s="4"/>
      <c r="X992" s="4"/>
      <c r="Y992" s="4"/>
      <c r="Z992" s="4"/>
    </row>
    <row r="993">
      <c r="A993" s="13"/>
      <c r="B993" s="161"/>
      <c r="C993" s="13"/>
      <c r="D993" s="4"/>
      <c r="E993" s="4"/>
      <c r="F993" s="4"/>
      <c r="G993" s="4"/>
      <c r="H993" s="4"/>
      <c r="I993" s="4"/>
      <c r="J993" s="4"/>
      <c r="K993" s="4"/>
      <c r="L993" s="4"/>
      <c r="M993" s="4"/>
      <c r="N993" s="4"/>
      <c r="O993" s="4"/>
      <c r="P993" s="4"/>
      <c r="Q993" s="4"/>
      <c r="R993" s="4"/>
      <c r="S993" s="4"/>
      <c r="T993" s="4"/>
      <c r="U993" s="4"/>
      <c r="V993" s="4"/>
      <c r="W993" s="4"/>
      <c r="X993" s="4"/>
      <c r="Y993" s="4"/>
      <c r="Z993" s="4"/>
    </row>
    <row r="994">
      <c r="A994" s="13"/>
      <c r="B994" s="161"/>
      <c r="C994" s="13"/>
      <c r="D994" s="4"/>
      <c r="E994" s="4"/>
      <c r="F994" s="4"/>
      <c r="G994" s="4"/>
      <c r="H994" s="4"/>
      <c r="I994" s="4"/>
      <c r="J994" s="4"/>
      <c r="K994" s="4"/>
      <c r="L994" s="4"/>
      <c r="M994" s="4"/>
      <c r="N994" s="4"/>
      <c r="O994" s="4"/>
      <c r="P994" s="4"/>
      <c r="Q994" s="4"/>
      <c r="R994" s="4"/>
      <c r="S994" s="4"/>
      <c r="T994" s="4"/>
      <c r="U994" s="4"/>
      <c r="V994" s="4"/>
      <c r="W994" s="4"/>
      <c r="X994" s="4"/>
      <c r="Y994" s="4"/>
      <c r="Z994" s="4"/>
    </row>
    <row r="995">
      <c r="A995" s="13"/>
      <c r="B995" s="161"/>
      <c r="C995" s="13"/>
      <c r="D995" s="4"/>
      <c r="E995" s="4"/>
      <c r="F995" s="4"/>
      <c r="G995" s="4"/>
      <c r="H995" s="4"/>
      <c r="I995" s="4"/>
      <c r="J995" s="4"/>
      <c r="K995" s="4"/>
      <c r="L995" s="4"/>
      <c r="M995" s="4"/>
      <c r="N995" s="4"/>
      <c r="O995" s="4"/>
      <c r="P995" s="4"/>
      <c r="Q995" s="4"/>
      <c r="R995" s="4"/>
      <c r="S995" s="4"/>
      <c r="T995" s="4"/>
      <c r="U995" s="4"/>
      <c r="V995" s="4"/>
      <c r="W995" s="4"/>
      <c r="X995" s="4"/>
      <c r="Y995" s="4"/>
      <c r="Z995" s="4"/>
    </row>
    <row r="996">
      <c r="A996" s="13"/>
      <c r="B996" s="161"/>
      <c r="C996" s="13"/>
      <c r="D996" s="4"/>
      <c r="E996" s="4"/>
      <c r="F996" s="4"/>
      <c r="G996" s="4"/>
      <c r="H996" s="4"/>
      <c r="I996" s="4"/>
      <c r="J996" s="4"/>
      <c r="K996" s="4"/>
      <c r="L996" s="4"/>
      <c r="M996" s="4"/>
      <c r="N996" s="4"/>
      <c r="O996" s="4"/>
      <c r="P996" s="4"/>
      <c r="Q996" s="4"/>
      <c r="R996" s="4"/>
      <c r="S996" s="4"/>
      <c r="T996" s="4"/>
      <c r="U996" s="4"/>
      <c r="V996" s="4"/>
      <c r="W996" s="4"/>
      <c r="X996" s="4"/>
      <c r="Y996" s="4"/>
      <c r="Z996" s="4"/>
    </row>
    <row r="997">
      <c r="A997" s="13"/>
      <c r="B997" s="161"/>
      <c r="C997" s="13"/>
      <c r="D997" s="4"/>
      <c r="E997" s="4"/>
      <c r="F997" s="4"/>
      <c r="G997" s="4"/>
      <c r="H997" s="4"/>
      <c r="I997" s="4"/>
      <c r="J997" s="4"/>
      <c r="K997" s="4"/>
      <c r="L997" s="4"/>
      <c r="M997" s="4"/>
      <c r="N997" s="4"/>
      <c r="O997" s="4"/>
      <c r="P997" s="4"/>
      <c r="Q997" s="4"/>
      <c r="R997" s="4"/>
      <c r="S997" s="4"/>
      <c r="T997" s="4"/>
      <c r="U997" s="4"/>
      <c r="V997" s="4"/>
      <c r="W997" s="4"/>
      <c r="X997" s="4"/>
      <c r="Y997" s="4"/>
      <c r="Z997" s="4"/>
    </row>
    <row r="998">
      <c r="A998" s="13"/>
      <c r="B998" s="161"/>
      <c r="C998" s="13"/>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15"/>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115"/>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115"/>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115"/>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115"/>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115"/>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115"/>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115"/>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115"/>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115"/>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115"/>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115"/>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115"/>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115"/>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115"/>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115"/>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115"/>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115"/>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115"/>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115"/>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115"/>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115"/>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115"/>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115"/>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115"/>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115"/>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115"/>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115"/>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115"/>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115"/>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115"/>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115"/>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115"/>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115"/>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115"/>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115"/>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115"/>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115"/>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115"/>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115"/>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115"/>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115"/>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115"/>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115"/>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115"/>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115"/>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115"/>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115"/>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115"/>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115"/>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115"/>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115"/>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115"/>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115"/>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115"/>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115"/>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115"/>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115"/>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115"/>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115"/>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115"/>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115"/>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115"/>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115"/>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115"/>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115"/>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115"/>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115"/>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115"/>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115"/>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115"/>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115"/>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115"/>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115"/>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115"/>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115"/>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115"/>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115"/>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115"/>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115"/>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115"/>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115"/>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115"/>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115"/>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115"/>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115"/>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115"/>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115"/>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115"/>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115"/>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115"/>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115"/>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115"/>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115"/>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115"/>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115"/>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115"/>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115"/>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115"/>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115"/>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115"/>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115"/>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115"/>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115"/>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115"/>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115"/>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115"/>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115"/>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115"/>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115"/>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115"/>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115"/>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115"/>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115"/>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115"/>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115"/>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115"/>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115"/>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115"/>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115"/>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115"/>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115"/>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115"/>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115"/>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115"/>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115"/>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115"/>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115"/>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115"/>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115"/>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115"/>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115"/>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115"/>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115"/>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115"/>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115"/>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115"/>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115"/>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115"/>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115"/>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115"/>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115"/>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115"/>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115"/>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115"/>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115"/>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115"/>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115"/>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115"/>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115"/>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115"/>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115"/>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115"/>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115"/>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115"/>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115"/>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115"/>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115"/>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115"/>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115"/>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115"/>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115"/>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115"/>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115"/>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115"/>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115"/>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115"/>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115"/>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115"/>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115"/>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115"/>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115"/>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115"/>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115"/>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115"/>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115"/>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115"/>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115"/>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115"/>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115"/>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115"/>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115"/>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115"/>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115"/>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115"/>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115"/>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115"/>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115"/>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115"/>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115"/>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115"/>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115"/>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115"/>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115"/>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115"/>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115"/>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115"/>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115"/>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115"/>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115"/>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115"/>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115"/>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115"/>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115"/>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115"/>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115"/>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115"/>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115"/>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115"/>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115"/>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115"/>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115"/>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115"/>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115"/>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115"/>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115"/>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115"/>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115"/>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115"/>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115"/>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115"/>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115"/>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115"/>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115"/>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115"/>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115"/>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115"/>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115"/>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115"/>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115"/>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115"/>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115"/>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115"/>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115"/>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115"/>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115"/>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115"/>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115"/>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115"/>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115"/>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115"/>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115"/>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115"/>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115"/>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115"/>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115"/>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115"/>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115"/>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115"/>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115"/>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115"/>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115"/>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115"/>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115"/>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115"/>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115"/>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115"/>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115"/>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115"/>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115"/>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115"/>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115"/>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115"/>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115"/>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115"/>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115"/>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115"/>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115"/>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115"/>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115"/>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115"/>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115"/>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115"/>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115"/>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115"/>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115"/>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115"/>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115"/>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115"/>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115"/>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115"/>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115"/>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115"/>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115"/>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115"/>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115"/>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115"/>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115"/>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115"/>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115"/>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115"/>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115"/>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115"/>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115"/>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115"/>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115"/>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115"/>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115"/>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115"/>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115"/>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115"/>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115"/>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115"/>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115"/>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115"/>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115"/>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115"/>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115"/>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115"/>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115"/>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115"/>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115"/>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115"/>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115"/>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115"/>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115"/>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115"/>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115"/>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115"/>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115"/>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115"/>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115"/>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115"/>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115"/>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115"/>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115"/>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115"/>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115"/>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115"/>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115"/>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115"/>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115"/>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115"/>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115"/>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115"/>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115"/>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115"/>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115"/>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115"/>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115"/>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115"/>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115"/>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115"/>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115"/>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115"/>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115"/>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115"/>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115"/>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115"/>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115"/>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115"/>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115"/>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115"/>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115"/>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115"/>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115"/>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115"/>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115"/>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115"/>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115"/>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115"/>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115"/>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115"/>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115"/>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115"/>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115"/>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115"/>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115"/>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115"/>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115"/>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115"/>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115"/>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115"/>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115"/>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115"/>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115"/>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115"/>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115"/>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115"/>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115"/>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115"/>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115"/>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115"/>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115"/>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115"/>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115"/>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115"/>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115"/>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115"/>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115"/>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115"/>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115"/>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115"/>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115"/>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115"/>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115"/>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115"/>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115"/>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115"/>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115"/>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115"/>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115"/>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115"/>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115"/>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115"/>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115"/>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115"/>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115"/>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115"/>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115"/>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115"/>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115"/>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115"/>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115"/>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115"/>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115"/>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115"/>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115"/>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115"/>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115"/>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115"/>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115"/>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115"/>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115"/>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A1423" s="4"/>
      <c r="B1423" s="115"/>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A1424" s="4"/>
      <c r="B1424" s="115"/>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115"/>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115"/>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115"/>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115"/>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115"/>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115"/>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115"/>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115"/>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115"/>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115"/>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115"/>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115"/>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115"/>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115"/>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115"/>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115"/>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115"/>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115"/>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115"/>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115"/>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115"/>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115"/>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115"/>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115"/>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115"/>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115"/>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115"/>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115"/>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115"/>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115"/>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115"/>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115"/>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115"/>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A1458" s="4"/>
      <c r="B1458" s="115"/>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row>
    <row r="1459">
      <c r="A1459" s="4"/>
      <c r="B1459" s="115"/>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row>
    <row r="1460">
      <c r="A1460" s="4"/>
      <c r="B1460" s="115"/>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row>
    <row r="1461">
      <c r="A1461" s="4"/>
      <c r="B1461" s="115"/>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row>
    <row r="1462">
      <c r="A1462" s="4"/>
      <c r="B1462" s="115"/>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row>
    <row r="1463">
      <c r="A1463" s="4"/>
      <c r="B1463" s="115"/>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row>
    <row r="1464">
      <c r="A1464" s="4"/>
      <c r="B1464" s="115"/>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row>
    <row r="1465">
      <c r="A1465" s="4"/>
      <c r="B1465" s="115"/>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row>
    <row r="1466">
      <c r="A1466" s="4"/>
      <c r="B1466" s="115"/>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row>
    <row r="1467">
      <c r="A1467" s="4"/>
      <c r="B1467" s="115"/>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row>
    <row r="1468">
      <c r="A1468" s="4"/>
      <c r="B1468" s="115"/>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row>
    <row r="1469">
      <c r="A1469" s="4"/>
      <c r="B1469" s="115"/>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row>
    <row r="1470">
      <c r="A1470" s="4"/>
      <c r="B1470" s="115"/>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row>
    <row r="1471">
      <c r="A1471" s="4"/>
      <c r="B1471" s="115"/>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row>
    <row r="1472">
      <c r="A1472" s="4"/>
      <c r="B1472" s="115"/>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row>
    <row r="1473">
      <c r="A1473" s="4"/>
      <c r="B1473" s="115"/>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row>
    <row r="1474">
      <c r="A1474" s="4"/>
      <c r="B1474" s="115"/>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row>
    <row r="1475">
      <c r="A1475" s="4"/>
      <c r="B1475" s="115"/>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row>
    <row r="1476">
      <c r="A1476" s="4"/>
      <c r="B1476" s="115"/>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row>
    <row r="1477">
      <c r="A1477" s="4"/>
      <c r="B1477" s="115"/>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row>
    <row r="1478">
      <c r="A1478" s="4"/>
      <c r="B1478" s="115"/>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row>
    <row r="1479">
      <c r="A1479" s="4"/>
      <c r="B1479" s="115"/>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row>
    <row r="1480">
      <c r="A1480" s="4"/>
      <c r="B1480" s="115"/>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row>
    <row r="1481">
      <c r="A1481" s="4"/>
      <c r="B1481" s="115"/>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row>
    <row r="1482">
      <c r="A1482" s="4"/>
      <c r="B1482" s="115"/>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row>
    <row r="1483">
      <c r="A1483" s="4"/>
      <c r="B1483" s="115"/>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row>
    <row r="1484">
      <c r="A1484" s="4"/>
      <c r="B1484" s="115"/>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row>
    <row r="1485">
      <c r="A1485" s="4"/>
      <c r="B1485" s="115"/>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row>
    <row r="1486">
      <c r="A1486" s="4"/>
      <c r="B1486" s="115"/>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row>
    <row r="1487">
      <c r="A1487" s="4"/>
      <c r="B1487" s="115"/>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row>
    <row r="1488">
      <c r="A1488" s="4"/>
      <c r="B1488" s="115"/>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row>
    <row r="1489">
      <c r="A1489" s="4"/>
      <c r="B1489" s="115"/>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row>
    <row r="1490">
      <c r="A1490" s="4"/>
      <c r="B1490" s="115"/>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row>
    <row r="1491">
      <c r="A1491" s="4"/>
      <c r="B1491" s="115"/>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row>
    <row r="1492">
      <c r="A1492" s="4"/>
      <c r="B1492" s="115"/>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row>
    <row r="1493">
      <c r="A1493" s="4"/>
      <c r="B1493" s="115"/>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row>
    <row r="1494">
      <c r="A1494" s="4"/>
      <c r="B1494" s="115"/>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row>
    <row r="1495">
      <c r="A1495" s="4"/>
      <c r="B1495" s="115"/>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row>
    <row r="1496">
      <c r="A1496" s="4"/>
      <c r="B1496" s="115"/>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row>
    <row r="1497">
      <c r="A1497" s="4"/>
      <c r="B1497" s="115"/>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row>
    <row r="1498">
      <c r="A1498" s="4"/>
      <c r="B1498" s="115"/>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row>
    <row r="1499">
      <c r="A1499" s="4"/>
      <c r="B1499" s="115"/>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row>
    <row r="1500">
      <c r="A1500" s="4"/>
      <c r="B1500" s="115"/>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row>
    <row r="1501">
      <c r="A1501" s="4"/>
      <c r="B1501" s="115"/>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row>
    <row r="1502">
      <c r="A1502" s="4"/>
      <c r="B1502" s="115"/>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row>
    <row r="1503">
      <c r="A1503" s="4"/>
      <c r="B1503" s="115"/>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row>
    <row r="1504">
      <c r="A1504" s="4"/>
      <c r="B1504" s="115"/>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row>
    <row r="1505">
      <c r="A1505" s="4"/>
      <c r="B1505" s="115"/>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row>
    <row r="1506">
      <c r="A1506" s="4"/>
      <c r="B1506" s="115"/>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row>
    <row r="1507">
      <c r="A1507" s="4"/>
      <c r="B1507" s="115"/>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row>
    <row r="1508">
      <c r="A1508" s="4"/>
      <c r="B1508" s="115"/>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row>
    <row r="1509">
      <c r="A1509" s="4"/>
      <c r="B1509" s="115"/>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row>
    <row r="1510">
      <c r="A1510" s="4"/>
      <c r="B1510" s="115"/>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row>
    <row r="1511">
      <c r="A1511" s="4"/>
      <c r="B1511" s="115"/>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row>
    <row r="1512">
      <c r="A1512" s="4"/>
      <c r="B1512" s="115"/>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row>
    <row r="1513">
      <c r="A1513" s="4"/>
      <c r="B1513" s="115"/>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row>
    <row r="1514">
      <c r="A1514" s="4"/>
      <c r="B1514" s="115"/>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row>
    <row r="1515">
      <c r="A1515" s="4"/>
      <c r="B1515" s="115"/>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row>
    <row r="1516">
      <c r="A1516" s="4"/>
      <c r="B1516" s="115"/>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row>
    <row r="1517">
      <c r="A1517" s="4"/>
      <c r="B1517" s="115"/>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row>
    <row r="1518">
      <c r="A1518" s="4"/>
      <c r="B1518" s="115"/>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row>
    <row r="1519">
      <c r="A1519" s="4"/>
      <c r="B1519" s="115"/>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row>
    <row r="1520">
      <c r="A1520" s="4"/>
      <c r="B1520" s="115"/>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row>
    <row r="1521">
      <c r="A1521" s="4"/>
      <c r="B1521" s="115"/>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row>
    <row r="1522">
      <c r="A1522" s="4"/>
      <c r="B1522" s="115"/>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row>
    <row r="1523">
      <c r="A1523" s="4"/>
      <c r="B1523" s="115"/>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row>
    <row r="1524">
      <c r="A1524" s="4"/>
      <c r="B1524" s="115"/>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row>
    <row r="1525">
      <c r="A1525" s="4"/>
      <c r="B1525" s="115"/>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row>
    <row r="1526">
      <c r="A1526" s="4"/>
      <c r="B1526" s="115"/>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row>
  </sheetData>
  <mergeCells count="15">
    <mergeCell ref="A189:A256"/>
    <mergeCell ref="B189:B256"/>
    <mergeCell ref="A257:A282"/>
    <mergeCell ref="B257:B260"/>
    <mergeCell ref="B261:B265"/>
    <mergeCell ref="B266:B268"/>
    <mergeCell ref="B269:B277"/>
    <mergeCell ref="B278:B281"/>
    <mergeCell ref="A2:A94"/>
    <mergeCell ref="B2:B90"/>
    <mergeCell ref="B91:B94"/>
    <mergeCell ref="A95:A128"/>
    <mergeCell ref="B95:B128"/>
    <mergeCell ref="A129:A188"/>
    <mergeCell ref="B129:B18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36.5" customHeight="1">
      <c r="A1" s="7"/>
      <c r="D1" s="2" t="s">
        <v>2940</v>
      </c>
    </row>
    <row r="2">
      <c r="A2" s="174" t="s">
        <v>2941</v>
      </c>
      <c r="B2" s="175"/>
      <c r="C2" s="175"/>
      <c r="D2" s="175"/>
      <c r="E2" s="175"/>
      <c r="F2" s="175"/>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row>
    <row r="3">
      <c r="A3" s="174" t="s">
        <v>2942</v>
      </c>
      <c r="B3" s="175"/>
      <c r="C3" s="175"/>
      <c r="D3" s="175"/>
      <c r="E3" s="175"/>
      <c r="F3" s="175"/>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row>
    <row r="4">
      <c r="A4" s="174" t="s">
        <v>2943</v>
      </c>
      <c r="B4" s="175"/>
      <c r="C4" s="175"/>
      <c r="D4" s="175"/>
      <c r="E4" s="175"/>
      <c r="F4" s="175"/>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row>
    <row r="5">
      <c r="A5" s="174" t="s">
        <v>2944</v>
      </c>
      <c r="B5" s="175"/>
      <c r="C5" s="175"/>
      <c r="D5" s="175"/>
      <c r="E5" s="175"/>
      <c r="F5" s="175"/>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row>
    <row r="6">
      <c r="A6" s="174" t="s">
        <v>2945</v>
      </c>
      <c r="B6" s="175"/>
      <c r="C6" s="175"/>
      <c r="D6" s="175"/>
      <c r="E6" s="175"/>
      <c r="F6" s="175"/>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row>
    <row r="8">
      <c r="A8" s="4"/>
      <c r="B8" s="4"/>
      <c r="C8" s="4"/>
      <c r="D8" s="4"/>
      <c r="E8" s="4"/>
      <c r="F8" s="4"/>
      <c r="G8" s="4"/>
      <c r="H8" s="4"/>
      <c r="I8" s="4"/>
      <c r="J8" s="175"/>
      <c r="K8" s="175"/>
      <c r="L8" s="175"/>
      <c r="M8" s="175"/>
      <c r="N8" s="175"/>
      <c r="O8" s="4"/>
      <c r="P8" s="4"/>
      <c r="Q8" s="4"/>
      <c r="R8" s="4"/>
      <c r="S8" s="4"/>
      <c r="T8" s="4"/>
      <c r="U8" s="4"/>
      <c r="V8" s="4"/>
      <c r="W8" s="4"/>
      <c r="X8" s="4"/>
      <c r="Y8" s="4"/>
      <c r="Z8" s="4"/>
      <c r="AA8" s="4"/>
      <c r="AB8" s="4"/>
      <c r="AC8" s="4"/>
      <c r="AD8" s="4"/>
      <c r="AE8" s="4"/>
      <c r="AF8" s="4"/>
      <c r="AG8" s="4"/>
      <c r="AH8" s="4"/>
      <c r="AI8" s="4"/>
      <c r="AJ8" s="4"/>
      <c r="AK8" s="4"/>
      <c r="AL8" s="4"/>
      <c r="AM8" s="4"/>
    </row>
    <row r="9">
      <c r="A9" s="4"/>
      <c r="B9" s="4"/>
      <c r="C9" s="4"/>
      <c r="D9" s="4"/>
      <c r="E9" s="4"/>
      <c r="F9" s="4"/>
      <c r="G9" s="4"/>
      <c r="H9" s="4"/>
      <c r="I9" s="4"/>
      <c r="J9" s="175"/>
      <c r="K9" s="175"/>
      <c r="L9" s="175"/>
      <c r="M9" s="175"/>
      <c r="N9" s="175"/>
      <c r="O9" s="4"/>
      <c r="P9" s="4"/>
      <c r="Q9" s="4"/>
      <c r="R9" s="4"/>
      <c r="S9" s="4"/>
      <c r="T9" s="4"/>
      <c r="U9" s="4"/>
      <c r="V9" s="4"/>
      <c r="W9" s="4"/>
      <c r="X9" s="4"/>
      <c r="Y9" s="4"/>
      <c r="Z9" s="4"/>
      <c r="AA9" s="4"/>
      <c r="AB9" s="4"/>
      <c r="AC9" s="4"/>
      <c r="AD9" s="4"/>
      <c r="AE9" s="4"/>
      <c r="AF9" s="4"/>
      <c r="AG9" s="4"/>
      <c r="AH9" s="4"/>
      <c r="AI9" s="4"/>
      <c r="AJ9" s="4"/>
      <c r="AK9" s="4"/>
      <c r="AL9" s="4"/>
      <c r="AM9" s="4"/>
    </row>
    <row r="10">
      <c r="A10" s="4"/>
      <c r="B10" s="4"/>
      <c r="C10" s="4"/>
      <c r="D10" s="4"/>
      <c r="E10" s="4"/>
      <c r="F10" s="4"/>
      <c r="G10" s="4"/>
      <c r="H10" s="4"/>
      <c r="I10" s="4"/>
      <c r="J10" s="175"/>
      <c r="K10" s="175"/>
      <c r="L10" s="175"/>
      <c r="M10" s="175"/>
      <c r="N10" s="175"/>
      <c r="O10" s="4"/>
      <c r="P10" s="4"/>
      <c r="Q10" s="4"/>
      <c r="R10" s="4"/>
      <c r="S10" s="4"/>
      <c r="T10" s="4"/>
      <c r="U10" s="4"/>
      <c r="V10" s="4"/>
      <c r="W10" s="4"/>
      <c r="X10" s="4"/>
      <c r="Y10" s="4"/>
      <c r="Z10" s="4"/>
      <c r="AA10" s="4"/>
      <c r="AB10" s="4"/>
      <c r="AC10" s="4"/>
      <c r="AD10" s="4"/>
      <c r="AE10" s="4"/>
      <c r="AF10" s="4"/>
      <c r="AG10" s="4"/>
      <c r="AH10" s="4"/>
      <c r="AI10" s="4"/>
      <c r="AJ10" s="4"/>
      <c r="AK10" s="4"/>
      <c r="AL10" s="4"/>
      <c r="AM10" s="4"/>
    </row>
    <row r="11">
      <c r="A11" s="4"/>
      <c r="B11" s="4"/>
      <c r="C11" s="4"/>
      <c r="D11" s="4"/>
      <c r="E11" s="4"/>
      <c r="F11" s="4"/>
      <c r="G11" s="4"/>
      <c r="H11" s="4"/>
      <c r="I11" s="4"/>
      <c r="J11" s="175"/>
      <c r="K11" s="175"/>
      <c r="L11" s="175"/>
      <c r="M11" s="175"/>
      <c r="N11" s="175"/>
      <c r="O11" s="4"/>
      <c r="P11" s="4"/>
      <c r="Q11" s="4"/>
      <c r="R11" s="4"/>
      <c r="S11" s="4"/>
      <c r="T11" s="4"/>
      <c r="U11" s="4"/>
      <c r="V11" s="4"/>
      <c r="W11" s="4"/>
      <c r="X11" s="4"/>
      <c r="Y11" s="4"/>
      <c r="Z11" s="4"/>
      <c r="AA11" s="4"/>
      <c r="AB11" s="4"/>
      <c r="AC11" s="4"/>
      <c r="AD11" s="4"/>
      <c r="AE11" s="4"/>
      <c r="AF11" s="4"/>
      <c r="AG11" s="4"/>
      <c r="AH11" s="4"/>
      <c r="AI11" s="4"/>
      <c r="AJ11" s="4"/>
      <c r="AK11" s="4"/>
      <c r="AL11" s="4"/>
      <c r="AM11" s="4"/>
    </row>
    <row r="12">
      <c r="A12" s="4"/>
      <c r="B12" s="4"/>
      <c r="C12" s="4"/>
      <c r="D12" s="4"/>
      <c r="E12" s="4"/>
      <c r="F12" s="4"/>
      <c r="G12" s="4"/>
      <c r="H12" s="4"/>
      <c r="I12" s="4"/>
      <c r="J12" s="175"/>
      <c r="K12" s="175"/>
      <c r="L12" s="175"/>
      <c r="M12" s="175"/>
      <c r="N12" s="175"/>
      <c r="O12" s="4"/>
      <c r="P12" s="4"/>
      <c r="Q12" s="4"/>
      <c r="R12" s="4"/>
      <c r="S12" s="4"/>
      <c r="T12" s="4"/>
      <c r="U12" s="4"/>
      <c r="V12" s="4"/>
      <c r="W12" s="4"/>
      <c r="X12" s="4"/>
      <c r="Y12" s="4"/>
      <c r="Z12" s="4"/>
      <c r="AA12" s="4"/>
      <c r="AB12" s="4"/>
      <c r="AC12" s="4"/>
      <c r="AD12" s="4"/>
      <c r="AE12" s="4"/>
      <c r="AF12" s="4"/>
      <c r="AG12" s="4"/>
      <c r="AH12" s="4"/>
      <c r="AI12" s="4"/>
      <c r="AJ12" s="4"/>
      <c r="AK12" s="4"/>
      <c r="AL12" s="4"/>
      <c r="AM12" s="4"/>
    </row>
    <row r="13">
      <c r="A13" s="4"/>
      <c r="B13" s="4"/>
      <c r="C13" s="4"/>
      <c r="D13" s="175"/>
      <c r="E13" s="175"/>
      <c r="F13" s="175"/>
      <c r="G13" s="175"/>
      <c r="H13" s="175"/>
      <c r="I13" s="175"/>
      <c r="J13" s="175"/>
      <c r="K13" s="175"/>
      <c r="L13" s="175"/>
      <c r="M13" s="175"/>
      <c r="N13" s="175"/>
      <c r="O13" s="4"/>
      <c r="P13" s="4"/>
      <c r="Q13" s="4"/>
      <c r="R13" s="4"/>
      <c r="S13" s="4"/>
      <c r="T13" s="4"/>
      <c r="U13" s="4"/>
      <c r="V13" s="4"/>
      <c r="W13" s="4"/>
      <c r="X13" s="4"/>
      <c r="Y13" s="4"/>
      <c r="Z13" s="4"/>
      <c r="AA13" s="4"/>
      <c r="AB13" s="4"/>
      <c r="AC13" s="4"/>
      <c r="AD13" s="4"/>
      <c r="AE13" s="4"/>
      <c r="AF13" s="4"/>
      <c r="AG13" s="4"/>
      <c r="AH13" s="4"/>
      <c r="AI13" s="4"/>
      <c r="AJ13" s="4"/>
      <c r="AK13" s="4"/>
      <c r="AL13" s="4"/>
      <c r="AM13" s="4"/>
    </row>
    <row r="14">
      <c r="A14" s="4"/>
      <c r="B14" s="4"/>
      <c r="C14" s="4"/>
      <c r="D14" s="175"/>
      <c r="E14" s="175"/>
      <c r="F14" s="175"/>
      <c r="G14" s="175"/>
      <c r="H14" s="175"/>
      <c r="I14" s="175"/>
      <c r="J14" s="175"/>
      <c r="K14" s="175"/>
      <c r="L14" s="175"/>
      <c r="M14" s="175"/>
      <c r="N14" s="175"/>
      <c r="O14" s="4"/>
      <c r="P14" s="4"/>
      <c r="Q14" s="4"/>
      <c r="R14" s="4"/>
      <c r="S14" s="4"/>
      <c r="T14" s="4"/>
      <c r="U14" s="4"/>
      <c r="V14" s="4"/>
      <c r="W14" s="4"/>
      <c r="X14" s="4"/>
      <c r="Y14" s="4"/>
      <c r="Z14" s="4"/>
      <c r="AA14" s="4"/>
      <c r="AB14" s="4"/>
      <c r="AC14" s="4"/>
      <c r="AD14" s="4"/>
      <c r="AE14" s="4"/>
      <c r="AF14" s="4"/>
      <c r="AG14" s="4"/>
      <c r="AH14" s="4"/>
      <c r="AI14" s="4"/>
      <c r="AJ14" s="4"/>
      <c r="AK14" s="4"/>
      <c r="AL14" s="4"/>
      <c r="AM14" s="4"/>
    </row>
    <row r="15">
      <c r="A15" s="4"/>
      <c r="B15" s="4"/>
      <c r="C15" s="4"/>
      <c r="D15" s="175"/>
      <c r="E15" s="175"/>
      <c r="F15" s="175"/>
      <c r="G15" s="175"/>
      <c r="H15" s="175"/>
      <c r="I15" s="175"/>
      <c r="J15" s="175"/>
      <c r="K15" s="175"/>
      <c r="L15" s="175"/>
      <c r="M15" s="175"/>
      <c r="N15" s="175"/>
      <c r="O15" s="4"/>
      <c r="P15" s="4"/>
      <c r="Q15" s="4"/>
      <c r="R15" s="4"/>
      <c r="S15" s="4"/>
      <c r="T15" s="4"/>
      <c r="U15" s="4"/>
      <c r="V15" s="4"/>
      <c r="W15" s="4"/>
      <c r="X15" s="4"/>
      <c r="Y15" s="4"/>
      <c r="Z15" s="4"/>
      <c r="AA15" s="4"/>
      <c r="AB15" s="4"/>
      <c r="AC15" s="4"/>
      <c r="AD15" s="4"/>
      <c r="AE15" s="4"/>
      <c r="AF15" s="4"/>
      <c r="AG15" s="4"/>
      <c r="AH15" s="4"/>
      <c r="AI15" s="4"/>
      <c r="AJ15" s="4"/>
      <c r="AK15" s="4"/>
      <c r="AL15" s="4"/>
      <c r="AM15" s="4"/>
    </row>
    <row r="16">
      <c r="A16" s="4"/>
      <c r="B16" s="4"/>
      <c r="C16" s="4"/>
      <c r="D16" s="175"/>
      <c r="E16" s="175"/>
      <c r="F16" s="175"/>
      <c r="G16" s="175"/>
      <c r="H16" s="175"/>
      <c r="I16" s="175"/>
      <c r="J16" s="175"/>
      <c r="K16" s="175"/>
      <c r="L16" s="175"/>
      <c r="M16" s="175"/>
      <c r="N16" s="175"/>
      <c r="O16" s="4"/>
      <c r="P16" s="4"/>
      <c r="Q16" s="4"/>
      <c r="R16" s="4"/>
      <c r="S16" s="4"/>
      <c r="T16" s="4"/>
      <c r="U16" s="4"/>
      <c r="V16" s="4"/>
      <c r="W16" s="4"/>
      <c r="X16" s="4"/>
      <c r="Y16" s="4"/>
      <c r="Z16" s="4"/>
      <c r="AA16" s="4"/>
      <c r="AB16" s="4"/>
      <c r="AC16" s="4"/>
      <c r="AD16" s="4"/>
      <c r="AE16" s="4"/>
      <c r="AF16" s="4"/>
      <c r="AG16" s="4"/>
      <c r="AH16" s="4"/>
      <c r="AI16" s="4"/>
      <c r="AJ16" s="4"/>
      <c r="AK16" s="4"/>
      <c r="AL16" s="4"/>
      <c r="AM16" s="4"/>
    </row>
    <row r="17">
      <c r="A17" s="4"/>
      <c r="B17" s="4"/>
      <c r="C17" s="4"/>
      <c r="D17" s="175"/>
      <c r="E17" s="175"/>
      <c r="F17" s="175"/>
      <c r="G17" s="175"/>
      <c r="H17" s="175"/>
      <c r="I17" s="175"/>
      <c r="J17" s="175"/>
      <c r="K17" s="175"/>
      <c r="L17" s="175"/>
      <c r="M17" s="175"/>
      <c r="N17" s="175"/>
      <c r="O17" s="4"/>
      <c r="P17" s="4"/>
      <c r="Q17" s="4"/>
      <c r="R17" s="4"/>
      <c r="S17" s="4"/>
      <c r="T17" s="4"/>
      <c r="U17" s="4"/>
      <c r="V17" s="4"/>
      <c r="W17" s="4"/>
      <c r="X17" s="4"/>
      <c r="Y17" s="4"/>
      <c r="Z17" s="4"/>
      <c r="AA17" s="4"/>
      <c r="AB17" s="4"/>
      <c r="AC17" s="4"/>
      <c r="AD17" s="4"/>
      <c r="AE17" s="4"/>
      <c r="AF17" s="4"/>
      <c r="AG17" s="4"/>
      <c r="AH17" s="4"/>
      <c r="AI17" s="4"/>
      <c r="AJ17" s="4"/>
      <c r="AK17" s="4"/>
      <c r="AL17" s="4"/>
      <c r="AM17" s="4"/>
    </row>
    <row r="18">
      <c r="A18" s="4"/>
      <c r="B18" s="4"/>
      <c r="C18" s="4"/>
      <c r="D18" s="175"/>
      <c r="E18" s="175"/>
      <c r="F18" s="175"/>
      <c r="G18" s="175"/>
      <c r="H18" s="175"/>
      <c r="I18" s="175"/>
      <c r="J18" s="175"/>
      <c r="K18" s="175"/>
      <c r="L18" s="175"/>
      <c r="M18" s="175"/>
      <c r="N18" s="175"/>
      <c r="O18" s="4"/>
      <c r="P18" s="4"/>
      <c r="Q18" s="4"/>
      <c r="R18" s="4"/>
      <c r="S18" s="4"/>
      <c r="T18" s="4"/>
      <c r="U18" s="4"/>
      <c r="V18" s="4"/>
      <c r="W18" s="4"/>
      <c r="X18" s="4"/>
      <c r="Y18" s="4"/>
      <c r="Z18" s="4"/>
      <c r="AA18" s="4"/>
      <c r="AB18" s="4"/>
      <c r="AC18" s="4"/>
      <c r="AD18" s="4"/>
      <c r="AE18" s="4"/>
      <c r="AF18" s="4"/>
      <c r="AG18" s="4"/>
      <c r="AH18" s="4"/>
      <c r="AI18" s="4"/>
      <c r="AJ18" s="4"/>
      <c r="AK18" s="4"/>
      <c r="AL18" s="4"/>
      <c r="AM18" s="4"/>
    </row>
    <row r="19">
      <c r="A19" s="4"/>
      <c r="B19" s="4"/>
      <c r="C19" s="4"/>
      <c r="D19" s="175"/>
      <c r="E19" s="175"/>
      <c r="F19" s="175"/>
      <c r="G19" s="175"/>
      <c r="H19" s="175"/>
      <c r="I19" s="175"/>
      <c r="J19" s="175"/>
      <c r="K19" s="175"/>
      <c r="L19" s="175"/>
      <c r="M19" s="175"/>
      <c r="N19" s="175"/>
      <c r="O19" s="4"/>
      <c r="P19" s="4"/>
      <c r="Q19" s="4"/>
      <c r="R19" s="4"/>
      <c r="S19" s="4"/>
      <c r="T19" s="4"/>
      <c r="U19" s="4"/>
      <c r="V19" s="4"/>
      <c r="W19" s="4"/>
      <c r="X19" s="4"/>
      <c r="Y19" s="4"/>
      <c r="Z19" s="4"/>
      <c r="AA19" s="4"/>
      <c r="AB19" s="4"/>
      <c r="AC19" s="4"/>
      <c r="AD19" s="4"/>
      <c r="AE19" s="4"/>
      <c r="AF19" s="4"/>
      <c r="AG19" s="4"/>
      <c r="AH19" s="4"/>
      <c r="AI19" s="4"/>
      <c r="AJ19" s="4"/>
      <c r="AK19" s="4"/>
      <c r="AL19" s="4"/>
      <c r="AM19" s="4"/>
    </row>
    <row r="20">
      <c r="A20" s="4"/>
      <c r="B20" s="4"/>
      <c r="C20" s="4"/>
      <c r="D20" s="175"/>
      <c r="E20" s="175"/>
      <c r="F20" s="175"/>
      <c r="G20" s="175"/>
      <c r="H20" s="175"/>
      <c r="I20" s="175"/>
      <c r="J20" s="175"/>
      <c r="K20" s="175"/>
      <c r="L20" s="175"/>
      <c r="M20" s="175"/>
      <c r="N20" s="175"/>
      <c r="O20" s="4"/>
      <c r="P20" s="4"/>
      <c r="Q20" s="4"/>
      <c r="R20" s="4"/>
      <c r="S20" s="4"/>
      <c r="T20" s="4"/>
      <c r="U20" s="4"/>
      <c r="V20" s="4"/>
      <c r="W20" s="4"/>
      <c r="X20" s="4"/>
      <c r="Y20" s="4"/>
      <c r="Z20" s="4"/>
      <c r="AA20" s="4"/>
      <c r="AB20" s="4"/>
      <c r="AC20" s="4"/>
      <c r="AD20" s="4"/>
      <c r="AE20" s="4"/>
      <c r="AF20" s="4"/>
      <c r="AG20" s="4"/>
      <c r="AH20" s="4"/>
      <c r="AI20" s="4"/>
      <c r="AJ20" s="4"/>
      <c r="AK20" s="4"/>
      <c r="AL20" s="4"/>
      <c r="AM20" s="4"/>
    </row>
    <row r="21">
      <c r="A21" s="4"/>
      <c r="B21" s="4"/>
      <c r="C21" s="4"/>
      <c r="D21" s="175"/>
      <c r="E21" s="175"/>
      <c r="F21" s="175"/>
      <c r="G21" s="175"/>
      <c r="H21" s="175"/>
      <c r="I21" s="175"/>
      <c r="J21" s="175"/>
      <c r="K21" s="175"/>
      <c r="L21" s="175"/>
      <c r="M21" s="175"/>
      <c r="N21" s="175"/>
      <c r="O21" s="4"/>
      <c r="P21" s="4"/>
      <c r="Q21" s="4"/>
      <c r="R21" s="4"/>
      <c r="S21" s="4"/>
      <c r="T21" s="4"/>
      <c r="U21" s="4"/>
      <c r="V21" s="4"/>
      <c r="W21" s="4"/>
      <c r="X21" s="4"/>
      <c r="Y21" s="4"/>
      <c r="Z21" s="4"/>
      <c r="AA21" s="4"/>
      <c r="AB21" s="4"/>
      <c r="AC21" s="4"/>
      <c r="AD21" s="4"/>
      <c r="AE21" s="4"/>
      <c r="AF21" s="4"/>
      <c r="AG21" s="4"/>
      <c r="AH21" s="4"/>
      <c r="AI21" s="4"/>
      <c r="AJ21" s="4"/>
      <c r="AK21" s="4"/>
      <c r="AL21" s="4"/>
      <c r="AM21" s="4"/>
    </row>
    <row r="22">
      <c r="A22" s="4"/>
      <c r="B22" s="4"/>
      <c r="C22" s="4"/>
      <c r="D22" s="175"/>
      <c r="E22" s="175"/>
      <c r="F22" s="175"/>
      <c r="G22" s="175"/>
      <c r="H22" s="175"/>
      <c r="I22" s="175"/>
      <c r="J22" s="175"/>
      <c r="K22" s="175"/>
      <c r="L22" s="175"/>
      <c r="M22" s="175"/>
      <c r="N22" s="175"/>
      <c r="O22" s="4"/>
      <c r="P22" s="4"/>
      <c r="Q22" s="4"/>
      <c r="R22" s="4"/>
      <c r="S22" s="4"/>
      <c r="T22" s="4"/>
      <c r="U22" s="4"/>
      <c r="V22" s="4"/>
      <c r="W22" s="4"/>
      <c r="X22" s="4"/>
      <c r="Y22" s="4"/>
      <c r="Z22" s="4"/>
      <c r="AA22" s="4"/>
      <c r="AB22" s="4"/>
      <c r="AC22" s="4"/>
      <c r="AD22" s="4"/>
      <c r="AE22" s="4"/>
      <c r="AF22" s="4"/>
      <c r="AG22" s="4"/>
      <c r="AH22" s="4"/>
      <c r="AI22" s="4"/>
      <c r="AJ22" s="4"/>
      <c r="AK22" s="4"/>
      <c r="AL22" s="4"/>
      <c r="AM22" s="4"/>
    </row>
    <row r="23">
      <c r="A23" s="4"/>
      <c r="B23" s="4"/>
      <c r="C23" s="4"/>
      <c r="D23" s="175"/>
      <c r="E23" s="175"/>
      <c r="F23" s="175"/>
      <c r="G23" s="175"/>
      <c r="H23" s="175"/>
      <c r="I23" s="175"/>
      <c r="J23" s="175"/>
      <c r="K23" s="175"/>
      <c r="L23" s="175"/>
      <c r="M23" s="175"/>
      <c r="N23" s="175"/>
      <c r="O23" s="4"/>
      <c r="P23" s="4"/>
      <c r="Q23" s="4"/>
      <c r="R23" s="4"/>
      <c r="S23" s="4"/>
      <c r="T23" s="4"/>
      <c r="U23" s="4"/>
      <c r="V23" s="4"/>
      <c r="W23" s="4"/>
      <c r="X23" s="4"/>
      <c r="Y23" s="4"/>
      <c r="Z23" s="4"/>
      <c r="AA23" s="4"/>
      <c r="AB23" s="4"/>
      <c r="AC23" s="4"/>
      <c r="AD23" s="4"/>
      <c r="AE23" s="4"/>
      <c r="AF23" s="4"/>
      <c r="AG23" s="4"/>
      <c r="AH23" s="4"/>
      <c r="AI23" s="4"/>
      <c r="AJ23" s="4"/>
      <c r="AK23" s="4"/>
      <c r="AL23" s="4"/>
      <c r="AM23" s="4"/>
    </row>
    <row r="24">
      <c r="A24" s="4"/>
      <c r="B24" s="4"/>
      <c r="C24" s="4"/>
      <c r="D24" s="175"/>
      <c r="E24" s="175"/>
      <c r="F24" s="175"/>
      <c r="G24" s="175"/>
      <c r="H24" s="175"/>
      <c r="I24" s="175"/>
      <c r="J24" s="175"/>
      <c r="K24" s="175"/>
      <c r="L24" s="175"/>
      <c r="M24" s="175"/>
      <c r="N24" s="175"/>
      <c r="O24" s="4"/>
      <c r="P24" s="4"/>
      <c r="Q24" s="4"/>
      <c r="R24" s="4"/>
      <c r="S24" s="4"/>
      <c r="T24" s="4"/>
      <c r="U24" s="4"/>
      <c r="V24" s="4"/>
      <c r="W24" s="4"/>
      <c r="X24" s="4"/>
      <c r="Y24" s="4"/>
      <c r="Z24" s="4"/>
      <c r="AA24" s="4"/>
      <c r="AB24" s="4"/>
      <c r="AC24" s="4"/>
      <c r="AD24" s="4"/>
      <c r="AE24" s="4"/>
      <c r="AF24" s="4"/>
      <c r="AG24" s="4"/>
      <c r="AH24" s="4"/>
      <c r="AI24" s="4"/>
      <c r="AJ24" s="4"/>
      <c r="AK24" s="4"/>
      <c r="AL24" s="4"/>
      <c r="AM24" s="4"/>
    </row>
    <row r="25">
      <c r="A25" s="4"/>
      <c r="B25" s="4"/>
      <c r="C25" s="4"/>
      <c r="D25" s="175"/>
      <c r="E25" s="175"/>
      <c r="F25" s="175"/>
      <c r="G25" s="175"/>
      <c r="H25" s="175"/>
      <c r="I25" s="175"/>
      <c r="J25" s="175"/>
      <c r="K25" s="175"/>
      <c r="L25" s="175"/>
      <c r="M25" s="175"/>
      <c r="N25" s="175"/>
      <c r="O25" s="4"/>
      <c r="P25" s="4"/>
      <c r="Q25" s="4"/>
      <c r="R25" s="4"/>
      <c r="S25" s="4"/>
      <c r="T25" s="4"/>
      <c r="U25" s="4"/>
      <c r="V25" s="4"/>
      <c r="W25" s="4"/>
      <c r="X25" s="4"/>
      <c r="Y25" s="4"/>
      <c r="Z25" s="4"/>
      <c r="AA25" s="4"/>
      <c r="AB25" s="4"/>
      <c r="AC25" s="4"/>
      <c r="AD25" s="4"/>
      <c r="AE25" s="4"/>
      <c r="AF25" s="4"/>
      <c r="AG25" s="4"/>
      <c r="AH25" s="4"/>
      <c r="AI25" s="4"/>
      <c r="AJ25" s="4"/>
      <c r="AK25" s="4"/>
      <c r="AL25" s="4"/>
      <c r="AM25" s="4"/>
    </row>
    <row r="26">
      <c r="A26" s="4"/>
      <c r="B26" s="4"/>
      <c r="C26" s="4"/>
      <c r="D26" s="175"/>
      <c r="E26" s="175"/>
      <c r="F26" s="175"/>
      <c r="G26" s="175"/>
      <c r="H26" s="175"/>
      <c r="I26" s="175"/>
      <c r="J26" s="175"/>
      <c r="K26" s="175"/>
      <c r="L26" s="175"/>
      <c r="M26" s="175"/>
      <c r="N26" s="175"/>
      <c r="O26" s="4"/>
      <c r="P26" s="4"/>
      <c r="Q26" s="4"/>
      <c r="R26" s="4"/>
      <c r="S26" s="4"/>
      <c r="T26" s="4"/>
      <c r="U26" s="4"/>
      <c r="V26" s="4"/>
      <c r="W26" s="4"/>
      <c r="X26" s="4"/>
      <c r="Y26" s="4"/>
      <c r="Z26" s="4"/>
      <c r="AA26" s="4"/>
      <c r="AB26" s="4"/>
      <c r="AC26" s="4"/>
      <c r="AD26" s="4"/>
      <c r="AE26" s="4"/>
      <c r="AF26" s="4"/>
      <c r="AG26" s="4"/>
      <c r="AH26" s="4"/>
      <c r="AI26" s="4"/>
      <c r="AJ26" s="4"/>
      <c r="AK26" s="4"/>
      <c r="AL26" s="4"/>
      <c r="AM26" s="4"/>
    </row>
    <row r="27">
      <c r="A27" s="4"/>
      <c r="B27" s="4"/>
      <c r="C27" s="4"/>
      <c r="D27" s="175"/>
      <c r="E27" s="175"/>
      <c r="F27" s="175"/>
      <c r="G27" s="175"/>
      <c r="H27" s="175"/>
      <c r="I27" s="175"/>
      <c r="J27" s="175"/>
      <c r="K27" s="175"/>
      <c r="L27" s="175"/>
      <c r="M27" s="175"/>
      <c r="N27" s="175"/>
      <c r="O27" s="4"/>
      <c r="P27" s="4"/>
      <c r="Q27" s="4"/>
      <c r="R27" s="4"/>
      <c r="S27" s="4"/>
      <c r="T27" s="4"/>
      <c r="U27" s="4"/>
      <c r="V27" s="4"/>
      <c r="W27" s="4"/>
      <c r="X27" s="4"/>
      <c r="Y27" s="4"/>
      <c r="Z27" s="4"/>
      <c r="AA27" s="4"/>
      <c r="AB27" s="4"/>
      <c r="AC27" s="4"/>
      <c r="AD27" s="4"/>
      <c r="AE27" s="4"/>
      <c r="AF27" s="4"/>
      <c r="AG27" s="4"/>
      <c r="AH27" s="4"/>
      <c r="AI27" s="4"/>
      <c r="AJ27" s="4"/>
      <c r="AK27" s="4"/>
      <c r="AL27" s="4"/>
      <c r="AM27" s="4"/>
    </row>
    <row r="28">
      <c r="A28" s="4"/>
      <c r="B28" s="4"/>
      <c r="C28" s="4"/>
      <c r="D28" s="175"/>
      <c r="E28" s="175"/>
      <c r="F28" s="175"/>
      <c r="G28" s="175"/>
      <c r="H28" s="175"/>
      <c r="I28" s="175"/>
      <c r="J28" s="175"/>
      <c r="K28" s="175"/>
      <c r="L28" s="175"/>
      <c r="M28" s="175"/>
      <c r="N28" s="175"/>
      <c r="O28" s="4"/>
      <c r="P28" s="4"/>
      <c r="Q28" s="4"/>
      <c r="R28" s="4"/>
      <c r="S28" s="4"/>
      <c r="T28" s="4"/>
      <c r="U28" s="4"/>
      <c r="V28" s="4"/>
      <c r="W28" s="4"/>
      <c r="X28" s="4"/>
      <c r="Y28" s="4"/>
      <c r="Z28" s="4"/>
      <c r="AA28" s="4"/>
      <c r="AB28" s="4"/>
      <c r="AC28" s="4"/>
      <c r="AD28" s="4"/>
      <c r="AE28" s="4"/>
      <c r="AF28" s="4"/>
      <c r="AG28" s="4"/>
      <c r="AH28" s="4"/>
      <c r="AI28" s="4"/>
      <c r="AJ28" s="4"/>
      <c r="AK28" s="4"/>
      <c r="AL28" s="4"/>
      <c r="AM28" s="4"/>
    </row>
    <row r="29">
      <c r="A29" s="4"/>
      <c r="B29" s="4"/>
      <c r="C29" s="4"/>
      <c r="D29" s="175"/>
      <c r="E29" s="175"/>
      <c r="F29" s="175"/>
      <c r="G29" s="175"/>
      <c r="H29" s="175"/>
      <c r="I29" s="175"/>
      <c r="J29" s="175"/>
      <c r="K29" s="175"/>
      <c r="L29" s="175"/>
      <c r="M29" s="175"/>
      <c r="N29" s="175"/>
      <c r="O29" s="4"/>
      <c r="P29" s="4"/>
      <c r="Q29" s="4"/>
      <c r="R29" s="4"/>
      <c r="S29" s="4"/>
      <c r="T29" s="4"/>
      <c r="U29" s="4"/>
      <c r="V29" s="4"/>
      <c r="W29" s="4"/>
      <c r="X29" s="4"/>
      <c r="Y29" s="4"/>
      <c r="Z29" s="4"/>
      <c r="AA29" s="4"/>
      <c r="AB29" s="4"/>
      <c r="AC29" s="4"/>
      <c r="AD29" s="4"/>
      <c r="AE29" s="4"/>
      <c r="AF29" s="4"/>
      <c r="AG29" s="4"/>
      <c r="AH29" s="4"/>
      <c r="AI29" s="4"/>
      <c r="AJ29" s="4"/>
      <c r="AK29" s="4"/>
      <c r="AL29" s="4"/>
      <c r="AM29" s="4"/>
    </row>
    <row r="30">
      <c r="A30" s="4"/>
      <c r="B30" s="4"/>
      <c r="C30" s="4"/>
      <c r="D30" s="175"/>
      <c r="E30" s="175"/>
      <c r="F30" s="175"/>
      <c r="G30" s="175"/>
      <c r="H30" s="175"/>
      <c r="I30" s="175"/>
      <c r="J30" s="175"/>
      <c r="K30" s="175"/>
      <c r="L30" s="175"/>
      <c r="M30" s="175"/>
      <c r="N30" s="175"/>
      <c r="O30" s="4"/>
      <c r="P30" s="4"/>
      <c r="Q30" s="4"/>
      <c r="R30" s="4"/>
      <c r="S30" s="4"/>
      <c r="T30" s="4"/>
      <c r="U30" s="4"/>
      <c r="V30" s="4"/>
      <c r="W30" s="4"/>
      <c r="X30" s="4"/>
      <c r="Y30" s="4"/>
      <c r="Z30" s="4"/>
      <c r="AA30" s="4"/>
      <c r="AB30" s="4"/>
      <c r="AC30" s="4"/>
      <c r="AD30" s="4"/>
      <c r="AE30" s="4"/>
      <c r="AF30" s="4"/>
      <c r="AG30" s="4"/>
      <c r="AH30" s="4"/>
      <c r="AI30" s="4"/>
      <c r="AJ30" s="4"/>
      <c r="AK30" s="4"/>
      <c r="AL30" s="4"/>
      <c r="AM30" s="4"/>
    </row>
    <row r="31">
      <c r="A31" s="4"/>
      <c r="B31" s="4"/>
      <c r="C31" s="4"/>
      <c r="D31" s="175"/>
      <c r="E31" s="175"/>
      <c r="F31" s="175"/>
      <c r="G31" s="175"/>
      <c r="H31" s="175"/>
      <c r="I31" s="175"/>
      <c r="J31" s="175"/>
      <c r="K31" s="175"/>
      <c r="L31" s="175"/>
      <c r="M31" s="175"/>
      <c r="N31" s="175"/>
      <c r="O31" s="4"/>
      <c r="P31" s="4"/>
      <c r="Q31" s="4"/>
      <c r="R31" s="4"/>
      <c r="S31" s="4"/>
      <c r="T31" s="4"/>
      <c r="U31" s="4"/>
      <c r="V31" s="4"/>
      <c r="W31" s="4"/>
      <c r="X31" s="4"/>
      <c r="Y31" s="4"/>
      <c r="Z31" s="4"/>
      <c r="AA31" s="4"/>
      <c r="AB31" s="4"/>
      <c r="AC31" s="4"/>
      <c r="AD31" s="4"/>
      <c r="AE31" s="4"/>
      <c r="AF31" s="4"/>
      <c r="AG31" s="4"/>
      <c r="AH31" s="4"/>
      <c r="AI31" s="4"/>
      <c r="AJ31" s="4"/>
      <c r="AK31" s="4"/>
      <c r="AL31" s="4"/>
      <c r="AM31" s="4"/>
    </row>
    <row r="32">
      <c r="A32" s="4"/>
      <c r="B32" s="4"/>
      <c r="C32" s="4"/>
      <c r="D32" s="175"/>
      <c r="E32" s="175"/>
      <c r="F32" s="175"/>
      <c r="G32" s="175"/>
      <c r="H32" s="175"/>
      <c r="I32" s="175"/>
      <c r="J32" s="175"/>
      <c r="K32" s="175"/>
      <c r="L32" s="175"/>
      <c r="M32" s="175"/>
      <c r="N32" s="175"/>
      <c r="O32" s="4"/>
      <c r="P32" s="4"/>
      <c r="Q32" s="4"/>
      <c r="R32" s="4"/>
      <c r="S32" s="4"/>
      <c r="T32" s="4"/>
      <c r="U32" s="4"/>
      <c r="V32" s="4"/>
      <c r="W32" s="4"/>
      <c r="X32" s="4"/>
      <c r="Y32" s="4"/>
      <c r="Z32" s="4"/>
      <c r="AA32" s="4"/>
      <c r="AB32" s="4"/>
      <c r="AC32" s="4"/>
      <c r="AD32" s="4"/>
      <c r="AE32" s="4"/>
      <c r="AF32" s="4"/>
      <c r="AG32" s="4"/>
      <c r="AH32" s="4"/>
      <c r="AI32" s="4"/>
      <c r="AJ32" s="4"/>
      <c r="AK32" s="4"/>
      <c r="AL32" s="4"/>
      <c r="AM32" s="4"/>
    </row>
    <row r="33">
      <c r="A33" s="4"/>
      <c r="B33" s="4"/>
      <c r="C33" s="4"/>
      <c r="D33" s="175"/>
      <c r="E33" s="175"/>
      <c r="F33" s="175"/>
      <c r="G33" s="175"/>
      <c r="H33" s="175"/>
      <c r="I33" s="175"/>
      <c r="J33" s="175"/>
      <c r="K33" s="175"/>
      <c r="L33" s="175"/>
      <c r="M33" s="175"/>
      <c r="N33" s="175"/>
      <c r="O33" s="4"/>
      <c r="P33" s="4"/>
      <c r="Q33" s="4"/>
      <c r="R33" s="4"/>
      <c r="S33" s="4"/>
      <c r="T33" s="4"/>
      <c r="U33" s="4"/>
      <c r="V33" s="4"/>
      <c r="W33" s="4"/>
      <c r="X33" s="4"/>
      <c r="Y33" s="4"/>
      <c r="Z33" s="4"/>
      <c r="AA33" s="4"/>
      <c r="AB33" s="4"/>
      <c r="AC33" s="4"/>
      <c r="AD33" s="4"/>
      <c r="AE33" s="4"/>
      <c r="AF33" s="4"/>
      <c r="AG33" s="4"/>
      <c r="AH33" s="4"/>
      <c r="AI33" s="4"/>
      <c r="AJ33" s="4"/>
      <c r="AK33" s="4"/>
      <c r="AL33" s="4"/>
      <c r="AM33" s="4"/>
    </row>
    <row r="34">
      <c r="A34" s="4"/>
      <c r="B34" s="4"/>
      <c r="C34" s="4"/>
      <c r="D34" s="175"/>
      <c r="E34" s="175"/>
      <c r="F34" s="175"/>
      <c r="G34" s="175"/>
      <c r="H34" s="175"/>
      <c r="I34" s="175"/>
      <c r="J34" s="175"/>
      <c r="K34" s="175"/>
      <c r="L34" s="175"/>
      <c r="M34" s="175"/>
      <c r="N34" s="175"/>
      <c r="O34" s="4"/>
      <c r="P34" s="4"/>
      <c r="Q34" s="4"/>
      <c r="R34" s="4"/>
      <c r="S34" s="4"/>
      <c r="T34" s="4"/>
      <c r="U34" s="4"/>
      <c r="V34" s="4"/>
      <c r="W34" s="4"/>
      <c r="X34" s="4"/>
      <c r="Y34" s="4"/>
      <c r="Z34" s="4"/>
      <c r="AA34" s="4"/>
      <c r="AB34" s="4"/>
      <c r="AC34" s="4"/>
      <c r="AD34" s="4"/>
      <c r="AE34" s="4"/>
      <c r="AF34" s="4"/>
      <c r="AG34" s="4"/>
      <c r="AH34" s="4"/>
      <c r="AI34" s="4"/>
      <c r="AJ34" s="4"/>
      <c r="AK34" s="4"/>
      <c r="AL34" s="4"/>
      <c r="AM34" s="4"/>
    </row>
    <row r="35">
      <c r="A35" s="4"/>
      <c r="B35" s="4"/>
      <c r="C35" s="4"/>
      <c r="D35" s="175"/>
      <c r="E35" s="175"/>
      <c r="F35" s="175"/>
      <c r="G35" s="175"/>
      <c r="H35" s="175"/>
      <c r="I35" s="175"/>
      <c r="J35" s="175"/>
      <c r="K35" s="175"/>
      <c r="L35" s="175"/>
      <c r="M35" s="175"/>
      <c r="N35" s="175"/>
      <c r="O35" s="4"/>
      <c r="P35" s="4"/>
      <c r="Q35" s="4"/>
      <c r="R35" s="4"/>
      <c r="S35" s="4"/>
      <c r="T35" s="4"/>
      <c r="U35" s="4"/>
      <c r="V35" s="4"/>
      <c r="W35" s="4"/>
      <c r="X35" s="4"/>
      <c r="Y35" s="4"/>
      <c r="Z35" s="4"/>
      <c r="AA35" s="4"/>
      <c r="AB35" s="4"/>
      <c r="AC35" s="4"/>
      <c r="AD35" s="4"/>
      <c r="AE35" s="4"/>
      <c r="AF35" s="4"/>
      <c r="AG35" s="4"/>
      <c r="AH35" s="4"/>
      <c r="AI35" s="4"/>
      <c r="AJ35" s="4"/>
      <c r="AK35" s="4"/>
      <c r="AL35" s="4"/>
      <c r="AM35" s="4"/>
    </row>
    <row r="36">
      <c r="A36" s="4"/>
      <c r="B36" s="4"/>
      <c r="C36" s="4"/>
      <c r="D36" s="175"/>
      <c r="E36" s="175"/>
      <c r="F36" s="175"/>
      <c r="G36" s="175"/>
      <c r="H36" s="175"/>
      <c r="I36" s="175"/>
      <c r="J36" s="175"/>
      <c r="K36" s="175"/>
      <c r="L36" s="175"/>
      <c r="M36" s="175"/>
      <c r="N36" s="175"/>
      <c r="O36" s="4"/>
      <c r="P36" s="4"/>
      <c r="Q36" s="4"/>
      <c r="R36" s="4"/>
      <c r="S36" s="4"/>
      <c r="T36" s="4"/>
      <c r="U36" s="4"/>
      <c r="V36" s="4"/>
      <c r="W36" s="4"/>
      <c r="X36" s="4"/>
      <c r="Y36" s="4"/>
      <c r="Z36" s="4"/>
      <c r="AA36" s="4"/>
      <c r="AB36" s="4"/>
      <c r="AC36" s="4"/>
      <c r="AD36" s="4"/>
      <c r="AE36" s="4"/>
      <c r="AF36" s="4"/>
      <c r="AG36" s="4"/>
      <c r="AH36" s="4"/>
      <c r="AI36" s="4"/>
      <c r="AJ36" s="4"/>
      <c r="AK36" s="4"/>
      <c r="AL36" s="4"/>
      <c r="AM36" s="4"/>
    </row>
    <row r="37">
      <c r="A37" s="4"/>
      <c r="B37" s="4"/>
      <c r="C37" s="4"/>
      <c r="D37" s="175"/>
      <c r="E37" s="175"/>
      <c r="F37" s="175"/>
      <c r="G37" s="175"/>
      <c r="H37" s="175"/>
      <c r="I37" s="175"/>
      <c r="J37" s="175"/>
      <c r="K37" s="175"/>
      <c r="L37" s="175"/>
      <c r="M37" s="175"/>
      <c r="N37" s="175"/>
      <c r="O37" s="4"/>
      <c r="P37" s="4"/>
      <c r="Q37" s="4"/>
      <c r="R37" s="4"/>
      <c r="S37" s="4"/>
      <c r="T37" s="4"/>
      <c r="U37" s="4"/>
      <c r="V37" s="4"/>
      <c r="W37" s="4"/>
      <c r="X37" s="4"/>
      <c r="Y37" s="4"/>
      <c r="Z37" s="4"/>
      <c r="AA37" s="4"/>
      <c r="AB37" s="4"/>
      <c r="AC37" s="4"/>
      <c r="AD37" s="4"/>
      <c r="AE37" s="4"/>
      <c r="AF37" s="4"/>
      <c r="AG37" s="4"/>
      <c r="AH37" s="4"/>
      <c r="AI37" s="4"/>
      <c r="AJ37" s="4"/>
      <c r="AK37" s="4"/>
      <c r="AL37" s="4"/>
      <c r="AM37" s="4"/>
    </row>
    <row r="38">
      <c r="A38" s="4"/>
      <c r="B38" s="4"/>
      <c r="C38" s="4"/>
      <c r="D38" s="175"/>
      <c r="E38" s="175"/>
      <c r="F38" s="175"/>
      <c r="G38" s="175"/>
      <c r="H38" s="175"/>
      <c r="I38" s="175"/>
      <c r="J38" s="175"/>
      <c r="K38" s="175"/>
      <c r="L38" s="175"/>
      <c r="M38" s="175"/>
      <c r="N38" s="175"/>
      <c r="O38" s="4"/>
      <c r="P38" s="4"/>
      <c r="Q38" s="4"/>
      <c r="R38" s="4"/>
      <c r="S38" s="4"/>
      <c r="T38" s="4"/>
      <c r="U38" s="4"/>
      <c r="V38" s="4"/>
      <c r="W38" s="4"/>
      <c r="X38" s="4"/>
      <c r="Y38" s="4"/>
      <c r="Z38" s="4"/>
      <c r="AA38" s="4"/>
      <c r="AB38" s="4"/>
      <c r="AC38" s="4"/>
      <c r="AD38" s="4"/>
      <c r="AE38" s="4"/>
      <c r="AF38" s="4"/>
      <c r="AG38" s="4"/>
      <c r="AH38" s="4"/>
      <c r="AI38" s="4"/>
      <c r="AJ38" s="4"/>
      <c r="AK38" s="4"/>
      <c r="AL38" s="4"/>
      <c r="AM38" s="4"/>
    </row>
    <row r="39">
      <c r="A39" s="4"/>
      <c r="B39" s="4"/>
      <c r="C39" s="4"/>
      <c r="D39" s="175"/>
      <c r="E39" s="175"/>
      <c r="F39" s="175"/>
      <c r="G39" s="175"/>
      <c r="H39" s="175"/>
      <c r="I39" s="175"/>
      <c r="J39" s="175"/>
      <c r="K39" s="175"/>
      <c r="L39" s="175"/>
      <c r="M39" s="175"/>
      <c r="N39" s="175"/>
      <c r="O39" s="4"/>
      <c r="P39" s="4"/>
      <c r="Q39" s="4"/>
      <c r="R39" s="4"/>
      <c r="S39" s="4"/>
      <c r="T39" s="4"/>
      <c r="U39" s="4"/>
      <c r="V39" s="4"/>
      <c r="W39" s="4"/>
      <c r="X39" s="4"/>
      <c r="Y39" s="4"/>
      <c r="Z39" s="4"/>
      <c r="AA39" s="4"/>
      <c r="AB39" s="4"/>
      <c r="AC39" s="4"/>
      <c r="AD39" s="4"/>
      <c r="AE39" s="4"/>
      <c r="AF39" s="4"/>
      <c r="AG39" s="4"/>
      <c r="AH39" s="4"/>
      <c r="AI39" s="4"/>
      <c r="AJ39" s="4"/>
      <c r="AK39" s="4"/>
      <c r="AL39" s="4"/>
      <c r="AM39" s="4"/>
    </row>
    <row r="40">
      <c r="A40" s="4"/>
      <c r="B40" s="4"/>
      <c r="C40" s="4"/>
      <c r="D40" s="175"/>
      <c r="E40" s="175"/>
      <c r="F40" s="175"/>
      <c r="G40" s="175"/>
      <c r="H40" s="175"/>
      <c r="I40" s="175"/>
      <c r="J40" s="175"/>
      <c r="K40" s="175"/>
      <c r="L40" s="175"/>
      <c r="M40" s="175"/>
      <c r="N40" s="175"/>
      <c r="O40" s="4"/>
      <c r="P40" s="4"/>
      <c r="Q40" s="4"/>
      <c r="R40" s="4"/>
      <c r="S40" s="4"/>
      <c r="T40" s="4"/>
      <c r="U40" s="4"/>
      <c r="V40" s="4"/>
      <c r="W40" s="4"/>
      <c r="X40" s="4"/>
      <c r="Y40" s="4"/>
      <c r="Z40" s="4"/>
      <c r="AA40" s="4"/>
      <c r="AB40" s="4"/>
      <c r="AC40" s="4"/>
      <c r="AD40" s="4"/>
      <c r="AE40" s="4"/>
      <c r="AF40" s="4"/>
      <c r="AG40" s="4"/>
      <c r="AH40" s="4"/>
      <c r="AI40" s="4"/>
      <c r="AJ40" s="4"/>
      <c r="AK40" s="4"/>
      <c r="AL40" s="4"/>
      <c r="AM40" s="4"/>
    </row>
    <row r="41">
      <c r="A41" s="4"/>
      <c r="B41" s="4"/>
      <c r="C41" s="4"/>
      <c r="D41" s="175"/>
      <c r="E41" s="175"/>
      <c r="F41" s="175"/>
      <c r="G41" s="175"/>
      <c r="H41" s="175"/>
      <c r="I41" s="175"/>
      <c r="J41" s="175"/>
      <c r="K41" s="175"/>
      <c r="L41" s="175"/>
      <c r="M41" s="175"/>
      <c r="N41" s="175"/>
      <c r="O41" s="4"/>
      <c r="P41" s="4"/>
      <c r="Q41" s="4"/>
      <c r="R41" s="4"/>
      <c r="S41" s="4"/>
      <c r="T41" s="4"/>
      <c r="U41" s="4"/>
      <c r="V41" s="4"/>
      <c r="W41" s="4"/>
      <c r="X41" s="4"/>
      <c r="Y41" s="4"/>
      <c r="Z41" s="4"/>
      <c r="AA41" s="4"/>
      <c r="AB41" s="4"/>
      <c r="AC41" s="4"/>
      <c r="AD41" s="4"/>
      <c r="AE41" s="4"/>
      <c r="AF41" s="4"/>
      <c r="AG41" s="4"/>
      <c r="AH41" s="4"/>
      <c r="AI41" s="4"/>
      <c r="AJ41" s="4"/>
      <c r="AK41" s="4"/>
      <c r="AL41" s="4"/>
      <c r="AM41" s="4"/>
    </row>
    <row r="42">
      <c r="A42" s="4"/>
      <c r="B42" s="4"/>
      <c r="C42" s="4"/>
      <c r="D42" s="175"/>
      <c r="E42" s="175"/>
      <c r="F42" s="175"/>
      <c r="G42" s="175"/>
      <c r="H42" s="175"/>
      <c r="I42" s="175"/>
      <c r="J42" s="175"/>
      <c r="K42" s="175"/>
      <c r="L42" s="175"/>
      <c r="M42" s="175"/>
      <c r="N42" s="175"/>
      <c r="O42" s="4"/>
      <c r="P42" s="4"/>
      <c r="Q42" s="4"/>
      <c r="R42" s="4"/>
      <c r="S42" s="4"/>
      <c r="T42" s="4"/>
      <c r="U42" s="4"/>
      <c r="V42" s="4"/>
      <c r="W42" s="4"/>
      <c r="X42" s="4"/>
      <c r="Y42" s="4"/>
      <c r="Z42" s="4"/>
      <c r="AA42" s="4"/>
      <c r="AB42" s="4"/>
      <c r="AC42" s="4"/>
      <c r="AD42" s="4"/>
      <c r="AE42" s="4"/>
      <c r="AF42" s="4"/>
      <c r="AG42" s="4"/>
      <c r="AH42" s="4"/>
      <c r="AI42" s="4"/>
      <c r="AJ42" s="4"/>
      <c r="AK42" s="4"/>
      <c r="AL42" s="4"/>
      <c r="AM42" s="4"/>
    </row>
    <row r="43">
      <c r="A43" s="4"/>
      <c r="B43" s="4"/>
      <c r="C43" s="4"/>
      <c r="D43" s="175"/>
      <c r="E43" s="175"/>
      <c r="F43" s="175"/>
      <c r="G43" s="175"/>
      <c r="H43" s="175"/>
      <c r="I43" s="175"/>
      <c r="J43" s="175"/>
      <c r="K43" s="175"/>
      <c r="L43" s="175"/>
      <c r="M43" s="175"/>
      <c r="N43" s="175"/>
      <c r="O43" s="4"/>
      <c r="P43" s="4"/>
      <c r="Q43" s="4"/>
      <c r="R43" s="4"/>
      <c r="S43" s="4"/>
      <c r="T43" s="4"/>
      <c r="U43" s="4"/>
      <c r="V43" s="4"/>
      <c r="W43" s="4"/>
      <c r="X43" s="4"/>
      <c r="Y43" s="4"/>
      <c r="Z43" s="4"/>
      <c r="AA43" s="4"/>
      <c r="AB43" s="4"/>
      <c r="AC43" s="4"/>
      <c r="AD43" s="4"/>
      <c r="AE43" s="4"/>
      <c r="AF43" s="4"/>
      <c r="AG43" s="4"/>
      <c r="AH43" s="4"/>
      <c r="AI43" s="4"/>
      <c r="AJ43" s="4"/>
      <c r="AK43" s="4"/>
      <c r="AL43" s="4"/>
      <c r="AM43" s="4"/>
    </row>
    <row r="44">
      <c r="A44" s="4"/>
      <c r="B44" s="4"/>
      <c r="C44" s="4"/>
      <c r="D44" s="175"/>
      <c r="E44" s="175"/>
      <c r="F44" s="175"/>
      <c r="G44" s="175"/>
      <c r="H44" s="175"/>
      <c r="I44" s="175"/>
      <c r="J44" s="175"/>
      <c r="K44" s="175"/>
      <c r="L44" s="175"/>
      <c r="M44" s="175"/>
      <c r="N44" s="175"/>
      <c r="O44" s="4"/>
      <c r="P44" s="4"/>
      <c r="Q44" s="4"/>
      <c r="R44" s="4"/>
      <c r="S44" s="4"/>
      <c r="T44" s="4"/>
      <c r="U44" s="4"/>
      <c r="V44" s="4"/>
      <c r="W44" s="4"/>
      <c r="X44" s="4"/>
      <c r="Y44" s="4"/>
      <c r="Z44" s="4"/>
      <c r="AA44" s="4"/>
      <c r="AB44" s="4"/>
      <c r="AC44" s="4"/>
      <c r="AD44" s="4"/>
      <c r="AE44" s="4"/>
      <c r="AF44" s="4"/>
      <c r="AG44" s="4"/>
      <c r="AH44" s="4"/>
      <c r="AI44" s="4"/>
      <c r="AJ44" s="4"/>
      <c r="AK44" s="4"/>
      <c r="AL44" s="4"/>
      <c r="AM44" s="4"/>
    </row>
    <row r="45">
      <c r="A45" s="4"/>
      <c r="B45" s="4"/>
      <c r="C45" s="4"/>
      <c r="D45" s="175"/>
      <c r="E45" s="175"/>
      <c r="F45" s="175"/>
      <c r="G45" s="175"/>
      <c r="H45" s="175"/>
      <c r="I45" s="175"/>
      <c r="J45" s="175"/>
      <c r="K45" s="175"/>
      <c r="L45" s="175"/>
      <c r="M45" s="175"/>
      <c r="N45" s="175"/>
      <c r="O45" s="4"/>
      <c r="P45" s="4"/>
      <c r="Q45" s="4"/>
      <c r="R45" s="4"/>
      <c r="S45" s="4"/>
      <c r="T45" s="4"/>
      <c r="U45" s="4"/>
      <c r="V45" s="4"/>
      <c r="W45" s="4"/>
      <c r="X45" s="4"/>
      <c r="Y45" s="4"/>
      <c r="Z45" s="4"/>
      <c r="AA45" s="4"/>
      <c r="AB45" s="4"/>
      <c r="AC45" s="4"/>
      <c r="AD45" s="4"/>
      <c r="AE45" s="4"/>
      <c r="AF45" s="4"/>
      <c r="AG45" s="4"/>
      <c r="AH45" s="4"/>
      <c r="AI45" s="4"/>
      <c r="AJ45" s="4"/>
      <c r="AK45" s="4"/>
      <c r="AL45" s="4"/>
      <c r="AM45" s="4"/>
    </row>
    <row r="46">
      <c r="A46" s="4"/>
      <c r="B46" s="4"/>
      <c r="C46" s="4"/>
      <c r="D46" s="175"/>
      <c r="E46" s="175"/>
      <c r="F46" s="175"/>
      <c r="G46" s="175"/>
      <c r="H46" s="175"/>
      <c r="I46" s="175"/>
      <c r="J46" s="175"/>
      <c r="K46" s="175"/>
      <c r="L46" s="175"/>
      <c r="M46" s="175"/>
      <c r="N46" s="175"/>
      <c r="O46" s="4"/>
      <c r="P46" s="4"/>
      <c r="Q46" s="4"/>
      <c r="R46" s="4"/>
      <c r="S46" s="4"/>
      <c r="T46" s="4"/>
      <c r="U46" s="4"/>
      <c r="V46" s="4"/>
      <c r="W46" s="4"/>
      <c r="X46" s="4"/>
      <c r="Y46" s="4"/>
      <c r="Z46" s="4"/>
      <c r="AA46" s="4"/>
      <c r="AB46" s="4"/>
      <c r="AC46" s="4"/>
      <c r="AD46" s="4"/>
      <c r="AE46" s="4"/>
      <c r="AF46" s="4"/>
      <c r="AG46" s="4"/>
      <c r="AH46" s="4"/>
      <c r="AI46" s="4"/>
      <c r="AJ46" s="4"/>
      <c r="AK46" s="4"/>
      <c r="AL46" s="4"/>
      <c r="AM46" s="4"/>
    </row>
    <row r="47">
      <c r="A47" s="4"/>
      <c r="B47" s="4"/>
      <c r="C47" s="4"/>
      <c r="D47" s="175"/>
      <c r="E47" s="175"/>
      <c r="F47" s="175"/>
      <c r="G47" s="175"/>
      <c r="H47" s="175"/>
      <c r="I47" s="175"/>
      <c r="J47" s="175"/>
      <c r="K47" s="175"/>
      <c r="L47" s="175"/>
      <c r="M47" s="175"/>
      <c r="N47" s="175"/>
      <c r="O47" s="4"/>
      <c r="P47" s="4"/>
      <c r="Q47" s="4"/>
      <c r="R47" s="4"/>
      <c r="S47" s="4"/>
      <c r="T47" s="4"/>
      <c r="U47" s="4"/>
      <c r="V47" s="4"/>
      <c r="W47" s="4"/>
      <c r="X47" s="4"/>
      <c r="Y47" s="4"/>
      <c r="Z47" s="4"/>
      <c r="AA47" s="4"/>
      <c r="AB47" s="4"/>
      <c r="AC47" s="4"/>
      <c r="AD47" s="4"/>
      <c r="AE47" s="4"/>
      <c r="AF47" s="4"/>
      <c r="AG47" s="4"/>
      <c r="AH47" s="4"/>
      <c r="AI47" s="4"/>
      <c r="AJ47" s="4"/>
      <c r="AK47" s="4"/>
      <c r="AL47" s="4"/>
      <c r="AM47" s="4"/>
    </row>
    <row r="48">
      <c r="A48" s="4"/>
      <c r="B48" s="4"/>
      <c r="C48" s="4"/>
      <c r="D48" s="175"/>
      <c r="E48" s="175"/>
      <c r="F48" s="175"/>
      <c r="G48" s="175"/>
      <c r="H48" s="175"/>
      <c r="I48" s="175"/>
      <c r="J48" s="175"/>
      <c r="K48" s="175"/>
      <c r="L48" s="175"/>
      <c r="M48" s="175"/>
      <c r="N48" s="175"/>
      <c r="O48" s="4"/>
      <c r="P48" s="4"/>
      <c r="Q48" s="4"/>
      <c r="R48" s="4"/>
      <c r="S48" s="4"/>
      <c r="T48" s="4"/>
      <c r="U48" s="4"/>
      <c r="V48" s="4"/>
      <c r="W48" s="4"/>
      <c r="X48" s="4"/>
      <c r="Y48" s="4"/>
      <c r="Z48" s="4"/>
      <c r="AA48" s="4"/>
      <c r="AB48" s="4"/>
      <c r="AC48" s="4"/>
      <c r="AD48" s="4"/>
      <c r="AE48" s="4"/>
      <c r="AF48" s="4"/>
      <c r="AG48" s="4"/>
      <c r="AH48" s="4"/>
      <c r="AI48" s="4"/>
      <c r="AJ48" s="4"/>
      <c r="AK48" s="4"/>
      <c r="AL48" s="4"/>
      <c r="AM48" s="4"/>
    </row>
    <row r="49">
      <c r="A49" s="4"/>
      <c r="B49" s="4"/>
      <c r="C49" s="4"/>
      <c r="D49" s="175"/>
      <c r="E49" s="175"/>
      <c r="F49" s="175"/>
      <c r="G49" s="175"/>
      <c r="H49" s="175"/>
      <c r="I49" s="175"/>
      <c r="J49" s="175"/>
      <c r="K49" s="175"/>
      <c r="L49" s="175"/>
      <c r="M49" s="175"/>
      <c r="N49" s="175"/>
      <c r="O49" s="4"/>
      <c r="P49" s="4"/>
      <c r="Q49" s="4"/>
      <c r="R49" s="4"/>
      <c r="S49" s="4"/>
      <c r="T49" s="4"/>
      <c r="U49" s="4"/>
      <c r="V49" s="4"/>
      <c r="W49" s="4"/>
      <c r="X49" s="4"/>
      <c r="Y49" s="4"/>
      <c r="Z49" s="4"/>
      <c r="AA49" s="4"/>
      <c r="AB49" s="4"/>
      <c r="AC49" s="4"/>
      <c r="AD49" s="4"/>
      <c r="AE49" s="4"/>
      <c r="AF49" s="4"/>
      <c r="AG49" s="4"/>
      <c r="AH49" s="4"/>
      <c r="AI49" s="4"/>
      <c r="AJ49" s="4"/>
      <c r="AK49" s="4"/>
      <c r="AL49" s="4"/>
      <c r="AM49" s="4"/>
    </row>
    <row r="50">
      <c r="A50" s="4"/>
      <c r="B50" s="4"/>
      <c r="C50" s="4"/>
      <c r="D50" s="175"/>
      <c r="E50" s="175"/>
      <c r="F50" s="175"/>
      <c r="G50" s="175"/>
      <c r="H50" s="175"/>
      <c r="I50" s="175"/>
      <c r="J50" s="175"/>
      <c r="K50" s="175"/>
      <c r="L50" s="175"/>
      <c r="M50" s="175"/>
      <c r="N50" s="175"/>
      <c r="O50" s="4"/>
      <c r="P50" s="4"/>
      <c r="Q50" s="4"/>
      <c r="R50" s="4"/>
      <c r="S50" s="4"/>
      <c r="T50" s="4"/>
      <c r="U50" s="4"/>
      <c r="V50" s="4"/>
      <c r="W50" s="4"/>
      <c r="X50" s="4"/>
      <c r="Y50" s="4"/>
      <c r="Z50" s="4"/>
      <c r="AA50" s="4"/>
      <c r="AB50" s="4"/>
      <c r="AC50" s="4"/>
      <c r="AD50" s="4"/>
      <c r="AE50" s="4"/>
      <c r="AF50" s="4"/>
      <c r="AG50" s="4"/>
      <c r="AH50" s="4"/>
      <c r="AI50" s="4"/>
      <c r="AJ50" s="4"/>
      <c r="AK50" s="4"/>
      <c r="AL50" s="4"/>
      <c r="AM50" s="4"/>
    </row>
    <row r="51">
      <c r="A51" s="4"/>
      <c r="B51" s="4"/>
      <c r="C51" s="4"/>
      <c r="D51" s="175"/>
      <c r="E51" s="175"/>
      <c r="F51" s="175"/>
      <c r="G51" s="175"/>
      <c r="H51" s="175"/>
      <c r="I51" s="175"/>
      <c r="J51" s="175"/>
      <c r="K51" s="175"/>
      <c r="L51" s="175"/>
      <c r="M51" s="175"/>
      <c r="N51" s="175"/>
      <c r="O51" s="4"/>
      <c r="P51" s="4"/>
      <c r="Q51" s="4"/>
      <c r="R51" s="4"/>
      <c r="S51" s="4"/>
      <c r="T51" s="4"/>
      <c r="U51" s="4"/>
      <c r="V51" s="4"/>
      <c r="W51" s="4"/>
      <c r="X51" s="4"/>
      <c r="Y51" s="4"/>
      <c r="Z51" s="4"/>
      <c r="AA51" s="4"/>
      <c r="AB51" s="4"/>
      <c r="AC51" s="4"/>
      <c r="AD51" s="4"/>
      <c r="AE51" s="4"/>
      <c r="AF51" s="4"/>
      <c r="AG51" s="4"/>
      <c r="AH51" s="4"/>
      <c r="AI51" s="4"/>
      <c r="AJ51" s="4"/>
      <c r="AK51" s="4"/>
      <c r="AL51" s="4"/>
      <c r="AM51" s="4"/>
    </row>
    <row r="52">
      <c r="A52" s="4"/>
      <c r="B52" s="4"/>
      <c r="C52" s="4"/>
      <c r="D52" s="175"/>
      <c r="E52" s="175"/>
      <c r="F52" s="175"/>
      <c r="G52" s="175"/>
      <c r="H52" s="175"/>
      <c r="I52" s="175"/>
      <c r="J52" s="175"/>
      <c r="K52" s="175"/>
      <c r="L52" s="175"/>
      <c r="M52" s="175"/>
      <c r="N52" s="175"/>
      <c r="O52" s="4"/>
      <c r="P52" s="4"/>
      <c r="Q52" s="4"/>
      <c r="R52" s="4"/>
      <c r="S52" s="4"/>
      <c r="T52" s="4"/>
      <c r="U52" s="4"/>
      <c r="V52" s="4"/>
      <c r="W52" s="4"/>
      <c r="X52" s="4"/>
      <c r="Y52" s="4"/>
      <c r="Z52" s="4"/>
      <c r="AA52" s="4"/>
      <c r="AB52" s="4"/>
      <c r="AC52" s="4"/>
      <c r="AD52" s="4"/>
      <c r="AE52" s="4"/>
      <c r="AF52" s="4"/>
      <c r="AG52" s="4"/>
      <c r="AH52" s="4"/>
      <c r="AI52" s="4"/>
      <c r="AJ52" s="4"/>
      <c r="AK52" s="4"/>
      <c r="AL52" s="4"/>
      <c r="AM52" s="4"/>
    </row>
    <row r="53">
      <c r="A53" s="4"/>
      <c r="B53" s="4"/>
      <c r="C53" s="4"/>
      <c r="D53" s="175"/>
      <c r="E53" s="175"/>
      <c r="F53" s="175"/>
      <c r="G53" s="175"/>
      <c r="H53" s="175"/>
      <c r="I53" s="175"/>
      <c r="J53" s="175"/>
      <c r="K53" s="175"/>
      <c r="L53" s="175"/>
      <c r="M53" s="175"/>
      <c r="N53" s="175"/>
      <c r="O53" s="4"/>
      <c r="P53" s="4"/>
      <c r="Q53" s="4"/>
      <c r="R53" s="4"/>
      <c r="S53" s="4"/>
      <c r="T53" s="4"/>
      <c r="U53" s="4"/>
      <c r="V53" s="4"/>
      <c r="W53" s="4"/>
      <c r="X53" s="4"/>
      <c r="Y53" s="4"/>
      <c r="Z53" s="4"/>
      <c r="AA53" s="4"/>
      <c r="AB53" s="4"/>
      <c r="AC53" s="4"/>
      <c r="AD53" s="4"/>
      <c r="AE53" s="4"/>
      <c r="AF53" s="4"/>
      <c r="AG53" s="4"/>
      <c r="AH53" s="4"/>
      <c r="AI53" s="4"/>
      <c r="AJ53" s="4"/>
      <c r="AK53" s="4"/>
      <c r="AL53" s="4"/>
      <c r="AM53" s="4"/>
    </row>
    <row r="54">
      <c r="A54" s="4"/>
      <c r="B54" s="4"/>
      <c r="C54" s="4"/>
      <c r="D54" s="175"/>
      <c r="E54" s="175"/>
      <c r="F54" s="175"/>
      <c r="G54" s="175"/>
      <c r="H54" s="175"/>
      <c r="I54" s="175"/>
      <c r="J54" s="175"/>
      <c r="K54" s="175"/>
      <c r="L54" s="175"/>
      <c r="M54" s="175"/>
      <c r="N54" s="175"/>
      <c r="O54" s="4"/>
      <c r="P54" s="4"/>
      <c r="Q54" s="4"/>
      <c r="R54" s="4"/>
      <c r="S54" s="4"/>
      <c r="T54" s="4"/>
      <c r="U54" s="4"/>
      <c r="V54" s="4"/>
      <c r="W54" s="4"/>
      <c r="X54" s="4"/>
      <c r="Y54" s="4"/>
      <c r="Z54" s="4"/>
      <c r="AA54" s="4"/>
      <c r="AB54" s="4"/>
      <c r="AC54" s="4"/>
      <c r="AD54" s="4"/>
      <c r="AE54" s="4"/>
      <c r="AF54" s="4"/>
      <c r="AG54" s="4"/>
      <c r="AH54" s="4"/>
      <c r="AI54" s="4"/>
      <c r="AJ54" s="4"/>
      <c r="AK54" s="4"/>
      <c r="AL54" s="4"/>
      <c r="AM54" s="4"/>
    </row>
    <row r="55">
      <c r="A55" s="4"/>
      <c r="B55" s="4"/>
      <c r="C55" s="4"/>
      <c r="D55" s="175"/>
      <c r="E55" s="175"/>
      <c r="F55" s="175"/>
      <c r="G55" s="175"/>
      <c r="H55" s="175"/>
      <c r="I55" s="175"/>
      <c r="J55" s="175"/>
      <c r="K55" s="175"/>
      <c r="L55" s="175"/>
      <c r="M55" s="175"/>
      <c r="N55" s="175"/>
      <c r="O55" s="4"/>
      <c r="P55" s="4"/>
      <c r="Q55" s="4"/>
      <c r="R55" s="4"/>
      <c r="S55" s="4"/>
      <c r="T55" s="4"/>
      <c r="U55" s="4"/>
      <c r="V55" s="4"/>
      <c r="W55" s="4"/>
      <c r="X55" s="4"/>
      <c r="Y55" s="4"/>
      <c r="Z55" s="4"/>
      <c r="AA55" s="4"/>
      <c r="AB55" s="4"/>
      <c r="AC55" s="4"/>
      <c r="AD55" s="4"/>
      <c r="AE55" s="4"/>
      <c r="AF55" s="4"/>
      <c r="AG55" s="4"/>
      <c r="AH55" s="4"/>
      <c r="AI55" s="4"/>
      <c r="AJ55" s="4"/>
      <c r="AK55" s="4"/>
      <c r="AL55" s="4"/>
      <c r="AM55" s="4"/>
    </row>
    <row r="56">
      <c r="A56" s="4"/>
      <c r="B56" s="4"/>
      <c r="C56" s="4"/>
      <c r="D56" s="175"/>
      <c r="E56" s="175"/>
      <c r="F56" s="175"/>
      <c r="G56" s="175"/>
      <c r="H56" s="175"/>
      <c r="I56" s="175"/>
      <c r="J56" s="175"/>
      <c r="K56" s="175"/>
      <c r="L56" s="175"/>
      <c r="M56" s="175"/>
      <c r="N56" s="175"/>
      <c r="O56" s="4"/>
      <c r="P56" s="4"/>
      <c r="Q56" s="4"/>
      <c r="R56" s="4"/>
      <c r="S56" s="4"/>
      <c r="T56" s="4"/>
      <c r="U56" s="4"/>
      <c r="V56" s="4"/>
      <c r="W56" s="4"/>
      <c r="X56" s="4"/>
      <c r="Y56" s="4"/>
      <c r="Z56" s="4"/>
      <c r="AA56" s="4"/>
      <c r="AB56" s="4"/>
      <c r="AC56" s="4"/>
      <c r="AD56" s="4"/>
      <c r="AE56" s="4"/>
      <c r="AF56" s="4"/>
      <c r="AG56" s="4"/>
      <c r="AH56" s="4"/>
      <c r="AI56" s="4"/>
      <c r="AJ56" s="4"/>
      <c r="AK56" s="4"/>
      <c r="AL56" s="4"/>
      <c r="AM56" s="4"/>
    </row>
    <row r="57">
      <c r="A57" s="4"/>
      <c r="B57" s="4"/>
      <c r="C57" s="4"/>
      <c r="D57" s="175"/>
      <c r="E57" s="175"/>
      <c r="F57" s="175"/>
      <c r="G57" s="175"/>
      <c r="H57" s="175"/>
      <c r="I57" s="175"/>
      <c r="J57" s="175"/>
      <c r="K57" s="175"/>
      <c r="L57" s="175"/>
      <c r="M57" s="175"/>
      <c r="N57" s="175"/>
      <c r="O57" s="4"/>
      <c r="P57" s="4"/>
      <c r="Q57" s="4"/>
      <c r="R57" s="4"/>
      <c r="S57" s="4"/>
      <c r="T57" s="4"/>
      <c r="U57" s="4"/>
      <c r="V57" s="4"/>
      <c r="W57" s="4"/>
      <c r="X57" s="4"/>
      <c r="Y57" s="4"/>
      <c r="Z57" s="4"/>
      <c r="AA57" s="4"/>
      <c r="AB57" s="4"/>
      <c r="AC57" s="4"/>
      <c r="AD57" s="4"/>
      <c r="AE57" s="4"/>
      <c r="AF57" s="4"/>
      <c r="AG57" s="4"/>
      <c r="AH57" s="4"/>
      <c r="AI57" s="4"/>
      <c r="AJ57" s="4"/>
      <c r="AK57" s="4"/>
      <c r="AL57" s="4"/>
      <c r="AM57" s="4"/>
    </row>
    <row r="58">
      <c r="A58" s="4"/>
      <c r="B58" s="4"/>
      <c r="C58" s="4"/>
      <c r="D58" s="175"/>
      <c r="E58" s="175"/>
      <c r="F58" s="175"/>
      <c r="G58" s="175"/>
      <c r="H58" s="175"/>
      <c r="I58" s="175"/>
      <c r="J58" s="175"/>
      <c r="K58" s="175"/>
      <c r="L58" s="175"/>
      <c r="M58" s="175"/>
      <c r="N58" s="175"/>
      <c r="O58" s="4"/>
      <c r="P58" s="4"/>
      <c r="Q58" s="4"/>
      <c r="R58" s="4"/>
      <c r="S58" s="4"/>
      <c r="T58" s="4"/>
      <c r="U58" s="4"/>
      <c r="V58" s="4"/>
      <c r="W58" s="4"/>
      <c r="X58" s="4"/>
      <c r="Y58" s="4"/>
      <c r="Z58" s="4"/>
      <c r="AA58" s="4"/>
      <c r="AB58" s="4"/>
      <c r="AC58" s="4"/>
      <c r="AD58" s="4"/>
      <c r="AE58" s="4"/>
      <c r="AF58" s="4"/>
      <c r="AG58" s="4"/>
      <c r="AH58" s="4"/>
      <c r="AI58" s="4"/>
      <c r="AJ58" s="4"/>
      <c r="AK58" s="4"/>
      <c r="AL58" s="4"/>
      <c r="AM58" s="4"/>
    </row>
    <row r="59">
      <c r="A59" s="4"/>
      <c r="B59" s="4"/>
      <c r="C59" s="4"/>
      <c r="D59" s="175"/>
      <c r="E59" s="175"/>
      <c r="F59" s="175"/>
      <c r="G59" s="175"/>
      <c r="H59" s="175"/>
      <c r="I59" s="175"/>
      <c r="J59" s="175"/>
      <c r="K59" s="175"/>
      <c r="L59" s="175"/>
      <c r="M59" s="175"/>
      <c r="N59" s="175"/>
      <c r="O59" s="4"/>
      <c r="P59" s="4"/>
      <c r="Q59" s="4"/>
      <c r="R59" s="4"/>
      <c r="S59" s="4"/>
      <c r="T59" s="4"/>
      <c r="U59" s="4"/>
      <c r="V59" s="4"/>
      <c r="W59" s="4"/>
      <c r="X59" s="4"/>
      <c r="Y59" s="4"/>
      <c r="Z59" s="4"/>
      <c r="AA59" s="4"/>
      <c r="AB59" s="4"/>
      <c r="AC59" s="4"/>
      <c r="AD59" s="4"/>
      <c r="AE59" s="4"/>
      <c r="AF59" s="4"/>
      <c r="AG59" s="4"/>
      <c r="AH59" s="4"/>
      <c r="AI59" s="4"/>
      <c r="AJ59" s="4"/>
      <c r="AK59" s="4"/>
      <c r="AL59" s="4"/>
      <c r="AM59" s="4"/>
    </row>
    <row r="60">
      <c r="A60" s="4"/>
      <c r="B60" s="4"/>
      <c r="C60" s="4"/>
      <c r="D60" s="175"/>
      <c r="E60" s="175"/>
      <c r="F60" s="175"/>
      <c r="G60" s="175"/>
      <c r="H60" s="175"/>
      <c r="I60" s="175"/>
      <c r="J60" s="175"/>
      <c r="K60" s="175"/>
      <c r="L60" s="175"/>
      <c r="M60" s="175"/>
      <c r="N60" s="175"/>
      <c r="O60" s="4"/>
      <c r="P60" s="4"/>
      <c r="Q60" s="4"/>
      <c r="R60" s="4"/>
      <c r="S60" s="4"/>
      <c r="T60" s="4"/>
      <c r="U60" s="4"/>
      <c r="V60" s="4"/>
      <c r="W60" s="4"/>
      <c r="X60" s="4"/>
      <c r="Y60" s="4"/>
      <c r="Z60" s="4"/>
      <c r="AA60" s="4"/>
      <c r="AB60" s="4"/>
      <c r="AC60" s="4"/>
      <c r="AD60" s="4"/>
      <c r="AE60" s="4"/>
      <c r="AF60" s="4"/>
      <c r="AG60" s="4"/>
      <c r="AH60" s="4"/>
      <c r="AI60" s="4"/>
      <c r="AJ60" s="4"/>
      <c r="AK60" s="4"/>
      <c r="AL60" s="4"/>
      <c r="AM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row>
  </sheetData>
  <mergeCells count="2">
    <mergeCell ref="A1:C1"/>
    <mergeCell ref="D1:AM1"/>
  </mergeCells>
  <drawing r:id="rId1"/>
</worksheet>
</file>